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LI 2026" sheetId="1" r:id="rId5"/>
    <sheet state="visible" name="AGUSTUS 2026" sheetId="2" r:id="rId6"/>
    <sheet state="visible" name="SEPTEMBER 2026" sheetId="3" r:id="rId7"/>
  </sheets>
  <definedNames/>
  <calcPr/>
</workbook>
</file>

<file path=xl/sharedStrings.xml><?xml version="1.0" encoding="utf-8"?>
<sst xmlns="http://schemas.openxmlformats.org/spreadsheetml/2006/main" count="12456" uniqueCount="83">
  <si>
    <t>xx</t>
  </si>
  <si>
    <t>RANTO LUMBAN TORUAN</t>
  </si>
  <si>
    <t>NO</t>
  </si>
  <si>
    <t>RUTE</t>
  </si>
  <si>
    <t>RENOPS</t>
  </si>
  <si>
    <t>REALOPS</t>
  </si>
  <si>
    <t>KM TEMPUH</t>
  </si>
  <si>
    <t>TOA SHIFT 1</t>
  </si>
  <si>
    <t>MANUAL SHIFT 1</t>
  </si>
  <si>
    <t>TOTAL SHIFT 1</t>
  </si>
  <si>
    <t>TOA SHIFT 2</t>
  </si>
  <si>
    <t>MANUAL SHIFT 2</t>
  </si>
  <si>
    <t>TOTAL SHIFT 2</t>
  </si>
  <si>
    <t>TOTAL PELANGGAN</t>
  </si>
  <si>
    <t>KILOMETER / BUS</t>
  </si>
  <si>
    <t>TARGET PELANGGAN</t>
  </si>
  <si>
    <t>PERSENTASE PELANGGAN</t>
  </si>
  <si>
    <t>TARGET PELANGGAN / KM</t>
  </si>
  <si>
    <t>PERSENTASE PELANGGAN / KM</t>
  </si>
  <si>
    <t>PELANGGAN / KM</t>
  </si>
  <si>
    <t>TOTAL RITASE</t>
  </si>
  <si>
    <t>RITASE</t>
  </si>
  <si>
    <t>PELANGGAN / BUS</t>
  </si>
  <si>
    <t>JAK 60</t>
  </si>
  <si>
    <t>JAK 76</t>
  </si>
  <si>
    <t>JAK 77</t>
  </si>
  <si>
    <t>JAK 01</t>
  </si>
  <si>
    <t>JAK 113</t>
  </si>
  <si>
    <t>JAK 05</t>
  </si>
  <si>
    <t>JAK 118</t>
  </si>
  <si>
    <t>JAK 15</t>
  </si>
  <si>
    <t>JAK 120</t>
  </si>
  <si>
    <t>JAK 29</t>
  </si>
  <si>
    <t>JUMLAH</t>
  </si>
  <si>
    <t>JAK 58</t>
  </si>
  <si>
    <t>ABDUL MANAN</t>
  </si>
  <si>
    <t>JAK 87</t>
  </si>
  <si>
    <t>JAK 88</t>
  </si>
  <si>
    <t>JAK 110</t>
  </si>
  <si>
    <t>JAK 89</t>
  </si>
  <si>
    <t>JAK 115</t>
  </si>
  <si>
    <t>JAK 90</t>
  </si>
  <si>
    <t>JAK 117</t>
  </si>
  <si>
    <t>JAK 110A</t>
  </si>
  <si>
    <t>MOAMAR. Z.A. MAHU</t>
  </si>
  <si>
    <t xml:space="preserve">  </t>
  </si>
  <si>
    <t>TOTAL SEPTEMBER 2026</t>
  </si>
  <si>
    <t>PELANGGAN TERTINGGI</t>
  </si>
  <si>
    <t>HARI/TANGGAL</t>
  </si>
  <si>
    <t>DATA JARAK TEMPUH RUTE</t>
  </si>
  <si>
    <t>JARAK TEMPUH 1 RIT</t>
  </si>
  <si>
    <t>JAK 01 (TANJUNG PRIOK-PLUMPANG)</t>
  </si>
  <si>
    <t>JAK 05 (ROROTAN-SEMPER)</t>
  </si>
  <si>
    <t>JAK 15 (RUSUN MARUNDA-TANJUNG PRIOK)</t>
  </si>
  <si>
    <t>JAK 29 (GADING ORCHARD-TANJUNG PRIOK)</t>
  </si>
  <si>
    <t>JAK 58 (ROROTAN-ISLAMIC)</t>
  </si>
  <si>
    <t>JAK 60 (RUSUN KEMAYORAN-KELAPA GADING)</t>
  </si>
  <si>
    <t>JAK 76 (ASMI-JL. INDUSTRI)</t>
  </si>
  <si>
    <t>JAK 77 (TANJUNG PRIOK-JEMBATAN ITEM)</t>
  </si>
  <si>
    <t>JAK 87 (RAWAMANGUN-TANJUNG PRIOK)</t>
  </si>
  <si>
    <t>JAK 88 (TANJUNG PRIOK-ANCOL BARAT)</t>
  </si>
  <si>
    <t>JAK 89 (TANJUNG PRIOK-KOTA TUA)</t>
  </si>
  <si>
    <t>JAK 90 (TANJUNG PRIOK-RUSUN KEMAYORAN)</t>
  </si>
  <si>
    <t>JAK 110A (RUSUN MARUNDA-PULO GEBANG)</t>
  </si>
  <si>
    <t>JAK 113 (TANAH MERDEKA-KAMPUNG SAWAH)</t>
  </si>
  <si>
    <t>JAK 115 (TANJUNG PRIOK-IGI PEGANGSAAN)</t>
  </si>
  <si>
    <t>JAK 117 (TANJUNG PRIOK-TANAH MERDEKA)</t>
  </si>
  <si>
    <t>JAK 118 (DANAU CINCIN-KOTA TUA)</t>
  </si>
  <si>
    <t>JAK 120 AC (JEMBATAN ITEM-MUARA ANGKE)</t>
  </si>
  <si>
    <t>DATA WAKTU TEMPUH RUTE</t>
  </si>
  <si>
    <t>WAKTU TEMPUH 1 RIT</t>
  </si>
  <si>
    <t>50 MENIT</t>
  </si>
  <si>
    <t>120 MENIT</t>
  </si>
  <si>
    <t>110 MENIT</t>
  </si>
  <si>
    <t>90 MENIT</t>
  </si>
  <si>
    <t xml:space="preserve">JAK 76 (ASMI-JL. INDUSTRI)						</t>
  </si>
  <si>
    <t xml:space="preserve">JAK 87 (RAWAMANGUN-TANJUNG PRIOK)						</t>
  </si>
  <si>
    <t>130 MENIT</t>
  </si>
  <si>
    <t>100 MENIT</t>
  </si>
  <si>
    <t xml:space="preserve">JAK 110A (RUSUN MARUNDA-PULO GEBANG)						</t>
  </si>
  <si>
    <t>140 MENIT</t>
  </si>
  <si>
    <t>TOTAL JULI 2026</t>
  </si>
  <si>
    <t>TOTAL AGUSTUS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</si>
</sst>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&quot;, &quot;dd&quot; &quot;mmmm&quot; &quot;yyyy"/>
    <numFmt numFmtId="165" formatCode="#,##0.000"/>
    <numFmt numFmtId="166" formatCode="#,##0.0"/>
    <numFmt numFmtId="167" formatCode="0.000"/>
  </numFmts>
  <fonts count="1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b/>
      <sz val="35.0"/>
      <color theme="1"/>
      <name val="Impact"/>
    </font>
    <font>
      <b/>
      <sz val="12.0"/>
      <color theme="1"/>
      <name val="Calibri"/>
    </font>
    <font>
      <b/>
      <sz val="35.0"/>
      <color rgb="FFFF0000"/>
      <name val="Impact"/>
    </font>
    <font>
      <b/>
      <sz val="9.0"/>
      <color theme="1"/>
      <name val="Arial"/>
    </font>
    <font>
      <b/>
      <color rgb="FFFF0000"/>
      <name val="Arial"/>
    </font>
    <font>
      <b/>
      <sz val="11.0"/>
      <color theme="1"/>
      <name val="Calibri"/>
    </font>
    <font>
      <b/>
      <sz val="11.0"/>
      <color rgb="FFFF0000"/>
      <name val="Calibri"/>
    </font>
    <font>
      <b/>
      <sz val="12.0"/>
      <color theme="1"/>
      <name val="Arial"/>
    </font>
    <font>
      <b/>
      <sz val="12.0"/>
      <color rgb="FFFF0000"/>
      <name val="Arial"/>
    </font>
    <font>
      <b/>
      <sz val="12.0"/>
      <color rgb="FFFF0000"/>
      <name val="Calibri"/>
    </font>
    <font>
      <b/>
      <sz val="35.0"/>
      <color rgb="FFFFFF00"/>
      <name val="Impact"/>
    </font>
    <font>
      <b/>
      <sz val="18.0"/>
      <color theme="1"/>
      <name val="Calibri"/>
    </font>
    <font>
      <b/>
      <sz val="13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6D01"/>
        <bgColor rgb="FFFF6D01"/>
      </patternFill>
    </fill>
    <fill>
      <patternFill patternType="solid">
        <fgColor rgb="FFFBBC04"/>
        <bgColor rgb="FFFBBC04"/>
      </patternFill>
    </fill>
    <fill>
      <patternFill patternType="solid">
        <fgColor rgb="FF34A853"/>
        <bgColor rgb="FF34A853"/>
      </patternFill>
    </fill>
    <fill>
      <patternFill patternType="solid">
        <fgColor rgb="FF3C78D8"/>
        <bgColor rgb="FF3C78D8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double">
        <color rgb="FF000000"/>
      </left>
      <top style="double">
        <color rgb="FF000000"/>
      </top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</border>
    <border>
      <right style="double">
        <color rgb="FF000000"/>
      </right>
    </border>
    <border>
      <left style="double">
        <color rgb="FF000000"/>
      </left>
      <bottom style="double">
        <color rgb="FF000000"/>
      </bottom>
    </border>
    <border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left style="double">
        <color rgb="FF000000"/>
      </left>
      <top style="double">
        <color rgb="FF000000"/>
      </top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right style="double">
        <color rgb="FF000000"/>
      </right>
      <top style="double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0" fillId="0" fontId="2" numFmtId="0" xfId="0" applyFont="1"/>
    <xf borderId="1" fillId="3" fontId="1" numFmtId="0" xfId="0" applyAlignment="1" applyBorder="1" applyFill="1" applyFont="1">
      <alignment horizontal="left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4" fontId="4" numFmtId="164" xfId="0" applyAlignment="1" applyBorder="1" applyFill="1" applyFont="1" applyNumberFormat="1">
      <alignment horizontal="center" readingOrder="0" shrinkToFit="0" textRotation="90" vertical="center" wrapText="1"/>
    </xf>
    <xf borderId="4" fillId="5" fontId="5" numFmtId="0" xfId="0" applyAlignment="1" applyBorder="1" applyFill="1" applyFont="1">
      <alignment horizontal="center" shrinkToFit="0" textRotation="0" vertical="center" wrapText="1"/>
    </xf>
    <xf borderId="4" fillId="5" fontId="5" numFmtId="2" xfId="0" applyAlignment="1" applyBorder="1" applyFill="1" applyFont="1" applyNumberFormat="1">
      <alignment horizontal="center" shrinkToFit="0" textRotation="0" vertical="center" wrapText="1"/>
    </xf>
    <xf borderId="4" fillId="4" fontId="6" numFmtId="164" xfId="0" applyAlignment="1" applyBorder="1" applyFill="1" applyFont="1" applyNumberFormat="1">
      <alignment horizontal="center" readingOrder="0" shrinkToFit="0" textRotation="90" vertical="center" wrapText="1"/>
    </xf>
    <xf borderId="4" fillId="5" fontId="5" numFmtId="165" xfId="0" applyAlignment="1" applyBorder="1" applyFill="1" applyFont="1" applyNumberFormat="1">
      <alignment horizontal="center" shrinkToFit="0" textRotation="0" vertical="center" wrapText="1"/>
    </xf>
    <xf borderId="4" fillId="5" fontId="5" numFmtId="166" xfId="0" applyAlignment="1" applyBorder="1" applyFill="1" applyFont="1" applyNumberFormat="1">
      <alignment horizontal="center" shrinkToFit="0" textRotation="0" vertical="center" wrapText="1"/>
    </xf>
    <xf borderId="4" fillId="5" fontId="5" numFmtId="3" xfId="0" applyAlignment="1" applyBorder="1" applyFill="1" applyFont="1" applyNumberFormat="1">
      <alignment horizontal="center" shrinkToFit="0" textRotation="0" vertical="center" wrapText="1"/>
    </xf>
    <xf borderId="5" fillId="5" fontId="1" numFmtId="0" xfId="0" applyAlignment="1" applyBorder="1" applyFill="1" applyFont="1">
      <alignment horizontal="center"/>
    </xf>
    <xf borderId="5" fillId="5" fontId="1" numFmtId="2" xfId="0" applyAlignment="1" applyBorder="1" applyFill="1" applyFont="1" applyNumberFormat="1">
      <alignment horizontal="center"/>
    </xf>
    <xf borderId="5" fillId="5" fontId="7" numFmtId="0" xfId="0" applyAlignment="1" applyBorder="1" applyFill="1" applyFont="1">
      <alignment horizontal="center"/>
    </xf>
    <xf borderId="5" fillId="5" fontId="7" numFmtId="10" xfId="0" applyAlignment="1" applyBorder="1" applyFill="1" applyFont="1" applyNumberFormat="1">
      <alignment horizontal="center"/>
    </xf>
    <xf borderId="5" fillId="5" fontId="1" numFmtId="165" xfId="0" applyAlignment="1" applyBorder="1" applyFill="1" applyFont="1" applyNumberFormat="1">
      <alignment horizontal="center"/>
    </xf>
    <xf borderId="5" fillId="5" fontId="1" numFmtId="166" xfId="0" applyAlignment="1" applyBorder="1" applyFill="1" applyFont="1" applyNumberFormat="1">
      <alignment horizontal="center"/>
    </xf>
    <xf borderId="5" fillId="5" fontId="1" numFmtId="3" xfId="0" applyAlignment="1" applyBorder="1" applyFill="1" applyFont="1" applyNumberFormat="1">
      <alignment horizontal="center"/>
    </xf>
    <xf borderId="6" fillId="0" fontId="3" numFmtId="0" xfId="0" applyBorder="1" applyFont="1"/>
    <xf borderId="5" fillId="0" fontId="1" numFmtId="0" xfId="0" applyAlignment="1" applyBorder="1" applyFont="1">
      <alignment horizontal="center" textRotation="0"/>
    </xf>
    <xf borderId="5" fillId="0" fontId="1" numFmtId="3" xfId="0" applyAlignment="1" applyBorder="1" applyFont="1" applyNumberFormat="1">
      <alignment horizontal="center" textRotation="0"/>
    </xf>
    <xf borderId="5" fillId="0" fontId="1" numFmtId="4" xfId="0" applyAlignment="1" applyBorder="1" applyFont="1" applyNumberFormat="1">
      <alignment horizontal="center" textRotation="0"/>
    </xf>
    <xf borderId="5" fillId="0" fontId="1" numFmtId="2" xfId="0" applyAlignment="1" applyBorder="1" applyFont="1" applyNumberFormat="1">
      <alignment horizontal="center" textRotation="0"/>
    </xf>
    <xf borderId="5" fillId="0" fontId="8" numFmtId="10" xfId="0" applyAlignment="1" applyBorder="1" applyFont="1" applyNumberFormat="1">
      <alignment horizontal="center" textRotation="0"/>
    </xf>
    <xf borderId="5" fillId="0" fontId="1" numFmtId="166" xfId="0" applyAlignment="1" applyBorder="1" applyFont="1" applyNumberFormat="1">
      <alignment horizontal="center" textRotation="0"/>
    </xf>
    <xf borderId="5" fillId="0" fontId="1" numFmtId="165" xfId="0" applyAlignment="1" applyBorder="1" applyFont="1" applyNumberFormat="1">
      <alignment horizontal="center" textRotation="0"/>
    </xf>
    <xf borderId="5" fillId="0" fontId="1" numFmtId="10" xfId="0" applyAlignment="1" applyBorder="1" applyFont="1" applyNumberFormat="1">
      <alignment horizontal="center" textRotation="0"/>
    </xf>
    <xf borderId="7" fillId="0" fontId="3" numFmtId="0" xfId="0" applyBorder="1" applyFont="1"/>
    <xf borderId="5" fillId="0" fontId="1" numFmtId="0" xfId="0" applyAlignment="1" applyBorder="1" applyFont="1">
      <alignment horizontal="center"/>
    </xf>
    <xf borderId="5" fillId="0" fontId="1" numFmtId="3" xfId="0" applyAlignment="1" applyBorder="1" applyFont="1" applyNumberFormat="1">
      <alignment horizontal="center"/>
    </xf>
    <xf borderId="5" fillId="0" fontId="1" numFmtId="4" xfId="0" applyAlignment="1" applyBorder="1" applyFont="1" applyNumberFormat="1">
      <alignment horizontal="center"/>
    </xf>
    <xf borderId="5" fillId="0" fontId="1" numFmtId="2" xfId="0" applyAlignment="1" applyBorder="1" applyFont="1" applyNumberFormat="1">
      <alignment horizontal="center"/>
    </xf>
    <xf borderId="5" fillId="0" fontId="8" numFmtId="10" xfId="0" applyAlignment="1" applyBorder="1" applyFont="1" applyNumberFormat="1">
      <alignment horizontal="center"/>
    </xf>
    <xf borderId="5" fillId="0" fontId="1" numFmtId="166" xfId="0" applyAlignment="1" applyBorder="1" applyFont="1" applyNumberFormat="1">
      <alignment horizontal="center"/>
    </xf>
    <xf borderId="5" fillId="0" fontId="1" numFmtId="165" xfId="0" applyAlignment="1" applyBorder="1" applyFont="1" applyNumberFormat="1">
      <alignment horizontal="center"/>
    </xf>
    <xf borderId="5" fillId="0" fontId="9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5" fillId="0" fontId="9" numFmtId="3" xfId="0" applyAlignment="1" applyBorder="1" applyFont="1" applyNumberFormat="1">
      <alignment horizontal="center" shrinkToFit="0" vertical="center" wrapText="1"/>
    </xf>
    <xf borderId="5" fillId="0" fontId="9" numFmtId="2" xfId="0" applyAlignment="1" applyBorder="1" applyFont="1" applyNumberFormat="1">
      <alignment horizontal="center" shrinkToFit="0" vertical="center" wrapText="1"/>
    </xf>
    <xf borderId="5" fillId="0" fontId="10" numFmtId="10" xfId="0" applyAlignment="1" applyBorder="1" applyFont="1" applyNumberFormat="1">
      <alignment horizontal="center" shrinkToFit="0" vertical="center" wrapText="1"/>
    </xf>
    <xf borderId="5" fillId="0" fontId="9" numFmtId="166" xfId="0" applyAlignment="1" applyBorder="1" applyFont="1" applyNumberFormat="1">
      <alignment horizontal="center" shrinkToFit="0" vertical="center" wrapText="1"/>
    </xf>
    <xf borderId="5" fillId="0" fontId="9" numFmtId="165" xfId="0" applyAlignment="1" applyBorder="1" applyFont="1" applyNumberFormat="1">
      <alignment horizontal="center" shrinkToFit="0" vertical="center" wrapText="1"/>
    </xf>
    <xf borderId="5" fillId="0" fontId="9" numFmtId="4" xfId="0" applyAlignment="1" applyBorder="1" applyFont="1" applyNumberFormat="1">
      <alignment horizontal="center" shrinkToFit="0" vertical="center" wrapText="1"/>
    </xf>
    <xf borderId="5" fillId="6" fontId="11" numFmtId="0" xfId="0" applyAlignment="1" applyBorder="1" applyFill="1" applyFont="1">
      <alignment horizontal="center"/>
    </xf>
    <xf borderId="5" fillId="6" fontId="11" numFmtId="3" xfId="0" applyAlignment="1" applyBorder="1" applyFill="1" applyFont="1" applyNumberFormat="1">
      <alignment horizontal="center"/>
    </xf>
    <xf borderId="5" fillId="6" fontId="11" numFmtId="4" xfId="0" applyAlignment="1" applyBorder="1" applyFill="1" applyFont="1" applyNumberFormat="1">
      <alignment horizontal="center"/>
    </xf>
    <xf borderId="5" fillId="6" fontId="11" numFmtId="2" xfId="0" applyAlignment="1" applyBorder="1" applyFill="1" applyFont="1" applyNumberFormat="1">
      <alignment horizontal="center"/>
    </xf>
    <xf borderId="5" fillId="6" fontId="12" numFmtId="10" xfId="0" applyAlignment="1" applyBorder="1" applyFill="1" applyFont="1" applyNumberFormat="1">
      <alignment horizontal="center"/>
    </xf>
    <xf borderId="5" fillId="6" fontId="11" numFmtId="166" xfId="0" applyAlignment="1" applyBorder="1" applyFill="1" applyFont="1" applyNumberFormat="1">
      <alignment horizontal="center"/>
    </xf>
    <xf borderId="5" fillId="6" fontId="11" numFmtId="165" xfId="0" applyAlignment="1" applyBorder="1" applyFill="1" applyFont="1" applyNumberFormat="1">
      <alignment horizontal="center"/>
    </xf>
    <xf borderId="1" fillId="4" fontId="1" numFmtId="0" xfId="0" applyAlignment="1" applyBorder="1" applyFill="1" applyFont="1">
      <alignment readingOrder="0" textRotation="0"/>
    </xf>
    <xf borderId="5" fillId="0" fontId="9" numFmtId="3" xfId="0" applyAlignment="1" applyBorder="1" applyFont="1" applyNumberFormat="1">
      <alignment horizontal="center" shrinkToFit="0" wrapText="1"/>
    </xf>
    <xf borderId="5" fillId="0" fontId="9" numFmtId="4" xfId="0" applyAlignment="1" applyBorder="1" applyFont="1" applyNumberFormat="1">
      <alignment horizontal="center" shrinkToFit="0" wrapText="1"/>
    </xf>
    <xf borderId="5" fillId="0" fontId="9" numFmtId="10" xfId="0" applyAlignment="1" applyBorder="1" applyFont="1" applyNumberFormat="1">
      <alignment horizontal="center" shrinkToFit="0" vertical="center" wrapText="1"/>
    </xf>
    <xf borderId="5" fillId="7" fontId="9" numFmtId="0" xfId="0" applyAlignment="1" applyBorder="1" applyFill="1" applyFont="1">
      <alignment horizontal="center" shrinkToFit="0" wrapText="1"/>
    </xf>
    <xf borderId="5" fillId="7" fontId="9" numFmtId="0" xfId="0" applyAlignment="1" applyBorder="1" applyFill="1" applyFont="1">
      <alignment horizontal="center" readingOrder="0" shrinkToFit="0" wrapText="1"/>
    </xf>
    <xf borderId="1" fillId="8" fontId="1" numFmtId="0" xfId="0" applyAlignment="1" applyBorder="1" applyFill="1" applyFont="1">
      <alignment readingOrder="0" textRotation="0"/>
    </xf>
    <xf borderId="4" fillId="6" fontId="5" numFmtId="0" xfId="0" applyAlignment="1" applyBorder="1" applyFill="1" applyFont="1">
      <alignment horizontal="center" shrinkToFit="0" vertical="center" wrapText="1"/>
    </xf>
    <xf borderId="4" fillId="6" fontId="5" numFmtId="3" xfId="0" applyAlignment="1" applyBorder="1" applyFill="1" applyFont="1" applyNumberFormat="1">
      <alignment horizontal="center" shrinkToFit="0" vertical="center" wrapText="1"/>
    </xf>
    <xf borderId="4" fillId="6" fontId="5" numFmtId="2" xfId="0" applyAlignment="1" applyBorder="1" applyFill="1" applyFont="1" applyNumberFormat="1">
      <alignment horizontal="center" shrinkToFit="0" vertical="center" wrapText="1"/>
    </xf>
    <xf borderId="4" fillId="6" fontId="13" numFmtId="10" xfId="0" applyAlignment="1" applyBorder="1" applyFill="1" applyFont="1" applyNumberFormat="1">
      <alignment horizontal="center" shrinkToFit="0" vertical="center" wrapText="1"/>
    </xf>
    <xf borderId="4" fillId="6" fontId="5" numFmtId="166" xfId="0" applyAlignment="1" applyBorder="1" applyFill="1" applyFont="1" applyNumberFormat="1">
      <alignment horizontal="center" shrinkToFit="0" vertical="center" wrapText="1"/>
    </xf>
    <xf borderId="4" fillId="6" fontId="5" numFmtId="165" xfId="0" applyAlignment="1" applyBorder="1" applyFill="1" applyFont="1" applyNumberFormat="1">
      <alignment horizontal="center" shrinkToFit="0" vertical="center" wrapText="1"/>
    </xf>
    <xf borderId="1" fillId="3" fontId="1" numFmtId="0" xfId="0" applyBorder="1" applyFill="1" applyFont="1"/>
    <xf borderId="5" fillId="0" fontId="1" numFmtId="10" xfId="0" applyAlignment="1" applyBorder="1" applyFont="1" applyNumberFormat="1">
      <alignment horizontal="center"/>
    </xf>
    <xf borderId="5" fillId="6" fontId="11" numFmtId="0" xfId="0" applyAlignment="1" applyBorder="1" applyFill="1" applyFont="1">
      <alignment horizontal="center" shrinkToFit="0" wrapText="1"/>
    </xf>
    <xf borderId="5" fillId="0" fontId="10" numFmtId="0" xfId="0" applyAlignment="1" applyBorder="1" applyFont="1">
      <alignment horizontal="center" shrinkToFit="0" vertical="center" wrapText="1"/>
    </xf>
    <xf borderId="5" fillId="0" fontId="10" numFmtId="0" xfId="0" applyAlignment="1" applyBorder="1" applyFont="1">
      <alignment horizontal="center" shrinkToFit="0" wrapText="1"/>
    </xf>
    <xf borderId="5" fillId="0" fontId="10" numFmtId="3" xfId="0" applyAlignment="1" applyBorder="1" applyFont="1" applyNumberFormat="1">
      <alignment horizontal="center" shrinkToFit="0" vertical="center" wrapText="1"/>
    </xf>
    <xf borderId="5" fillId="0" fontId="10" numFmtId="2" xfId="0" applyAlignment="1" applyBorder="1" applyFont="1" applyNumberFormat="1">
      <alignment horizontal="center" shrinkToFit="0" vertical="center" wrapText="1"/>
    </xf>
    <xf borderId="5" fillId="0" fontId="10" numFmtId="166" xfId="0" applyAlignment="1" applyBorder="1" applyFont="1" applyNumberFormat="1">
      <alignment horizontal="center" shrinkToFit="0" vertical="center" wrapText="1"/>
    </xf>
    <xf borderId="5" fillId="0" fontId="10" numFmtId="165" xfId="0" applyAlignment="1" applyBorder="1" applyFont="1" applyNumberFormat="1">
      <alignment horizontal="center" shrinkToFit="0" vertical="center" wrapText="1"/>
    </xf>
    <xf borderId="5" fillId="7" fontId="10" numFmtId="0" xfId="0" applyAlignment="1" applyBorder="1" applyFill="1" applyFont="1">
      <alignment horizontal="center" shrinkToFit="0" wrapText="1"/>
    </xf>
    <xf borderId="5" fillId="0" fontId="10" numFmtId="4" xfId="0" applyAlignment="1" applyBorder="1" applyFont="1" applyNumberFormat="1">
      <alignment horizontal="center" shrinkToFit="0" vertical="center" wrapText="1"/>
    </xf>
    <xf borderId="5" fillId="0" fontId="9" numFmtId="0" xfId="0" applyAlignment="1" applyBorder="1" applyFont="1">
      <alignment horizontal="center" shrinkToFit="0" vertical="bottom" wrapText="1"/>
    </xf>
    <xf borderId="7" fillId="0" fontId="9" numFmtId="0" xfId="0" applyAlignment="1" applyBorder="1" applyFont="1">
      <alignment horizontal="center" shrinkToFit="0" vertical="bottom" wrapText="1"/>
    </xf>
    <xf borderId="7" fillId="7" fontId="9" numFmtId="0" xfId="0" applyAlignment="1" applyBorder="1" applyFill="1" applyFont="1">
      <alignment horizontal="center" shrinkToFit="0" vertical="bottom" wrapText="1"/>
    </xf>
    <xf borderId="8" fillId="8" fontId="14" numFmtId="0" xfId="0" applyAlignment="1" applyBorder="1" applyFill="1" applyFont="1">
      <alignment horizontal="center" readingOrder="0" shrinkToFit="0" textRotation="90" vertical="center" wrapText="1"/>
    </xf>
    <xf borderId="5" fillId="5" fontId="1" numFmtId="0" xfId="0" applyAlignment="1" applyBorder="1" applyFill="1" applyFont="1">
      <alignment horizontal="center" shrinkToFit="0" wrapText="1"/>
    </xf>
    <xf borderId="5" fillId="5" fontId="1" numFmtId="2" xfId="0" applyAlignment="1" applyBorder="1" applyFill="1" applyFont="1" applyNumberFormat="1">
      <alignment horizontal="center" shrinkToFit="0" wrapText="1"/>
    </xf>
    <xf borderId="5" fillId="5" fontId="7" numFmtId="0" xfId="0" applyAlignment="1" applyBorder="1" applyFill="1" applyFont="1">
      <alignment horizontal="center" shrinkToFit="0" wrapText="1"/>
    </xf>
    <xf borderId="5" fillId="5" fontId="7" numFmtId="10" xfId="0" applyAlignment="1" applyBorder="1" applyFill="1" applyFont="1" applyNumberFormat="1">
      <alignment horizontal="center" shrinkToFit="0" wrapText="1"/>
    </xf>
    <xf borderId="5" fillId="5" fontId="1" numFmtId="165" xfId="0" applyAlignment="1" applyBorder="1" applyFill="1" applyFont="1" applyNumberFormat="1">
      <alignment horizontal="center" shrinkToFit="0" wrapText="1"/>
    </xf>
    <xf borderId="5" fillId="5" fontId="1" numFmtId="166" xfId="0" applyAlignment="1" applyBorder="1" applyFill="1" applyFont="1" applyNumberFormat="1">
      <alignment horizontal="center" shrinkToFit="0" wrapText="1"/>
    </xf>
    <xf borderId="5" fillId="5" fontId="1" numFmtId="3" xfId="0" applyAlignment="1" applyBorder="1" applyFill="1" applyFont="1" applyNumberFormat="1">
      <alignment horizontal="center" shrinkToFit="0" wrapText="1"/>
    </xf>
    <xf borderId="5" fillId="0" fontId="1" numFmtId="0" xfId="0" applyAlignment="1" applyBorder="1" applyFont="1">
      <alignment horizontal="center" shrinkToFit="0" textRotation="0" wrapText="1"/>
    </xf>
    <xf borderId="5" fillId="0" fontId="1" numFmtId="3" xfId="0" applyAlignment="1" applyBorder="1" applyFont="1" applyNumberFormat="1">
      <alignment horizontal="center" shrinkToFit="0" textRotation="0" wrapText="1"/>
    </xf>
    <xf borderId="5" fillId="0" fontId="1" numFmtId="2" xfId="0" applyAlignment="1" applyBorder="1" applyFont="1" applyNumberFormat="1">
      <alignment horizontal="center" shrinkToFit="0" textRotation="0" wrapText="1"/>
    </xf>
    <xf borderId="5" fillId="0" fontId="8" numFmtId="10" xfId="0" applyAlignment="1" applyBorder="1" applyFont="1" applyNumberFormat="1">
      <alignment horizontal="center" shrinkToFit="0" textRotation="0" wrapText="1"/>
    </xf>
    <xf borderId="5" fillId="0" fontId="1" numFmtId="166" xfId="0" applyAlignment="1" applyBorder="1" applyFont="1" applyNumberFormat="1">
      <alignment horizontal="center" shrinkToFit="0" textRotation="0" wrapText="1"/>
    </xf>
    <xf borderId="5" fillId="0" fontId="1" numFmtId="165" xfId="0" applyAlignment="1" applyBorder="1" applyFont="1" applyNumberFormat="1">
      <alignment horizontal="center" shrinkToFit="0" textRotation="0" wrapText="1"/>
    </xf>
    <xf borderId="5" fillId="0" fontId="8" numFmtId="3" xfId="0" applyAlignment="1" applyBorder="1" applyFont="1" applyNumberFormat="1">
      <alignment horizontal="center" shrinkToFit="0" wrapText="1"/>
    </xf>
    <xf borderId="5" fillId="0" fontId="1" numFmtId="164" xfId="0" applyAlignment="1" applyBorder="1" applyFont="1" applyNumberFormat="1">
      <alignment horizontal="center" readingOrder="0" shrinkToFit="0" wrapText="1"/>
    </xf>
    <xf borderId="5" fillId="0" fontId="1" numFmtId="0" xfId="0" applyAlignment="1" applyBorder="1" applyFont="1">
      <alignment horizontal="center" shrinkToFit="0" wrapText="1"/>
    </xf>
    <xf borderId="5" fillId="0" fontId="1" numFmtId="3" xfId="0" applyAlignment="1" applyBorder="1" applyFont="1" applyNumberFormat="1">
      <alignment horizontal="center" shrinkToFit="0" wrapText="1"/>
    </xf>
    <xf borderId="5" fillId="0" fontId="1" numFmtId="2" xfId="0" applyAlignment="1" applyBorder="1" applyFont="1" applyNumberFormat="1">
      <alignment horizontal="center" shrinkToFit="0" wrapText="1"/>
    </xf>
    <xf borderId="5" fillId="0" fontId="8" numFmtId="10" xfId="0" applyAlignment="1" applyBorder="1" applyFont="1" applyNumberFormat="1">
      <alignment horizontal="center" shrinkToFit="0" wrapText="1"/>
    </xf>
    <xf borderId="5" fillId="0" fontId="1" numFmtId="166" xfId="0" applyAlignment="1" applyBorder="1" applyFont="1" applyNumberFormat="1">
      <alignment horizontal="center" shrinkToFit="0" wrapText="1"/>
    </xf>
    <xf borderId="5" fillId="0" fontId="1" numFmtId="165" xfId="0" applyAlignment="1" applyBorder="1" applyFont="1" applyNumberFormat="1">
      <alignment horizontal="center" shrinkToFit="0" wrapText="1"/>
    </xf>
    <xf borderId="5" fillId="6" fontId="11" numFmtId="3" xfId="0" applyAlignment="1" applyBorder="1" applyFill="1" applyFont="1" applyNumberFormat="1">
      <alignment horizontal="center" shrinkToFit="0" wrapText="1"/>
    </xf>
    <xf borderId="5" fillId="6" fontId="11" numFmtId="2" xfId="0" applyAlignment="1" applyBorder="1" applyFill="1" applyFont="1" applyNumberFormat="1">
      <alignment horizontal="center" shrinkToFit="0" wrapText="1"/>
    </xf>
    <xf borderId="5" fillId="6" fontId="12" numFmtId="10" xfId="0" applyAlignment="1" applyBorder="1" applyFill="1" applyFont="1" applyNumberFormat="1">
      <alignment horizontal="center" shrinkToFit="0" wrapText="1"/>
    </xf>
    <xf borderId="5" fillId="6" fontId="11" numFmtId="166" xfId="0" applyAlignment="1" applyBorder="1" applyFill="1" applyFont="1" applyNumberFormat="1">
      <alignment horizontal="center" shrinkToFit="0" wrapText="1"/>
    </xf>
    <xf borderId="5" fillId="6" fontId="11" numFmtId="165" xfId="0" applyAlignment="1" applyBorder="1" applyFill="1" applyFont="1" applyNumberFormat="1">
      <alignment horizontal="center" shrinkToFit="0" wrapText="1"/>
    </xf>
    <xf borderId="5" fillId="6" fontId="12" numFmtId="3" xfId="0" applyAlignment="1" applyBorder="1" applyFill="1" applyFont="1" applyNumberFormat="1">
      <alignment horizontal="center" shrinkToFit="0" wrapText="1"/>
    </xf>
    <xf borderId="5" fillId="6" fontId="11" numFmtId="164" xfId="0" applyAlignment="1" applyBorder="1" applyFill="1" applyFont="1" applyNumberFormat="1">
      <alignment horizontal="center" readingOrder="0" shrinkToFit="0" wrapText="1"/>
    </xf>
    <xf borderId="9" fillId="0" fontId="3" numFmtId="0" xfId="0" applyBorder="1" applyFont="1"/>
    <xf borderId="0" fillId="0" fontId="2" numFmtId="0" xfId="0" applyAlignment="1" applyFont="1">
      <alignment horizontal="center" shrinkToFit="0" vertical="center" wrapText="1"/>
    </xf>
    <xf borderId="10" fillId="9" fontId="15" numFmtId="0" xfId="0" applyAlignment="1" applyBorder="1" applyFill="1" applyFont="1">
      <alignment horizontal="center" shrinkToFit="0" vertical="center" wrapText="1"/>
    </xf>
    <xf borderId="11" fillId="0" fontId="3" numFmtId="0" xfId="0" applyBorder="1" applyFont="1"/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0" fillId="10" fontId="16" numFmtId="0" xfId="0" applyAlignment="1" applyBorder="1" applyFill="1" applyFont="1">
      <alignment horizontal="center" shrinkToFit="0" vertical="center" wrapText="1"/>
    </xf>
    <xf borderId="10" fillId="10" fontId="16" numFmtId="2" xfId="0" applyAlignment="1" applyBorder="1" applyFill="1" applyFont="1" applyNumberFormat="1">
      <alignment horizontal="center" shrinkToFit="0" vertical="center" wrapText="1"/>
    </xf>
    <xf borderId="18" fillId="0" fontId="1" numFmtId="0" xfId="0" applyAlignment="1" applyBorder="1" applyFont="1">
      <alignment horizontal="center" shrinkToFit="0" vertical="center" wrapText="1"/>
    </xf>
    <xf borderId="19" fillId="0" fontId="3" numFmtId="0" xfId="0" applyBorder="1" applyFont="1"/>
    <xf borderId="20" fillId="0" fontId="3" numFmtId="0" xfId="0" applyBorder="1" applyFont="1"/>
    <xf borderId="18" fillId="0" fontId="1" numFmtId="167" xfId="0" applyAlignment="1" applyBorder="1" applyFont="1" applyNumberFormat="1">
      <alignment horizontal="center" shrinkToFit="0" vertical="center" wrapText="1"/>
    </xf>
    <xf borderId="18" fillId="0" fontId="1" numFmtId="0" xfId="0" applyAlignment="1" applyBorder="1" applyFont="1">
      <alignment horizontal="center" readingOrder="0" shrinkToFit="0" vertical="center" wrapText="1"/>
    </xf>
    <xf borderId="10" fillId="11" fontId="15" numFmtId="0" xfId="0" applyAlignment="1" applyBorder="1" applyFill="1" applyFont="1">
      <alignment horizontal="center" shrinkToFit="0" vertical="center" wrapText="1"/>
    </xf>
    <xf borderId="10" fillId="12" fontId="16" numFmtId="0" xfId="0" applyAlignment="1" applyBorder="1" applyFill="1" applyFont="1">
      <alignment horizontal="center" shrinkToFit="0" vertical="center" wrapText="1"/>
    </xf>
    <xf borderId="10" fillId="12" fontId="16" numFmtId="2" xfId="0" applyAlignment="1" applyBorder="1" applyFill="1" applyFont="1" applyNumberFormat="1">
      <alignment horizontal="center" shrinkToFit="0" vertical="center" wrapText="1"/>
    </xf>
    <xf borderId="5" fillId="6" fontId="12" numFmtId="3" xfId="0" applyAlignment="1" applyBorder="1" applyFill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12.63"/>
    <col customWidth="1" min="2" max="3" width="9.25"/>
    <col customWidth="1" min="4" max="5" width="8.63"/>
    <col customWidth="1" min="6" max="6" width="12.0"/>
    <col customWidth="1" min="7" max="13" width="11.38"/>
    <col customWidth="1" min="14" max="22" width="12.63"/>
    <col customWidth="1" min="24" max="24" width="9.75"/>
    <col customWidth="1" min="25" max="25" width="9.13"/>
    <col customWidth="1" min="26" max="27" width="9.0"/>
    <col customWidth="1" min="28" max="28" width="11.88"/>
    <col customWidth="1" min="29" max="34" width="15.0"/>
    <col customWidth="1" min="35" max="35" width="17.75"/>
    <col customWidth="1" min="36" max="36" width="16.0"/>
    <col customWidth="1" min="37" max="37" width="19.38"/>
    <col customWidth="1" min="38" max="38" width="23.88"/>
    <col customWidth="1" min="39" max="39" width="21.0"/>
    <col customWidth="1" min="40" max="40" width="24.75"/>
    <col customWidth="1" min="41" max="41" width="16.13"/>
    <col customWidth="1" min="42" max="42" width="12.63"/>
    <col customWidth="1" min="43" max="43" width="8.75"/>
    <col customWidth="1" min="44" max="44" width="16.25"/>
    <col customWidth="1" min="45" max="45" width="21.63"/>
    <col customWidth="1" min="46" max="46" width="26.63"/>
  </cols>
  <sheetData>
    <row r="1" ht="15.75" customHeight="1">
      <c r="A1" s="1" t="s">
        <v>0</v>
      </c>
      <c r="D1" s="2"/>
      <c r="W1" s="3"/>
      <c r="X1" s="4" t="s">
        <v>1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6"/>
      <c r="AS1" s="3"/>
    </row>
    <row r="2" ht="15.75" customHeight="1">
      <c r="A2" s="7">
        <v>46204.0</v>
      </c>
      <c r="B2" s="8" t="s">
        <v>2</v>
      </c>
      <c r="C2" s="8" t="s">
        <v>3</v>
      </c>
      <c r="D2" s="8" t="s">
        <v>4</v>
      </c>
      <c r="E2" s="8" t="s">
        <v>5</v>
      </c>
      <c r="F2" s="9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9" t="s">
        <v>14</v>
      </c>
      <c r="O2" s="8" t="s">
        <v>15</v>
      </c>
      <c r="P2" s="8" t="s">
        <v>16</v>
      </c>
      <c r="Q2" s="8" t="s">
        <v>17</v>
      </c>
      <c r="R2" s="8" t="s">
        <v>18</v>
      </c>
      <c r="S2" s="11" t="s">
        <v>19</v>
      </c>
      <c r="T2" s="12" t="s">
        <v>20</v>
      </c>
      <c r="U2" s="12" t="s">
        <v>21</v>
      </c>
      <c r="V2" s="13" t="s">
        <v>22</v>
      </c>
      <c r="X2" s="14" t="s">
        <v>2</v>
      </c>
      <c r="Y2" s="14" t="s">
        <v>3</v>
      </c>
      <c r="Z2" s="14" t="s">
        <v>4</v>
      </c>
      <c r="AA2" s="14" t="s">
        <v>5</v>
      </c>
      <c r="AB2" s="15" t="s">
        <v>6</v>
      </c>
      <c r="AC2" s="14" t="s">
        <v>7</v>
      </c>
      <c r="AD2" s="14" t="s">
        <v>8</v>
      </c>
      <c r="AE2" s="14" t="s">
        <v>9</v>
      </c>
      <c r="AF2" s="14" t="s">
        <v>10</v>
      </c>
      <c r="AG2" s="14" t="s">
        <v>11</v>
      </c>
      <c r="AH2" s="14" t="s">
        <v>12</v>
      </c>
      <c r="AI2" s="14" t="s">
        <v>13</v>
      </c>
      <c r="AJ2" s="15" t="s">
        <v>14</v>
      </c>
      <c r="AK2" s="14" t="s">
        <v>15</v>
      </c>
      <c r="AL2" s="14" t="s">
        <v>16</v>
      </c>
      <c r="AM2" s="16" t="s">
        <v>17</v>
      </c>
      <c r="AN2" s="17" t="s">
        <v>18</v>
      </c>
      <c r="AO2" s="18" t="s">
        <v>19</v>
      </c>
      <c r="AP2" s="19" t="s">
        <v>20</v>
      </c>
      <c r="AQ2" s="19" t="s">
        <v>21</v>
      </c>
      <c r="AR2" s="20" t="s">
        <v>22</v>
      </c>
    </row>
    <row r="3" ht="15.7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X3" s="22">
        <v>1.0</v>
      </c>
      <c r="Y3" s="22" t="s">
        <v>23</v>
      </c>
      <c r="Z3" s="22">
        <f t="shared" ref="Z3:AI3" si="1">SUM(D11)</f>
        <v>35</v>
      </c>
      <c r="AA3" s="23">
        <f t="shared" si="1"/>
        <v>35</v>
      </c>
      <c r="AB3" s="24">
        <f t="shared" si="1"/>
        <v>6849.22</v>
      </c>
      <c r="AC3" s="23">
        <f t="shared" si="1"/>
        <v>1661</v>
      </c>
      <c r="AD3" s="23">
        <f t="shared" si="1"/>
        <v>0</v>
      </c>
      <c r="AE3" s="23">
        <f t="shared" si="1"/>
        <v>1661</v>
      </c>
      <c r="AF3" s="23">
        <f t="shared" si="1"/>
        <v>2904</v>
      </c>
      <c r="AG3" s="23">
        <f t="shared" si="1"/>
        <v>0</v>
      </c>
      <c r="AH3" s="23">
        <f t="shared" si="1"/>
        <v>2904</v>
      </c>
      <c r="AI3" s="23">
        <f t="shared" si="1"/>
        <v>4565</v>
      </c>
      <c r="AJ3" s="25">
        <f t="shared" ref="AJ3:AJ5" si="4">AB3/AA3</f>
        <v>195.692</v>
      </c>
      <c r="AK3" s="22">
        <f>SUM(O11)</f>
        <v>6853</v>
      </c>
      <c r="AL3" s="26">
        <f t="shared" ref="AL3:AL9" si="5">AI3/AK3</f>
        <v>0.6661316212</v>
      </c>
      <c r="AM3" s="27">
        <f t="shared" ref="AM3:AM5" si="6">SUM(Q11)</f>
        <v>1.5</v>
      </c>
      <c r="AN3" s="26">
        <f t="shared" ref="AN3:AN9" si="7">AO3/AM3</f>
        <v>0.444332834</v>
      </c>
      <c r="AO3" s="28">
        <f t="shared" ref="AO3:AO9" si="8">AI3/AB3</f>
        <v>0.666499251</v>
      </c>
      <c r="AP3" s="27">
        <f t="shared" ref="AP3:AQ3" si="2">SUM(T11)</f>
        <v>203</v>
      </c>
      <c r="AQ3" s="27">
        <f t="shared" si="2"/>
        <v>5.8</v>
      </c>
      <c r="AR3" s="23">
        <f t="shared" ref="AR3:AR9" si="10">AI3/AA3</f>
        <v>130.4285714</v>
      </c>
    </row>
    <row r="4" ht="15.7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X4" s="22">
        <v>2.0</v>
      </c>
      <c r="Y4" s="22" t="s">
        <v>24</v>
      </c>
      <c r="Z4" s="22">
        <f t="shared" ref="Z4:AI4" si="3">SUM(D12)</f>
        <v>44</v>
      </c>
      <c r="AA4" s="23">
        <f t="shared" si="3"/>
        <v>43</v>
      </c>
      <c r="AB4" s="24">
        <f t="shared" si="3"/>
        <v>8276.096</v>
      </c>
      <c r="AC4" s="23">
        <f t="shared" si="3"/>
        <v>965</v>
      </c>
      <c r="AD4" s="23">
        <f t="shared" si="3"/>
        <v>0</v>
      </c>
      <c r="AE4" s="23">
        <f t="shared" si="3"/>
        <v>965</v>
      </c>
      <c r="AF4" s="23">
        <f t="shared" si="3"/>
        <v>1210</v>
      </c>
      <c r="AG4" s="23">
        <f t="shared" si="3"/>
        <v>4</v>
      </c>
      <c r="AH4" s="23">
        <f t="shared" si="3"/>
        <v>1214</v>
      </c>
      <c r="AI4" s="23">
        <f t="shared" si="3"/>
        <v>2179</v>
      </c>
      <c r="AJ4" s="25">
        <f t="shared" si="4"/>
        <v>192.4673488</v>
      </c>
      <c r="AK4" s="22">
        <v>1580.0</v>
      </c>
      <c r="AL4" s="29">
        <f t="shared" si="5"/>
        <v>1.379113924</v>
      </c>
      <c r="AM4" s="27">
        <f t="shared" si="6"/>
        <v>1.5</v>
      </c>
      <c r="AN4" s="26">
        <f t="shared" si="7"/>
        <v>0.175525594</v>
      </c>
      <c r="AO4" s="28">
        <f t="shared" si="8"/>
        <v>0.263288391</v>
      </c>
      <c r="AP4" s="27">
        <f t="shared" ref="AP4:AQ4" si="9">SUM(T12)</f>
        <v>308.7519493</v>
      </c>
      <c r="AQ4" s="27">
        <f t="shared" si="9"/>
        <v>7.18027789</v>
      </c>
      <c r="AR4" s="23">
        <f t="shared" si="10"/>
        <v>50.6744186</v>
      </c>
    </row>
    <row r="5" ht="15.75" customHeight="1">
      <c r="A5" s="21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X5" s="31">
        <v>3.0</v>
      </c>
      <c r="Y5" s="31" t="s">
        <v>25</v>
      </c>
      <c r="Z5" s="31">
        <f t="shared" ref="Z5:AI5" si="11">SUM(D13)</f>
        <v>32</v>
      </c>
      <c r="AA5" s="32">
        <f t="shared" si="11"/>
        <v>30</v>
      </c>
      <c r="AB5" s="33">
        <f t="shared" si="11"/>
        <v>5699.528</v>
      </c>
      <c r="AC5" s="32">
        <f t="shared" si="11"/>
        <v>2010</v>
      </c>
      <c r="AD5" s="32">
        <f t="shared" si="11"/>
        <v>343</v>
      </c>
      <c r="AE5" s="32">
        <f t="shared" si="11"/>
        <v>2353</v>
      </c>
      <c r="AF5" s="32">
        <f t="shared" si="11"/>
        <v>3122</v>
      </c>
      <c r="AG5" s="32">
        <f t="shared" si="11"/>
        <v>83</v>
      </c>
      <c r="AH5" s="32">
        <f t="shared" si="11"/>
        <v>3205</v>
      </c>
      <c r="AI5" s="32">
        <f t="shared" si="11"/>
        <v>5558</v>
      </c>
      <c r="AJ5" s="34">
        <f t="shared" si="4"/>
        <v>189.9842667</v>
      </c>
      <c r="AK5" s="31">
        <f>SUM(O13)</f>
        <v>6622</v>
      </c>
      <c r="AL5" s="35">
        <f t="shared" si="5"/>
        <v>0.8393234672</v>
      </c>
      <c r="AM5" s="36">
        <f t="shared" si="6"/>
        <v>1.5</v>
      </c>
      <c r="AN5" s="35">
        <f t="shared" si="7"/>
        <v>0.6501123134</v>
      </c>
      <c r="AO5" s="37">
        <f t="shared" si="8"/>
        <v>0.9751684701</v>
      </c>
      <c r="AP5" s="36">
        <f t="shared" ref="AP5:AQ5" si="12">SUM(T13)</f>
        <v>239.0741611</v>
      </c>
      <c r="AQ5" s="36">
        <f t="shared" si="12"/>
        <v>7.969138702</v>
      </c>
      <c r="AR5" s="32">
        <f t="shared" si="10"/>
        <v>185.2666667</v>
      </c>
    </row>
    <row r="6" ht="15.75" customHeight="1">
      <c r="A6" s="21"/>
      <c r="B6" s="38">
        <v>1.0</v>
      </c>
      <c r="C6" s="38" t="s">
        <v>26</v>
      </c>
      <c r="D6" s="39">
        <v>20.0</v>
      </c>
      <c r="E6" s="40">
        <f>IFERROR(__xludf.DUMMYFUNCTION("COUNT(IMPORTRANGE(""https://docs.google.com/spreadsheets/d/1z0o91thOT38lgejTE_Bd2p3v_9VCDdQRkUsMIVqpQCk/edit"",""1!d2:d21""))"),20.0)</f>
        <v>20</v>
      </c>
      <c r="F6" s="41">
        <f>IFERROR(__xludf.DUMMYFUNCTION("SUM(IMPORTRANGE(""https://docs.google.com/spreadsheets/d/1z0o91thOT38lgejTE_Bd2p3v_9VCDdQRkUsMIVqpQCk/edit"",""1!Q2:Q21""))"),3589.9469999999997)</f>
        <v>3589.947</v>
      </c>
      <c r="G6" s="40">
        <f>IFERROR(__xludf.DUMMYFUNCTION("IMPORTRANGE(""https://docs.google.com/spreadsheets/d/1z0o91thOT38lgejTE_Bd2p3v_9VCDdQRkUsMIVqpQCk/edit"",""1!e28"")"),1811.0)</f>
        <v>1811</v>
      </c>
      <c r="H6" s="40">
        <f>IFERROR(__xludf.DUMMYFUNCTION("IMPORTRANGE(""https://docs.google.com/spreadsheets/d/1z0o91thOT38lgejTE_Bd2p3v_9VCDdQRkUsMIVqpQCk/edit"",""1!e29"")"),0.0)</f>
        <v>0</v>
      </c>
      <c r="I6" s="40">
        <f t="shared" ref="I6:I23" si="15">SUM(G6:H6)</f>
        <v>1811</v>
      </c>
      <c r="J6" s="40">
        <f>IFERROR(__xludf.DUMMYFUNCTION("IMPORTRANGE(""https://docs.google.com/spreadsheets/d/1z0o91thOT38lgejTE_Bd2p3v_9VCDdQRkUsMIVqpQCk/edit"",""1!e32"")"),2360.0)</f>
        <v>2360</v>
      </c>
      <c r="K6" s="40">
        <f>IFERROR(__xludf.DUMMYFUNCTION("IMPORTRANGE(""https://docs.google.com/spreadsheets/d/1z0o91thOT38lgejTE_Bd2p3v_9VCDdQRkUsMIVqpQCk/edit"",""1!e33"")"),0.0)</f>
        <v>0</v>
      </c>
      <c r="L6" s="40">
        <f t="shared" ref="L6:L12" si="16">SUM(J6:K6)</f>
        <v>2360</v>
      </c>
      <c r="M6" s="40">
        <f t="shared" ref="M6:M23" si="17">SUM(I6+L6)</f>
        <v>4171</v>
      </c>
      <c r="N6" s="41">
        <f t="shared" ref="N6:N24" si="18">F6/E6</f>
        <v>179.49735</v>
      </c>
      <c r="O6" s="38">
        <v>5161.0</v>
      </c>
      <c r="P6" s="42">
        <f t="shared" ref="P6:P24" si="19">M6/O6</f>
        <v>0.8081767099</v>
      </c>
      <c r="Q6" s="43">
        <v>1.5</v>
      </c>
      <c r="R6" s="42">
        <f t="shared" ref="R6:R24" si="20">S6/Q6</f>
        <v>0.7745703952</v>
      </c>
      <c r="S6" s="44">
        <f t="shared" ref="S6:S24" si="21">M6/F6</f>
        <v>1.161855593</v>
      </c>
      <c r="T6" s="43">
        <f>F6/14.415</f>
        <v>249.0424558</v>
      </c>
      <c r="U6" s="43">
        <f t="shared" ref="U6:U24" si="22">T6/E6</f>
        <v>12.45212279</v>
      </c>
      <c r="V6" s="40">
        <f t="shared" ref="V6:V24" si="23">M6/E6</f>
        <v>208.55</v>
      </c>
      <c r="X6" s="22">
        <v>4.0</v>
      </c>
      <c r="Y6" s="22" t="s">
        <v>27</v>
      </c>
      <c r="Z6" s="22">
        <f t="shared" ref="Z6:AK6" si="13">SUM(D19)</f>
        <v>30</v>
      </c>
      <c r="AA6" s="23">
        <f t="shared" si="13"/>
        <v>29</v>
      </c>
      <c r="AB6" s="24">
        <f t="shared" si="13"/>
        <v>5705.58</v>
      </c>
      <c r="AC6" s="23">
        <f t="shared" si="13"/>
        <v>2473</v>
      </c>
      <c r="AD6" s="23">
        <f t="shared" si="13"/>
        <v>128</v>
      </c>
      <c r="AE6" s="23">
        <f t="shared" si="13"/>
        <v>2601</v>
      </c>
      <c r="AF6" s="23">
        <f t="shared" si="13"/>
        <v>1994</v>
      </c>
      <c r="AG6" s="23">
        <f t="shared" si="13"/>
        <v>126</v>
      </c>
      <c r="AH6" s="23">
        <f t="shared" si="13"/>
        <v>2120</v>
      </c>
      <c r="AI6" s="23">
        <f t="shared" si="13"/>
        <v>4721</v>
      </c>
      <c r="AJ6" s="25">
        <f t="shared" si="13"/>
        <v>196.7441379</v>
      </c>
      <c r="AK6" s="22">
        <f t="shared" si="13"/>
        <v>8101</v>
      </c>
      <c r="AL6" s="26">
        <f t="shared" si="5"/>
        <v>0.5827675596</v>
      </c>
      <c r="AM6" s="27">
        <f>SUM(Q19)</f>
        <v>1.5</v>
      </c>
      <c r="AN6" s="26">
        <f t="shared" si="7"/>
        <v>0.5516237321</v>
      </c>
      <c r="AO6" s="28">
        <f t="shared" si="8"/>
        <v>0.8274355981</v>
      </c>
      <c r="AP6" s="27">
        <f t="shared" ref="AP6:AQ6" si="14">SUM(T19)</f>
        <v>285.4931198</v>
      </c>
      <c r="AQ6" s="27">
        <f t="shared" si="14"/>
        <v>9.844590339</v>
      </c>
      <c r="AR6" s="23">
        <f t="shared" si="10"/>
        <v>162.7931034</v>
      </c>
    </row>
    <row r="7" ht="15.75" customHeight="1">
      <c r="A7" s="21"/>
      <c r="B7" s="38">
        <v>2.0</v>
      </c>
      <c r="C7" s="38" t="s">
        <v>28</v>
      </c>
      <c r="D7" s="39">
        <v>33.0</v>
      </c>
      <c r="E7" s="40">
        <f>IFERROR(__xludf.DUMMYFUNCTION("COUNT(IMPORTRANGE(""https://docs.google.com/spreadsheets/d/10a85iNN0y9GF6ngQfF1JXGAzFk-T7ywH4-TZtQcOTaE/edit"",""1!d2:d34""))"),32.0)</f>
        <v>32</v>
      </c>
      <c r="F7" s="41">
        <f>IFERROR(__xludf.DUMMYFUNCTION("SUM(IMPORTRANGE(""https://docs.google.com/spreadsheets/d/10a85iNN0y9GF6ngQfF1JXGAzFk-T7ywH4-TZtQcOTaE/edit"",""1!Q2:Q34""))"),6141.444000000001)</f>
        <v>6141.444</v>
      </c>
      <c r="G7" s="40">
        <f>IFERROR(__xludf.DUMMYFUNCTION("IMPORTRANGE(""https://docs.google.com/spreadsheets/d/10a85iNN0y9GF6ngQfF1JXGAzFk-T7ywH4-TZtQcOTaE/edit"",""1!e41"")"),2036.0)</f>
        <v>2036</v>
      </c>
      <c r="H7" s="40">
        <f>IFERROR(__xludf.DUMMYFUNCTION("IMPORTRANGE(""https://docs.google.com/spreadsheets/d/10a85iNN0y9GF6ngQfF1JXGAzFk-T7ywH4-TZtQcOTaE/edit"",""1!e42"")"),105.0)</f>
        <v>105</v>
      </c>
      <c r="I7" s="40">
        <f t="shared" si="15"/>
        <v>2141</v>
      </c>
      <c r="J7" s="40">
        <f>IFERROR(__xludf.DUMMYFUNCTION("IMPORTRANGE(""https://docs.google.com/spreadsheets/d/10a85iNN0y9GF6ngQfF1JXGAzFk-T7ywH4-TZtQcOTaE/edit"",""1!e45"")"),2393.0)</f>
        <v>2393</v>
      </c>
      <c r="K7" s="40">
        <f>IFERROR(__xludf.DUMMYFUNCTION("IMPORTRANGE(""https://docs.google.com/spreadsheets/d/10a85iNN0y9GF6ngQfF1JXGAzFk-T7ywH4-TZtQcOTaE/edit"",""1!e46"")"),198.0)</f>
        <v>198</v>
      </c>
      <c r="L7" s="40">
        <f t="shared" si="16"/>
        <v>2591</v>
      </c>
      <c r="M7" s="40">
        <f t="shared" si="17"/>
        <v>4732</v>
      </c>
      <c r="N7" s="41">
        <f t="shared" si="18"/>
        <v>191.920125</v>
      </c>
      <c r="O7" s="38">
        <v>7315.0</v>
      </c>
      <c r="P7" s="42">
        <f t="shared" si="19"/>
        <v>0.6468899522</v>
      </c>
      <c r="Q7" s="43">
        <v>1.5</v>
      </c>
      <c r="R7" s="42">
        <f t="shared" si="20"/>
        <v>0.5136685553</v>
      </c>
      <c r="S7" s="44">
        <f t="shared" si="21"/>
        <v>0.7705028329</v>
      </c>
      <c r="T7" s="43">
        <f>F7/30.897</f>
        <v>198.7715312</v>
      </c>
      <c r="U7" s="43">
        <f t="shared" si="22"/>
        <v>6.211610351</v>
      </c>
      <c r="V7" s="40">
        <f t="shared" si="23"/>
        <v>147.875</v>
      </c>
      <c r="X7" s="22">
        <v>5.0</v>
      </c>
      <c r="Y7" s="22" t="s">
        <v>29</v>
      </c>
      <c r="Z7" s="22">
        <f t="shared" ref="Z7:AI7" si="24">SUM(D22)</f>
        <v>30</v>
      </c>
      <c r="AA7" s="23">
        <f t="shared" si="24"/>
        <v>29</v>
      </c>
      <c r="AB7" s="24">
        <f t="shared" si="24"/>
        <v>5702.322</v>
      </c>
      <c r="AC7" s="23">
        <f t="shared" si="24"/>
        <v>2306</v>
      </c>
      <c r="AD7" s="23">
        <f t="shared" si="24"/>
        <v>0</v>
      </c>
      <c r="AE7" s="23">
        <f t="shared" si="24"/>
        <v>2306</v>
      </c>
      <c r="AF7" s="23">
        <f t="shared" si="24"/>
        <v>3601</v>
      </c>
      <c r="AG7" s="23">
        <f t="shared" si="24"/>
        <v>0</v>
      </c>
      <c r="AH7" s="23">
        <f t="shared" si="24"/>
        <v>3601</v>
      </c>
      <c r="AI7" s="23">
        <f t="shared" si="24"/>
        <v>5907</v>
      </c>
      <c r="AJ7" s="25">
        <f t="shared" ref="AJ7:AJ9" si="27">AB7/AA7</f>
        <v>196.6317931</v>
      </c>
      <c r="AK7" s="22">
        <f t="shared" ref="AK7:AK8" si="28">SUM(O22)</f>
        <v>9201</v>
      </c>
      <c r="AL7" s="26">
        <f t="shared" si="5"/>
        <v>0.6419954353</v>
      </c>
      <c r="AM7" s="27">
        <f t="shared" ref="AM7:AM8" si="29">SUM(Q22)</f>
        <v>1.5</v>
      </c>
      <c r="AN7" s="26">
        <f t="shared" si="7"/>
        <v>0.690595866</v>
      </c>
      <c r="AO7" s="28">
        <f t="shared" si="8"/>
        <v>1.035893799</v>
      </c>
      <c r="AP7" s="27">
        <f t="shared" ref="AP7:AQ7" si="25">SUM(T22)</f>
        <v>219</v>
      </c>
      <c r="AQ7" s="27">
        <f t="shared" si="25"/>
        <v>7.551724138</v>
      </c>
      <c r="AR7" s="23">
        <f t="shared" si="10"/>
        <v>203.6896552</v>
      </c>
    </row>
    <row r="8" ht="15.75" customHeight="1">
      <c r="A8" s="21"/>
      <c r="B8" s="38">
        <v>3.0</v>
      </c>
      <c r="C8" s="38" t="s">
        <v>30</v>
      </c>
      <c r="D8" s="39">
        <v>60.0</v>
      </c>
      <c r="E8" s="40">
        <f>IFERROR(__xludf.DUMMYFUNCTION("COUNT(IMPORTRANGE(""https://docs.google.com/spreadsheets/d/1WojVzHhpzodJL1e5UDHeu3A3u5MTSZwvxHu0BrwvL9w/edit"",""1!d2:d61""))"),56.0)</f>
        <v>56</v>
      </c>
      <c r="F8" s="45">
        <f>IFERROR(__xludf.DUMMYFUNCTION("SUM(IMPORTRANGE(""https://docs.google.com/spreadsheets/d/1WojVzHhpzodJL1e5UDHeu3A3u5MTSZwvxHu0BrwvL9w/edit"",""1!Q2:Q61""))"),10957.314999999993)</f>
        <v>10957.315</v>
      </c>
      <c r="G8" s="40">
        <f>IFERROR(__xludf.DUMMYFUNCTION("IMPORTRANGE(""https://docs.google.com/spreadsheets/d/1WojVzHhpzodJL1e5UDHeu3A3u5MTSZwvxHu0BrwvL9w/edit"",""1!e68"")"),2893.0)</f>
        <v>2893</v>
      </c>
      <c r="H8" s="40">
        <f>IFERROR(__xludf.DUMMYFUNCTION("IMPORTRANGE(""https://docs.google.com/spreadsheets/d/1WojVzHhpzodJL1e5UDHeu3A3u5MTSZwvxHu0BrwvL9w/edit"",""1!e69"")"),26.0)</f>
        <v>26</v>
      </c>
      <c r="I8" s="40">
        <f t="shared" si="15"/>
        <v>2919</v>
      </c>
      <c r="J8" s="40">
        <f>IFERROR(__xludf.DUMMYFUNCTION("IMPORTRANGE(""https://docs.google.com/spreadsheets/d/1WojVzHhpzodJL1e5UDHeu3A3u5MTSZwvxHu0BrwvL9w/edit"",""1!e72"")"),4504.0)</f>
        <v>4504</v>
      </c>
      <c r="K8" s="40">
        <f>IFERROR(__xludf.DUMMYFUNCTION("IMPORTRANGE(""https://docs.google.com/spreadsheets/d/1WojVzHhpzodJL1e5UDHeu3A3u5MTSZwvxHu0BrwvL9w/edit"",""1!e73"")"),85.0)</f>
        <v>85</v>
      </c>
      <c r="L8" s="40">
        <f t="shared" si="16"/>
        <v>4589</v>
      </c>
      <c r="M8" s="40">
        <f t="shared" si="17"/>
        <v>7508</v>
      </c>
      <c r="N8" s="41">
        <f t="shared" si="18"/>
        <v>195.6663393</v>
      </c>
      <c r="O8" s="38">
        <v>11164.0</v>
      </c>
      <c r="P8" s="42">
        <f t="shared" si="19"/>
        <v>0.6725188105</v>
      </c>
      <c r="Q8" s="43">
        <v>1.5</v>
      </c>
      <c r="R8" s="42">
        <f t="shared" si="20"/>
        <v>0.4568029059</v>
      </c>
      <c r="S8" s="44">
        <f t="shared" si="21"/>
        <v>0.6852043589</v>
      </c>
      <c r="T8" s="43">
        <f>F8/29.603</f>
        <v>370.1420464</v>
      </c>
      <c r="U8" s="43">
        <f t="shared" si="22"/>
        <v>6.6096794</v>
      </c>
      <c r="V8" s="40">
        <f t="shared" si="23"/>
        <v>134.0714286</v>
      </c>
      <c r="X8" s="22">
        <v>6.0</v>
      </c>
      <c r="Y8" s="22" t="s">
        <v>31</v>
      </c>
      <c r="Z8" s="22">
        <f t="shared" ref="Z8:AI8" si="26">SUM(D23)</f>
        <v>15</v>
      </c>
      <c r="AA8" s="23">
        <f t="shared" si="26"/>
        <v>15</v>
      </c>
      <c r="AB8" s="25">
        <f t="shared" si="26"/>
        <v>2999.085</v>
      </c>
      <c r="AC8" s="23">
        <f t="shared" si="26"/>
        <v>923</v>
      </c>
      <c r="AD8" s="23">
        <f t="shared" si="26"/>
        <v>15</v>
      </c>
      <c r="AE8" s="23">
        <f t="shared" si="26"/>
        <v>938</v>
      </c>
      <c r="AF8" s="23">
        <f t="shared" si="26"/>
        <v>1060</v>
      </c>
      <c r="AG8" s="23">
        <f t="shared" si="26"/>
        <v>0</v>
      </c>
      <c r="AH8" s="23">
        <f t="shared" si="26"/>
        <v>1060</v>
      </c>
      <c r="AI8" s="23">
        <f t="shared" si="26"/>
        <v>1998</v>
      </c>
      <c r="AJ8" s="25">
        <f t="shared" si="27"/>
        <v>199.939</v>
      </c>
      <c r="AK8" s="22">
        <f t="shared" si="28"/>
        <v>2717</v>
      </c>
      <c r="AL8" s="26">
        <f t="shared" si="5"/>
        <v>0.7353698933</v>
      </c>
      <c r="AM8" s="27">
        <f t="shared" si="29"/>
        <v>1.5</v>
      </c>
      <c r="AN8" s="26">
        <f t="shared" si="7"/>
        <v>0.4441354613</v>
      </c>
      <c r="AO8" s="28">
        <f t="shared" si="8"/>
        <v>0.666203192</v>
      </c>
      <c r="AP8" s="27">
        <f t="shared" ref="AP8:AQ8" si="30">SUM(T23)</f>
        <v>69</v>
      </c>
      <c r="AQ8" s="27">
        <f t="shared" si="30"/>
        <v>4.6</v>
      </c>
      <c r="AR8" s="23">
        <f t="shared" si="10"/>
        <v>133.2</v>
      </c>
    </row>
    <row r="9" ht="15.75" customHeight="1">
      <c r="A9" s="21"/>
      <c r="B9" s="38">
        <v>4.0</v>
      </c>
      <c r="C9" s="38" t="s">
        <v>32</v>
      </c>
      <c r="D9" s="39">
        <v>42.0</v>
      </c>
      <c r="E9" s="40">
        <f>IFERROR(__xludf.DUMMYFUNCTION("COUNT(IMPORTRANGE(""https://docs.google.com/spreadsheets/d/1vmCj5YcMSPHj1m64syDndQ6cqVL3yolcU03Y8KHmvdc/edit"",""1!d2:d43""))"),39.0)</f>
        <v>39</v>
      </c>
      <c r="F9" s="45">
        <f>IFERROR(__xludf.DUMMYFUNCTION("SUM(IMPORTRANGE(""https://docs.google.com/spreadsheets/d/1vmCj5YcMSPHj1m64syDndQ6cqVL3yolcU03Y8KHmvdc/edit"",""1!Q2:Q43""))"),7827.767999999991)</f>
        <v>7827.768</v>
      </c>
      <c r="G9" s="38">
        <f>IFERROR(__xludf.DUMMYFUNCTION("IMPORTRANGE(""https://docs.google.com/spreadsheets/d/1vmCj5YcMSPHj1m64syDndQ6cqVL3yolcU03Y8KHmvdc/edit"",""1!e50"")"),4318.0)</f>
        <v>4318</v>
      </c>
      <c r="H9" s="38">
        <f>IFERROR(__xludf.DUMMYFUNCTION("IMPORTRANGE(""https://docs.google.com/spreadsheets/d/1vmCj5YcMSPHj1m64syDndQ6cqVL3yolcU03Y8KHmvdc/edit"",""1!e51"")"),0.0)</f>
        <v>0</v>
      </c>
      <c r="I9" s="40">
        <f t="shared" si="15"/>
        <v>4318</v>
      </c>
      <c r="J9" s="38">
        <f>IFERROR(__xludf.DUMMYFUNCTION("IMPORTRANGE(""https://docs.google.com/spreadsheets/d/1vmCj5YcMSPHj1m64syDndQ6cqVL3yolcU03Y8KHmvdc/edit"",""1!e54"")"),4924.0)</f>
        <v>4924</v>
      </c>
      <c r="K9" s="38">
        <f>IFERROR(__xludf.DUMMYFUNCTION("IMPORTRANGE(""https://docs.google.com/spreadsheets/d/1vmCj5YcMSPHj1m64syDndQ6cqVL3yolcU03Y8KHmvdc/edit"",""1!e55"")"),0.0)</f>
        <v>0</v>
      </c>
      <c r="L9" s="40">
        <f t="shared" si="16"/>
        <v>4924</v>
      </c>
      <c r="M9" s="40">
        <f t="shared" si="17"/>
        <v>9242</v>
      </c>
      <c r="N9" s="41">
        <f t="shared" si="18"/>
        <v>200.712</v>
      </c>
      <c r="O9" s="38">
        <v>13817.0</v>
      </c>
      <c r="P9" s="42">
        <f t="shared" si="19"/>
        <v>0.6688861547</v>
      </c>
      <c r="Q9" s="43">
        <v>1.5</v>
      </c>
      <c r="R9" s="42">
        <f t="shared" si="20"/>
        <v>0.7871124097</v>
      </c>
      <c r="S9" s="44">
        <f t="shared" si="21"/>
        <v>1.180668615</v>
      </c>
      <c r="T9" s="43">
        <f>F9/25.089</f>
        <v>312</v>
      </c>
      <c r="U9" s="43">
        <f t="shared" si="22"/>
        <v>8</v>
      </c>
      <c r="V9" s="40">
        <f t="shared" si="23"/>
        <v>236.974359</v>
      </c>
      <c r="X9" s="46" t="s">
        <v>33</v>
      </c>
      <c r="Y9" s="46">
        <v>6.0</v>
      </c>
      <c r="Z9" s="46">
        <f t="shared" ref="Z9:AI9" si="31">SUM(Z3:Z8)</f>
        <v>186</v>
      </c>
      <c r="AA9" s="47">
        <f t="shared" si="31"/>
        <v>181</v>
      </c>
      <c r="AB9" s="48">
        <f t="shared" si="31"/>
        <v>35231.831</v>
      </c>
      <c r="AC9" s="47">
        <f t="shared" si="31"/>
        <v>10338</v>
      </c>
      <c r="AD9" s="47">
        <f t="shared" si="31"/>
        <v>486</v>
      </c>
      <c r="AE9" s="47">
        <f t="shared" si="31"/>
        <v>10824</v>
      </c>
      <c r="AF9" s="47">
        <f t="shared" si="31"/>
        <v>13891</v>
      </c>
      <c r="AG9" s="47">
        <f t="shared" si="31"/>
        <v>213</v>
      </c>
      <c r="AH9" s="47">
        <f t="shared" si="31"/>
        <v>14104</v>
      </c>
      <c r="AI9" s="47">
        <f t="shared" si="31"/>
        <v>24928</v>
      </c>
      <c r="AJ9" s="49">
        <f t="shared" si="27"/>
        <v>194.651</v>
      </c>
      <c r="AK9" s="46">
        <f>SUM(AK3:AK8)</f>
        <v>35074</v>
      </c>
      <c r="AL9" s="50">
        <f t="shared" si="5"/>
        <v>0.7107258938</v>
      </c>
      <c r="AM9" s="51">
        <v>1.5</v>
      </c>
      <c r="AN9" s="50">
        <f t="shared" si="7"/>
        <v>0.4716946635</v>
      </c>
      <c r="AO9" s="52">
        <f t="shared" si="8"/>
        <v>0.7075419952</v>
      </c>
      <c r="AP9" s="51">
        <f>SUM(AP3:AP8)</f>
        <v>1324.31923</v>
      </c>
      <c r="AQ9" s="51">
        <f>AP9/AA9</f>
        <v>7.31668083</v>
      </c>
      <c r="AR9" s="47">
        <f t="shared" si="10"/>
        <v>137.7237569</v>
      </c>
    </row>
    <row r="10" ht="15.75" customHeight="1">
      <c r="A10" s="21"/>
      <c r="B10" s="38">
        <v>5.0</v>
      </c>
      <c r="C10" s="38" t="s">
        <v>34</v>
      </c>
      <c r="D10" s="39">
        <v>40.0</v>
      </c>
      <c r="E10" s="40">
        <f>IFERROR(__xludf.DUMMYFUNCTION("COUNT(IMPORTRANGE(""https://docs.google.com/spreadsheets/d/14_Y-fpuq1wcec3DlT_1PBYekOC0YblQMrWVfO12YO3k/edit"",""1!d2:d41""))"),38.0)</f>
        <v>38</v>
      </c>
      <c r="F10" s="45">
        <f>IFERROR(__xludf.DUMMYFUNCTION("SUM(IMPORTRANGE(""https://docs.google.com/spreadsheets/d/14_Y-fpuq1wcec3DlT_1PBYekOC0YblQMrWVfO12YO3k/edit"",""1!Q2:Q41""))"),7355.343000000003)</f>
        <v>7355.343</v>
      </c>
      <c r="G10" s="40">
        <f>IFERROR(__xludf.DUMMYFUNCTION("IMPORTRANGE(""https://docs.google.com/spreadsheets/d/14_Y-fpuq1wcec3DlT_1PBYekOC0YblQMrWVfO12YO3k/edit"",""1!e48"")"),2283.0)</f>
        <v>2283</v>
      </c>
      <c r="H10" s="40">
        <f>IFERROR(__xludf.DUMMYFUNCTION("IMPORTRANGE(""https://docs.google.com/spreadsheets/d/14_Y-fpuq1wcec3DlT_1PBYekOC0YblQMrWVfO12YO3k/edit"",""1!e49"")"),0.0)</f>
        <v>0</v>
      </c>
      <c r="I10" s="40">
        <f t="shared" si="15"/>
        <v>2283</v>
      </c>
      <c r="J10" s="40">
        <f>IFERROR(__xludf.DUMMYFUNCTION("IMPORTRANGE(""https://docs.google.com/spreadsheets/d/14_Y-fpuq1wcec3DlT_1PBYekOC0YblQMrWVfO12YO3k/edit"",""1!e52"")"),2951.0)</f>
        <v>2951</v>
      </c>
      <c r="K10" s="40">
        <f>IFERROR(__xludf.DUMMYFUNCTION("IMPORTRANGE(""https://docs.google.com/spreadsheets/d/14_Y-fpuq1wcec3DlT_1PBYekOC0YblQMrWVfO12YO3k/edit"",""1!e53"")"),0.0)</f>
        <v>0</v>
      </c>
      <c r="L10" s="40">
        <f t="shared" si="16"/>
        <v>2951</v>
      </c>
      <c r="M10" s="40">
        <f t="shared" si="17"/>
        <v>5234</v>
      </c>
      <c r="N10" s="41">
        <f t="shared" si="18"/>
        <v>193.5616579</v>
      </c>
      <c r="O10" s="38">
        <v>9354.0</v>
      </c>
      <c r="P10" s="42">
        <f t="shared" si="19"/>
        <v>0.559546718</v>
      </c>
      <c r="Q10" s="43">
        <v>1.5</v>
      </c>
      <c r="R10" s="42">
        <f t="shared" si="20"/>
        <v>0.4743943734</v>
      </c>
      <c r="S10" s="44">
        <f t="shared" si="21"/>
        <v>0.71159156</v>
      </c>
      <c r="T10" s="43">
        <f>F10/30.713</f>
        <v>239.4863087</v>
      </c>
      <c r="U10" s="43">
        <f t="shared" si="22"/>
        <v>6.302271282</v>
      </c>
      <c r="V10" s="40">
        <f t="shared" si="23"/>
        <v>137.7368421</v>
      </c>
      <c r="X10" s="53" t="s">
        <v>35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6"/>
    </row>
    <row r="11" ht="15.75" customHeight="1">
      <c r="A11" s="21"/>
      <c r="B11" s="38">
        <v>6.0</v>
      </c>
      <c r="C11" s="38" t="s">
        <v>23</v>
      </c>
      <c r="D11" s="39">
        <v>35.0</v>
      </c>
      <c r="E11" s="40">
        <f>IFERROR(__xludf.DUMMYFUNCTION("COUNT(IMPORTRANGE(""https://docs.google.com/spreadsheets/d/1lJqjdj05V4LOXuBOiTdE65GV4ZITyx1cMLcDdcuoUnE/edit"",""1!d2:d36""))"),35.0)</f>
        <v>35</v>
      </c>
      <c r="F11" s="45">
        <f>IFERROR(__xludf.DUMMYFUNCTION("SUM(IMPORTRANGE(""https://docs.google.com/spreadsheets/d/1lJqjdj05V4LOXuBOiTdE65GV4ZITyx1cMLcDdcuoUnE/edit"",""1!Q2:Q36""))"),6849.219999999995)</f>
        <v>6849.22</v>
      </c>
      <c r="G11" s="40">
        <f>IFERROR(__xludf.DUMMYFUNCTION("IMPORTRANGE(""https://docs.google.com/spreadsheets/d/1lJqjdj05V4LOXuBOiTdE65GV4ZITyx1cMLcDdcuoUnE/edit"",""1!e43"")"),1661.0)</f>
        <v>1661</v>
      </c>
      <c r="H11" s="40">
        <f>IFERROR(__xludf.DUMMYFUNCTION("IMPORTRANGE(""https://docs.google.com/spreadsheets/d/1lJqjdj05V4LOXuBOiTdE65GV4ZITyx1cMLcDdcuoUnE/edit"",""1!e44"")"),0.0)</f>
        <v>0</v>
      </c>
      <c r="I11" s="40">
        <f t="shared" si="15"/>
        <v>1661</v>
      </c>
      <c r="J11" s="40">
        <f>IFERROR(__xludf.DUMMYFUNCTION("IMPORTRANGE(""https://docs.google.com/spreadsheets/d/1lJqjdj05V4LOXuBOiTdE65GV4ZITyx1cMLcDdcuoUnE/edit"",""1!e47"")"),2904.0)</f>
        <v>2904</v>
      </c>
      <c r="K11" s="40">
        <f>IFERROR(__xludf.DUMMYFUNCTION("IMPORTRANGE(""https://docs.google.com/spreadsheets/d/1lJqjdj05V4LOXuBOiTdE65GV4ZITyx1cMLcDdcuoUnE/edit"",""1!e48"")"),0.0)</f>
        <v>0</v>
      </c>
      <c r="L11" s="40">
        <f t="shared" si="16"/>
        <v>2904</v>
      </c>
      <c r="M11" s="40">
        <f t="shared" si="17"/>
        <v>4565</v>
      </c>
      <c r="N11" s="41">
        <f t="shared" si="18"/>
        <v>195.692</v>
      </c>
      <c r="O11" s="38">
        <v>6853.0</v>
      </c>
      <c r="P11" s="42">
        <f t="shared" si="19"/>
        <v>0.6661316212</v>
      </c>
      <c r="Q11" s="43">
        <v>1.5</v>
      </c>
      <c r="R11" s="42">
        <f t="shared" si="20"/>
        <v>0.444332834</v>
      </c>
      <c r="S11" s="44">
        <f t="shared" si="21"/>
        <v>0.666499251</v>
      </c>
      <c r="T11" s="43">
        <f>F11/33.74</f>
        <v>203</v>
      </c>
      <c r="U11" s="43">
        <f t="shared" si="22"/>
        <v>5.8</v>
      </c>
      <c r="V11" s="40">
        <f t="shared" si="23"/>
        <v>130.4285714</v>
      </c>
      <c r="X11" s="14" t="s">
        <v>2</v>
      </c>
      <c r="Y11" s="14" t="s">
        <v>3</v>
      </c>
      <c r="Z11" s="14" t="s">
        <v>4</v>
      </c>
      <c r="AA11" s="14" t="s">
        <v>5</v>
      </c>
      <c r="AB11" s="15" t="s">
        <v>6</v>
      </c>
      <c r="AC11" s="14" t="s">
        <v>7</v>
      </c>
      <c r="AD11" s="14" t="s">
        <v>8</v>
      </c>
      <c r="AE11" s="14" t="s">
        <v>9</v>
      </c>
      <c r="AF11" s="14" t="s">
        <v>10</v>
      </c>
      <c r="AG11" s="14" t="s">
        <v>11</v>
      </c>
      <c r="AH11" s="14" t="s">
        <v>12</v>
      </c>
      <c r="AI11" s="14" t="s">
        <v>13</v>
      </c>
      <c r="AJ11" s="15" t="s">
        <v>14</v>
      </c>
      <c r="AK11" s="14" t="s">
        <v>15</v>
      </c>
      <c r="AL11" s="14" t="s">
        <v>16</v>
      </c>
      <c r="AM11" s="16" t="s">
        <v>17</v>
      </c>
      <c r="AN11" s="17" t="s">
        <v>18</v>
      </c>
      <c r="AO11" s="18" t="s">
        <v>19</v>
      </c>
      <c r="AP11" s="19" t="s">
        <v>20</v>
      </c>
      <c r="AQ11" s="19" t="s">
        <v>21</v>
      </c>
      <c r="AR11" s="20" t="s">
        <v>22</v>
      </c>
    </row>
    <row r="12" ht="15.75" customHeight="1">
      <c r="A12" s="21"/>
      <c r="B12" s="38">
        <v>7.0</v>
      </c>
      <c r="C12" s="38" t="s">
        <v>24</v>
      </c>
      <c r="D12" s="39">
        <v>44.0</v>
      </c>
      <c r="E12" s="54">
        <f>IFERROR(__xludf.DUMMYFUNCTION("COUNT(IMPORTRANGE(""https://docs.google.com/spreadsheets/d/1_7EEO26q9Yq-XhNFiy7I6Zh4Yg6uGjTs9y0UqNvPKcQ/edit"",""1!d2:d45""))"),43.0)</f>
        <v>43</v>
      </c>
      <c r="F12" s="55">
        <f>IFERROR(__xludf.DUMMYFUNCTION("SUM(IMPORTRANGE(""https://docs.google.com/spreadsheets/d/1_7EEO26q9Yq-XhNFiy7I6Zh4Yg6uGjTs9y0UqNvPKcQ/edit"",""1!Q2:Q45""))"),8276.095999999994)</f>
        <v>8276.096</v>
      </c>
      <c r="G12" s="54">
        <f>IFERROR(__xludf.DUMMYFUNCTION("IMPORTRANGE(""https://docs.google.com/spreadsheets/d/1_7EEO26q9Yq-XhNFiy7I6Zh4Yg6uGjTs9y0UqNvPKcQ/edit"",""1!e53"")"),965.0)</f>
        <v>965</v>
      </c>
      <c r="H12" s="54">
        <f>IFERROR(__xludf.DUMMYFUNCTION("IMPORTRANGE(""https://docs.google.com/spreadsheets/d/1_7EEO26q9Yq-XhNFiy7I6Zh4Yg6uGjTs9y0UqNvPKcQ/edit"",""1!e54"")"),0.0)</f>
        <v>0</v>
      </c>
      <c r="I12" s="54">
        <f t="shared" si="15"/>
        <v>965</v>
      </c>
      <c r="J12" s="54">
        <f>IFERROR(__xludf.DUMMYFUNCTION("IMPORTRANGE(""https://docs.google.com/spreadsheets/d/1_7EEO26q9Yq-XhNFiy7I6Zh4Yg6uGjTs9y0UqNvPKcQ/edit"",""1!e57"")"),1210.0)</f>
        <v>1210</v>
      </c>
      <c r="K12" s="54">
        <f>IFERROR(__xludf.DUMMYFUNCTION("IMPORTRANGE(""https://docs.google.com/spreadsheets/d/1_7EEO26q9Yq-XhNFiy7I6Zh4Yg6uGjTs9y0UqNvPKcQ/edit"",""1!e58"")"),4.0)</f>
        <v>4</v>
      </c>
      <c r="L12" s="40">
        <f t="shared" si="16"/>
        <v>1214</v>
      </c>
      <c r="M12" s="40">
        <f t="shared" si="17"/>
        <v>2179</v>
      </c>
      <c r="N12" s="41">
        <f t="shared" si="18"/>
        <v>192.4673488</v>
      </c>
      <c r="O12" s="38">
        <v>1580.0</v>
      </c>
      <c r="P12" s="56">
        <f t="shared" si="19"/>
        <v>1.379113924</v>
      </c>
      <c r="Q12" s="43">
        <v>1.5</v>
      </c>
      <c r="R12" s="42">
        <f t="shared" si="20"/>
        <v>0.175525594</v>
      </c>
      <c r="S12" s="44">
        <f t="shared" si="21"/>
        <v>0.263288391</v>
      </c>
      <c r="T12" s="43">
        <f>F12/26.805</f>
        <v>308.7519493</v>
      </c>
      <c r="U12" s="43">
        <f t="shared" si="22"/>
        <v>7.18027789</v>
      </c>
      <c r="V12" s="40">
        <f t="shared" si="23"/>
        <v>50.6744186</v>
      </c>
      <c r="X12" s="22">
        <v>1.0</v>
      </c>
      <c r="Y12" s="22" t="s">
        <v>28</v>
      </c>
      <c r="Z12" s="22">
        <f t="shared" ref="Z12:AI12" si="32">SUM(D7)</f>
        <v>33</v>
      </c>
      <c r="AA12" s="23">
        <f t="shared" si="32"/>
        <v>32</v>
      </c>
      <c r="AB12" s="25">
        <f t="shared" si="32"/>
        <v>6141.444</v>
      </c>
      <c r="AC12" s="23">
        <f t="shared" si="32"/>
        <v>2036</v>
      </c>
      <c r="AD12" s="23">
        <f t="shared" si="32"/>
        <v>105</v>
      </c>
      <c r="AE12" s="23">
        <f t="shared" si="32"/>
        <v>2141</v>
      </c>
      <c r="AF12" s="23">
        <f t="shared" si="32"/>
        <v>2393</v>
      </c>
      <c r="AG12" s="23">
        <f t="shared" si="32"/>
        <v>198</v>
      </c>
      <c r="AH12" s="23">
        <f t="shared" si="32"/>
        <v>2591</v>
      </c>
      <c r="AI12" s="23">
        <f t="shared" si="32"/>
        <v>4732</v>
      </c>
      <c r="AJ12" s="25">
        <f t="shared" ref="AJ12:AJ18" si="35">AB12/AA12</f>
        <v>191.920125</v>
      </c>
      <c r="AK12" s="22">
        <f t="shared" ref="AK12:AK13" si="36">SUM(O7)</f>
        <v>7315</v>
      </c>
      <c r="AL12" s="26">
        <f t="shared" ref="AL12:AL18" si="37">AI12/AK12</f>
        <v>0.6468899522</v>
      </c>
      <c r="AM12" s="27">
        <f t="shared" ref="AM12:AM13" si="38">SUM(Q7)</f>
        <v>1.5</v>
      </c>
      <c r="AN12" s="26">
        <f t="shared" ref="AN12:AN18" si="39">AO12/AM12</f>
        <v>0.5136685553</v>
      </c>
      <c r="AO12" s="28">
        <f t="shared" ref="AO12:AO18" si="40">AI12/AB12</f>
        <v>0.7705028329</v>
      </c>
      <c r="AP12" s="27">
        <f t="shared" ref="AP12:AQ12" si="33">SUM(T7)</f>
        <v>198.7715312</v>
      </c>
      <c r="AQ12" s="27">
        <f t="shared" si="33"/>
        <v>6.211610351</v>
      </c>
      <c r="AR12" s="23">
        <f t="shared" ref="AR12:AR18" si="42">AI12/AA12</f>
        <v>147.875</v>
      </c>
    </row>
    <row r="13" ht="15.75" customHeight="1">
      <c r="A13" s="21"/>
      <c r="B13" s="38">
        <v>8.0</v>
      </c>
      <c r="C13" s="38" t="s">
        <v>25</v>
      </c>
      <c r="D13" s="57">
        <v>32.0</v>
      </c>
      <c r="E13" s="40">
        <f>IFERROR(__xludf.DUMMYFUNCTION("COUNT(IMPORTRANGE(""https://docs.google.com/spreadsheets/d/1vLOLpiE-XsbnCnwWPcoi87PlUSXfqIAAQn3kvqHfO6s/edit"",""1!d2:D33""))"),30.0)</f>
        <v>30</v>
      </c>
      <c r="F13" s="45">
        <f>IFERROR(__xludf.DUMMYFUNCTION("SUM(IMPORTRANGE(""https://docs.google.com/spreadsheets/d/1vLOLpiE-XsbnCnwWPcoi87PlUSXfqIAAQn3kvqHfO6s/edit"",""1!Q2:Q33""))"),5699.528)</f>
        <v>5699.528</v>
      </c>
      <c r="G13" s="40">
        <f>IFERROR(__xludf.DUMMYFUNCTION("IMPORTRANGE(""https://docs.google.com/spreadsheets/d/1vLOLpiE-XsbnCnwWPcoi87PlUSXfqIAAQn3kvqHfO6s/edit"",""1!e40"")"),2010.0)</f>
        <v>2010</v>
      </c>
      <c r="H13" s="40">
        <f>IFERROR(__xludf.DUMMYFUNCTION("IMPORTRANGE(""https://docs.google.com/spreadsheets/d/1vLOLpiE-XsbnCnwWPcoi87PlUSXfqIAAQn3kvqHfO6s/edit"",""1!e41"")"),343.0)</f>
        <v>343</v>
      </c>
      <c r="I13" s="40">
        <f t="shared" si="15"/>
        <v>2353</v>
      </c>
      <c r="J13" s="40">
        <f>IFERROR(__xludf.DUMMYFUNCTION("IMPORTRANGE(""https://docs.google.com/spreadsheets/d/1vLOLpiE-XsbnCnwWPcoi87PlUSXfqIAAQn3kvqHfO6s/edit"",""1!e44"")"),3122.0)</f>
        <v>3122</v>
      </c>
      <c r="K13" s="40">
        <f>IFERROR(__xludf.DUMMYFUNCTION("IMPORTRANGE(""https://docs.google.com/spreadsheets/d/1vLOLpiE-XsbnCnwWPcoi87PlUSXfqIAAQn3kvqHfO6s/edit"",""1!e45"")"),83.0)</f>
        <v>83</v>
      </c>
      <c r="L13" s="40">
        <f>J13+K13</f>
        <v>3205</v>
      </c>
      <c r="M13" s="40">
        <f t="shared" si="17"/>
        <v>5558</v>
      </c>
      <c r="N13" s="41">
        <f t="shared" si="18"/>
        <v>189.9842667</v>
      </c>
      <c r="O13" s="38">
        <v>6622.0</v>
      </c>
      <c r="P13" s="42">
        <f t="shared" si="19"/>
        <v>0.8393234672</v>
      </c>
      <c r="Q13" s="43">
        <v>1.5</v>
      </c>
      <c r="R13" s="42">
        <f t="shared" si="20"/>
        <v>0.6501123134</v>
      </c>
      <c r="S13" s="44">
        <f t="shared" si="21"/>
        <v>0.9751684701</v>
      </c>
      <c r="T13" s="43">
        <f>F13/23.84</f>
        <v>239.0741611</v>
      </c>
      <c r="U13" s="43">
        <f t="shared" si="22"/>
        <v>7.969138702</v>
      </c>
      <c r="V13" s="40">
        <f t="shared" si="23"/>
        <v>185.2666667</v>
      </c>
      <c r="X13" s="31">
        <v>2.0</v>
      </c>
      <c r="Y13" s="31" t="s">
        <v>30</v>
      </c>
      <c r="Z13" s="31">
        <f t="shared" ref="Z13:AI13" si="34">SUM(D8)</f>
        <v>60</v>
      </c>
      <c r="AA13" s="32">
        <f t="shared" si="34"/>
        <v>56</v>
      </c>
      <c r="AB13" s="33">
        <f t="shared" si="34"/>
        <v>10957.315</v>
      </c>
      <c r="AC13" s="32">
        <f t="shared" si="34"/>
        <v>2893</v>
      </c>
      <c r="AD13" s="32">
        <f t="shared" si="34"/>
        <v>26</v>
      </c>
      <c r="AE13" s="32">
        <f t="shared" si="34"/>
        <v>2919</v>
      </c>
      <c r="AF13" s="32">
        <f t="shared" si="34"/>
        <v>4504</v>
      </c>
      <c r="AG13" s="32">
        <f t="shared" si="34"/>
        <v>85</v>
      </c>
      <c r="AH13" s="32">
        <f t="shared" si="34"/>
        <v>4589</v>
      </c>
      <c r="AI13" s="32">
        <f t="shared" si="34"/>
        <v>7508</v>
      </c>
      <c r="AJ13" s="34">
        <f t="shared" si="35"/>
        <v>195.6663393</v>
      </c>
      <c r="AK13" s="31">
        <f t="shared" si="36"/>
        <v>11164</v>
      </c>
      <c r="AL13" s="35">
        <f t="shared" si="37"/>
        <v>0.6725188105</v>
      </c>
      <c r="AM13" s="36">
        <f t="shared" si="38"/>
        <v>1.5</v>
      </c>
      <c r="AN13" s="35">
        <f t="shared" si="39"/>
        <v>0.4568029059</v>
      </c>
      <c r="AO13" s="37">
        <f t="shared" si="40"/>
        <v>0.6852043589</v>
      </c>
      <c r="AP13" s="36">
        <f t="shared" ref="AP13:AQ13" si="41">SUM(T8)</f>
        <v>370.1420464</v>
      </c>
      <c r="AQ13" s="36">
        <f t="shared" si="41"/>
        <v>6.6096794</v>
      </c>
      <c r="AR13" s="32">
        <f t="shared" si="42"/>
        <v>134.0714286</v>
      </c>
    </row>
    <row r="14" ht="15.75" customHeight="1">
      <c r="A14" s="21"/>
      <c r="B14" s="38">
        <v>9.0</v>
      </c>
      <c r="C14" s="38" t="s">
        <v>36</v>
      </c>
      <c r="D14" s="57">
        <v>24.0</v>
      </c>
      <c r="E14" s="40">
        <f>IFERROR(__xludf.DUMMYFUNCTION("COUNT(IMPORTRANGE(""https://docs.google.com/spreadsheets/d/1WJJVq25XDtGjt-J2JPxeKs3jIvDZtkIREC0lFPXwf74/edit"",""1!d2:d31""))"),23.0)</f>
        <v>23</v>
      </c>
      <c r="F14" s="45">
        <f>IFERROR(__xludf.DUMMYFUNCTION("SUM(IMPORTRANGE(""https://docs.google.com/spreadsheets/d/1WJJVq25XDtGjt-J2JPxeKs3jIvDZtkIREC0lFPXwf74/edit"",""1!Q2:Q31""))"),4502.800999999998)</f>
        <v>4502.801</v>
      </c>
      <c r="G14" s="40">
        <f>IFERROR(__xludf.DUMMYFUNCTION("IMPORTRANGE(""https://docs.google.com/spreadsheets/d/1WJJVq25XDtGjt-J2JPxeKs3jIvDZtkIREC0lFPXwf74/edit"",""1!e38"")"),1357.0)</f>
        <v>1357</v>
      </c>
      <c r="H14" s="40">
        <f>IFERROR(__xludf.DUMMYFUNCTION("IMPORTRANGE(""https://docs.google.com/spreadsheets/d/1WJJVq25XDtGjt-J2JPxeKs3jIvDZtkIREC0lFPXwf74/edit"",""1!e39"")"),0.0)</f>
        <v>0</v>
      </c>
      <c r="I14" s="40">
        <f t="shared" si="15"/>
        <v>1357</v>
      </c>
      <c r="J14" s="40">
        <f>IFERROR(__xludf.DUMMYFUNCTION("IMPORTRANGE(""https://docs.google.com/spreadsheets/d/1WJJVq25XDtGjt-J2JPxeKs3jIvDZtkIREC0lFPXwf74/edit"",""1!e42"")"),1822.0)</f>
        <v>1822</v>
      </c>
      <c r="K14" s="40">
        <f>IFERROR(__xludf.DUMMYFUNCTION("IMPORTRANGE(""https://docs.google.com/spreadsheets/d/1WJJVq25XDtGjt-J2JPxeKs3jIvDZtkIREC0lFPXwf74/edit"",""1!e43"")"),0.0)</f>
        <v>0</v>
      </c>
      <c r="L14" s="40">
        <f t="shared" ref="L14:L23" si="45">SUM(J14:K14)</f>
        <v>1822</v>
      </c>
      <c r="M14" s="40">
        <f t="shared" si="17"/>
        <v>3179</v>
      </c>
      <c r="N14" s="41">
        <f t="shared" si="18"/>
        <v>195.7739565</v>
      </c>
      <c r="O14" s="38">
        <v>4796.0</v>
      </c>
      <c r="P14" s="42">
        <f t="shared" si="19"/>
        <v>0.6628440367</v>
      </c>
      <c r="Q14" s="43">
        <v>1.5</v>
      </c>
      <c r="R14" s="42">
        <f t="shared" si="20"/>
        <v>0.470669997</v>
      </c>
      <c r="S14" s="44">
        <f t="shared" si="21"/>
        <v>0.7060049956</v>
      </c>
      <c r="T14" s="43">
        <f>F14/37.414</f>
        <v>120.3506976</v>
      </c>
      <c r="U14" s="43">
        <f t="shared" si="22"/>
        <v>5.232639026</v>
      </c>
      <c r="V14" s="40">
        <f t="shared" si="23"/>
        <v>138.2173913</v>
      </c>
      <c r="X14" s="22">
        <v>3.0</v>
      </c>
      <c r="Y14" s="22" t="s">
        <v>34</v>
      </c>
      <c r="Z14" s="22">
        <f t="shared" ref="Z14:AI14" si="43">SUM(D10)</f>
        <v>40</v>
      </c>
      <c r="AA14" s="23">
        <f t="shared" si="43"/>
        <v>38</v>
      </c>
      <c r="AB14" s="24">
        <f t="shared" si="43"/>
        <v>7355.343</v>
      </c>
      <c r="AC14" s="23">
        <f t="shared" si="43"/>
        <v>2283</v>
      </c>
      <c r="AD14" s="23">
        <f t="shared" si="43"/>
        <v>0</v>
      </c>
      <c r="AE14" s="23">
        <f t="shared" si="43"/>
        <v>2283</v>
      </c>
      <c r="AF14" s="23">
        <f t="shared" si="43"/>
        <v>2951</v>
      </c>
      <c r="AG14" s="23">
        <f t="shared" si="43"/>
        <v>0</v>
      </c>
      <c r="AH14" s="23">
        <f t="shared" si="43"/>
        <v>2951</v>
      </c>
      <c r="AI14" s="23">
        <f t="shared" si="43"/>
        <v>5234</v>
      </c>
      <c r="AJ14" s="25">
        <f t="shared" si="35"/>
        <v>193.5616579</v>
      </c>
      <c r="AK14" s="22">
        <f>SUM(O10)</f>
        <v>9354</v>
      </c>
      <c r="AL14" s="26">
        <f t="shared" si="37"/>
        <v>0.559546718</v>
      </c>
      <c r="AM14" s="27">
        <f>SUM(Q10)</f>
        <v>1.5</v>
      </c>
      <c r="AN14" s="26">
        <f t="shared" si="39"/>
        <v>0.4743943734</v>
      </c>
      <c r="AO14" s="28">
        <f t="shared" si="40"/>
        <v>0.71159156</v>
      </c>
      <c r="AP14" s="27">
        <f t="shared" ref="AP14:AQ14" si="44">SUM(T10)</f>
        <v>239.4863087</v>
      </c>
      <c r="AQ14" s="27">
        <f t="shared" si="44"/>
        <v>6.302271282</v>
      </c>
      <c r="AR14" s="23">
        <f t="shared" si="42"/>
        <v>137.7368421</v>
      </c>
    </row>
    <row r="15" ht="15.75" customHeight="1">
      <c r="A15" s="21"/>
      <c r="B15" s="38">
        <v>10.0</v>
      </c>
      <c r="C15" s="38" t="s">
        <v>37</v>
      </c>
      <c r="D15" s="39">
        <v>30.0</v>
      </c>
      <c r="E15" s="40">
        <f>IFERROR(__xludf.DUMMYFUNCTION("COUNT(IMPORTRANGE(""https://docs.google.com/spreadsheets/d/1rJyYfywRpWJW0zvDJHLOJtqUQqffoCGaqTVxxTDgV0k/edit"",""1!d2:d31""))"),29.0)</f>
        <v>29</v>
      </c>
      <c r="F15" s="45">
        <f>IFERROR(__xludf.DUMMYFUNCTION("SUM(IMPORTRANGE(""https://docs.google.com/spreadsheets/d/1rJyYfywRpWJW0zvDJHLOJtqUQqffoCGaqTVxxTDgV0k/edit"",""1!Q2:Q31""))"),5589.060000000002)</f>
        <v>5589.06</v>
      </c>
      <c r="G15" s="40">
        <f>IFERROR(__xludf.DUMMYFUNCTION("(IMPORTRANGE(""https://docs.google.com/spreadsheets/d/1rJyYfywRpWJW0zvDJHLOJtqUQqffoCGaqTVxxTDgV0k/edit"",""1!e38""))"),2001.0)</f>
        <v>2001</v>
      </c>
      <c r="H15" s="40">
        <f>IFERROR(__xludf.DUMMYFUNCTION("(IMPORTRANGE(""https://docs.google.com/spreadsheets/d/1rJyYfywRpWJW0zvDJHLOJtqUQqffoCGaqTVxxTDgV0k/edit"",""1!e39""))"),0.0)</f>
        <v>0</v>
      </c>
      <c r="I15" s="40">
        <f t="shared" si="15"/>
        <v>2001</v>
      </c>
      <c r="J15" s="40">
        <f>IFERROR(__xludf.DUMMYFUNCTION("(IMPORTRANGE(""https://docs.google.com/spreadsheets/d/1rJyYfywRpWJW0zvDJHLOJtqUQqffoCGaqTVxxTDgV0k/edit"",""1!e42""))"),2669.0)</f>
        <v>2669</v>
      </c>
      <c r="K15" s="40">
        <f>IFERROR(__xludf.DUMMYFUNCTION("(IMPORTRANGE(""https://docs.google.com/spreadsheets/d/1rJyYfywRpWJW0zvDJHLOJtqUQqffoCGaqTVxxTDgV0k/edit"",""1!e43""))"),0.0)</f>
        <v>0</v>
      </c>
      <c r="L15" s="40">
        <f t="shared" si="45"/>
        <v>2669</v>
      </c>
      <c r="M15" s="40">
        <f t="shared" si="17"/>
        <v>4670</v>
      </c>
      <c r="N15" s="41">
        <f t="shared" si="18"/>
        <v>192.7262069</v>
      </c>
      <c r="O15" s="38">
        <v>5887.0</v>
      </c>
      <c r="P15" s="42">
        <f t="shared" si="19"/>
        <v>0.7932733141</v>
      </c>
      <c r="Q15" s="43">
        <v>1.5</v>
      </c>
      <c r="R15" s="42">
        <f t="shared" si="20"/>
        <v>0.5570405996</v>
      </c>
      <c r="S15" s="44">
        <f t="shared" si="21"/>
        <v>0.8355608993</v>
      </c>
      <c r="T15" s="43">
        <f>F15/24.792</f>
        <v>225.4380445</v>
      </c>
      <c r="U15" s="43">
        <f t="shared" si="22"/>
        <v>7.773725673</v>
      </c>
      <c r="V15" s="40">
        <f t="shared" si="23"/>
        <v>161.0344828</v>
      </c>
      <c r="X15" s="31">
        <v>4.0</v>
      </c>
      <c r="Y15" s="31" t="s">
        <v>38</v>
      </c>
      <c r="Z15" s="31">
        <f t="shared" ref="Z15:AI15" si="46">SUM(D18)</f>
        <v>30</v>
      </c>
      <c r="AA15" s="32">
        <f t="shared" si="46"/>
        <v>30</v>
      </c>
      <c r="AB15" s="33">
        <f t="shared" si="46"/>
        <v>6429.011</v>
      </c>
      <c r="AC15" s="32">
        <f t="shared" si="46"/>
        <v>1826</v>
      </c>
      <c r="AD15" s="32">
        <f t="shared" si="46"/>
        <v>0</v>
      </c>
      <c r="AE15" s="32">
        <f t="shared" si="46"/>
        <v>1826</v>
      </c>
      <c r="AF15" s="32">
        <f t="shared" si="46"/>
        <v>2445</v>
      </c>
      <c r="AG15" s="32">
        <f t="shared" si="46"/>
        <v>98</v>
      </c>
      <c r="AH15" s="32">
        <f t="shared" si="46"/>
        <v>2543</v>
      </c>
      <c r="AI15" s="32">
        <f t="shared" si="46"/>
        <v>4369</v>
      </c>
      <c r="AJ15" s="34">
        <f t="shared" si="35"/>
        <v>214.3003667</v>
      </c>
      <c r="AK15" s="31">
        <v>7324.0</v>
      </c>
      <c r="AL15" s="35">
        <f t="shared" si="37"/>
        <v>0.5965319498</v>
      </c>
      <c r="AM15" s="36">
        <f>SUM(Q18)</f>
        <v>1.5</v>
      </c>
      <c r="AN15" s="35">
        <f t="shared" si="39"/>
        <v>0.4530505029</v>
      </c>
      <c r="AO15" s="37">
        <f t="shared" si="40"/>
        <v>0.6795757543</v>
      </c>
      <c r="AP15" s="36">
        <f t="shared" ref="AP15:AQ15" si="47">SUM(T18)</f>
        <v>156.0250212</v>
      </c>
      <c r="AQ15" s="36">
        <f t="shared" si="47"/>
        <v>5.200834041</v>
      </c>
      <c r="AR15" s="32">
        <f t="shared" si="42"/>
        <v>145.6333333</v>
      </c>
    </row>
    <row r="16" ht="15.75" customHeight="1">
      <c r="A16" s="21"/>
      <c r="B16" s="38">
        <v>12.0</v>
      </c>
      <c r="C16" s="38" t="s">
        <v>39</v>
      </c>
      <c r="D16" s="39">
        <v>28.0</v>
      </c>
      <c r="E16" s="40">
        <f>IFERROR(__xludf.DUMMYFUNCTION("COUNT(IMPORTRANGE(""https://docs.google.com/spreadsheets/d/1uaTn2DZCfr7O1PvovOd0wElzVz8kpl_iPfnrkNPp0Is/edit"",""1!d2:d29""))"),28.0)</f>
        <v>28</v>
      </c>
      <c r="F16" s="45">
        <f>IFERROR(__xludf.DUMMYFUNCTION("SUM(IMPORTRANGE(""https://docs.google.com/spreadsheets/d/1uaTn2DZCfr7O1PvovOd0wElzVz8kpl_iPfnrkNPp0Is/edit"",""1!Q2:Q29""))"),5373.0260000000035)</f>
        <v>5373.026</v>
      </c>
      <c r="G16" s="40">
        <f>IFERROR(__xludf.DUMMYFUNCTION("IMPORTRANGE(""https://docs.google.com/spreadsheets/d/1uaTn2DZCfr7O1PvovOd0wElzVz8kpl_iPfnrkNPp0Is/edit"",""1!e36"")"),1250.0)</f>
        <v>1250</v>
      </c>
      <c r="H16" s="40">
        <f>IFERROR(__xludf.DUMMYFUNCTION("(IMPORTRANGE(""https://docs.google.com/spreadsheets/d/1uaTn2DZCfr7O1PvovOd0wElzVz8kpl_iPfnrkNPp0Is/edit"",""1!e37""))"),52.0)</f>
        <v>52</v>
      </c>
      <c r="I16" s="40">
        <f t="shared" si="15"/>
        <v>1302</v>
      </c>
      <c r="J16" s="40">
        <f>IFERROR(__xludf.DUMMYFUNCTION("IMPORTRANGE(""https://docs.google.com/spreadsheets/d/1uaTn2DZCfr7O1PvovOd0wElzVz8kpl_iPfnrkNPp0Is/edit"",""1!e40"")"),1768.0)</f>
        <v>1768</v>
      </c>
      <c r="K16" s="40">
        <f>IFERROR(__xludf.DUMMYFUNCTION("IMPORTRANGE(""https://docs.google.com/spreadsheets/d/1uaTn2DZCfr7O1PvovOd0wElzVz8kpl_iPfnrkNPp0Is/edit"",""1!e41"")"),178.0)</f>
        <v>178</v>
      </c>
      <c r="L16" s="40">
        <f t="shared" si="45"/>
        <v>1946</v>
      </c>
      <c r="M16" s="40">
        <f t="shared" si="17"/>
        <v>3248</v>
      </c>
      <c r="N16" s="41">
        <f t="shared" si="18"/>
        <v>191.8937857</v>
      </c>
      <c r="O16" s="38">
        <v>3569.0</v>
      </c>
      <c r="P16" s="42">
        <f t="shared" si="19"/>
        <v>0.91005884</v>
      </c>
      <c r="Q16" s="43">
        <v>1.5</v>
      </c>
      <c r="R16" s="42">
        <f t="shared" si="20"/>
        <v>0.4030007175</v>
      </c>
      <c r="S16" s="44">
        <f t="shared" si="21"/>
        <v>0.6045010763</v>
      </c>
      <c r="T16" s="43">
        <f>F16/21.463</f>
        <v>250.339002</v>
      </c>
      <c r="U16" s="43">
        <f t="shared" si="22"/>
        <v>8.940678643</v>
      </c>
      <c r="V16" s="40">
        <f t="shared" si="23"/>
        <v>116</v>
      </c>
      <c r="X16" s="31">
        <v>5.0</v>
      </c>
      <c r="Y16" s="31" t="s">
        <v>40</v>
      </c>
      <c r="Z16" s="31">
        <f t="shared" ref="Z16:AI16" si="48">SUM(D20)</f>
        <v>30</v>
      </c>
      <c r="AA16" s="32">
        <f t="shared" si="48"/>
        <v>28</v>
      </c>
      <c r="AB16" s="33">
        <f t="shared" si="48"/>
        <v>5205.069</v>
      </c>
      <c r="AC16" s="32">
        <f t="shared" si="48"/>
        <v>3011</v>
      </c>
      <c r="AD16" s="32">
        <f t="shared" si="48"/>
        <v>75</v>
      </c>
      <c r="AE16" s="32">
        <f t="shared" si="48"/>
        <v>3086</v>
      </c>
      <c r="AF16" s="32">
        <f t="shared" si="48"/>
        <v>3435</v>
      </c>
      <c r="AG16" s="32">
        <f t="shared" si="48"/>
        <v>15</v>
      </c>
      <c r="AH16" s="32">
        <f t="shared" si="48"/>
        <v>3450</v>
      </c>
      <c r="AI16" s="32">
        <f t="shared" si="48"/>
        <v>6536</v>
      </c>
      <c r="AJ16" s="34">
        <f t="shared" si="35"/>
        <v>185.8953214</v>
      </c>
      <c r="AK16" s="31">
        <f t="shared" ref="AK16:AK17" si="51">SUM(O20)</f>
        <v>8239</v>
      </c>
      <c r="AL16" s="35">
        <f t="shared" si="37"/>
        <v>0.7933001578</v>
      </c>
      <c r="AM16" s="36">
        <f t="shared" ref="AM16:AM17" si="52">SUM(Q20)</f>
        <v>1.5</v>
      </c>
      <c r="AN16" s="35">
        <f t="shared" si="39"/>
        <v>0.8371326746</v>
      </c>
      <c r="AO16" s="37">
        <f t="shared" si="40"/>
        <v>1.255699012</v>
      </c>
      <c r="AP16" s="36">
        <f t="shared" ref="AP16:AQ16" si="49">SUM(T20)</f>
        <v>183</v>
      </c>
      <c r="AQ16" s="36">
        <f t="shared" si="49"/>
        <v>6.535714286</v>
      </c>
      <c r="AR16" s="32">
        <f t="shared" si="42"/>
        <v>233.4285714</v>
      </c>
    </row>
    <row r="17" ht="15.75" customHeight="1">
      <c r="A17" s="21"/>
      <c r="B17" s="38">
        <v>12.0</v>
      </c>
      <c r="C17" s="38" t="s">
        <v>41</v>
      </c>
      <c r="D17" s="39">
        <v>24.0</v>
      </c>
      <c r="E17" s="40">
        <f>IFERROR(__xludf.DUMMYFUNCTION("COUNT(IMPORTRANGE(""https://docs.google.com/spreadsheets/d/1oYscvfOJW7GMkxt8QcupWuzb3ohaYePd3Mt2V2ufHok/edit"",""1!d2:d25""))"),24.0)</f>
        <v>24</v>
      </c>
      <c r="F17" s="45">
        <f>IFERROR(__xludf.DUMMYFUNCTION("SUM(IMPORTRANGE(""https://docs.google.com/spreadsheets/d/1oYscvfOJW7GMkxt8QcupWuzb3ohaYePd3Mt2V2ufHok/edit"",""1!Q2:Q25""))"),4806.3200000000015)</f>
        <v>4806.32</v>
      </c>
      <c r="G17" s="40">
        <f>IFERROR(__xludf.DUMMYFUNCTION("IMPORTRANGE(""https://docs.google.com/spreadsheets/d/1oYscvfOJW7GMkxt8QcupWuzb3ohaYePd3Mt2V2ufHok/edit"",""1!e32"")"),1263.0)</f>
        <v>1263</v>
      </c>
      <c r="H17" s="40">
        <f>IFERROR(__xludf.DUMMYFUNCTION("IMPORTRANGE(""https://docs.google.com/spreadsheets/d/1oYscvfOJW7GMkxt8QcupWuzb3ohaYePd3Mt2V2ufHok/edit"",""1!e33"")"),0.0)</f>
        <v>0</v>
      </c>
      <c r="I17" s="40">
        <f t="shared" si="15"/>
        <v>1263</v>
      </c>
      <c r="J17" s="40">
        <f>IFERROR(__xludf.DUMMYFUNCTION("IMPORTRANGE(""https://docs.google.com/spreadsheets/d/1oYscvfOJW7GMkxt8QcupWuzb3ohaYePd3Mt2V2ufHok/edit"",""1!e36"")"),1392.0)</f>
        <v>1392</v>
      </c>
      <c r="K17" s="40">
        <f>IFERROR(__xludf.DUMMYFUNCTION("IMPORTRANGE(""https://docs.google.com/spreadsheets/d/1oYscvfOJW7GMkxt8QcupWuzb3ohaYePd3Mt2V2ufHok/edit"",""1!e37"")"),375.0)</f>
        <v>375</v>
      </c>
      <c r="L17" s="40">
        <f t="shared" si="45"/>
        <v>1767</v>
      </c>
      <c r="M17" s="40">
        <f t="shared" si="17"/>
        <v>3030</v>
      </c>
      <c r="N17" s="41">
        <f t="shared" si="18"/>
        <v>200.2633333</v>
      </c>
      <c r="O17" s="38">
        <v>3801.0</v>
      </c>
      <c r="P17" s="42">
        <f t="shared" si="19"/>
        <v>0.7971586425</v>
      </c>
      <c r="Q17" s="43">
        <v>1.5</v>
      </c>
      <c r="R17" s="42">
        <f t="shared" si="20"/>
        <v>0.4202799647</v>
      </c>
      <c r="S17" s="44">
        <f t="shared" si="21"/>
        <v>0.6304199471</v>
      </c>
      <c r="T17" s="43">
        <f>F17/29.628</f>
        <v>162.2222222</v>
      </c>
      <c r="U17" s="43">
        <f t="shared" si="22"/>
        <v>6.759259259</v>
      </c>
      <c r="V17" s="40">
        <f t="shared" si="23"/>
        <v>126.25</v>
      </c>
      <c r="X17" s="22">
        <v>6.0</v>
      </c>
      <c r="Y17" s="22" t="s">
        <v>42</v>
      </c>
      <c r="Z17" s="22">
        <f t="shared" ref="Z17:AI17" si="50">SUM(D21)</f>
        <v>33</v>
      </c>
      <c r="AA17" s="23">
        <f t="shared" si="50"/>
        <v>33</v>
      </c>
      <c r="AB17" s="24">
        <f t="shared" si="50"/>
        <v>6617.215</v>
      </c>
      <c r="AC17" s="23">
        <f t="shared" si="50"/>
        <v>3231</v>
      </c>
      <c r="AD17" s="23">
        <f t="shared" si="50"/>
        <v>33</v>
      </c>
      <c r="AE17" s="23">
        <f t="shared" si="50"/>
        <v>3264</v>
      </c>
      <c r="AF17" s="23">
        <f t="shared" si="50"/>
        <v>3600</v>
      </c>
      <c r="AG17" s="23">
        <f t="shared" si="50"/>
        <v>575</v>
      </c>
      <c r="AH17" s="23">
        <f t="shared" si="50"/>
        <v>4175</v>
      </c>
      <c r="AI17" s="23">
        <f t="shared" si="50"/>
        <v>7439</v>
      </c>
      <c r="AJ17" s="25">
        <f t="shared" si="35"/>
        <v>200.5216667</v>
      </c>
      <c r="AK17" s="22">
        <f t="shared" si="51"/>
        <v>9877</v>
      </c>
      <c r="AL17" s="26">
        <f t="shared" si="37"/>
        <v>0.7531639162</v>
      </c>
      <c r="AM17" s="27">
        <f t="shared" si="52"/>
        <v>1.5</v>
      </c>
      <c r="AN17" s="26">
        <f t="shared" si="39"/>
        <v>0.7494593017</v>
      </c>
      <c r="AO17" s="28">
        <f t="shared" si="40"/>
        <v>1.124188953</v>
      </c>
      <c r="AP17" s="27">
        <f t="shared" ref="AP17:AQ17" si="53">SUM(T21)</f>
        <v>253</v>
      </c>
      <c r="AQ17" s="27">
        <f t="shared" si="53"/>
        <v>7.666666667</v>
      </c>
      <c r="AR17" s="23">
        <f t="shared" si="42"/>
        <v>225.4242424</v>
      </c>
    </row>
    <row r="18" ht="15.75" customHeight="1">
      <c r="A18" s="21"/>
      <c r="B18" s="38">
        <v>13.0</v>
      </c>
      <c r="C18" s="38" t="s">
        <v>43</v>
      </c>
      <c r="D18" s="39">
        <v>30.0</v>
      </c>
      <c r="E18" s="40">
        <f>IFERROR(__xludf.DUMMYFUNCTION("COUNT(IMPORTRANGE(""https://docs.google.com/spreadsheets/d/1AxBmuQEdOYAeRnZ4C8vO6kuTNp7X_SGhpLXuY0n4ln4/edit"",""1!d2:d31""))"),30.0)</f>
        <v>30</v>
      </c>
      <c r="F18" s="45">
        <f>IFERROR(__xludf.DUMMYFUNCTION("SUM(IMPORTRANGE(""https://docs.google.com/spreadsheets/d/1AxBmuQEdOYAeRnZ4C8vO6kuTNp7X_SGhpLXuY0n4ln4/edit"",""1!Q2:Q31""))"),6429.0109999999995)</f>
        <v>6429.011</v>
      </c>
      <c r="G18" s="40">
        <f>IFERROR(__xludf.DUMMYFUNCTION("IMPORTRANGE(""https://docs.google.com/spreadsheets/d/1AxBmuQEdOYAeRnZ4C8vO6kuTNp7X_SGhpLXuY0n4ln4/edit"",""1!e38"")"),1826.0)</f>
        <v>1826</v>
      </c>
      <c r="H18" s="40">
        <f>IFERROR(__xludf.DUMMYFUNCTION("IMPORTRANGE(""https://docs.google.com/spreadsheets/d/1AxBmuQEdOYAeRnZ4C8vO6kuTNp7X_SGhpLXuY0n4ln4/edit"",""1!e39"")"),0.0)</f>
        <v>0</v>
      </c>
      <c r="I18" s="40">
        <f t="shared" si="15"/>
        <v>1826</v>
      </c>
      <c r="J18" s="40">
        <f>IFERROR(__xludf.DUMMYFUNCTION("IMPORTRANGE(""https://docs.google.com/spreadsheets/d/1AxBmuQEdOYAeRnZ4C8vO6kuTNp7X_SGhpLXuY0n4ln4/edit"",""1!e42"")"),2445.0)</f>
        <v>2445</v>
      </c>
      <c r="K18" s="40">
        <f>IFERROR(__xludf.DUMMYFUNCTION("IMPORTRANGE(""https://docs.google.com/spreadsheets/d/1AxBmuQEdOYAeRnZ4C8vO6kuTNp7X_SGhpLXuY0n4ln4/edit"",""1!e43"")"),98.0)</f>
        <v>98</v>
      </c>
      <c r="L18" s="40">
        <f t="shared" si="45"/>
        <v>2543</v>
      </c>
      <c r="M18" s="40">
        <f t="shared" si="17"/>
        <v>4369</v>
      </c>
      <c r="N18" s="41">
        <f t="shared" si="18"/>
        <v>214.3003667</v>
      </c>
      <c r="O18" s="38">
        <v>8345.0</v>
      </c>
      <c r="P18" s="42">
        <f t="shared" si="19"/>
        <v>0.5235470342</v>
      </c>
      <c r="Q18" s="43">
        <v>1.5</v>
      </c>
      <c r="R18" s="42">
        <f t="shared" si="20"/>
        <v>0.4530505029</v>
      </c>
      <c r="S18" s="44">
        <f t="shared" si="21"/>
        <v>0.6795757543</v>
      </c>
      <c r="T18" s="43">
        <f>F18/41.205</f>
        <v>156.0250212</v>
      </c>
      <c r="U18" s="43">
        <f t="shared" si="22"/>
        <v>5.200834041</v>
      </c>
      <c r="V18" s="40">
        <f t="shared" si="23"/>
        <v>145.6333333</v>
      </c>
      <c r="X18" s="46" t="s">
        <v>33</v>
      </c>
      <c r="Y18" s="46">
        <v>6.0</v>
      </c>
      <c r="Z18" s="46">
        <f t="shared" ref="Z18:AI18" si="54">SUM(Z12:Z17)</f>
        <v>226</v>
      </c>
      <c r="AA18" s="47">
        <f t="shared" si="54"/>
        <v>217</v>
      </c>
      <c r="AB18" s="49">
        <f t="shared" si="54"/>
        <v>42705.397</v>
      </c>
      <c r="AC18" s="47">
        <f t="shared" si="54"/>
        <v>15280</v>
      </c>
      <c r="AD18" s="47">
        <f t="shared" si="54"/>
        <v>239</v>
      </c>
      <c r="AE18" s="47">
        <f t="shared" si="54"/>
        <v>15519</v>
      </c>
      <c r="AF18" s="47">
        <f t="shared" si="54"/>
        <v>19328</v>
      </c>
      <c r="AG18" s="47">
        <f t="shared" si="54"/>
        <v>971</v>
      </c>
      <c r="AH18" s="47">
        <f t="shared" si="54"/>
        <v>20299</v>
      </c>
      <c r="AI18" s="47">
        <f t="shared" si="54"/>
        <v>35818</v>
      </c>
      <c r="AJ18" s="49">
        <f t="shared" si="35"/>
        <v>196.7990645</v>
      </c>
      <c r="AK18" s="46">
        <f>SUM(AK12:AK17)</f>
        <v>53273</v>
      </c>
      <c r="AL18" s="50">
        <f t="shared" si="37"/>
        <v>0.6723480938</v>
      </c>
      <c r="AM18" s="51">
        <v>1.5</v>
      </c>
      <c r="AN18" s="50">
        <f t="shared" si="39"/>
        <v>0.5591486871</v>
      </c>
      <c r="AO18" s="52">
        <f t="shared" si="40"/>
        <v>0.8387230307</v>
      </c>
      <c r="AP18" s="51">
        <f>SUM(AP12:AP17)</f>
        <v>1400.424908</v>
      </c>
      <c r="AQ18" s="51">
        <f>AP18/AA18</f>
        <v>6.453571003</v>
      </c>
      <c r="AR18" s="47">
        <f t="shared" si="42"/>
        <v>165.0599078</v>
      </c>
    </row>
    <row r="19" ht="15.75" customHeight="1">
      <c r="A19" s="21"/>
      <c r="B19" s="38">
        <v>14.0</v>
      </c>
      <c r="C19" s="38" t="s">
        <v>27</v>
      </c>
      <c r="D19" s="39">
        <v>30.0</v>
      </c>
      <c r="E19" s="40">
        <f>IFERROR(__xludf.DUMMYFUNCTION("COUNT(IMPORTRANGE(""https://docs.google.com/spreadsheets/d/1LsL4JuXvBtfJ-TVi4NFml9lV_pmd61b789A_nbO-QrA/edit"",""1!d2:d31""))"),29.0)</f>
        <v>29</v>
      </c>
      <c r="F19" s="45">
        <f>IFERROR(__xludf.DUMMYFUNCTION("SUM(IMPORTRANGE(""https://docs.google.com/spreadsheets/d/1LsL4JuXvBtfJ-TVi4NFml9lV_pmd61b789A_nbO-QrA/edit"",""1!Q2:Q31""))"),5705.58)</f>
        <v>5705.58</v>
      </c>
      <c r="G19" s="40">
        <f>IFERROR(__xludf.DUMMYFUNCTION("IMPORTRANGE(""https://docs.google.com/spreadsheets/d/1LsL4JuXvBtfJ-TVi4NFml9lV_pmd61b789A_nbO-QrA/edit"",""1!e38"")"),2473.0)</f>
        <v>2473</v>
      </c>
      <c r="H19" s="40">
        <f>IFERROR(__xludf.DUMMYFUNCTION("IMPORTRANGE(""https://docs.google.com/spreadsheets/d/1LsL4JuXvBtfJ-TVi4NFml9lV_pmd61b789A_nbO-QrA/edit"",""1!e39"")"),128.0)</f>
        <v>128</v>
      </c>
      <c r="I19" s="40">
        <f t="shared" si="15"/>
        <v>2601</v>
      </c>
      <c r="J19" s="40">
        <f>IFERROR(__xludf.DUMMYFUNCTION("IMPORTRANGE(""https://docs.google.com/spreadsheets/d/1LsL4JuXvBtfJ-TVi4NFml9lV_pmd61b789A_nbO-QrA/edit"",""1!e42"")"),1994.0)</f>
        <v>1994</v>
      </c>
      <c r="K19" s="40">
        <f>IFERROR(__xludf.DUMMYFUNCTION("IMPORTRANGE(""https://docs.google.com/spreadsheets/d/1LsL4JuXvBtfJ-TVi4NFml9lV_pmd61b789A_nbO-QrA/edit"",""1!e43"")"),126.0)</f>
        <v>126</v>
      </c>
      <c r="L19" s="40">
        <f t="shared" si="45"/>
        <v>2120</v>
      </c>
      <c r="M19" s="40">
        <f t="shared" si="17"/>
        <v>4721</v>
      </c>
      <c r="N19" s="41">
        <f t="shared" si="18"/>
        <v>196.7441379</v>
      </c>
      <c r="O19" s="38">
        <v>8101.0</v>
      </c>
      <c r="P19" s="42">
        <f t="shared" si="19"/>
        <v>0.5827675596</v>
      </c>
      <c r="Q19" s="43">
        <v>1.5</v>
      </c>
      <c r="R19" s="42">
        <f t="shared" si="20"/>
        <v>0.5516237321</v>
      </c>
      <c r="S19" s="44">
        <f t="shared" si="21"/>
        <v>0.8274355981</v>
      </c>
      <c r="T19" s="43">
        <f>F19/19.985</f>
        <v>285.4931198</v>
      </c>
      <c r="U19" s="43">
        <f t="shared" si="22"/>
        <v>9.844590339</v>
      </c>
      <c r="V19" s="40">
        <f t="shared" si="23"/>
        <v>162.7931034</v>
      </c>
      <c r="X19" s="59" t="s">
        <v>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6"/>
    </row>
    <row r="20" ht="15.75" customHeight="1">
      <c r="A20" s="21"/>
      <c r="B20" s="38">
        <v>15.0</v>
      </c>
      <c r="C20" s="38" t="s">
        <v>40</v>
      </c>
      <c r="D20" s="39">
        <v>30.0</v>
      </c>
      <c r="E20" s="40">
        <f>IFERROR(__xludf.DUMMYFUNCTION("COUNT(IMPORTRANGE(""https://docs.google.com/spreadsheets/d/1Krav0MVlY0vbUNsFRDnb_kR72_tyuGnWBYbGjNZrl18/edit"",""1!d2:d31""))"),28.0)</f>
        <v>28</v>
      </c>
      <c r="F20" s="45">
        <f>IFERROR(__xludf.DUMMYFUNCTION("SUM(IMPORTRANGE(""https://docs.google.com/spreadsheets/d/1Krav0MVlY0vbUNsFRDnb_kR72_tyuGnWBYbGjNZrl18/edit"",""1!Q2:Q31""))"),5205.0689999999995)</f>
        <v>5205.069</v>
      </c>
      <c r="G20" s="40">
        <f>IFERROR(__xludf.DUMMYFUNCTION("IMPORTRANGE(""https://docs.google.com/spreadsheets/d/1Krav0MVlY0vbUNsFRDnb_kR72_tyuGnWBYbGjNZrl18/edit"",""1!e38"")"),3011.0)</f>
        <v>3011</v>
      </c>
      <c r="H20" s="40">
        <f>IFERROR(__xludf.DUMMYFUNCTION("IMPORTRANGE(""https://docs.google.com/spreadsheets/d/1Krav0MVlY0vbUNsFRDnb_kR72_tyuGnWBYbGjNZrl18/edit"",""1!e39"")"),75.0)</f>
        <v>75</v>
      </c>
      <c r="I20" s="40">
        <f t="shared" si="15"/>
        <v>3086</v>
      </c>
      <c r="J20" s="40">
        <f>IFERROR(__xludf.DUMMYFUNCTION("IMPORTRANGE(""https://docs.google.com/spreadsheets/d/1Krav0MVlY0vbUNsFRDnb_kR72_tyuGnWBYbGjNZrl18/edit"",""1!e42"")"),3435.0)</f>
        <v>3435</v>
      </c>
      <c r="K20" s="40">
        <f>IFERROR(__xludf.DUMMYFUNCTION("IMPORTRANGE(""https://docs.google.com/spreadsheets/d/1Krav0MVlY0vbUNsFRDnb_kR72_tyuGnWBYbGjNZrl18/edit"",""1!e43"")"),15.0)</f>
        <v>15</v>
      </c>
      <c r="L20" s="40">
        <f t="shared" si="45"/>
        <v>3450</v>
      </c>
      <c r="M20" s="40">
        <f t="shared" si="17"/>
        <v>6536</v>
      </c>
      <c r="N20" s="41">
        <f t="shared" si="18"/>
        <v>185.8953214</v>
      </c>
      <c r="O20" s="38">
        <v>8239.0</v>
      </c>
      <c r="P20" s="42">
        <f t="shared" si="19"/>
        <v>0.7933001578</v>
      </c>
      <c r="Q20" s="43">
        <v>1.5</v>
      </c>
      <c r="R20" s="42">
        <f t="shared" si="20"/>
        <v>0.8371326746</v>
      </c>
      <c r="S20" s="44">
        <f t="shared" si="21"/>
        <v>1.255699012</v>
      </c>
      <c r="T20" s="43">
        <f>F20/28.443</f>
        <v>183</v>
      </c>
      <c r="U20" s="43">
        <f t="shared" si="22"/>
        <v>6.535714286</v>
      </c>
      <c r="V20" s="40">
        <f t="shared" si="23"/>
        <v>233.4285714</v>
      </c>
      <c r="X20" s="14" t="s">
        <v>2</v>
      </c>
      <c r="Y20" s="14" t="s">
        <v>3</v>
      </c>
      <c r="Z20" s="14" t="s">
        <v>4</v>
      </c>
      <c r="AA20" s="14" t="s">
        <v>5</v>
      </c>
      <c r="AB20" s="15" t="s">
        <v>6</v>
      </c>
      <c r="AC20" s="14" t="s">
        <v>7</v>
      </c>
      <c r="AD20" s="14" t="s">
        <v>8</v>
      </c>
      <c r="AE20" s="14" t="s">
        <v>9</v>
      </c>
      <c r="AF20" s="14" t="s">
        <v>10</v>
      </c>
      <c r="AG20" s="14" t="s">
        <v>11</v>
      </c>
      <c r="AH20" s="14" t="s">
        <v>12</v>
      </c>
      <c r="AI20" s="14" t="s">
        <v>13</v>
      </c>
      <c r="AJ20" s="15" t="s">
        <v>14</v>
      </c>
      <c r="AK20" s="14" t="s">
        <v>15</v>
      </c>
      <c r="AL20" s="14" t="s">
        <v>16</v>
      </c>
      <c r="AM20" s="16" t="s">
        <v>17</v>
      </c>
      <c r="AN20" s="17" t="s">
        <v>18</v>
      </c>
      <c r="AO20" s="18" t="s">
        <v>19</v>
      </c>
      <c r="AP20" s="19" t="s">
        <v>20</v>
      </c>
      <c r="AQ20" s="19" t="s">
        <v>21</v>
      </c>
      <c r="AR20" s="20" t="s">
        <v>22</v>
      </c>
    </row>
    <row r="21" ht="15.75" customHeight="1">
      <c r="A21" s="21"/>
      <c r="B21" s="38">
        <v>16.0</v>
      </c>
      <c r="C21" s="38" t="s">
        <v>42</v>
      </c>
      <c r="D21" s="39">
        <v>33.0</v>
      </c>
      <c r="E21" s="40">
        <f>IFERROR(__xludf.DUMMYFUNCTION("COUNT(IMPORTRANGE(""https://docs.google.com/spreadsheets/d/1uXtm-E8PG0CetlFmSpTX3RK0LNEMnpR-mxbET9AGD6w/edit"",""1!d2:d34""))"),33.0)</f>
        <v>33</v>
      </c>
      <c r="F21" s="45">
        <f>IFERROR(__xludf.DUMMYFUNCTION("SUM(IMPORTRANGE(""https://docs.google.com/spreadsheets/d/1uXtm-E8PG0CetlFmSpTX3RK0LNEMnpR-mxbET9AGD6w/edit"",""1!Q2:Q34""))"),6617.214999999996)</f>
        <v>6617.215</v>
      </c>
      <c r="G21" s="40">
        <f>IFERROR(__xludf.DUMMYFUNCTION("IMPORTRANGE(""https://docs.google.com/spreadsheets/d/1uXtm-E8PG0CetlFmSpTX3RK0LNEMnpR-mxbET9AGD6w/edit"",""1!e41"")"),3231.0)</f>
        <v>3231</v>
      </c>
      <c r="H21" s="40">
        <f>IFERROR(__xludf.DUMMYFUNCTION("IMPORTRANGE(""https://docs.google.com/spreadsheets/d/1uXtm-E8PG0CetlFmSpTX3RK0LNEMnpR-mxbET9AGD6w/edit"",""1!e42"")"),33.0)</f>
        <v>33</v>
      </c>
      <c r="I21" s="40">
        <f t="shared" si="15"/>
        <v>3264</v>
      </c>
      <c r="J21" s="40">
        <f>IFERROR(__xludf.DUMMYFUNCTION("IMPORTRANGE(""https://docs.google.com/spreadsheets/d/1uXtm-E8PG0CetlFmSpTX3RK0LNEMnpR-mxbET9AGD6w/edit"",""1!e45"")"),3600.0)</f>
        <v>3600</v>
      </c>
      <c r="K21" s="40">
        <f>IFERROR(__xludf.DUMMYFUNCTION("IMPORTRANGE(""https://docs.google.com/spreadsheets/d/1uXtm-E8PG0CetlFmSpTX3RK0LNEMnpR-mxbET9AGD6w/edit"",""1!e46"")"),575.0)</f>
        <v>575</v>
      </c>
      <c r="L21" s="40">
        <f t="shared" si="45"/>
        <v>4175</v>
      </c>
      <c r="M21" s="40">
        <f t="shared" si="17"/>
        <v>7439</v>
      </c>
      <c r="N21" s="41">
        <f t="shared" si="18"/>
        <v>200.5216667</v>
      </c>
      <c r="O21" s="38">
        <v>9877.0</v>
      </c>
      <c r="P21" s="42">
        <f t="shared" si="19"/>
        <v>0.7531639162</v>
      </c>
      <c r="Q21" s="43">
        <v>1.5</v>
      </c>
      <c r="R21" s="42">
        <f t="shared" si="20"/>
        <v>0.7494593017</v>
      </c>
      <c r="S21" s="44">
        <f t="shared" si="21"/>
        <v>1.124188953</v>
      </c>
      <c r="T21" s="43">
        <f>F21/26.155</f>
        <v>253</v>
      </c>
      <c r="U21" s="43">
        <f t="shared" si="22"/>
        <v>7.666666667</v>
      </c>
      <c r="V21" s="40">
        <f t="shared" si="23"/>
        <v>225.4242424</v>
      </c>
      <c r="X21" s="31">
        <v>1.0</v>
      </c>
      <c r="Y21" s="31" t="s">
        <v>26</v>
      </c>
      <c r="Z21" s="31">
        <f t="shared" ref="Z21:AI21" si="55">SUM(D6)</f>
        <v>20</v>
      </c>
      <c r="AA21" s="32">
        <f t="shared" si="55"/>
        <v>20</v>
      </c>
      <c r="AB21" s="34">
        <f t="shared" si="55"/>
        <v>3589.947</v>
      </c>
      <c r="AC21" s="32">
        <f t="shared" si="55"/>
        <v>1811</v>
      </c>
      <c r="AD21" s="32">
        <f t="shared" si="55"/>
        <v>0</v>
      </c>
      <c r="AE21" s="32">
        <f t="shared" si="55"/>
        <v>1811</v>
      </c>
      <c r="AF21" s="32">
        <f t="shared" si="55"/>
        <v>2360</v>
      </c>
      <c r="AG21" s="32">
        <f t="shared" si="55"/>
        <v>0</v>
      </c>
      <c r="AH21" s="32">
        <f t="shared" si="55"/>
        <v>2360</v>
      </c>
      <c r="AI21" s="32">
        <f t="shared" si="55"/>
        <v>4171</v>
      </c>
      <c r="AJ21" s="34">
        <f t="shared" ref="AJ21:AJ27" si="58">AB21/AA21</f>
        <v>179.49735</v>
      </c>
      <c r="AK21" s="31">
        <f>SUM(O6)</f>
        <v>5161</v>
      </c>
      <c r="AL21" s="35">
        <f t="shared" ref="AL21:AL27" si="59">AI21/AK21</f>
        <v>0.8081767099</v>
      </c>
      <c r="AM21" s="36">
        <f>SUM(Q6)</f>
        <v>1.5</v>
      </c>
      <c r="AN21" s="35">
        <f t="shared" ref="AN21:AN27" si="60">AO21/AM21</f>
        <v>0.7745703952</v>
      </c>
      <c r="AO21" s="37">
        <f t="shared" ref="AO21:AO27" si="61">AI21/AB21</f>
        <v>1.161855593</v>
      </c>
      <c r="AP21" s="36">
        <f t="shared" ref="AP21:AQ21" si="56">SUM(T6)</f>
        <v>249.0424558</v>
      </c>
      <c r="AQ21" s="36">
        <f t="shared" si="56"/>
        <v>12.45212279</v>
      </c>
      <c r="AR21" s="32">
        <f t="shared" ref="AR21:AR27" si="63">AI21/AA21</f>
        <v>208.55</v>
      </c>
    </row>
    <row r="22" ht="15.75" customHeight="1">
      <c r="A22" s="21"/>
      <c r="B22" s="38">
        <v>17.0</v>
      </c>
      <c r="C22" s="38" t="s">
        <v>29</v>
      </c>
      <c r="D22" s="39">
        <v>30.0</v>
      </c>
      <c r="E22" s="40">
        <f>IFERROR(__xludf.DUMMYFUNCTION("COUNT(IMPORTRANGE(""https://docs.google.com/spreadsheets/d/12xcKI0lSnAsjEsxfm9K8Qx0B_89Gzsh816mowItkQao/edit"",""1!d2:d31""))"),29.0)</f>
        <v>29</v>
      </c>
      <c r="F22" s="45">
        <f>IFERROR(__xludf.DUMMYFUNCTION("SUM(IMPORTRANGE(""https://docs.google.com/spreadsheets/d/12xcKI0lSnAsjEsxfm9K8Qx0B_89Gzsh816mowItkQao/edit"",""1!Q2:Q31""))"),5702.322000000001)</f>
        <v>5702.322</v>
      </c>
      <c r="G22" s="40">
        <f>IFERROR(__xludf.DUMMYFUNCTION("IMPORTRANGE(""https://docs.google.com/spreadsheets/d/12xcKI0lSnAsjEsxfm9K8Qx0B_89Gzsh816mowItkQao/edit"",""1!e38"")"),2306.0)</f>
        <v>2306</v>
      </c>
      <c r="H22" s="40">
        <f>IFERROR(__xludf.DUMMYFUNCTION("IMPORTRANGE(""https://docs.google.com/spreadsheets/d/12xcKI0lSnAsjEsxfm9K8Qx0B_89Gzsh816mowItkQao/edit"",""1!e39"")"),0.0)</f>
        <v>0</v>
      </c>
      <c r="I22" s="40">
        <f t="shared" si="15"/>
        <v>2306</v>
      </c>
      <c r="J22" s="40">
        <f>IFERROR(__xludf.DUMMYFUNCTION("IMPORTRANGE(""https://docs.google.com/spreadsheets/d/12xcKI0lSnAsjEsxfm9K8Qx0B_89Gzsh816mowItkQao/edit"",""1!e42"")"),3601.0)</f>
        <v>3601</v>
      </c>
      <c r="K22" s="40">
        <f>IFERROR(__xludf.DUMMYFUNCTION("IMPORTRANGE(""https://docs.google.com/spreadsheets/d/12xcKI0lSnAsjEsxfm9K8Qx0B_89Gzsh816mowItkQao/edit"",""1!e43"")"),0.0)</f>
        <v>0</v>
      </c>
      <c r="L22" s="40">
        <f t="shared" si="45"/>
        <v>3601</v>
      </c>
      <c r="M22" s="40">
        <f t="shared" si="17"/>
        <v>5907</v>
      </c>
      <c r="N22" s="41">
        <f t="shared" si="18"/>
        <v>196.6317931</v>
      </c>
      <c r="O22" s="38">
        <v>9201.0</v>
      </c>
      <c r="P22" s="42">
        <f t="shared" si="19"/>
        <v>0.6419954353</v>
      </c>
      <c r="Q22" s="43">
        <v>1.5</v>
      </c>
      <c r="R22" s="42">
        <f t="shared" si="20"/>
        <v>0.690595866</v>
      </c>
      <c r="S22" s="44">
        <f t="shared" si="21"/>
        <v>1.035893799</v>
      </c>
      <c r="T22" s="43">
        <f>F22/26.038</f>
        <v>219</v>
      </c>
      <c r="U22" s="43">
        <f t="shared" si="22"/>
        <v>7.551724138</v>
      </c>
      <c r="V22" s="40">
        <f t="shared" si="23"/>
        <v>203.6896552</v>
      </c>
      <c r="X22" s="31">
        <v>2.0</v>
      </c>
      <c r="Y22" s="31" t="s">
        <v>32</v>
      </c>
      <c r="Z22" s="31">
        <f t="shared" ref="Z22:AI22" si="57">SUM(D9)</f>
        <v>42</v>
      </c>
      <c r="AA22" s="32">
        <f t="shared" si="57"/>
        <v>39</v>
      </c>
      <c r="AB22" s="33">
        <f t="shared" si="57"/>
        <v>7827.768</v>
      </c>
      <c r="AC22" s="31">
        <f t="shared" si="57"/>
        <v>4318</v>
      </c>
      <c r="AD22" s="31">
        <f t="shared" si="57"/>
        <v>0</v>
      </c>
      <c r="AE22" s="32">
        <f t="shared" si="57"/>
        <v>4318</v>
      </c>
      <c r="AF22" s="31">
        <f t="shared" si="57"/>
        <v>4924</v>
      </c>
      <c r="AG22" s="31">
        <f t="shared" si="57"/>
        <v>0</v>
      </c>
      <c r="AH22" s="32">
        <f t="shared" si="57"/>
        <v>4924</v>
      </c>
      <c r="AI22" s="32">
        <f t="shared" si="57"/>
        <v>9242</v>
      </c>
      <c r="AJ22" s="34">
        <f t="shared" si="58"/>
        <v>200.712</v>
      </c>
      <c r="AK22" s="31">
        <f>SUM(O9)</f>
        <v>13817</v>
      </c>
      <c r="AL22" s="35">
        <f t="shared" si="59"/>
        <v>0.6688861547</v>
      </c>
      <c r="AM22" s="36">
        <f>SUM(Q9)</f>
        <v>1.5</v>
      </c>
      <c r="AN22" s="35">
        <f t="shared" si="60"/>
        <v>0.7871124097</v>
      </c>
      <c r="AO22" s="37">
        <f t="shared" si="61"/>
        <v>1.180668615</v>
      </c>
      <c r="AP22" s="36">
        <f t="shared" ref="AP22:AQ22" si="62">SUM(T9)</f>
        <v>312</v>
      </c>
      <c r="AQ22" s="36">
        <f t="shared" si="62"/>
        <v>8</v>
      </c>
      <c r="AR22" s="32">
        <f t="shared" si="63"/>
        <v>236.974359</v>
      </c>
    </row>
    <row r="23" ht="15.75" customHeight="1">
      <c r="A23" s="21"/>
      <c r="B23" s="38">
        <v>18.0</v>
      </c>
      <c r="C23" s="38" t="s">
        <v>31</v>
      </c>
      <c r="D23" s="39">
        <v>15.0</v>
      </c>
      <c r="E23" s="40">
        <f>IFERROR(__xludf.DUMMYFUNCTION("COUNT(IMPORTRANGE(""https://docs.google.com/spreadsheets/d/1fgCFOFzOla4Qim6_-zG-lbYhLCItqv_kZiAHoErRgcM/edit"",""1!d2:d16""))"),15.0)</f>
        <v>15</v>
      </c>
      <c r="F23" s="41">
        <f>IFERROR(__xludf.DUMMYFUNCTION("SUM(IMPORTRANGE(""https://docs.google.com/spreadsheets/d/1fgCFOFzOla4Qim6_-zG-lbYhLCItqv_kZiAHoErRgcM/edit"",""1!Q2:Q16""))"),2999.085)</f>
        <v>2999.085</v>
      </c>
      <c r="G23" s="40">
        <f>IFERROR(__xludf.DUMMYFUNCTION("IMPORTRANGE(""https://docs.google.com/spreadsheets/d/1fgCFOFzOla4Qim6_-zG-lbYhLCItqv_kZiAHoErRgcM/edit"",""1!e23"")"),923.0)</f>
        <v>923</v>
      </c>
      <c r="H23" s="40">
        <f>IFERROR(__xludf.DUMMYFUNCTION("IMPORTRANGE(""https://docs.google.com/spreadsheets/d/1fgCFOFzOla4Qim6_-zG-lbYhLCItqv_kZiAHoErRgcM/edit"",""1!e24"")"),15.0)</f>
        <v>15</v>
      </c>
      <c r="I23" s="40">
        <f t="shared" si="15"/>
        <v>938</v>
      </c>
      <c r="J23" s="40">
        <f>IFERROR(__xludf.DUMMYFUNCTION("IMPORTRANGE(""https://docs.google.com/spreadsheets/d/1fgCFOFzOla4Qim6_-zG-lbYhLCItqv_kZiAHoErRgcM/edit"",""1!e27"")"),1060.0)</f>
        <v>1060</v>
      </c>
      <c r="K23" s="40">
        <f>IFERROR(__xludf.DUMMYFUNCTION("IMPORTRANGE(""https://docs.google.com/spreadsheets/d/1fgCFOFzOla4Qim6_-zG-lbYhLCItqv_kZiAHoErRgcM/edit"",""1!e28"")"),0.0)</f>
        <v>0</v>
      </c>
      <c r="L23" s="40">
        <f t="shared" si="45"/>
        <v>1060</v>
      </c>
      <c r="M23" s="40">
        <f t="shared" si="17"/>
        <v>1998</v>
      </c>
      <c r="N23" s="41">
        <f t="shared" si="18"/>
        <v>199.939</v>
      </c>
      <c r="O23" s="38">
        <v>2717.0</v>
      </c>
      <c r="P23" s="42">
        <f t="shared" si="19"/>
        <v>0.7353698933</v>
      </c>
      <c r="Q23" s="43">
        <v>1.5</v>
      </c>
      <c r="R23" s="42">
        <f t="shared" si="20"/>
        <v>0.4441354613</v>
      </c>
      <c r="S23" s="44">
        <f t="shared" si="21"/>
        <v>0.666203192</v>
      </c>
      <c r="T23" s="43">
        <f>F23/43.465</f>
        <v>69</v>
      </c>
      <c r="U23" s="43">
        <f t="shared" si="22"/>
        <v>4.6</v>
      </c>
      <c r="V23" s="40">
        <f t="shared" si="23"/>
        <v>133.2</v>
      </c>
      <c r="X23" s="31">
        <v>3.0</v>
      </c>
      <c r="Y23" s="31" t="s">
        <v>36</v>
      </c>
      <c r="Z23" s="31">
        <f t="shared" ref="Z23:AI23" si="64">SUM(D14)</f>
        <v>24</v>
      </c>
      <c r="AA23" s="32">
        <f t="shared" si="64"/>
        <v>23</v>
      </c>
      <c r="AB23" s="33">
        <f t="shared" si="64"/>
        <v>4502.801</v>
      </c>
      <c r="AC23" s="32">
        <f t="shared" si="64"/>
        <v>1357</v>
      </c>
      <c r="AD23" s="32">
        <f t="shared" si="64"/>
        <v>0</v>
      </c>
      <c r="AE23" s="32">
        <f t="shared" si="64"/>
        <v>1357</v>
      </c>
      <c r="AF23" s="32">
        <f t="shared" si="64"/>
        <v>1822</v>
      </c>
      <c r="AG23" s="32">
        <f t="shared" si="64"/>
        <v>0</v>
      </c>
      <c r="AH23" s="32">
        <f t="shared" si="64"/>
        <v>1822</v>
      </c>
      <c r="AI23" s="32">
        <f t="shared" si="64"/>
        <v>3179</v>
      </c>
      <c r="AJ23" s="34">
        <f t="shared" si="58"/>
        <v>195.7739565</v>
      </c>
      <c r="AK23" s="31">
        <f t="shared" ref="AK23:AK26" si="68">SUM(O14)</f>
        <v>4796</v>
      </c>
      <c r="AL23" s="35">
        <f t="shared" si="59"/>
        <v>0.6628440367</v>
      </c>
      <c r="AM23" s="36">
        <f t="shared" ref="AM23:AM26" si="69">SUM(Q14)</f>
        <v>1.5</v>
      </c>
      <c r="AN23" s="35">
        <f t="shared" si="60"/>
        <v>0.470669997</v>
      </c>
      <c r="AO23" s="37">
        <f t="shared" si="61"/>
        <v>0.7060049956</v>
      </c>
      <c r="AP23" s="36">
        <f t="shared" ref="AP23:AQ23" si="65">SUM(T14)</f>
        <v>120.3506976</v>
      </c>
      <c r="AQ23" s="36">
        <f t="shared" si="65"/>
        <v>5.232639026</v>
      </c>
      <c r="AR23" s="32">
        <f t="shared" si="63"/>
        <v>138.2173913</v>
      </c>
    </row>
    <row r="24" ht="15.75" customHeight="1">
      <c r="A24" s="21"/>
      <c r="B24" s="60" t="s">
        <v>33</v>
      </c>
      <c r="C24" s="60">
        <v>18.0</v>
      </c>
      <c r="D24" s="60">
        <f t="shared" ref="D24:M24" si="66">SUM(D6:D23)</f>
        <v>580</v>
      </c>
      <c r="E24" s="61">
        <f t="shared" si="66"/>
        <v>561</v>
      </c>
      <c r="F24" s="62">
        <f t="shared" si="66"/>
        <v>109626.15</v>
      </c>
      <c r="G24" s="61">
        <f t="shared" si="66"/>
        <v>37618</v>
      </c>
      <c r="H24" s="61">
        <f t="shared" si="66"/>
        <v>777</v>
      </c>
      <c r="I24" s="61">
        <f t="shared" si="66"/>
        <v>38395</v>
      </c>
      <c r="J24" s="61">
        <f t="shared" si="66"/>
        <v>48154</v>
      </c>
      <c r="K24" s="61">
        <f t="shared" si="66"/>
        <v>1737</v>
      </c>
      <c r="L24" s="61">
        <f t="shared" si="66"/>
        <v>49891</v>
      </c>
      <c r="M24" s="61">
        <f t="shared" si="66"/>
        <v>88286</v>
      </c>
      <c r="N24" s="62">
        <f t="shared" si="18"/>
        <v>195.4120321</v>
      </c>
      <c r="O24" s="60">
        <f>SUM(O6:O23)</f>
        <v>126399</v>
      </c>
      <c r="P24" s="63">
        <f t="shared" si="19"/>
        <v>0.6984707157</v>
      </c>
      <c r="Q24" s="64">
        <v>1.5</v>
      </c>
      <c r="R24" s="63">
        <f t="shared" si="20"/>
        <v>0.5368913652</v>
      </c>
      <c r="S24" s="65">
        <f t="shared" si="21"/>
        <v>0.8053370478</v>
      </c>
      <c r="T24" s="64">
        <f>SUM(T6:T23)</f>
        <v>4044.13656</v>
      </c>
      <c r="U24" s="64">
        <f t="shared" si="22"/>
        <v>7.208799572</v>
      </c>
      <c r="V24" s="61">
        <f t="shared" si="23"/>
        <v>157.372549</v>
      </c>
      <c r="X24" s="31">
        <v>4.0</v>
      </c>
      <c r="Y24" s="31" t="s">
        <v>37</v>
      </c>
      <c r="Z24" s="31">
        <f t="shared" ref="Z24:AI24" si="67">SUM(D15)</f>
        <v>30</v>
      </c>
      <c r="AA24" s="32">
        <f t="shared" si="67"/>
        <v>29</v>
      </c>
      <c r="AB24" s="33">
        <f t="shared" si="67"/>
        <v>5589.06</v>
      </c>
      <c r="AC24" s="32">
        <f t="shared" si="67"/>
        <v>2001</v>
      </c>
      <c r="AD24" s="32">
        <f t="shared" si="67"/>
        <v>0</v>
      </c>
      <c r="AE24" s="32">
        <f t="shared" si="67"/>
        <v>2001</v>
      </c>
      <c r="AF24" s="32">
        <f t="shared" si="67"/>
        <v>2669</v>
      </c>
      <c r="AG24" s="32">
        <f t="shared" si="67"/>
        <v>0</v>
      </c>
      <c r="AH24" s="32">
        <f t="shared" si="67"/>
        <v>2669</v>
      </c>
      <c r="AI24" s="32">
        <f t="shared" si="67"/>
        <v>4670</v>
      </c>
      <c r="AJ24" s="34">
        <f t="shared" si="58"/>
        <v>192.7262069</v>
      </c>
      <c r="AK24" s="31">
        <f t="shared" si="68"/>
        <v>5887</v>
      </c>
      <c r="AL24" s="35">
        <f t="shared" si="59"/>
        <v>0.7932733141</v>
      </c>
      <c r="AM24" s="36">
        <f t="shared" si="69"/>
        <v>1.5</v>
      </c>
      <c r="AN24" s="35">
        <f t="shared" si="60"/>
        <v>0.5570405996</v>
      </c>
      <c r="AO24" s="37">
        <f t="shared" si="61"/>
        <v>0.8355608993</v>
      </c>
      <c r="AP24" s="36">
        <f t="shared" ref="AP24:AQ24" si="70">SUM(T15)</f>
        <v>225.4380445</v>
      </c>
      <c r="AQ24" s="36">
        <f t="shared" si="70"/>
        <v>7.773725673</v>
      </c>
      <c r="AR24" s="32">
        <f t="shared" si="63"/>
        <v>161.0344828</v>
      </c>
    </row>
    <row r="25" ht="15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X25" s="31">
        <v>5.0</v>
      </c>
      <c r="Y25" s="31" t="s">
        <v>39</v>
      </c>
      <c r="Z25" s="31">
        <f t="shared" ref="Z25:AI25" si="71">SUM(D16)</f>
        <v>28</v>
      </c>
      <c r="AA25" s="32">
        <f t="shared" si="71"/>
        <v>28</v>
      </c>
      <c r="AB25" s="33">
        <f t="shared" si="71"/>
        <v>5373.026</v>
      </c>
      <c r="AC25" s="32">
        <f t="shared" si="71"/>
        <v>1250</v>
      </c>
      <c r="AD25" s="32">
        <f t="shared" si="71"/>
        <v>52</v>
      </c>
      <c r="AE25" s="32">
        <f t="shared" si="71"/>
        <v>1302</v>
      </c>
      <c r="AF25" s="32">
        <f t="shared" si="71"/>
        <v>1768</v>
      </c>
      <c r="AG25" s="32">
        <f t="shared" si="71"/>
        <v>178</v>
      </c>
      <c r="AH25" s="32">
        <f t="shared" si="71"/>
        <v>1946</v>
      </c>
      <c r="AI25" s="32">
        <f t="shared" si="71"/>
        <v>3248</v>
      </c>
      <c r="AJ25" s="34">
        <f t="shared" si="58"/>
        <v>191.8937857</v>
      </c>
      <c r="AK25" s="31">
        <f t="shared" si="68"/>
        <v>3569</v>
      </c>
      <c r="AL25" s="35">
        <f t="shared" si="59"/>
        <v>0.91005884</v>
      </c>
      <c r="AM25" s="36">
        <f t="shared" si="69"/>
        <v>1.5</v>
      </c>
      <c r="AN25" s="35">
        <f t="shared" si="60"/>
        <v>0.4030007175</v>
      </c>
      <c r="AO25" s="37">
        <f t="shared" si="61"/>
        <v>0.6045010763</v>
      </c>
      <c r="AP25" s="36">
        <f t="shared" ref="AP25:AQ25" si="72">SUM(T16)</f>
        <v>250.339002</v>
      </c>
      <c r="AQ25" s="36">
        <f t="shared" si="72"/>
        <v>8.940678643</v>
      </c>
      <c r="AR25" s="32">
        <f t="shared" si="63"/>
        <v>116</v>
      </c>
    </row>
    <row r="26" ht="15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X26" s="31">
        <v>6.0</v>
      </c>
      <c r="Y26" s="31" t="s">
        <v>41</v>
      </c>
      <c r="Z26" s="31">
        <f t="shared" ref="Z26:AI26" si="73">SUM(D17)</f>
        <v>24</v>
      </c>
      <c r="AA26" s="32">
        <f t="shared" si="73"/>
        <v>24</v>
      </c>
      <c r="AB26" s="33">
        <f t="shared" si="73"/>
        <v>4806.32</v>
      </c>
      <c r="AC26" s="32">
        <f t="shared" si="73"/>
        <v>1263</v>
      </c>
      <c r="AD26" s="32">
        <f t="shared" si="73"/>
        <v>0</v>
      </c>
      <c r="AE26" s="32">
        <f t="shared" si="73"/>
        <v>1263</v>
      </c>
      <c r="AF26" s="32">
        <f t="shared" si="73"/>
        <v>1392</v>
      </c>
      <c r="AG26" s="32">
        <f t="shared" si="73"/>
        <v>375</v>
      </c>
      <c r="AH26" s="32">
        <f t="shared" si="73"/>
        <v>1767</v>
      </c>
      <c r="AI26" s="32">
        <f t="shared" si="73"/>
        <v>3030</v>
      </c>
      <c r="AJ26" s="34">
        <f t="shared" si="58"/>
        <v>200.2633333</v>
      </c>
      <c r="AK26" s="31">
        <f t="shared" si="68"/>
        <v>3801</v>
      </c>
      <c r="AL26" s="35">
        <f t="shared" si="59"/>
        <v>0.7971586425</v>
      </c>
      <c r="AM26" s="36">
        <f t="shared" si="69"/>
        <v>1.5</v>
      </c>
      <c r="AN26" s="35">
        <f t="shared" si="60"/>
        <v>0.4202799647</v>
      </c>
      <c r="AO26" s="37">
        <f t="shared" si="61"/>
        <v>0.6304199471</v>
      </c>
      <c r="AP26" s="36">
        <f t="shared" ref="AP26:AQ26" si="74">SUM(T17)</f>
        <v>162.2222222</v>
      </c>
      <c r="AQ26" s="36">
        <f t="shared" si="74"/>
        <v>6.759259259</v>
      </c>
      <c r="AR26" s="32">
        <f t="shared" si="63"/>
        <v>126.25</v>
      </c>
    </row>
    <row r="27" ht="15.75" customHeight="1">
      <c r="A27" s="1" t="s">
        <v>45</v>
      </c>
      <c r="D27" s="2"/>
      <c r="X27" s="46" t="s">
        <v>33</v>
      </c>
      <c r="Y27" s="46">
        <v>6.0</v>
      </c>
      <c r="Z27" s="46">
        <f t="shared" ref="Z27:AI27" si="75">SUM(Z21:Z26)</f>
        <v>168</v>
      </c>
      <c r="AA27" s="47">
        <f t="shared" si="75"/>
        <v>163</v>
      </c>
      <c r="AB27" s="49">
        <f t="shared" si="75"/>
        <v>31688.922</v>
      </c>
      <c r="AC27" s="47">
        <f t="shared" si="75"/>
        <v>12000</v>
      </c>
      <c r="AD27" s="47">
        <f t="shared" si="75"/>
        <v>52</v>
      </c>
      <c r="AE27" s="47">
        <f t="shared" si="75"/>
        <v>12052</v>
      </c>
      <c r="AF27" s="47">
        <f t="shared" si="75"/>
        <v>14935</v>
      </c>
      <c r="AG27" s="47">
        <f t="shared" si="75"/>
        <v>553</v>
      </c>
      <c r="AH27" s="47">
        <f t="shared" si="75"/>
        <v>15488</v>
      </c>
      <c r="AI27" s="47">
        <f t="shared" si="75"/>
        <v>27540</v>
      </c>
      <c r="AJ27" s="49">
        <f t="shared" si="58"/>
        <v>194.4105644</v>
      </c>
      <c r="AK27" s="46">
        <f>SUM(AK21:AK26)</f>
        <v>37031</v>
      </c>
      <c r="AL27" s="50">
        <f t="shared" si="59"/>
        <v>0.7437012233</v>
      </c>
      <c r="AM27" s="51">
        <v>1.5</v>
      </c>
      <c r="AN27" s="50">
        <f t="shared" si="60"/>
        <v>0.5793822838</v>
      </c>
      <c r="AO27" s="52">
        <f t="shared" si="61"/>
        <v>0.8690734257</v>
      </c>
      <c r="AP27" s="51">
        <f>SUM(AP21:AP26)</f>
        <v>1319.392422</v>
      </c>
      <c r="AQ27" s="51">
        <f>AP27/AA27</f>
        <v>8.094432038</v>
      </c>
      <c r="AR27" s="47">
        <f t="shared" si="63"/>
        <v>168.9570552</v>
      </c>
    </row>
    <row r="28" ht="15.75" customHeight="1">
      <c r="A28" s="1" t="s">
        <v>45</v>
      </c>
      <c r="D28" s="2"/>
      <c r="X28" s="66" t="s">
        <v>1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6"/>
    </row>
    <row r="29" ht="15.75" customHeight="1">
      <c r="A29" s="7">
        <v>46205.0</v>
      </c>
      <c r="B29" s="8" t="s">
        <v>2</v>
      </c>
      <c r="C29" s="8" t="s">
        <v>3</v>
      </c>
      <c r="D29" s="8" t="s">
        <v>4</v>
      </c>
      <c r="E29" s="8" t="s">
        <v>5</v>
      </c>
      <c r="F29" s="9" t="s">
        <v>6</v>
      </c>
      <c r="G29" s="8" t="s">
        <v>7</v>
      </c>
      <c r="H29" s="8" t="s">
        <v>8</v>
      </c>
      <c r="I29" s="8" t="s">
        <v>9</v>
      </c>
      <c r="J29" s="8" t="s">
        <v>10</v>
      </c>
      <c r="K29" s="8" t="s">
        <v>11</v>
      </c>
      <c r="L29" s="8" t="s">
        <v>12</v>
      </c>
      <c r="M29" s="8" t="s">
        <v>13</v>
      </c>
      <c r="N29" s="9" t="s">
        <v>14</v>
      </c>
      <c r="O29" s="8" t="s">
        <v>15</v>
      </c>
      <c r="P29" s="8" t="s">
        <v>16</v>
      </c>
      <c r="Q29" s="8" t="s">
        <v>17</v>
      </c>
      <c r="R29" s="8" t="s">
        <v>18</v>
      </c>
      <c r="S29" s="11" t="s">
        <v>19</v>
      </c>
      <c r="T29" s="12" t="s">
        <v>20</v>
      </c>
      <c r="U29" s="12" t="s">
        <v>21</v>
      </c>
      <c r="V29" s="13" t="s">
        <v>22</v>
      </c>
      <c r="X29" s="14" t="s">
        <v>2</v>
      </c>
      <c r="Y29" s="14" t="s">
        <v>3</v>
      </c>
      <c r="Z29" s="14" t="s">
        <v>4</v>
      </c>
      <c r="AA29" s="14" t="s">
        <v>5</v>
      </c>
      <c r="AB29" s="15" t="s">
        <v>6</v>
      </c>
      <c r="AC29" s="14" t="s">
        <v>7</v>
      </c>
      <c r="AD29" s="14" t="s">
        <v>8</v>
      </c>
      <c r="AE29" s="14" t="s">
        <v>9</v>
      </c>
      <c r="AF29" s="14" t="s">
        <v>10</v>
      </c>
      <c r="AG29" s="14" t="s">
        <v>11</v>
      </c>
      <c r="AH29" s="14" t="s">
        <v>12</v>
      </c>
      <c r="AI29" s="14" t="s">
        <v>13</v>
      </c>
      <c r="AJ29" s="15" t="s">
        <v>14</v>
      </c>
      <c r="AK29" s="14" t="s">
        <v>15</v>
      </c>
      <c r="AL29" s="14" t="s">
        <v>16</v>
      </c>
      <c r="AM29" s="16" t="s">
        <v>17</v>
      </c>
      <c r="AN29" s="17" t="s">
        <v>18</v>
      </c>
      <c r="AO29" s="18" t="s">
        <v>19</v>
      </c>
      <c r="AP29" s="19" t="s">
        <v>20</v>
      </c>
      <c r="AQ29" s="19" t="s">
        <v>21</v>
      </c>
      <c r="AR29" s="20" t="s">
        <v>22</v>
      </c>
    </row>
    <row r="30" ht="15.7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X30" s="22">
        <v>1.0</v>
      </c>
      <c r="Y30" s="22" t="s">
        <v>23</v>
      </c>
      <c r="Z30" s="22">
        <f t="shared" ref="Z30:AI30" si="76">SUM(D38)</f>
        <v>35</v>
      </c>
      <c r="AA30" s="23">
        <f t="shared" si="76"/>
        <v>35</v>
      </c>
      <c r="AB30" s="24">
        <f t="shared" si="76"/>
        <v>6815.48</v>
      </c>
      <c r="AC30" s="23">
        <f t="shared" si="76"/>
        <v>1644</v>
      </c>
      <c r="AD30" s="23">
        <f t="shared" si="76"/>
        <v>0</v>
      </c>
      <c r="AE30" s="23">
        <f t="shared" si="76"/>
        <v>1644</v>
      </c>
      <c r="AF30" s="23">
        <f t="shared" si="76"/>
        <v>2926</v>
      </c>
      <c r="AG30" s="23">
        <f t="shared" si="76"/>
        <v>0</v>
      </c>
      <c r="AH30" s="23">
        <f t="shared" si="76"/>
        <v>2926</v>
      </c>
      <c r="AI30" s="23">
        <f t="shared" si="76"/>
        <v>4570</v>
      </c>
      <c r="AJ30" s="25">
        <f t="shared" ref="AJ30:AJ32" si="79">AB30/AA30</f>
        <v>194.728</v>
      </c>
      <c r="AK30" s="22">
        <f>SUM(O38)</f>
        <v>6853</v>
      </c>
      <c r="AL30" s="26">
        <f t="shared" ref="AL30:AL36" si="80">AI30/AK30</f>
        <v>0.6668612287</v>
      </c>
      <c r="AM30" s="27">
        <f t="shared" ref="AM30:AM32" si="81">SUM(Q38)</f>
        <v>1.5</v>
      </c>
      <c r="AN30" s="26">
        <f t="shared" ref="AN30:AN36" si="82">AO30/AM30</f>
        <v>0.4470215842</v>
      </c>
      <c r="AO30" s="28">
        <f t="shared" ref="AO30:AO36" si="83">AI30/AB30</f>
        <v>0.6705323763</v>
      </c>
      <c r="AP30" s="27">
        <f t="shared" ref="AP30:AQ30" si="77">SUM(T38)</f>
        <v>202</v>
      </c>
      <c r="AQ30" s="27">
        <f t="shared" si="77"/>
        <v>5.771428571</v>
      </c>
      <c r="AR30" s="23">
        <f t="shared" ref="AR30:AR36" si="85">AI30/AA30</f>
        <v>130.5714286</v>
      </c>
    </row>
    <row r="31" ht="15.7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X31" s="22">
        <v>2.0</v>
      </c>
      <c r="Y31" s="22" t="s">
        <v>24</v>
      </c>
      <c r="Z31" s="22">
        <f t="shared" ref="Z31:AI31" si="78">SUM(D39)</f>
        <v>44</v>
      </c>
      <c r="AA31" s="23">
        <f t="shared" si="78"/>
        <v>43</v>
      </c>
      <c r="AB31" s="24">
        <f t="shared" si="78"/>
        <v>8063.019</v>
      </c>
      <c r="AC31" s="23">
        <f t="shared" si="78"/>
        <v>1033</v>
      </c>
      <c r="AD31" s="23">
        <f t="shared" si="78"/>
        <v>0</v>
      </c>
      <c r="AE31" s="23">
        <f t="shared" si="78"/>
        <v>1033</v>
      </c>
      <c r="AF31" s="23">
        <f t="shared" si="78"/>
        <v>1363</v>
      </c>
      <c r="AG31" s="23">
        <f t="shared" si="78"/>
        <v>0</v>
      </c>
      <c r="AH31" s="23">
        <f t="shared" si="78"/>
        <v>1363</v>
      </c>
      <c r="AI31" s="23">
        <f t="shared" si="78"/>
        <v>2396</v>
      </c>
      <c r="AJ31" s="25">
        <f t="shared" si="79"/>
        <v>187.5120698</v>
      </c>
      <c r="AK31" s="22">
        <v>1580.0</v>
      </c>
      <c r="AL31" s="29">
        <f t="shared" si="80"/>
        <v>1.516455696</v>
      </c>
      <c r="AM31" s="27">
        <f t="shared" si="81"/>
        <v>1.5</v>
      </c>
      <c r="AN31" s="26">
        <f t="shared" si="82"/>
        <v>0.1981061105</v>
      </c>
      <c r="AO31" s="28">
        <f t="shared" si="83"/>
        <v>0.2971591658</v>
      </c>
      <c r="AP31" s="27">
        <f t="shared" ref="AP31:AQ31" si="84">SUM(T39)</f>
        <v>300.802798</v>
      </c>
      <c r="AQ31" s="27">
        <f t="shared" si="84"/>
        <v>6.995413907</v>
      </c>
      <c r="AR31" s="23">
        <f t="shared" si="85"/>
        <v>55.72093023</v>
      </c>
    </row>
    <row r="32" ht="15.75" customHeight="1">
      <c r="A32" s="21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X32" s="31">
        <v>3.0</v>
      </c>
      <c r="Y32" s="31" t="s">
        <v>25</v>
      </c>
      <c r="Z32" s="31">
        <f t="shared" ref="Z32:AI32" si="86">SUM(D40)</f>
        <v>32</v>
      </c>
      <c r="AA32" s="32">
        <f t="shared" si="86"/>
        <v>31</v>
      </c>
      <c r="AB32" s="33">
        <f t="shared" si="86"/>
        <v>6091.148</v>
      </c>
      <c r="AC32" s="32">
        <f t="shared" si="86"/>
        <v>2281</v>
      </c>
      <c r="AD32" s="32">
        <f t="shared" si="86"/>
        <v>315</v>
      </c>
      <c r="AE32" s="32">
        <f t="shared" si="86"/>
        <v>2596</v>
      </c>
      <c r="AF32" s="32">
        <f t="shared" si="86"/>
        <v>3045</v>
      </c>
      <c r="AG32" s="32">
        <f t="shared" si="86"/>
        <v>438</v>
      </c>
      <c r="AH32" s="32">
        <f t="shared" si="86"/>
        <v>3483</v>
      </c>
      <c r="AI32" s="32">
        <f t="shared" si="86"/>
        <v>6079</v>
      </c>
      <c r="AJ32" s="34">
        <f t="shared" si="79"/>
        <v>196.4886452</v>
      </c>
      <c r="AK32" s="31">
        <f>SUM(O40)</f>
        <v>6622</v>
      </c>
      <c r="AL32" s="35">
        <f t="shared" si="80"/>
        <v>0.918000604</v>
      </c>
      <c r="AM32" s="36">
        <f t="shared" si="81"/>
        <v>1.5</v>
      </c>
      <c r="AN32" s="35">
        <f t="shared" si="82"/>
        <v>0.665337087</v>
      </c>
      <c r="AO32" s="37">
        <f t="shared" si="83"/>
        <v>0.9980056305</v>
      </c>
      <c r="AP32" s="36">
        <f t="shared" ref="AP32:AQ32" si="87">SUM(T40)</f>
        <v>255.5011745</v>
      </c>
      <c r="AQ32" s="36">
        <f t="shared" si="87"/>
        <v>8.241973371</v>
      </c>
      <c r="AR32" s="32">
        <f t="shared" si="85"/>
        <v>196.0967742</v>
      </c>
    </row>
    <row r="33" ht="15.75" customHeight="1">
      <c r="A33" s="21"/>
      <c r="B33" s="38">
        <v>1.0</v>
      </c>
      <c r="C33" s="38" t="s">
        <v>26</v>
      </c>
      <c r="D33" s="39">
        <v>20.0</v>
      </c>
      <c r="E33" s="40">
        <f>IFERROR(__xludf.DUMMYFUNCTION("COUNT(IMPORTRANGE(""https://docs.google.com/spreadsheets/d/1z0o91thOT38lgejTE_Bd2p3v_9VCDdQRkUsMIVqpQCk/edit"",""2!d2:d21""))"),20.0)</f>
        <v>20</v>
      </c>
      <c r="F33" s="41">
        <f>IFERROR(__xludf.DUMMYFUNCTION("SUM(IMPORTRANGE(""https://docs.google.com/spreadsheets/d/1z0o91thOT38lgejTE_Bd2p3v_9VCDdQRkUsMIVqpQCk/edit"",""2!Q2:Q21""))"),3820.5869999999995)</f>
        <v>3820.587</v>
      </c>
      <c r="G33" s="40">
        <f>IFERROR(__xludf.DUMMYFUNCTION("IMPORTRANGE(""https://docs.google.com/spreadsheets/d/1z0o91thOT38lgejTE_Bd2p3v_9VCDdQRkUsMIVqpQCk/edit"",""2!e28"")"),2015.0)</f>
        <v>2015</v>
      </c>
      <c r="H33" s="40">
        <f>IFERROR(__xludf.DUMMYFUNCTION("IMPORTRANGE(""https://docs.google.com/spreadsheets/d/1z0o91thOT38lgejTE_Bd2p3v_9VCDdQRkUsMIVqpQCk/edit"",""2!e29"")"),0.0)</f>
        <v>0</v>
      </c>
      <c r="I33" s="40">
        <f t="shared" ref="I33:I50" si="90">SUM(G33:H33)</f>
        <v>2015</v>
      </c>
      <c r="J33" s="40">
        <f>IFERROR(__xludf.DUMMYFUNCTION("IMPORTRANGE(""https://docs.google.com/spreadsheets/d/1z0o91thOT38lgejTE_Bd2p3v_9VCDdQRkUsMIVqpQCk/edit"",""2!e32"")"),2286.0)</f>
        <v>2286</v>
      </c>
      <c r="K33" s="40">
        <f>IFERROR(__xludf.DUMMYFUNCTION("IMPORTRANGE(""https://docs.google.com/spreadsheets/d/1z0o91thOT38lgejTE_Bd2p3v_9VCDdQRkUsMIVqpQCk/edit"",""2!e33"")"),0.0)</f>
        <v>0</v>
      </c>
      <c r="L33" s="40">
        <f t="shared" ref="L33:L39" si="91">SUM(J33:K33)</f>
        <v>2286</v>
      </c>
      <c r="M33" s="40">
        <f t="shared" ref="M33:M50" si="92">SUM(I33+L33)</f>
        <v>4301</v>
      </c>
      <c r="N33" s="41">
        <f t="shared" ref="N33:N51" si="93">F33/E33</f>
        <v>191.02935</v>
      </c>
      <c r="O33" s="38">
        <v>5161.0</v>
      </c>
      <c r="P33" s="42">
        <f t="shared" ref="P33:P51" si="94">M33/O33</f>
        <v>0.8333656268</v>
      </c>
      <c r="Q33" s="43">
        <v>1.5</v>
      </c>
      <c r="R33" s="42">
        <f t="shared" ref="R33:R51" si="95">S33/Q33</f>
        <v>0.7504954954</v>
      </c>
      <c r="S33" s="44">
        <f t="shared" ref="S33:S51" si="96">M33/F33</f>
        <v>1.125743243</v>
      </c>
      <c r="T33" s="43">
        <f>F33/14.415</f>
        <v>265.0424558</v>
      </c>
      <c r="U33" s="43">
        <f t="shared" ref="U33:U51" si="97">T33/E33</f>
        <v>13.25212279</v>
      </c>
      <c r="V33" s="40">
        <f t="shared" ref="V33:V51" si="98">M33/E33</f>
        <v>215.05</v>
      </c>
      <c r="X33" s="22">
        <v>4.0</v>
      </c>
      <c r="Y33" s="22" t="s">
        <v>27</v>
      </c>
      <c r="Z33" s="22">
        <f t="shared" ref="Z33:AK33" si="88">SUM(D46)</f>
        <v>30</v>
      </c>
      <c r="AA33" s="23">
        <f t="shared" si="88"/>
        <v>30</v>
      </c>
      <c r="AB33" s="24">
        <f t="shared" si="88"/>
        <v>5625.64</v>
      </c>
      <c r="AC33" s="23">
        <f t="shared" si="88"/>
        <v>2359</v>
      </c>
      <c r="AD33" s="23">
        <f t="shared" si="88"/>
        <v>0</v>
      </c>
      <c r="AE33" s="23">
        <f t="shared" si="88"/>
        <v>2359</v>
      </c>
      <c r="AF33" s="23">
        <f t="shared" si="88"/>
        <v>2239</v>
      </c>
      <c r="AG33" s="23">
        <f t="shared" si="88"/>
        <v>63</v>
      </c>
      <c r="AH33" s="23">
        <f t="shared" si="88"/>
        <v>2302</v>
      </c>
      <c r="AI33" s="23">
        <f t="shared" si="88"/>
        <v>4661</v>
      </c>
      <c r="AJ33" s="25">
        <f t="shared" si="88"/>
        <v>187.5213333</v>
      </c>
      <c r="AK33" s="22">
        <f t="shared" si="88"/>
        <v>8101</v>
      </c>
      <c r="AL33" s="26">
        <f t="shared" si="80"/>
        <v>0.5753610665</v>
      </c>
      <c r="AM33" s="27">
        <f>SUM(Q46)</f>
        <v>1.5</v>
      </c>
      <c r="AN33" s="26">
        <f t="shared" si="82"/>
        <v>0.5523519694</v>
      </c>
      <c r="AO33" s="28">
        <f t="shared" si="83"/>
        <v>0.8285279542</v>
      </c>
      <c r="AP33" s="27">
        <f t="shared" ref="AP33:AQ33" si="89">SUM(T46)</f>
        <v>281.4931198</v>
      </c>
      <c r="AQ33" s="27">
        <f t="shared" si="89"/>
        <v>9.383103995</v>
      </c>
      <c r="AR33" s="23">
        <f t="shared" si="85"/>
        <v>155.3666667</v>
      </c>
    </row>
    <row r="34" ht="15.75" customHeight="1">
      <c r="A34" s="21"/>
      <c r="B34" s="38">
        <v>2.0</v>
      </c>
      <c r="C34" s="38" t="s">
        <v>28</v>
      </c>
      <c r="D34" s="39">
        <v>33.0</v>
      </c>
      <c r="E34" s="40">
        <f>IFERROR(__xludf.DUMMYFUNCTION("COUNT(IMPORTRANGE(""https://docs.google.com/spreadsheets/d/10a85iNN0y9GF6ngQfF1JXGAzFk-T7ywH4-TZtQcOTaE/edit"",""2!d2:d34""))"),32.0)</f>
        <v>32</v>
      </c>
      <c r="F34" s="41">
        <f>IFERROR(__xludf.DUMMYFUNCTION("SUM(IMPORTRANGE(""https://docs.google.com/spreadsheets/d/10a85iNN0y9GF6ngQfF1JXGAzFk-T7ywH4-TZtQcOTaE/edit"",""2!Q2:Q34""))"),6219.863000000002)</f>
        <v>6219.863</v>
      </c>
      <c r="G34" s="40">
        <f>IFERROR(__xludf.DUMMYFUNCTION("IMPORTRANGE(""https://docs.google.com/spreadsheets/d/10a85iNN0y9GF6ngQfF1JXGAzFk-T7ywH4-TZtQcOTaE/edit"",""2!e41"")"),2043.0)</f>
        <v>2043</v>
      </c>
      <c r="H34" s="40">
        <f>IFERROR(__xludf.DUMMYFUNCTION("IMPORTRANGE(""https://docs.google.com/spreadsheets/d/10a85iNN0y9GF6ngQfF1JXGAzFk-T7ywH4-TZtQcOTaE/edit"",""2!e42"")"),90.0)</f>
        <v>90</v>
      </c>
      <c r="I34" s="40">
        <f t="shared" si="90"/>
        <v>2133</v>
      </c>
      <c r="J34" s="40">
        <f>IFERROR(__xludf.DUMMYFUNCTION("IMPORTRANGE(""https://docs.google.com/spreadsheets/d/10a85iNN0y9GF6ngQfF1JXGAzFk-T7ywH4-TZtQcOTaE/edit"",""2!e45"")"),2353.0)</f>
        <v>2353</v>
      </c>
      <c r="K34" s="40">
        <f>IFERROR(__xludf.DUMMYFUNCTION("IMPORTRANGE(""https://docs.google.com/spreadsheets/d/10a85iNN0y9GF6ngQfF1JXGAzFk-T7ywH4-TZtQcOTaE/edit"",""2!e46"")"),136.0)</f>
        <v>136</v>
      </c>
      <c r="L34" s="40">
        <f t="shared" si="91"/>
        <v>2489</v>
      </c>
      <c r="M34" s="40">
        <f t="shared" si="92"/>
        <v>4622</v>
      </c>
      <c r="N34" s="41">
        <f t="shared" si="93"/>
        <v>194.3707188</v>
      </c>
      <c r="O34" s="38">
        <v>7315.0</v>
      </c>
      <c r="P34" s="42">
        <f t="shared" si="94"/>
        <v>0.6318523582</v>
      </c>
      <c r="Q34" s="43">
        <v>1.5</v>
      </c>
      <c r="R34" s="42">
        <f t="shared" si="95"/>
        <v>0.4954021227</v>
      </c>
      <c r="S34" s="44">
        <f t="shared" si="96"/>
        <v>0.7431031841</v>
      </c>
      <c r="T34" s="43">
        <f>F34/30.897</f>
        <v>201.3096093</v>
      </c>
      <c r="U34" s="43">
        <f t="shared" si="97"/>
        <v>6.290925292</v>
      </c>
      <c r="V34" s="40">
        <f t="shared" si="98"/>
        <v>144.4375</v>
      </c>
      <c r="X34" s="22">
        <v>5.0</v>
      </c>
      <c r="Y34" s="22" t="s">
        <v>29</v>
      </c>
      <c r="Z34" s="22">
        <f t="shared" ref="Z34:AI34" si="99">SUM(D49)</f>
        <v>30</v>
      </c>
      <c r="AA34" s="23">
        <f t="shared" si="99"/>
        <v>29</v>
      </c>
      <c r="AB34" s="24">
        <f t="shared" si="99"/>
        <v>5806.474</v>
      </c>
      <c r="AC34" s="23">
        <f t="shared" si="99"/>
        <v>2596</v>
      </c>
      <c r="AD34" s="23">
        <f t="shared" si="99"/>
        <v>0</v>
      </c>
      <c r="AE34" s="23">
        <f t="shared" si="99"/>
        <v>2596</v>
      </c>
      <c r="AF34" s="23">
        <f t="shared" si="99"/>
        <v>3685</v>
      </c>
      <c r="AG34" s="23">
        <f t="shared" si="99"/>
        <v>0</v>
      </c>
      <c r="AH34" s="23">
        <f t="shared" si="99"/>
        <v>3685</v>
      </c>
      <c r="AI34" s="23">
        <f t="shared" si="99"/>
        <v>6281</v>
      </c>
      <c r="AJ34" s="25">
        <f t="shared" ref="AJ34:AJ36" si="102">AB34/AA34</f>
        <v>200.2232414</v>
      </c>
      <c r="AK34" s="22">
        <f t="shared" ref="AK34:AK35" si="103">SUM(O49)</f>
        <v>9201</v>
      </c>
      <c r="AL34" s="26">
        <f t="shared" si="80"/>
        <v>0.682643191</v>
      </c>
      <c r="AM34" s="27">
        <f t="shared" ref="AM34:AM35" si="104">SUM(Q49)</f>
        <v>1.5</v>
      </c>
      <c r="AN34" s="26">
        <f t="shared" si="82"/>
        <v>0.7211490714</v>
      </c>
      <c r="AO34" s="28">
        <f t="shared" si="83"/>
        <v>1.081723607</v>
      </c>
      <c r="AP34" s="27">
        <f t="shared" ref="AP34:AQ34" si="100">SUM(T49)</f>
        <v>223</v>
      </c>
      <c r="AQ34" s="27">
        <f t="shared" si="100"/>
        <v>7.689655172</v>
      </c>
      <c r="AR34" s="23">
        <f t="shared" si="85"/>
        <v>216.5862069</v>
      </c>
    </row>
    <row r="35" ht="15.75" customHeight="1">
      <c r="A35" s="21"/>
      <c r="B35" s="38">
        <v>3.0</v>
      </c>
      <c r="C35" s="38" t="s">
        <v>30</v>
      </c>
      <c r="D35" s="39">
        <v>60.0</v>
      </c>
      <c r="E35" s="40">
        <f>IFERROR(__xludf.DUMMYFUNCTION("COUNT(IMPORTRANGE(""https://docs.google.com/spreadsheets/d/1WojVzHhpzodJL1e5UDHeu3A3u5MTSZwvxHu0BrwvL9w/edit"",""2!d2:d61""))"),58.0)</f>
        <v>58</v>
      </c>
      <c r="F35" s="45">
        <f>IFERROR(__xludf.DUMMYFUNCTION("SUM(IMPORTRANGE(""https://docs.google.com/spreadsheets/d/1WojVzHhpzodJL1e5UDHeu3A3u5MTSZwvxHu0BrwvL9w/edit"",""2!Q2:Q61""))"),11485.963999999989)</f>
        <v>11485.964</v>
      </c>
      <c r="G35" s="40">
        <f>IFERROR(__xludf.DUMMYFUNCTION("IMPORTRANGE(""https://docs.google.com/spreadsheets/d/1WojVzHhpzodJL1e5UDHeu3A3u5MTSZwvxHu0BrwvL9w/edit"",""2!e68"")"),3147.0)</f>
        <v>3147</v>
      </c>
      <c r="H35" s="40">
        <f>IFERROR(__xludf.DUMMYFUNCTION("IMPORTRANGE(""https://docs.google.com/spreadsheets/d/1WojVzHhpzodJL1e5UDHeu3A3u5MTSZwvxHu0BrwvL9w/edit"",""2!e69"")"),0.0)</f>
        <v>0</v>
      </c>
      <c r="I35" s="40">
        <f t="shared" si="90"/>
        <v>3147</v>
      </c>
      <c r="J35" s="40">
        <f>IFERROR(__xludf.DUMMYFUNCTION("IMPORTRANGE(""https://docs.google.com/spreadsheets/d/1WojVzHhpzodJL1e5UDHeu3A3u5MTSZwvxHu0BrwvL9w/edit"",""2!e72"")"),4568.0)</f>
        <v>4568</v>
      </c>
      <c r="K35" s="40">
        <f>IFERROR(__xludf.DUMMYFUNCTION("IMPORTRANGE(""https://docs.google.com/spreadsheets/d/1WojVzHhpzodJL1e5UDHeu3A3u5MTSZwvxHu0BrwvL9w/edit"",""2!e73"")"),0.0)</f>
        <v>0</v>
      </c>
      <c r="L35" s="40">
        <f t="shared" si="91"/>
        <v>4568</v>
      </c>
      <c r="M35" s="40">
        <f t="shared" si="92"/>
        <v>7715</v>
      </c>
      <c r="N35" s="41">
        <f t="shared" si="93"/>
        <v>198.0338621</v>
      </c>
      <c r="O35" s="38">
        <v>11164.0</v>
      </c>
      <c r="P35" s="42">
        <f t="shared" si="94"/>
        <v>0.6910605518</v>
      </c>
      <c r="Q35" s="43">
        <v>1.5</v>
      </c>
      <c r="R35" s="42">
        <f t="shared" si="95"/>
        <v>0.4477929178</v>
      </c>
      <c r="S35" s="44">
        <f t="shared" si="96"/>
        <v>0.6716893767</v>
      </c>
      <c r="T35" s="43">
        <f>F35/29.603</f>
        <v>388</v>
      </c>
      <c r="U35" s="43">
        <f t="shared" si="97"/>
        <v>6.689655172</v>
      </c>
      <c r="V35" s="40">
        <f t="shared" si="98"/>
        <v>133.0172414</v>
      </c>
      <c r="X35" s="22">
        <v>6.0</v>
      </c>
      <c r="Y35" s="22" t="s">
        <v>31</v>
      </c>
      <c r="Z35" s="22">
        <f t="shared" ref="Z35:AI35" si="101">SUM(D50)</f>
        <v>15</v>
      </c>
      <c r="AA35" s="23">
        <f t="shared" si="101"/>
        <v>15</v>
      </c>
      <c r="AB35" s="25">
        <f t="shared" si="101"/>
        <v>2781.76</v>
      </c>
      <c r="AC35" s="23">
        <f t="shared" si="101"/>
        <v>872</v>
      </c>
      <c r="AD35" s="23">
        <f t="shared" si="101"/>
        <v>9</v>
      </c>
      <c r="AE35" s="23">
        <f t="shared" si="101"/>
        <v>881</v>
      </c>
      <c r="AF35" s="23">
        <f t="shared" si="101"/>
        <v>1197</v>
      </c>
      <c r="AG35" s="23">
        <f t="shared" si="101"/>
        <v>0</v>
      </c>
      <c r="AH35" s="23">
        <f t="shared" si="101"/>
        <v>1197</v>
      </c>
      <c r="AI35" s="23">
        <f t="shared" si="101"/>
        <v>2078</v>
      </c>
      <c r="AJ35" s="25">
        <f t="shared" si="102"/>
        <v>185.4506667</v>
      </c>
      <c r="AK35" s="22">
        <f t="shared" si="103"/>
        <v>2717</v>
      </c>
      <c r="AL35" s="26">
        <f t="shared" si="80"/>
        <v>0.7648141332</v>
      </c>
      <c r="AM35" s="27">
        <f t="shared" si="104"/>
        <v>1.5</v>
      </c>
      <c r="AN35" s="26">
        <f t="shared" si="82"/>
        <v>0.4980060585</v>
      </c>
      <c r="AO35" s="28">
        <f t="shared" si="83"/>
        <v>0.7470090878</v>
      </c>
      <c r="AP35" s="27">
        <f t="shared" ref="AP35:AQ35" si="105">SUM(T50)</f>
        <v>64</v>
      </c>
      <c r="AQ35" s="27">
        <f t="shared" si="105"/>
        <v>4.266666667</v>
      </c>
      <c r="AR35" s="23">
        <f t="shared" si="85"/>
        <v>138.5333333</v>
      </c>
    </row>
    <row r="36" ht="15.75" customHeight="1">
      <c r="A36" s="21"/>
      <c r="B36" s="38">
        <v>4.0</v>
      </c>
      <c r="C36" s="38" t="s">
        <v>32</v>
      </c>
      <c r="D36" s="39">
        <v>42.0</v>
      </c>
      <c r="E36" s="40">
        <f>IFERROR(__xludf.DUMMYFUNCTION("COUNT(IMPORTRANGE(""https://docs.google.com/spreadsheets/d/1vmCj5YcMSPHj1m64syDndQ6cqVL3yolcU03Y8KHmvdc/edit"",""2!d2:d43""))"),40.0)</f>
        <v>40</v>
      </c>
      <c r="F36" s="45">
        <f>IFERROR(__xludf.DUMMYFUNCTION("SUM(IMPORTRANGE(""https://docs.google.com/spreadsheets/d/1vmCj5YcMSPHj1m64syDndQ6cqVL3yolcU03Y8KHmvdc/edit"",""2!Q2:Q43""))"),7891.564999999991)</f>
        <v>7891.565</v>
      </c>
      <c r="G36" s="38">
        <f>IFERROR(__xludf.DUMMYFUNCTION("IMPORTRANGE(""https://docs.google.com/spreadsheets/d/1vmCj5YcMSPHj1m64syDndQ6cqVL3yolcU03Y8KHmvdc/edit"",""2!e50"")"),4178.0)</f>
        <v>4178</v>
      </c>
      <c r="H36" s="38">
        <f>IFERROR(__xludf.DUMMYFUNCTION("IMPORTRANGE(""https://docs.google.com/spreadsheets/d/1vmCj5YcMSPHj1m64syDndQ6cqVL3yolcU03Y8KHmvdc/edit"",""2!e51"")"),0.0)</f>
        <v>0</v>
      </c>
      <c r="I36" s="40">
        <f t="shared" si="90"/>
        <v>4178</v>
      </c>
      <c r="J36" s="38">
        <f>IFERROR(__xludf.DUMMYFUNCTION("IMPORTRANGE(""https://docs.google.com/spreadsheets/d/1vmCj5YcMSPHj1m64syDndQ6cqVL3yolcU03Y8KHmvdc/edit"",""2!e54"")"),4916.0)</f>
        <v>4916</v>
      </c>
      <c r="K36" s="38">
        <f>IFERROR(__xludf.DUMMYFUNCTION("IMPORTRANGE(""https://docs.google.com/spreadsheets/d/1vmCj5YcMSPHj1m64syDndQ6cqVL3yolcU03Y8KHmvdc/edit"",""2!e55"")"),0.0)</f>
        <v>0</v>
      </c>
      <c r="L36" s="40">
        <f t="shared" si="91"/>
        <v>4916</v>
      </c>
      <c r="M36" s="40">
        <f t="shared" si="92"/>
        <v>9094</v>
      </c>
      <c r="N36" s="41">
        <f t="shared" si="93"/>
        <v>197.289125</v>
      </c>
      <c r="O36" s="38">
        <v>13817.0</v>
      </c>
      <c r="P36" s="42">
        <f t="shared" si="94"/>
        <v>0.6581747123</v>
      </c>
      <c r="Q36" s="43">
        <v>1.5</v>
      </c>
      <c r="R36" s="42">
        <f t="shared" si="95"/>
        <v>0.7682464336</v>
      </c>
      <c r="S36" s="44">
        <f t="shared" si="96"/>
        <v>1.15236965</v>
      </c>
      <c r="T36" s="43">
        <f>F36/25.089</f>
        <v>314.5428275</v>
      </c>
      <c r="U36" s="43">
        <f t="shared" si="97"/>
        <v>7.863570688</v>
      </c>
      <c r="V36" s="40">
        <f t="shared" si="98"/>
        <v>227.35</v>
      </c>
      <c r="X36" s="46" t="s">
        <v>33</v>
      </c>
      <c r="Y36" s="46">
        <v>6.0</v>
      </c>
      <c r="Z36" s="46">
        <f t="shared" ref="Z36:AI36" si="106">SUM(Z30:Z35)</f>
        <v>186</v>
      </c>
      <c r="AA36" s="47">
        <f t="shared" si="106"/>
        <v>183</v>
      </c>
      <c r="AB36" s="48">
        <f t="shared" si="106"/>
        <v>35183.521</v>
      </c>
      <c r="AC36" s="47">
        <f t="shared" si="106"/>
        <v>10785</v>
      </c>
      <c r="AD36" s="47">
        <f t="shared" si="106"/>
        <v>324</v>
      </c>
      <c r="AE36" s="47">
        <f t="shared" si="106"/>
        <v>11109</v>
      </c>
      <c r="AF36" s="47">
        <f t="shared" si="106"/>
        <v>14455</v>
      </c>
      <c r="AG36" s="47">
        <f t="shared" si="106"/>
        <v>501</v>
      </c>
      <c r="AH36" s="47">
        <f t="shared" si="106"/>
        <v>14956</v>
      </c>
      <c r="AI36" s="47">
        <f t="shared" si="106"/>
        <v>26065</v>
      </c>
      <c r="AJ36" s="49">
        <f t="shared" si="102"/>
        <v>192.2596776</v>
      </c>
      <c r="AK36" s="46">
        <f>SUM(AK30:AK35)</f>
        <v>35074</v>
      </c>
      <c r="AL36" s="50">
        <f t="shared" si="80"/>
        <v>0.7431430689</v>
      </c>
      <c r="AM36" s="51">
        <v>1.5</v>
      </c>
      <c r="AN36" s="50">
        <f t="shared" si="82"/>
        <v>0.4938865177</v>
      </c>
      <c r="AO36" s="52">
        <f t="shared" si="83"/>
        <v>0.7408297765</v>
      </c>
      <c r="AP36" s="51">
        <f>SUM(AP30:AP35)</f>
        <v>1326.797092</v>
      </c>
      <c r="AQ36" s="51">
        <f>AP36/AA36</f>
        <v>7.250257335</v>
      </c>
      <c r="AR36" s="47">
        <f t="shared" si="85"/>
        <v>142.431694</v>
      </c>
    </row>
    <row r="37" ht="15.75" customHeight="1">
      <c r="A37" s="21"/>
      <c r="B37" s="38">
        <v>5.0</v>
      </c>
      <c r="C37" s="38" t="s">
        <v>34</v>
      </c>
      <c r="D37" s="39">
        <v>40.0</v>
      </c>
      <c r="E37" s="40">
        <f>IFERROR(__xludf.DUMMYFUNCTION("COUNT(IMPORTRANGE(""https://docs.google.com/spreadsheets/d/14_Y-fpuq1wcec3DlT_1PBYekOC0YblQMrWVfO12YO3k/edit"",""2!d2:d41""))"),37.0)</f>
        <v>37</v>
      </c>
      <c r="F37" s="45">
        <f>IFERROR(__xludf.DUMMYFUNCTION("SUM(IMPORTRANGE(""https://docs.google.com/spreadsheets/d/14_Y-fpuq1wcec3DlT_1PBYekOC0YblQMrWVfO12YO3k/edit"",""2!Q2:Q41""))"),7412.037000000002)</f>
        <v>7412.037</v>
      </c>
      <c r="G37" s="40">
        <f>IFERROR(__xludf.DUMMYFUNCTION("IMPORTRANGE(""https://docs.google.com/spreadsheets/d/14_Y-fpuq1wcec3DlT_1PBYekOC0YblQMrWVfO12YO3k/edit"",""2!e48"")"),2473.0)</f>
        <v>2473</v>
      </c>
      <c r="H37" s="40">
        <f>IFERROR(__xludf.DUMMYFUNCTION("IMPORTRANGE(""https://docs.google.com/spreadsheets/d/14_Y-fpuq1wcec3DlT_1PBYekOC0YblQMrWVfO12YO3k/edit"",""2!e49"")"),0.0)</f>
        <v>0</v>
      </c>
      <c r="I37" s="40">
        <f t="shared" si="90"/>
        <v>2473</v>
      </c>
      <c r="J37" s="40">
        <f>IFERROR(__xludf.DUMMYFUNCTION("IMPORTRANGE(""https://docs.google.com/spreadsheets/d/14_Y-fpuq1wcec3DlT_1PBYekOC0YblQMrWVfO12YO3k/edit"",""2!e52"")"),2902.0)</f>
        <v>2902</v>
      </c>
      <c r="K37" s="40">
        <f>IFERROR(__xludf.DUMMYFUNCTION("IMPORTRANGE(""https://docs.google.com/spreadsheets/d/14_Y-fpuq1wcec3DlT_1PBYekOC0YblQMrWVfO12YO3k/edit"",""2!e53"")"),201.0)</f>
        <v>201</v>
      </c>
      <c r="L37" s="40">
        <f t="shared" si="91"/>
        <v>3103</v>
      </c>
      <c r="M37" s="40">
        <f t="shared" si="92"/>
        <v>5576</v>
      </c>
      <c r="N37" s="41">
        <f t="shared" si="93"/>
        <v>200.3253243</v>
      </c>
      <c r="O37" s="38">
        <v>9354.0</v>
      </c>
      <c r="P37" s="42">
        <f t="shared" si="94"/>
        <v>0.5961086166</v>
      </c>
      <c r="Q37" s="43">
        <v>1.5</v>
      </c>
      <c r="R37" s="42">
        <f t="shared" si="95"/>
        <v>0.5015265484</v>
      </c>
      <c r="S37" s="44">
        <f t="shared" si="96"/>
        <v>0.7522898226</v>
      </c>
      <c r="T37" s="43">
        <f>F37/30.713</f>
        <v>241.3322372</v>
      </c>
      <c r="U37" s="43">
        <f t="shared" si="97"/>
        <v>6.522492896</v>
      </c>
      <c r="V37" s="40">
        <f t="shared" si="98"/>
        <v>150.7027027</v>
      </c>
      <c r="X37" s="53" t="s">
        <v>35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6"/>
    </row>
    <row r="38" ht="15.75" customHeight="1">
      <c r="A38" s="21"/>
      <c r="B38" s="38">
        <v>6.0</v>
      </c>
      <c r="C38" s="38" t="s">
        <v>23</v>
      </c>
      <c r="D38" s="39">
        <v>35.0</v>
      </c>
      <c r="E38" s="40">
        <f>IFERROR(__xludf.DUMMYFUNCTION("COUNT(IMPORTRANGE(""https://docs.google.com/spreadsheets/d/1lJqjdj05V4LOXuBOiTdE65GV4ZITyx1cMLcDdcuoUnE/edit"",""2!d2:d36""))"),35.0)</f>
        <v>35</v>
      </c>
      <c r="F38" s="45">
        <f>IFERROR(__xludf.DUMMYFUNCTION("SUM(IMPORTRANGE(""https://docs.google.com/spreadsheets/d/1lJqjdj05V4LOXuBOiTdE65GV4ZITyx1cMLcDdcuoUnE/edit"",""2!Q2:Q36""))"),6815.479999999995)</f>
        <v>6815.48</v>
      </c>
      <c r="G38" s="40">
        <f>IFERROR(__xludf.DUMMYFUNCTION("IMPORTRANGE(""https://docs.google.com/spreadsheets/d/1lJqjdj05V4LOXuBOiTdE65GV4ZITyx1cMLcDdcuoUnE/edit"",""2!e43"")"),1644.0)</f>
        <v>1644</v>
      </c>
      <c r="H38" s="40">
        <f>IFERROR(__xludf.DUMMYFUNCTION("IMPORTRANGE(""https://docs.google.com/spreadsheets/d/1lJqjdj05V4LOXuBOiTdE65GV4ZITyx1cMLcDdcuoUnE/edit"",""2!e44"")"),0.0)</f>
        <v>0</v>
      </c>
      <c r="I38" s="40">
        <f t="shared" si="90"/>
        <v>1644</v>
      </c>
      <c r="J38" s="40">
        <f>IFERROR(__xludf.DUMMYFUNCTION("IMPORTRANGE(""https://docs.google.com/spreadsheets/d/1lJqjdj05V4LOXuBOiTdE65GV4ZITyx1cMLcDdcuoUnE/edit"",""2!e47"")"),2926.0)</f>
        <v>2926</v>
      </c>
      <c r="K38" s="40">
        <f>IFERROR(__xludf.DUMMYFUNCTION("IMPORTRANGE(""https://docs.google.com/spreadsheets/d/1lJqjdj05V4LOXuBOiTdE65GV4ZITyx1cMLcDdcuoUnE/edit"",""2!e48"")"),0.0)</f>
        <v>0</v>
      </c>
      <c r="L38" s="40">
        <f t="shared" si="91"/>
        <v>2926</v>
      </c>
      <c r="M38" s="40">
        <f t="shared" si="92"/>
        <v>4570</v>
      </c>
      <c r="N38" s="41">
        <f t="shared" si="93"/>
        <v>194.728</v>
      </c>
      <c r="O38" s="38">
        <v>6853.0</v>
      </c>
      <c r="P38" s="42">
        <f t="shared" si="94"/>
        <v>0.6668612287</v>
      </c>
      <c r="Q38" s="43">
        <v>1.5</v>
      </c>
      <c r="R38" s="42">
        <f t="shared" si="95"/>
        <v>0.4470215842</v>
      </c>
      <c r="S38" s="44">
        <f t="shared" si="96"/>
        <v>0.6705323763</v>
      </c>
      <c r="T38" s="43">
        <f>F38/33.74</f>
        <v>202</v>
      </c>
      <c r="U38" s="43">
        <f t="shared" si="97"/>
        <v>5.771428571</v>
      </c>
      <c r="V38" s="40">
        <f t="shared" si="98"/>
        <v>130.5714286</v>
      </c>
      <c r="X38" s="14" t="s">
        <v>2</v>
      </c>
      <c r="Y38" s="14" t="s">
        <v>3</v>
      </c>
      <c r="Z38" s="14" t="s">
        <v>4</v>
      </c>
      <c r="AA38" s="14" t="s">
        <v>5</v>
      </c>
      <c r="AB38" s="15" t="s">
        <v>6</v>
      </c>
      <c r="AC38" s="14" t="s">
        <v>7</v>
      </c>
      <c r="AD38" s="14" t="s">
        <v>8</v>
      </c>
      <c r="AE38" s="14" t="s">
        <v>9</v>
      </c>
      <c r="AF38" s="14" t="s">
        <v>10</v>
      </c>
      <c r="AG38" s="14" t="s">
        <v>11</v>
      </c>
      <c r="AH38" s="14" t="s">
        <v>12</v>
      </c>
      <c r="AI38" s="14" t="s">
        <v>13</v>
      </c>
      <c r="AJ38" s="15" t="s">
        <v>14</v>
      </c>
      <c r="AK38" s="14" t="s">
        <v>15</v>
      </c>
      <c r="AL38" s="14" t="s">
        <v>16</v>
      </c>
      <c r="AM38" s="16" t="s">
        <v>17</v>
      </c>
      <c r="AN38" s="17" t="s">
        <v>18</v>
      </c>
      <c r="AO38" s="18" t="s">
        <v>19</v>
      </c>
      <c r="AP38" s="19" t="s">
        <v>20</v>
      </c>
      <c r="AQ38" s="19" t="s">
        <v>21</v>
      </c>
      <c r="AR38" s="20" t="s">
        <v>22</v>
      </c>
    </row>
    <row r="39" ht="15.75" customHeight="1">
      <c r="A39" s="21"/>
      <c r="B39" s="38">
        <v>7.0</v>
      </c>
      <c r="C39" s="38" t="s">
        <v>24</v>
      </c>
      <c r="D39" s="39">
        <v>44.0</v>
      </c>
      <c r="E39" s="54">
        <f>IFERROR(__xludf.DUMMYFUNCTION("COUNT(IMPORTRANGE(""https://docs.google.com/spreadsheets/d/1_7EEO26q9Yq-XhNFiy7I6Zh4Yg6uGjTs9y0UqNvPKcQ/edit"",""2!d2:d45""))"),43.0)</f>
        <v>43</v>
      </c>
      <c r="F39" s="55">
        <f>IFERROR(__xludf.DUMMYFUNCTION("SUM(IMPORTRANGE(""https://docs.google.com/spreadsheets/d/1_7EEO26q9Yq-XhNFiy7I6Zh4Yg6uGjTs9y0UqNvPKcQ/edit"",""2!Q2:Q45""))"),8063.018999999993)</f>
        <v>8063.019</v>
      </c>
      <c r="G39" s="54">
        <f>IFERROR(__xludf.DUMMYFUNCTION("IMPORTRANGE(""https://docs.google.com/spreadsheets/d/1_7EEO26q9Yq-XhNFiy7I6Zh4Yg6uGjTs9y0UqNvPKcQ/edit"",""2!e53"")"),1033.0)</f>
        <v>1033</v>
      </c>
      <c r="H39" s="54">
        <f>IFERROR(__xludf.DUMMYFUNCTION("IMPORTRANGE(""https://docs.google.com/spreadsheets/d/1_7EEO26q9Yq-XhNFiy7I6Zh4Yg6uGjTs9y0UqNvPKcQ/edit"",""2!e54"")"),0.0)</f>
        <v>0</v>
      </c>
      <c r="I39" s="54">
        <f t="shared" si="90"/>
        <v>1033</v>
      </c>
      <c r="J39" s="54">
        <f>IFERROR(__xludf.DUMMYFUNCTION("IMPORTRANGE(""https://docs.google.com/spreadsheets/d/1_7EEO26q9Yq-XhNFiy7I6Zh4Yg6uGjTs9y0UqNvPKcQ/edit"",""2!e57"")"),1363.0)</f>
        <v>1363</v>
      </c>
      <c r="K39" s="54">
        <f>IFERROR(__xludf.DUMMYFUNCTION("IMPORTRANGE(""https://docs.google.com/spreadsheets/d/1_7EEO26q9Yq-XhNFiy7I6Zh4Yg6uGjTs9y0UqNvPKcQ/edit"",""2!e58"")"),0.0)</f>
        <v>0</v>
      </c>
      <c r="L39" s="40">
        <f t="shared" si="91"/>
        <v>1363</v>
      </c>
      <c r="M39" s="40">
        <f t="shared" si="92"/>
        <v>2396</v>
      </c>
      <c r="N39" s="41">
        <f t="shared" si="93"/>
        <v>187.5120698</v>
      </c>
      <c r="O39" s="38">
        <v>1580.0</v>
      </c>
      <c r="P39" s="56">
        <f t="shared" si="94"/>
        <v>1.516455696</v>
      </c>
      <c r="Q39" s="43">
        <v>1.5</v>
      </c>
      <c r="R39" s="42">
        <f t="shared" si="95"/>
        <v>0.1981061105</v>
      </c>
      <c r="S39" s="44">
        <f t="shared" si="96"/>
        <v>0.2971591658</v>
      </c>
      <c r="T39" s="43">
        <f>F39/26.805</f>
        <v>300.802798</v>
      </c>
      <c r="U39" s="43">
        <f t="shared" si="97"/>
        <v>6.995413907</v>
      </c>
      <c r="V39" s="40">
        <f t="shared" si="98"/>
        <v>55.72093023</v>
      </c>
      <c r="X39" s="22">
        <v>1.0</v>
      </c>
      <c r="Y39" s="22" t="s">
        <v>28</v>
      </c>
      <c r="Z39" s="22">
        <f t="shared" ref="Z39:AI39" si="107">SUM(D34)</f>
        <v>33</v>
      </c>
      <c r="AA39" s="23">
        <f t="shared" si="107"/>
        <v>32</v>
      </c>
      <c r="AB39" s="25">
        <f t="shared" si="107"/>
        <v>6219.863</v>
      </c>
      <c r="AC39" s="23">
        <f t="shared" si="107"/>
        <v>2043</v>
      </c>
      <c r="AD39" s="23">
        <f t="shared" si="107"/>
        <v>90</v>
      </c>
      <c r="AE39" s="23">
        <f t="shared" si="107"/>
        <v>2133</v>
      </c>
      <c r="AF39" s="23">
        <f t="shared" si="107"/>
        <v>2353</v>
      </c>
      <c r="AG39" s="23">
        <f t="shared" si="107"/>
        <v>136</v>
      </c>
      <c r="AH39" s="23">
        <f t="shared" si="107"/>
        <v>2489</v>
      </c>
      <c r="AI39" s="23">
        <f t="shared" si="107"/>
        <v>4622</v>
      </c>
      <c r="AJ39" s="25">
        <f t="shared" ref="AJ39:AJ45" si="110">AB39/AA39</f>
        <v>194.3707188</v>
      </c>
      <c r="AK39" s="22">
        <f t="shared" ref="AK39:AK40" si="111">SUM(O34)</f>
        <v>7315</v>
      </c>
      <c r="AL39" s="26">
        <f t="shared" ref="AL39:AL45" si="112">AI39/AK39</f>
        <v>0.6318523582</v>
      </c>
      <c r="AM39" s="27">
        <f t="shared" ref="AM39:AM40" si="113">SUM(Q34)</f>
        <v>1.5</v>
      </c>
      <c r="AN39" s="26">
        <f t="shared" ref="AN39:AN45" si="114">AO39/AM39</f>
        <v>0.4954021227</v>
      </c>
      <c r="AO39" s="28">
        <f t="shared" ref="AO39:AO45" si="115">AI39/AB39</f>
        <v>0.7431031841</v>
      </c>
      <c r="AP39" s="27">
        <f t="shared" ref="AP39:AQ39" si="108">SUM(T34)</f>
        <v>201.3096093</v>
      </c>
      <c r="AQ39" s="27">
        <f t="shared" si="108"/>
        <v>6.290925292</v>
      </c>
      <c r="AR39" s="23">
        <f t="shared" ref="AR39:AR45" si="117">AI39/AA39</f>
        <v>144.4375</v>
      </c>
    </row>
    <row r="40" ht="15.75" customHeight="1">
      <c r="A40" s="21"/>
      <c r="B40" s="38">
        <v>8.0</v>
      </c>
      <c r="C40" s="38" t="s">
        <v>25</v>
      </c>
      <c r="D40" s="57">
        <v>32.0</v>
      </c>
      <c r="E40" s="40">
        <f>IFERROR(__xludf.DUMMYFUNCTION("COUNT(IMPORTRANGE(""https://docs.google.com/spreadsheets/d/1vLOLpiE-XsbnCnwWPcoi87PlUSXfqIAAQn3kvqHfO6s/edit"",""2!d2:D33""))"),31.0)</f>
        <v>31</v>
      </c>
      <c r="F40" s="45">
        <f>IFERROR(__xludf.DUMMYFUNCTION("SUM(IMPORTRANGE(""https://docs.google.com/spreadsheets/d/1vLOLpiE-XsbnCnwWPcoi87PlUSXfqIAAQn3kvqHfO6s/edit"",""2!Q2:Q33""))"),6091.148000000002)</f>
        <v>6091.148</v>
      </c>
      <c r="G40" s="40">
        <f>IFERROR(__xludf.DUMMYFUNCTION("IMPORTRANGE(""https://docs.google.com/spreadsheets/d/1vLOLpiE-XsbnCnwWPcoi87PlUSXfqIAAQn3kvqHfO6s/edit"",""2!e40"")"),2281.0)</f>
        <v>2281</v>
      </c>
      <c r="H40" s="40">
        <f>IFERROR(__xludf.DUMMYFUNCTION("IMPORTRANGE(""https://docs.google.com/spreadsheets/d/1vLOLpiE-XsbnCnwWPcoi87PlUSXfqIAAQn3kvqHfO6s/edit"",""2!e41"")"),315.0)</f>
        <v>315</v>
      </c>
      <c r="I40" s="40">
        <f t="shared" si="90"/>
        <v>2596</v>
      </c>
      <c r="J40" s="40">
        <f>IFERROR(__xludf.DUMMYFUNCTION("IMPORTRANGE(""https://docs.google.com/spreadsheets/d/1vLOLpiE-XsbnCnwWPcoi87PlUSXfqIAAQn3kvqHfO6s/edit"",""2!e44"")"),3045.0)</f>
        <v>3045</v>
      </c>
      <c r="K40" s="40">
        <f>IFERROR(__xludf.DUMMYFUNCTION("IMPORTRANGE(""https://docs.google.com/spreadsheets/d/1vLOLpiE-XsbnCnwWPcoi87PlUSXfqIAAQn3kvqHfO6s/edit"",""2!e45"")"),438.0)</f>
        <v>438</v>
      </c>
      <c r="L40" s="40">
        <f>J40+K40</f>
        <v>3483</v>
      </c>
      <c r="M40" s="40">
        <f t="shared" si="92"/>
        <v>6079</v>
      </c>
      <c r="N40" s="41">
        <f t="shared" si="93"/>
        <v>196.4886452</v>
      </c>
      <c r="O40" s="38">
        <v>6622.0</v>
      </c>
      <c r="P40" s="42">
        <f t="shared" si="94"/>
        <v>0.918000604</v>
      </c>
      <c r="Q40" s="43">
        <v>1.5</v>
      </c>
      <c r="R40" s="42">
        <f t="shared" si="95"/>
        <v>0.665337087</v>
      </c>
      <c r="S40" s="44">
        <f t="shared" si="96"/>
        <v>0.9980056305</v>
      </c>
      <c r="T40" s="43">
        <f>F40/23.84</f>
        <v>255.5011745</v>
      </c>
      <c r="U40" s="43">
        <f t="shared" si="97"/>
        <v>8.241973371</v>
      </c>
      <c r="V40" s="40">
        <f t="shared" si="98"/>
        <v>196.0967742</v>
      </c>
      <c r="X40" s="31">
        <v>2.0</v>
      </c>
      <c r="Y40" s="31" t="s">
        <v>30</v>
      </c>
      <c r="Z40" s="31">
        <f t="shared" ref="Z40:AI40" si="109">SUM(D35)</f>
        <v>60</v>
      </c>
      <c r="AA40" s="32">
        <f t="shared" si="109"/>
        <v>58</v>
      </c>
      <c r="AB40" s="33">
        <f t="shared" si="109"/>
        <v>11485.964</v>
      </c>
      <c r="AC40" s="32">
        <f t="shared" si="109"/>
        <v>3147</v>
      </c>
      <c r="AD40" s="32">
        <f t="shared" si="109"/>
        <v>0</v>
      </c>
      <c r="AE40" s="32">
        <f t="shared" si="109"/>
        <v>3147</v>
      </c>
      <c r="AF40" s="32">
        <f t="shared" si="109"/>
        <v>4568</v>
      </c>
      <c r="AG40" s="32">
        <f t="shared" si="109"/>
        <v>0</v>
      </c>
      <c r="AH40" s="32">
        <f t="shared" si="109"/>
        <v>4568</v>
      </c>
      <c r="AI40" s="32">
        <f t="shared" si="109"/>
        <v>7715</v>
      </c>
      <c r="AJ40" s="34">
        <f t="shared" si="110"/>
        <v>198.0338621</v>
      </c>
      <c r="AK40" s="31">
        <f t="shared" si="111"/>
        <v>11164</v>
      </c>
      <c r="AL40" s="35">
        <f t="shared" si="112"/>
        <v>0.6910605518</v>
      </c>
      <c r="AM40" s="36">
        <f t="shared" si="113"/>
        <v>1.5</v>
      </c>
      <c r="AN40" s="35">
        <f t="shared" si="114"/>
        <v>0.4477929178</v>
      </c>
      <c r="AO40" s="37">
        <f t="shared" si="115"/>
        <v>0.6716893767</v>
      </c>
      <c r="AP40" s="36">
        <f t="shared" ref="AP40:AQ40" si="116">SUM(T35)</f>
        <v>388</v>
      </c>
      <c r="AQ40" s="36">
        <f t="shared" si="116"/>
        <v>6.689655172</v>
      </c>
      <c r="AR40" s="32">
        <f t="shared" si="117"/>
        <v>133.0172414</v>
      </c>
    </row>
    <row r="41" ht="15.75" customHeight="1">
      <c r="A41" s="21"/>
      <c r="B41" s="38">
        <v>9.0</v>
      </c>
      <c r="C41" s="38" t="s">
        <v>36</v>
      </c>
      <c r="D41" s="57">
        <v>24.0</v>
      </c>
      <c r="E41" s="40">
        <f>IFERROR(__xludf.DUMMYFUNCTION("COUNT(IMPORTRANGE(""https://docs.google.com/spreadsheets/d/1WJJVq25XDtGjt-J2JPxeKs3jIvDZtkIREC0lFPXwf74/edit"",""2!d2:d31""))"),24.0)</f>
        <v>24</v>
      </c>
      <c r="F41" s="45">
        <f>IFERROR(__xludf.DUMMYFUNCTION("SUM(IMPORTRANGE(""https://docs.google.com/spreadsheets/d/1WJJVq25XDtGjt-J2JPxeKs3jIvDZtkIREC0lFPXwf74/edit"",""2!Q2:Q31""))"),4795.3759999999975)</f>
        <v>4795.376</v>
      </c>
      <c r="G41" s="40">
        <f>IFERROR(__xludf.DUMMYFUNCTION("IMPORTRANGE(""https://docs.google.com/spreadsheets/d/1WJJVq25XDtGjt-J2JPxeKs3jIvDZtkIREC0lFPXwf74/edit"",""2!e38"")"),1258.0)</f>
        <v>1258</v>
      </c>
      <c r="H41" s="40">
        <f>IFERROR(__xludf.DUMMYFUNCTION("IMPORTRANGE(""https://docs.google.com/spreadsheets/d/1WJJVq25XDtGjt-J2JPxeKs3jIvDZtkIREC0lFPXwf74/edit"",""2!e39"")"),0.0)</f>
        <v>0</v>
      </c>
      <c r="I41" s="40">
        <f t="shared" si="90"/>
        <v>1258</v>
      </c>
      <c r="J41" s="40">
        <f>IFERROR(__xludf.DUMMYFUNCTION("IMPORTRANGE(""https://docs.google.com/spreadsheets/d/1WJJVq25XDtGjt-J2JPxeKs3jIvDZtkIREC0lFPXwf74/edit"",""2!e42"")"),1932.0)</f>
        <v>1932</v>
      </c>
      <c r="K41" s="40">
        <f>IFERROR(__xludf.DUMMYFUNCTION("IMPORTRANGE(""https://docs.google.com/spreadsheets/d/1WJJVq25XDtGjt-J2JPxeKs3jIvDZtkIREC0lFPXwf74/edit"",""2!e43"")"),0.0)</f>
        <v>0</v>
      </c>
      <c r="L41" s="40">
        <f t="shared" ref="L41:L50" si="120">SUM(J41:K41)</f>
        <v>1932</v>
      </c>
      <c r="M41" s="40">
        <f t="shared" si="92"/>
        <v>3190</v>
      </c>
      <c r="N41" s="41">
        <f t="shared" si="93"/>
        <v>199.8073333</v>
      </c>
      <c r="O41" s="38">
        <v>4796.0</v>
      </c>
      <c r="P41" s="42">
        <f t="shared" si="94"/>
        <v>0.6651376147</v>
      </c>
      <c r="Q41" s="43">
        <v>1.5</v>
      </c>
      <c r="R41" s="42">
        <f t="shared" si="95"/>
        <v>0.4434827773</v>
      </c>
      <c r="S41" s="44">
        <f t="shared" si="96"/>
        <v>0.6652241659</v>
      </c>
      <c r="T41" s="43">
        <f>F41/37.414</f>
        <v>128.1706313</v>
      </c>
      <c r="U41" s="43">
        <f t="shared" si="97"/>
        <v>5.340442971</v>
      </c>
      <c r="V41" s="40">
        <f t="shared" si="98"/>
        <v>132.9166667</v>
      </c>
      <c r="X41" s="22">
        <v>3.0</v>
      </c>
      <c r="Y41" s="22" t="s">
        <v>34</v>
      </c>
      <c r="Z41" s="22">
        <f t="shared" ref="Z41:AI41" si="118">SUM(D37)</f>
        <v>40</v>
      </c>
      <c r="AA41" s="23">
        <f t="shared" si="118"/>
        <v>37</v>
      </c>
      <c r="AB41" s="24">
        <f t="shared" si="118"/>
        <v>7412.037</v>
      </c>
      <c r="AC41" s="23">
        <f t="shared" si="118"/>
        <v>2473</v>
      </c>
      <c r="AD41" s="23">
        <f t="shared" si="118"/>
        <v>0</v>
      </c>
      <c r="AE41" s="23">
        <f t="shared" si="118"/>
        <v>2473</v>
      </c>
      <c r="AF41" s="23">
        <f t="shared" si="118"/>
        <v>2902</v>
      </c>
      <c r="AG41" s="23">
        <f t="shared" si="118"/>
        <v>201</v>
      </c>
      <c r="AH41" s="23">
        <f t="shared" si="118"/>
        <v>3103</v>
      </c>
      <c r="AI41" s="23">
        <f t="shared" si="118"/>
        <v>5576</v>
      </c>
      <c r="AJ41" s="25">
        <f t="shared" si="110"/>
        <v>200.3253243</v>
      </c>
      <c r="AK41" s="22">
        <f>SUM(O37)</f>
        <v>9354</v>
      </c>
      <c r="AL41" s="26">
        <f t="shared" si="112"/>
        <v>0.5961086166</v>
      </c>
      <c r="AM41" s="27">
        <f>SUM(Q37)</f>
        <v>1.5</v>
      </c>
      <c r="AN41" s="26">
        <f t="shared" si="114"/>
        <v>0.5015265484</v>
      </c>
      <c r="AO41" s="28">
        <f t="shared" si="115"/>
        <v>0.7522898226</v>
      </c>
      <c r="AP41" s="27">
        <f t="shared" ref="AP41:AQ41" si="119">SUM(T37)</f>
        <v>241.3322372</v>
      </c>
      <c r="AQ41" s="27">
        <f t="shared" si="119"/>
        <v>6.522492896</v>
      </c>
      <c r="AR41" s="23">
        <f t="shared" si="117"/>
        <v>150.7027027</v>
      </c>
    </row>
    <row r="42" ht="15.75" customHeight="1">
      <c r="A42" s="21"/>
      <c r="B42" s="38">
        <v>10.0</v>
      </c>
      <c r="C42" s="38" t="s">
        <v>37</v>
      </c>
      <c r="D42" s="39">
        <v>30.0</v>
      </c>
      <c r="E42" s="40">
        <f>IFERROR(__xludf.DUMMYFUNCTION("COUNT(IMPORTRANGE(""https://docs.google.com/spreadsheets/d/1rJyYfywRpWJW0zvDJHLOJtqUQqffoCGaqTVxxTDgV0k/edit"",""2!d2:d31""))"),28.0)</f>
        <v>28</v>
      </c>
      <c r="F42" s="45">
        <f>IFERROR(__xludf.DUMMYFUNCTION("SUM(IMPORTRANGE(""https://docs.google.com/spreadsheets/d/1rJyYfywRpWJW0zvDJHLOJtqUQqffoCGaqTVxxTDgV0k/edit"",""2!Q2:Q31""))"),5550.786000000003)</f>
        <v>5550.786</v>
      </c>
      <c r="G42" s="40">
        <f>IFERROR(__xludf.DUMMYFUNCTION("(IMPORTRANGE(""https://docs.google.com/spreadsheets/d/1rJyYfywRpWJW0zvDJHLOJtqUQqffoCGaqTVxxTDgV0k/edit"",""2!e38""))"),2223.0)</f>
        <v>2223</v>
      </c>
      <c r="H42" s="40">
        <f>IFERROR(__xludf.DUMMYFUNCTION("(IMPORTRANGE(""https://docs.google.com/spreadsheets/d/1rJyYfywRpWJW0zvDJHLOJtqUQqffoCGaqTVxxTDgV0k/edit"",""2!e39""))"),0.0)</f>
        <v>0</v>
      </c>
      <c r="I42" s="40">
        <f t="shared" si="90"/>
        <v>2223</v>
      </c>
      <c r="J42" s="40">
        <f>IFERROR(__xludf.DUMMYFUNCTION("(IMPORTRANGE(""https://docs.google.com/spreadsheets/d/1rJyYfywRpWJW0zvDJHLOJtqUQqffoCGaqTVxxTDgV0k/edit"",""2!e42""))"),2702.0)</f>
        <v>2702</v>
      </c>
      <c r="K42" s="40">
        <f>IFERROR(__xludf.DUMMYFUNCTION("(IMPORTRANGE(""https://docs.google.com/spreadsheets/d/1rJyYfywRpWJW0zvDJHLOJtqUQqffoCGaqTVxxTDgV0k/edit"",""2!e43""))"),0.0)</f>
        <v>0</v>
      </c>
      <c r="L42" s="40">
        <f t="shared" si="120"/>
        <v>2702</v>
      </c>
      <c r="M42" s="40">
        <f t="shared" si="92"/>
        <v>4925</v>
      </c>
      <c r="N42" s="41">
        <f t="shared" si="93"/>
        <v>198.2423571</v>
      </c>
      <c r="O42" s="38">
        <v>5887.0</v>
      </c>
      <c r="P42" s="42">
        <f t="shared" si="94"/>
        <v>0.8365890946</v>
      </c>
      <c r="Q42" s="43">
        <v>1.5</v>
      </c>
      <c r="R42" s="42">
        <f t="shared" si="95"/>
        <v>0.5915078213</v>
      </c>
      <c r="S42" s="44">
        <f t="shared" si="96"/>
        <v>0.8872617319</v>
      </c>
      <c r="T42" s="43">
        <f>F42/24.792</f>
        <v>223.8942401</v>
      </c>
      <c r="U42" s="43">
        <f t="shared" si="97"/>
        <v>7.99622286</v>
      </c>
      <c r="V42" s="40">
        <f t="shared" si="98"/>
        <v>175.8928571</v>
      </c>
      <c r="X42" s="31">
        <v>4.0</v>
      </c>
      <c r="Y42" s="31" t="s">
        <v>38</v>
      </c>
      <c r="Z42" s="31">
        <f t="shared" ref="Z42:AI42" si="121">SUM(D45)</f>
        <v>30</v>
      </c>
      <c r="AA42" s="32">
        <f t="shared" si="121"/>
        <v>28</v>
      </c>
      <c r="AB42" s="33">
        <f t="shared" si="121"/>
        <v>6036.017</v>
      </c>
      <c r="AC42" s="32">
        <f t="shared" si="121"/>
        <v>1721</v>
      </c>
      <c r="AD42" s="32">
        <f t="shared" si="121"/>
        <v>29</v>
      </c>
      <c r="AE42" s="32">
        <f t="shared" si="121"/>
        <v>1750</v>
      </c>
      <c r="AF42" s="32">
        <f t="shared" si="121"/>
        <v>2258</v>
      </c>
      <c r="AG42" s="32">
        <f t="shared" si="121"/>
        <v>88</v>
      </c>
      <c r="AH42" s="32">
        <f t="shared" si="121"/>
        <v>2346</v>
      </c>
      <c r="AI42" s="32">
        <f t="shared" si="121"/>
        <v>4096</v>
      </c>
      <c r="AJ42" s="34">
        <f t="shared" si="110"/>
        <v>215.5720357</v>
      </c>
      <c r="AK42" s="31">
        <v>7324.0</v>
      </c>
      <c r="AL42" s="35">
        <f t="shared" si="112"/>
        <v>0.5592572365</v>
      </c>
      <c r="AM42" s="36">
        <f>SUM(Q45)</f>
        <v>1.5</v>
      </c>
      <c r="AN42" s="35">
        <f t="shared" si="114"/>
        <v>0.4523954566</v>
      </c>
      <c r="AO42" s="37">
        <f t="shared" si="115"/>
        <v>0.6785931849</v>
      </c>
      <c r="AP42" s="36">
        <f t="shared" ref="AP42:AQ42" si="122">SUM(T45)</f>
        <v>146.4874894</v>
      </c>
      <c r="AQ42" s="36">
        <f t="shared" si="122"/>
        <v>5.231696049</v>
      </c>
      <c r="AR42" s="32">
        <f t="shared" si="117"/>
        <v>146.2857143</v>
      </c>
    </row>
    <row r="43" ht="15.75" customHeight="1">
      <c r="A43" s="21"/>
      <c r="B43" s="38">
        <v>12.0</v>
      </c>
      <c r="C43" s="38" t="s">
        <v>39</v>
      </c>
      <c r="D43" s="39">
        <v>28.0</v>
      </c>
      <c r="E43" s="40">
        <f>IFERROR(__xludf.DUMMYFUNCTION("COUNT(IMPORTRANGE(""https://docs.google.com/spreadsheets/d/1uaTn2DZCfr7O1PvovOd0wElzVz8kpl_iPfnrkNPp0Is/edit"",""2!d2:d29""))"),28.0)</f>
        <v>28</v>
      </c>
      <c r="F43" s="45">
        <f>IFERROR(__xludf.DUMMYFUNCTION("SUM(IMPORTRANGE(""https://docs.google.com/spreadsheets/d/1uaTn2DZCfr7O1PvovOd0wElzVz8kpl_iPfnrkNPp0Is/edit"",""2!Q2:Q29""))"),5361.385000000002)</f>
        <v>5361.385</v>
      </c>
      <c r="G43" s="40">
        <f>IFERROR(__xludf.DUMMYFUNCTION("IMPORTRANGE(""https://docs.google.com/spreadsheets/d/1uaTn2DZCfr7O1PvovOd0wElzVz8kpl_iPfnrkNPp0Is/edit"",""2!e36"")"),1143.0)</f>
        <v>1143</v>
      </c>
      <c r="H43" s="40">
        <f>IFERROR(__xludf.DUMMYFUNCTION("(IMPORTRANGE(""https://docs.google.com/spreadsheets/d/1uaTn2DZCfr7O1PvovOd0wElzVz8kpl_iPfnrkNPp0Is/edit"",""2!e37""))"),48.0)</f>
        <v>48</v>
      </c>
      <c r="I43" s="40">
        <f t="shared" si="90"/>
        <v>1191</v>
      </c>
      <c r="J43" s="40">
        <f>IFERROR(__xludf.DUMMYFUNCTION("IMPORTRANGE(""https://docs.google.com/spreadsheets/d/1uaTn2DZCfr7O1PvovOd0wElzVz8kpl_iPfnrkNPp0Is/edit"",""2!e40"")"),1761.0)</f>
        <v>1761</v>
      </c>
      <c r="K43" s="40">
        <f>IFERROR(__xludf.DUMMYFUNCTION("IMPORTRANGE(""https://docs.google.com/spreadsheets/d/1uaTn2DZCfr7O1PvovOd0wElzVz8kpl_iPfnrkNPp0Is/edit"",""2!e41"")"),128.0)</f>
        <v>128</v>
      </c>
      <c r="L43" s="40">
        <f t="shared" si="120"/>
        <v>1889</v>
      </c>
      <c r="M43" s="40">
        <f t="shared" si="92"/>
        <v>3080</v>
      </c>
      <c r="N43" s="41">
        <f t="shared" si="93"/>
        <v>191.4780357</v>
      </c>
      <c r="O43" s="38">
        <v>3569.0</v>
      </c>
      <c r="P43" s="42">
        <f t="shared" si="94"/>
        <v>0.862986831</v>
      </c>
      <c r="Q43" s="43">
        <v>1.5</v>
      </c>
      <c r="R43" s="42">
        <f t="shared" si="95"/>
        <v>0.3829856153</v>
      </c>
      <c r="S43" s="44">
        <f t="shared" si="96"/>
        <v>0.574478423</v>
      </c>
      <c r="T43" s="43">
        <f>F43/21.463</f>
        <v>249.7966268</v>
      </c>
      <c r="U43" s="43">
        <f t="shared" si="97"/>
        <v>8.921308098</v>
      </c>
      <c r="V43" s="40">
        <f t="shared" si="98"/>
        <v>110</v>
      </c>
      <c r="X43" s="31">
        <v>5.0</v>
      </c>
      <c r="Y43" s="31" t="s">
        <v>40</v>
      </c>
      <c r="Z43" s="31">
        <f t="shared" ref="Z43:AI43" si="123">SUM(D47)</f>
        <v>30</v>
      </c>
      <c r="AA43" s="32">
        <f t="shared" si="123"/>
        <v>28</v>
      </c>
      <c r="AB43" s="33">
        <f t="shared" si="123"/>
        <v>5574.828</v>
      </c>
      <c r="AC43" s="32">
        <f t="shared" si="123"/>
        <v>3081</v>
      </c>
      <c r="AD43" s="32">
        <f t="shared" si="123"/>
        <v>11</v>
      </c>
      <c r="AE43" s="32">
        <f t="shared" si="123"/>
        <v>3092</v>
      </c>
      <c r="AF43" s="32">
        <f t="shared" si="123"/>
        <v>3717</v>
      </c>
      <c r="AG43" s="32">
        <f t="shared" si="123"/>
        <v>0</v>
      </c>
      <c r="AH43" s="32">
        <f t="shared" si="123"/>
        <v>3717</v>
      </c>
      <c r="AI43" s="32">
        <f t="shared" si="123"/>
        <v>6809</v>
      </c>
      <c r="AJ43" s="34">
        <f t="shared" si="110"/>
        <v>199.101</v>
      </c>
      <c r="AK43" s="31">
        <f t="shared" ref="AK43:AK44" si="126">SUM(O47)</f>
        <v>8239</v>
      </c>
      <c r="AL43" s="35">
        <f t="shared" si="112"/>
        <v>0.826435247</v>
      </c>
      <c r="AM43" s="36">
        <f t="shared" ref="AM43:AM44" si="127">SUM(Q47)</f>
        <v>1.5</v>
      </c>
      <c r="AN43" s="35">
        <f t="shared" si="114"/>
        <v>0.8142553157</v>
      </c>
      <c r="AO43" s="37">
        <f t="shared" si="115"/>
        <v>1.221382974</v>
      </c>
      <c r="AP43" s="36">
        <f t="shared" ref="AP43:AQ43" si="124">SUM(T47)</f>
        <v>196</v>
      </c>
      <c r="AQ43" s="36">
        <f t="shared" si="124"/>
        <v>7</v>
      </c>
      <c r="AR43" s="32">
        <f t="shared" si="117"/>
        <v>243.1785714</v>
      </c>
    </row>
    <row r="44" ht="15.75" customHeight="1">
      <c r="A44" s="21"/>
      <c r="B44" s="38">
        <v>12.0</v>
      </c>
      <c r="C44" s="38" t="s">
        <v>41</v>
      </c>
      <c r="D44" s="39">
        <v>24.0</v>
      </c>
      <c r="E44" s="40">
        <f>IFERROR(__xludf.DUMMYFUNCTION("COUNT(IMPORTRANGE(""https://docs.google.com/spreadsheets/d/1oYscvfOJW7GMkxt8QcupWuzb3ohaYePd3Mt2V2ufHok/edit"",""2!d2:d25""))"),23.0)</f>
        <v>23</v>
      </c>
      <c r="F44" s="45">
        <f>IFERROR(__xludf.DUMMYFUNCTION("SUM(IMPORTRANGE(""https://docs.google.com/spreadsheets/d/1oYscvfOJW7GMkxt8QcupWuzb3ohaYePd3Mt2V2ufHok/edit"",""2!Q2:Q25""))"),4493.580000000002)</f>
        <v>4493.58</v>
      </c>
      <c r="G44" s="40">
        <f>IFERROR(__xludf.DUMMYFUNCTION("IMPORTRANGE(""https://docs.google.com/spreadsheets/d/1oYscvfOJW7GMkxt8QcupWuzb3ohaYePd3Mt2V2ufHok/edit"",""2!e32"")"),1038.0)</f>
        <v>1038</v>
      </c>
      <c r="H44" s="40">
        <f>IFERROR(__xludf.DUMMYFUNCTION("IMPORTRANGE(""https://docs.google.com/spreadsheets/d/1oYscvfOJW7GMkxt8QcupWuzb3ohaYePd3Mt2V2ufHok/edit"",""2!e33"")"),145.0)</f>
        <v>145</v>
      </c>
      <c r="I44" s="40">
        <f t="shared" si="90"/>
        <v>1183</v>
      </c>
      <c r="J44" s="40">
        <f>IFERROR(__xludf.DUMMYFUNCTION("IMPORTRANGE(""https://docs.google.com/spreadsheets/d/1oYscvfOJW7GMkxt8QcupWuzb3ohaYePd3Mt2V2ufHok/edit"",""2!e36"")"),1397.0)</f>
        <v>1397</v>
      </c>
      <c r="K44" s="40">
        <f>IFERROR(__xludf.DUMMYFUNCTION("IMPORTRANGE(""https://docs.google.com/spreadsheets/d/1oYscvfOJW7GMkxt8QcupWuzb3ohaYePd3Mt2V2ufHok/edit"",""2!e37"")"),50.0)</f>
        <v>50</v>
      </c>
      <c r="L44" s="40">
        <f t="shared" si="120"/>
        <v>1447</v>
      </c>
      <c r="M44" s="40">
        <f t="shared" si="92"/>
        <v>2630</v>
      </c>
      <c r="N44" s="41">
        <f t="shared" si="93"/>
        <v>195.3730435</v>
      </c>
      <c r="O44" s="38">
        <v>3801.0</v>
      </c>
      <c r="P44" s="42">
        <f t="shared" si="94"/>
        <v>0.6919231781</v>
      </c>
      <c r="Q44" s="43">
        <v>1.5</v>
      </c>
      <c r="R44" s="42">
        <f t="shared" si="95"/>
        <v>0.3901862954</v>
      </c>
      <c r="S44" s="44">
        <f t="shared" si="96"/>
        <v>0.5852794431</v>
      </c>
      <c r="T44" s="43">
        <f>F44/29.628</f>
        <v>151.6666667</v>
      </c>
      <c r="U44" s="43">
        <f t="shared" si="97"/>
        <v>6.594202899</v>
      </c>
      <c r="V44" s="40">
        <f t="shared" si="98"/>
        <v>114.3478261</v>
      </c>
      <c r="X44" s="22">
        <v>6.0</v>
      </c>
      <c r="Y44" s="22" t="s">
        <v>42</v>
      </c>
      <c r="Z44" s="22">
        <f t="shared" ref="Z44:AI44" si="125">SUM(D48)</f>
        <v>33</v>
      </c>
      <c r="AA44" s="23">
        <f t="shared" si="125"/>
        <v>33</v>
      </c>
      <c r="AB44" s="24">
        <f t="shared" si="125"/>
        <v>6501.826</v>
      </c>
      <c r="AC44" s="23">
        <f t="shared" si="125"/>
        <v>3406</v>
      </c>
      <c r="AD44" s="23">
        <f t="shared" si="125"/>
        <v>0</v>
      </c>
      <c r="AE44" s="23">
        <f t="shared" si="125"/>
        <v>3406</v>
      </c>
      <c r="AF44" s="23">
        <f t="shared" si="125"/>
        <v>3645</v>
      </c>
      <c r="AG44" s="23">
        <f t="shared" si="125"/>
        <v>241</v>
      </c>
      <c r="AH44" s="23">
        <f t="shared" si="125"/>
        <v>3886</v>
      </c>
      <c r="AI44" s="23">
        <f t="shared" si="125"/>
        <v>7292</v>
      </c>
      <c r="AJ44" s="25">
        <f t="shared" si="110"/>
        <v>197.0250303</v>
      </c>
      <c r="AK44" s="22">
        <f t="shared" si="126"/>
        <v>9877</v>
      </c>
      <c r="AL44" s="26">
        <f t="shared" si="112"/>
        <v>0.7382808545</v>
      </c>
      <c r="AM44" s="27">
        <f t="shared" si="127"/>
        <v>1.5</v>
      </c>
      <c r="AN44" s="26">
        <f t="shared" si="114"/>
        <v>0.7476873933</v>
      </c>
      <c r="AO44" s="28">
        <f t="shared" si="115"/>
        <v>1.12153109</v>
      </c>
      <c r="AP44" s="27">
        <f t="shared" ref="AP44:AQ44" si="128">SUM(T48)</f>
        <v>248.5882623</v>
      </c>
      <c r="AQ44" s="27">
        <f t="shared" si="128"/>
        <v>7.532977645</v>
      </c>
      <c r="AR44" s="23">
        <f t="shared" si="117"/>
        <v>220.969697</v>
      </c>
    </row>
    <row r="45" ht="15.75" customHeight="1">
      <c r="A45" s="21"/>
      <c r="B45" s="38">
        <v>13.0</v>
      </c>
      <c r="C45" s="38" t="s">
        <v>43</v>
      </c>
      <c r="D45" s="39">
        <v>30.0</v>
      </c>
      <c r="E45" s="40">
        <f>IFERROR(__xludf.DUMMYFUNCTION("COUNT(IMPORTRANGE(""https://docs.google.com/spreadsheets/d/1AxBmuQEdOYAeRnZ4C8vO6kuTNp7X_SGhpLXuY0n4ln4/edit"",""2!d2:d31""))"),28.0)</f>
        <v>28</v>
      </c>
      <c r="F45" s="45">
        <f>IFERROR(__xludf.DUMMYFUNCTION("SUM(IMPORTRANGE(""https://docs.google.com/spreadsheets/d/1AxBmuQEdOYAeRnZ4C8vO6kuTNp7X_SGhpLXuY0n4ln4/edit"",""2!Q2:Q31""))"),6036.017000000001)</f>
        <v>6036.017</v>
      </c>
      <c r="G45" s="40">
        <f>IFERROR(__xludf.DUMMYFUNCTION("IMPORTRANGE(""https://docs.google.com/spreadsheets/d/1AxBmuQEdOYAeRnZ4C8vO6kuTNp7X_SGhpLXuY0n4ln4/edit"",""2!e38"")"),1721.0)</f>
        <v>1721</v>
      </c>
      <c r="H45" s="40">
        <f>IFERROR(__xludf.DUMMYFUNCTION("IMPORTRANGE(""https://docs.google.com/spreadsheets/d/1AxBmuQEdOYAeRnZ4C8vO6kuTNp7X_SGhpLXuY0n4ln4/edit"",""2!e39"")"),29.0)</f>
        <v>29</v>
      </c>
      <c r="I45" s="40">
        <f t="shared" si="90"/>
        <v>1750</v>
      </c>
      <c r="J45" s="40">
        <f>IFERROR(__xludf.DUMMYFUNCTION("IMPORTRANGE(""https://docs.google.com/spreadsheets/d/1AxBmuQEdOYAeRnZ4C8vO6kuTNp7X_SGhpLXuY0n4ln4/edit"",""2!e42"")"),2258.0)</f>
        <v>2258</v>
      </c>
      <c r="K45" s="40">
        <f>IFERROR(__xludf.DUMMYFUNCTION("IMPORTRANGE(""https://docs.google.com/spreadsheets/d/1AxBmuQEdOYAeRnZ4C8vO6kuTNp7X_SGhpLXuY0n4ln4/edit"",""2!e43"")"),88.0)</f>
        <v>88</v>
      </c>
      <c r="L45" s="40">
        <f t="shared" si="120"/>
        <v>2346</v>
      </c>
      <c r="M45" s="40">
        <f t="shared" si="92"/>
        <v>4096</v>
      </c>
      <c r="N45" s="41">
        <f t="shared" si="93"/>
        <v>215.5720357</v>
      </c>
      <c r="O45" s="38">
        <v>8345.0</v>
      </c>
      <c r="P45" s="42">
        <f t="shared" si="94"/>
        <v>0.490832834</v>
      </c>
      <c r="Q45" s="43">
        <v>1.5</v>
      </c>
      <c r="R45" s="42">
        <f t="shared" si="95"/>
        <v>0.4523954566</v>
      </c>
      <c r="S45" s="44">
        <f t="shared" si="96"/>
        <v>0.6785931849</v>
      </c>
      <c r="T45" s="43">
        <f>F45/41.205</f>
        <v>146.4874894</v>
      </c>
      <c r="U45" s="43">
        <f t="shared" si="97"/>
        <v>5.231696049</v>
      </c>
      <c r="V45" s="40">
        <f t="shared" si="98"/>
        <v>146.2857143</v>
      </c>
      <c r="X45" s="46" t="s">
        <v>33</v>
      </c>
      <c r="Y45" s="46">
        <v>6.0</v>
      </c>
      <c r="Z45" s="46">
        <f t="shared" ref="Z45:AI45" si="129">SUM(Z39:Z44)</f>
        <v>226</v>
      </c>
      <c r="AA45" s="47">
        <f t="shared" si="129"/>
        <v>216</v>
      </c>
      <c r="AB45" s="49">
        <f t="shared" si="129"/>
        <v>43230.535</v>
      </c>
      <c r="AC45" s="47">
        <f t="shared" si="129"/>
        <v>15871</v>
      </c>
      <c r="AD45" s="47">
        <f t="shared" si="129"/>
        <v>130</v>
      </c>
      <c r="AE45" s="47">
        <f t="shared" si="129"/>
        <v>16001</v>
      </c>
      <c r="AF45" s="47">
        <f t="shared" si="129"/>
        <v>19443</v>
      </c>
      <c r="AG45" s="47">
        <f t="shared" si="129"/>
        <v>666</v>
      </c>
      <c r="AH45" s="47">
        <f t="shared" si="129"/>
        <v>20109</v>
      </c>
      <c r="AI45" s="47">
        <f t="shared" si="129"/>
        <v>36110</v>
      </c>
      <c r="AJ45" s="49">
        <f t="shared" si="110"/>
        <v>200.1413657</v>
      </c>
      <c r="AK45" s="46">
        <f>SUM(AK39:AK44)</f>
        <v>53273</v>
      </c>
      <c r="AL45" s="50">
        <f t="shared" si="112"/>
        <v>0.6778292944</v>
      </c>
      <c r="AM45" s="51">
        <v>1.5</v>
      </c>
      <c r="AN45" s="50">
        <f t="shared" si="114"/>
        <v>0.5568594822</v>
      </c>
      <c r="AO45" s="52">
        <f t="shared" si="115"/>
        <v>0.8352892232</v>
      </c>
      <c r="AP45" s="51">
        <f>SUM(AP39:AP44)</f>
        <v>1421.717598</v>
      </c>
      <c r="AQ45" s="51">
        <f>AP45/AA45</f>
        <v>6.582025917</v>
      </c>
      <c r="AR45" s="47">
        <f t="shared" si="117"/>
        <v>167.1759259</v>
      </c>
    </row>
    <row r="46" ht="15.75" customHeight="1">
      <c r="A46" s="21"/>
      <c r="B46" s="38">
        <v>14.0</v>
      </c>
      <c r="C46" s="38" t="s">
        <v>27</v>
      </c>
      <c r="D46" s="39">
        <v>30.0</v>
      </c>
      <c r="E46" s="40">
        <f>IFERROR(__xludf.DUMMYFUNCTION("COUNT(IMPORTRANGE(""https://docs.google.com/spreadsheets/d/1LsL4JuXvBtfJ-TVi4NFml9lV_pmd61b789A_nbO-QrA/edit"",""2!d2:d31""))"),30.0)</f>
        <v>30</v>
      </c>
      <c r="F46" s="45">
        <f>IFERROR(__xludf.DUMMYFUNCTION("SUM(IMPORTRANGE(""https://docs.google.com/spreadsheets/d/1LsL4JuXvBtfJ-TVi4NFml9lV_pmd61b789A_nbO-QrA/edit"",""2!Q2:Q31""))"),5625.639999999999)</f>
        <v>5625.64</v>
      </c>
      <c r="G46" s="40">
        <f>IFERROR(__xludf.DUMMYFUNCTION("IMPORTRANGE(""https://docs.google.com/spreadsheets/d/1LsL4JuXvBtfJ-TVi4NFml9lV_pmd61b789A_nbO-QrA/edit"",""2!e38"")"),2359.0)</f>
        <v>2359</v>
      </c>
      <c r="H46" s="40">
        <f>IFERROR(__xludf.DUMMYFUNCTION("IMPORTRANGE(""https://docs.google.com/spreadsheets/d/1LsL4JuXvBtfJ-TVi4NFml9lV_pmd61b789A_nbO-QrA/edit"",""2!e39"")"),0.0)</f>
        <v>0</v>
      </c>
      <c r="I46" s="40">
        <f t="shared" si="90"/>
        <v>2359</v>
      </c>
      <c r="J46" s="40">
        <f>IFERROR(__xludf.DUMMYFUNCTION("IMPORTRANGE(""https://docs.google.com/spreadsheets/d/1LsL4JuXvBtfJ-TVi4NFml9lV_pmd61b789A_nbO-QrA/edit"",""2!e42"")"),2239.0)</f>
        <v>2239</v>
      </c>
      <c r="K46" s="40">
        <f>IFERROR(__xludf.DUMMYFUNCTION("IMPORTRANGE(""https://docs.google.com/spreadsheets/d/1LsL4JuXvBtfJ-TVi4NFml9lV_pmd61b789A_nbO-QrA/edit"",""2!e43"")"),63.0)</f>
        <v>63</v>
      </c>
      <c r="L46" s="40">
        <f t="shared" si="120"/>
        <v>2302</v>
      </c>
      <c r="M46" s="40">
        <f t="shared" si="92"/>
        <v>4661</v>
      </c>
      <c r="N46" s="41">
        <f t="shared" si="93"/>
        <v>187.5213333</v>
      </c>
      <c r="O46" s="38">
        <v>8101.0</v>
      </c>
      <c r="P46" s="42">
        <f t="shared" si="94"/>
        <v>0.5753610665</v>
      </c>
      <c r="Q46" s="43">
        <v>1.5</v>
      </c>
      <c r="R46" s="42">
        <f t="shared" si="95"/>
        <v>0.5523519694</v>
      </c>
      <c r="S46" s="44">
        <f t="shared" si="96"/>
        <v>0.8285279542</v>
      </c>
      <c r="T46" s="43">
        <f>F46/19.985</f>
        <v>281.4931198</v>
      </c>
      <c r="U46" s="43">
        <f t="shared" si="97"/>
        <v>9.383103995</v>
      </c>
      <c r="V46" s="40">
        <f t="shared" si="98"/>
        <v>155.3666667</v>
      </c>
      <c r="X46" s="59" t="s">
        <v>44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6"/>
    </row>
    <row r="47" ht="15.75" customHeight="1">
      <c r="A47" s="21"/>
      <c r="B47" s="38">
        <v>15.0</v>
      </c>
      <c r="C47" s="38" t="s">
        <v>40</v>
      </c>
      <c r="D47" s="39">
        <v>30.0</v>
      </c>
      <c r="E47" s="40">
        <f>IFERROR(__xludf.DUMMYFUNCTION("COUNT(IMPORTRANGE(""https://docs.google.com/spreadsheets/d/1Krav0MVlY0vbUNsFRDnb_kR72_tyuGnWBYbGjNZrl18/edit"",""2!d2:d31""))"),28.0)</f>
        <v>28</v>
      </c>
      <c r="F47" s="45">
        <f>IFERROR(__xludf.DUMMYFUNCTION("SUM(IMPORTRANGE(""https://docs.google.com/spreadsheets/d/1Krav0MVlY0vbUNsFRDnb_kR72_tyuGnWBYbGjNZrl18/edit"",""2!Q2:Q31""))"),5574.827999999999)</f>
        <v>5574.828</v>
      </c>
      <c r="G47" s="40">
        <f>IFERROR(__xludf.DUMMYFUNCTION("IMPORTRANGE(""https://docs.google.com/spreadsheets/d/1Krav0MVlY0vbUNsFRDnb_kR72_tyuGnWBYbGjNZrl18/edit"",""2!e38"")"),3081.0)</f>
        <v>3081</v>
      </c>
      <c r="H47" s="40">
        <f>IFERROR(__xludf.DUMMYFUNCTION("IMPORTRANGE(""https://docs.google.com/spreadsheets/d/1Krav0MVlY0vbUNsFRDnb_kR72_tyuGnWBYbGjNZrl18/edit"",""2!e39"")"),11.0)</f>
        <v>11</v>
      </c>
      <c r="I47" s="40">
        <f t="shared" si="90"/>
        <v>3092</v>
      </c>
      <c r="J47" s="40">
        <f>IFERROR(__xludf.DUMMYFUNCTION("IMPORTRANGE(""https://docs.google.com/spreadsheets/d/1Krav0MVlY0vbUNsFRDnb_kR72_tyuGnWBYbGjNZrl18/edit"",""2!e42"")"),3717.0)</f>
        <v>3717</v>
      </c>
      <c r="K47" s="40">
        <f>IFERROR(__xludf.DUMMYFUNCTION("IMPORTRANGE(""https://docs.google.com/spreadsheets/d/1Krav0MVlY0vbUNsFRDnb_kR72_tyuGnWBYbGjNZrl18/edit"",""2!e43"")"),0.0)</f>
        <v>0</v>
      </c>
      <c r="L47" s="40">
        <f t="shared" si="120"/>
        <v>3717</v>
      </c>
      <c r="M47" s="40">
        <f t="shared" si="92"/>
        <v>6809</v>
      </c>
      <c r="N47" s="41">
        <f t="shared" si="93"/>
        <v>199.101</v>
      </c>
      <c r="O47" s="38">
        <v>8239.0</v>
      </c>
      <c r="P47" s="42">
        <f t="shared" si="94"/>
        <v>0.826435247</v>
      </c>
      <c r="Q47" s="43">
        <v>1.5</v>
      </c>
      <c r="R47" s="42">
        <f t="shared" si="95"/>
        <v>0.8142553157</v>
      </c>
      <c r="S47" s="44">
        <f t="shared" si="96"/>
        <v>1.221382974</v>
      </c>
      <c r="T47" s="43">
        <f>F47/28.443</f>
        <v>196</v>
      </c>
      <c r="U47" s="43">
        <f t="shared" si="97"/>
        <v>7</v>
      </c>
      <c r="V47" s="40">
        <f t="shared" si="98"/>
        <v>243.1785714</v>
      </c>
      <c r="X47" s="14" t="s">
        <v>2</v>
      </c>
      <c r="Y47" s="14" t="s">
        <v>3</v>
      </c>
      <c r="Z47" s="14" t="s">
        <v>4</v>
      </c>
      <c r="AA47" s="14" t="s">
        <v>5</v>
      </c>
      <c r="AB47" s="15" t="s">
        <v>6</v>
      </c>
      <c r="AC47" s="14" t="s">
        <v>7</v>
      </c>
      <c r="AD47" s="14" t="s">
        <v>8</v>
      </c>
      <c r="AE47" s="14" t="s">
        <v>9</v>
      </c>
      <c r="AF47" s="14" t="s">
        <v>10</v>
      </c>
      <c r="AG47" s="14" t="s">
        <v>11</v>
      </c>
      <c r="AH47" s="14" t="s">
        <v>12</v>
      </c>
      <c r="AI47" s="14" t="s">
        <v>13</v>
      </c>
      <c r="AJ47" s="15" t="s">
        <v>14</v>
      </c>
      <c r="AK47" s="14" t="s">
        <v>15</v>
      </c>
      <c r="AL47" s="14" t="s">
        <v>16</v>
      </c>
      <c r="AM47" s="16" t="s">
        <v>17</v>
      </c>
      <c r="AN47" s="17" t="s">
        <v>18</v>
      </c>
      <c r="AO47" s="18" t="s">
        <v>19</v>
      </c>
      <c r="AP47" s="19" t="s">
        <v>20</v>
      </c>
      <c r="AQ47" s="19" t="s">
        <v>21</v>
      </c>
      <c r="AR47" s="20" t="s">
        <v>22</v>
      </c>
    </row>
    <row r="48" ht="15.75" customHeight="1">
      <c r="A48" s="21"/>
      <c r="B48" s="38">
        <v>16.0</v>
      </c>
      <c r="C48" s="38" t="s">
        <v>42</v>
      </c>
      <c r="D48" s="39">
        <v>33.0</v>
      </c>
      <c r="E48" s="40">
        <f>IFERROR(__xludf.DUMMYFUNCTION("COUNT(IMPORTRANGE(""https://docs.google.com/spreadsheets/d/1uXtm-E8PG0CetlFmSpTX3RK0LNEMnpR-mxbET9AGD6w/edit"",""2!d2:d34""))"),33.0)</f>
        <v>33</v>
      </c>
      <c r="F48" s="45">
        <f>IFERROR(__xludf.DUMMYFUNCTION("SUM(IMPORTRANGE(""https://docs.google.com/spreadsheets/d/1uXtm-E8PG0CetlFmSpTX3RK0LNEMnpR-mxbET9AGD6w/edit"",""2!Q2:Q34""))"),6501.825999999998)</f>
        <v>6501.826</v>
      </c>
      <c r="G48" s="40">
        <f>IFERROR(__xludf.DUMMYFUNCTION("IMPORTRANGE(""https://docs.google.com/spreadsheets/d/1uXtm-E8PG0CetlFmSpTX3RK0LNEMnpR-mxbET9AGD6w/edit"",""2!e41"")"),3406.0)</f>
        <v>3406</v>
      </c>
      <c r="H48" s="40">
        <f>IFERROR(__xludf.DUMMYFUNCTION("IMPORTRANGE(""https://docs.google.com/spreadsheets/d/1uXtm-E8PG0CetlFmSpTX3RK0LNEMnpR-mxbET9AGD6w/edit"",""2!e42"")"),0.0)</f>
        <v>0</v>
      </c>
      <c r="I48" s="40">
        <f t="shared" si="90"/>
        <v>3406</v>
      </c>
      <c r="J48" s="40">
        <f>IFERROR(__xludf.DUMMYFUNCTION("IMPORTRANGE(""https://docs.google.com/spreadsheets/d/1uXtm-E8PG0CetlFmSpTX3RK0LNEMnpR-mxbET9AGD6w/edit"",""2!e45"")"),3645.0)</f>
        <v>3645</v>
      </c>
      <c r="K48" s="40">
        <f>IFERROR(__xludf.DUMMYFUNCTION("IMPORTRANGE(""https://docs.google.com/spreadsheets/d/1uXtm-E8PG0CetlFmSpTX3RK0LNEMnpR-mxbET9AGD6w/edit"",""2!e46"")"),241.0)</f>
        <v>241</v>
      </c>
      <c r="L48" s="40">
        <f t="shared" si="120"/>
        <v>3886</v>
      </c>
      <c r="M48" s="40">
        <f t="shared" si="92"/>
        <v>7292</v>
      </c>
      <c r="N48" s="41">
        <f t="shared" si="93"/>
        <v>197.0250303</v>
      </c>
      <c r="O48" s="38">
        <v>9877.0</v>
      </c>
      <c r="P48" s="42">
        <f t="shared" si="94"/>
        <v>0.7382808545</v>
      </c>
      <c r="Q48" s="43">
        <v>1.5</v>
      </c>
      <c r="R48" s="42">
        <f t="shared" si="95"/>
        <v>0.7476873933</v>
      </c>
      <c r="S48" s="44">
        <f t="shared" si="96"/>
        <v>1.12153109</v>
      </c>
      <c r="T48" s="43">
        <f>F48/26.155</f>
        <v>248.5882623</v>
      </c>
      <c r="U48" s="43">
        <f t="shared" si="97"/>
        <v>7.532977645</v>
      </c>
      <c r="V48" s="40">
        <f t="shared" si="98"/>
        <v>220.969697</v>
      </c>
      <c r="X48" s="31">
        <v>1.0</v>
      </c>
      <c r="Y48" s="31" t="s">
        <v>26</v>
      </c>
      <c r="Z48" s="31">
        <f t="shared" ref="Z48:AI48" si="130">SUM(D33)</f>
        <v>20</v>
      </c>
      <c r="AA48" s="32">
        <f t="shared" si="130"/>
        <v>20</v>
      </c>
      <c r="AB48" s="34">
        <f t="shared" si="130"/>
        <v>3820.587</v>
      </c>
      <c r="AC48" s="32">
        <f t="shared" si="130"/>
        <v>2015</v>
      </c>
      <c r="AD48" s="32">
        <f t="shared" si="130"/>
        <v>0</v>
      </c>
      <c r="AE48" s="32">
        <f t="shared" si="130"/>
        <v>2015</v>
      </c>
      <c r="AF48" s="32">
        <f t="shared" si="130"/>
        <v>2286</v>
      </c>
      <c r="AG48" s="32">
        <f t="shared" si="130"/>
        <v>0</v>
      </c>
      <c r="AH48" s="32">
        <f t="shared" si="130"/>
        <v>2286</v>
      </c>
      <c r="AI48" s="32">
        <f t="shared" si="130"/>
        <v>4301</v>
      </c>
      <c r="AJ48" s="34">
        <f t="shared" ref="AJ48:AJ54" si="133">AB48/AA48</f>
        <v>191.02935</v>
      </c>
      <c r="AK48" s="31">
        <f>SUM(O33)</f>
        <v>5161</v>
      </c>
      <c r="AL48" s="35">
        <f t="shared" ref="AL48:AL54" si="134">AI48/AK48</f>
        <v>0.8333656268</v>
      </c>
      <c r="AM48" s="36">
        <f>SUM(Q33)</f>
        <v>1.5</v>
      </c>
      <c r="AN48" s="35">
        <f t="shared" ref="AN48:AN54" si="135">AO48/AM48</f>
        <v>0.7504954954</v>
      </c>
      <c r="AO48" s="37">
        <f t="shared" ref="AO48:AO54" si="136">AI48/AB48</f>
        <v>1.125743243</v>
      </c>
      <c r="AP48" s="36">
        <f t="shared" ref="AP48:AQ48" si="131">SUM(T33)</f>
        <v>265.0424558</v>
      </c>
      <c r="AQ48" s="36">
        <f t="shared" si="131"/>
        <v>13.25212279</v>
      </c>
      <c r="AR48" s="32">
        <f t="shared" ref="AR48:AR54" si="138">AI48/AA48</f>
        <v>215.05</v>
      </c>
    </row>
    <row r="49" ht="15.75" customHeight="1">
      <c r="A49" s="21"/>
      <c r="B49" s="38">
        <v>17.0</v>
      </c>
      <c r="C49" s="38" t="s">
        <v>29</v>
      </c>
      <c r="D49" s="39">
        <v>30.0</v>
      </c>
      <c r="E49" s="40">
        <f>IFERROR(__xludf.DUMMYFUNCTION("COUNT(IMPORTRANGE(""https://docs.google.com/spreadsheets/d/12xcKI0lSnAsjEsxfm9K8Qx0B_89Gzsh816mowItkQao/edit"",""2!d2:d31""))"),29.0)</f>
        <v>29</v>
      </c>
      <c r="F49" s="45">
        <f>IFERROR(__xludf.DUMMYFUNCTION("SUM(IMPORTRANGE(""https://docs.google.com/spreadsheets/d/12xcKI0lSnAsjEsxfm9K8Qx0B_89Gzsh816mowItkQao/edit"",""2!Q2:Q31""))"),5806.474000000002)</f>
        <v>5806.474</v>
      </c>
      <c r="G49" s="40">
        <f>IFERROR(__xludf.DUMMYFUNCTION("IMPORTRANGE(""https://docs.google.com/spreadsheets/d/12xcKI0lSnAsjEsxfm9K8Qx0B_89Gzsh816mowItkQao/edit"",""2!e38"")"),2596.0)</f>
        <v>2596</v>
      </c>
      <c r="H49" s="40">
        <f>IFERROR(__xludf.DUMMYFUNCTION("IMPORTRANGE(""https://docs.google.com/spreadsheets/d/12xcKI0lSnAsjEsxfm9K8Qx0B_89Gzsh816mowItkQao/edit"",""2!e39"")"),0.0)</f>
        <v>0</v>
      </c>
      <c r="I49" s="40">
        <f t="shared" si="90"/>
        <v>2596</v>
      </c>
      <c r="J49" s="40">
        <f>IFERROR(__xludf.DUMMYFUNCTION("IMPORTRANGE(""https://docs.google.com/spreadsheets/d/12xcKI0lSnAsjEsxfm9K8Qx0B_89Gzsh816mowItkQao/edit"",""2!e42"")"),3685.0)</f>
        <v>3685</v>
      </c>
      <c r="K49" s="40">
        <f>IFERROR(__xludf.DUMMYFUNCTION("IMPORTRANGE(""https://docs.google.com/spreadsheets/d/12xcKI0lSnAsjEsxfm9K8Qx0B_89Gzsh816mowItkQao/edit"",""2!e43"")"),0.0)</f>
        <v>0</v>
      </c>
      <c r="L49" s="40">
        <f t="shared" si="120"/>
        <v>3685</v>
      </c>
      <c r="M49" s="40">
        <f t="shared" si="92"/>
        <v>6281</v>
      </c>
      <c r="N49" s="41">
        <f t="shared" si="93"/>
        <v>200.2232414</v>
      </c>
      <c r="O49" s="38">
        <v>9201.0</v>
      </c>
      <c r="P49" s="42">
        <f t="shared" si="94"/>
        <v>0.682643191</v>
      </c>
      <c r="Q49" s="43">
        <v>1.5</v>
      </c>
      <c r="R49" s="42">
        <f t="shared" si="95"/>
        <v>0.7211490714</v>
      </c>
      <c r="S49" s="44">
        <f t="shared" si="96"/>
        <v>1.081723607</v>
      </c>
      <c r="T49" s="43">
        <f>F49/26.038</f>
        <v>223</v>
      </c>
      <c r="U49" s="43">
        <f t="shared" si="97"/>
        <v>7.689655172</v>
      </c>
      <c r="V49" s="40">
        <f t="shared" si="98"/>
        <v>216.5862069</v>
      </c>
      <c r="X49" s="31">
        <v>2.0</v>
      </c>
      <c r="Y49" s="31" t="s">
        <v>32</v>
      </c>
      <c r="Z49" s="31">
        <f t="shared" ref="Z49:AI49" si="132">SUM(D36)</f>
        <v>42</v>
      </c>
      <c r="AA49" s="32">
        <f t="shared" si="132"/>
        <v>40</v>
      </c>
      <c r="AB49" s="33">
        <f t="shared" si="132"/>
        <v>7891.565</v>
      </c>
      <c r="AC49" s="31">
        <f t="shared" si="132"/>
        <v>4178</v>
      </c>
      <c r="AD49" s="31">
        <f t="shared" si="132"/>
        <v>0</v>
      </c>
      <c r="AE49" s="32">
        <f t="shared" si="132"/>
        <v>4178</v>
      </c>
      <c r="AF49" s="31">
        <f t="shared" si="132"/>
        <v>4916</v>
      </c>
      <c r="AG49" s="31">
        <f t="shared" si="132"/>
        <v>0</v>
      </c>
      <c r="AH49" s="32">
        <f t="shared" si="132"/>
        <v>4916</v>
      </c>
      <c r="AI49" s="32">
        <f t="shared" si="132"/>
        <v>9094</v>
      </c>
      <c r="AJ49" s="34">
        <f t="shared" si="133"/>
        <v>197.289125</v>
      </c>
      <c r="AK49" s="31">
        <f>SUM(O36)</f>
        <v>13817</v>
      </c>
      <c r="AL49" s="35">
        <f t="shared" si="134"/>
        <v>0.6581747123</v>
      </c>
      <c r="AM49" s="36">
        <f>SUM(Q36)</f>
        <v>1.5</v>
      </c>
      <c r="AN49" s="35">
        <f t="shared" si="135"/>
        <v>0.7682464336</v>
      </c>
      <c r="AO49" s="37">
        <f t="shared" si="136"/>
        <v>1.15236965</v>
      </c>
      <c r="AP49" s="36">
        <f t="shared" ref="AP49:AQ49" si="137">SUM(T36)</f>
        <v>314.5428275</v>
      </c>
      <c r="AQ49" s="36">
        <f t="shared" si="137"/>
        <v>7.863570688</v>
      </c>
      <c r="AR49" s="32">
        <f t="shared" si="138"/>
        <v>227.35</v>
      </c>
    </row>
    <row r="50" ht="15.75" customHeight="1">
      <c r="A50" s="21"/>
      <c r="B50" s="38">
        <v>18.0</v>
      </c>
      <c r="C50" s="38" t="s">
        <v>31</v>
      </c>
      <c r="D50" s="39">
        <v>15.0</v>
      </c>
      <c r="E50" s="40">
        <f>IFERROR(__xludf.DUMMYFUNCTION("COUNT(IMPORTRANGE(""https://docs.google.com/spreadsheets/d/1fgCFOFzOla4Qim6_-zG-lbYhLCItqv_kZiAHoErRgcM/edit"",""2!d2:d16""))"),15.0)</f>
        <v>15</v>
      </c>
      <c r="F50" s="41">
        <f>IFERROR(__xludf.DUMMYFUNCTION("SUM(IMPORTRANGE(""https://docs.google.com/spreadsheets/d/1fgCFOFzOla4Qim6_-zG-lbYhLCItqv_kZiAHoErRgcM/edit"",""2!Q2:Q16""))"),2781.76)</f>
        <v>2781.76</v>
      </c>
      <c r="G50" s="40">
        <f>IFERROR(__xludf.DUMMYFUNCTION("IMPORTRANGE(""https://docs.google.com/spreadsheets/d/1fgCFOFzOla4Qim6_-zG-lbYhLCItqv_kZiAHoErRgcM/edit"",""2!e23"")"),872.0)</f>
        <v>872</v>
      </c>
      <c r="H50" s="40">
        <f>IFERROR(__xludf.DUMMYFUNCTION("IMPORTRANGE(""https://docs.google.com/spreadsheets/d/1fgCFOFzOla4Qim6_-zG-lbYhLCItqv_kZiAHoErRgcM/edit"",""2!e24"")"),9.0)</f>
        <v>9</v>
      </c>
      <c r="I50" s="40">
        <f t="shared" si="90"/>
        <v>881</v>
      </c>
      <c r="J50" s="40">
        <f>IFERROR(__xludf.DUMMYFUNCTION("IMPORTRANGE(""https://docs.google.com/spreadsheets/d/1fgCFOFzOla4Qim6_-zG-lbYhLCItqv_kZiAHoErRgcM/edit"",""2!e27"")"),1197.0)</f>
        <v>1197</v>
      </c>
      <c r="K50" s="40">
        <f>IFERROR(__xludf.DUMMYFUNCTION("IMPORTRANGE(""https://docs.google.com/spreadsheets/d/1fgCFOFzOla4Qim6_-zG-lbYhLCItqv_kZiAHoErRgcM/edit"",""2!e28"")"),0.0)</f>
        <v>0</v>
      </c>
      <c r="L50" s="40">
        <f t="shared" si="120"/>
        <v>1197</v>
      </c>
      <c r="M50" s="40">
        <f t="shared" si="92"/>
        <v>2078</v>
      </c>
      <c r="N50" s="41">
        <f t="shared" si="93"/>
        <v>185.4506667</v>
      </c>
      <c r="O50" s="38">
        <v>2717.0</v>
      </c>
      <c r="P50" s="42">
        <f t="shared" si="94"/>
        <v>0.7648141332</v>
      </c>
      <c r="Q50" s="43">
        <v>1.5</v>
      </c>
      <c r="R50" s="42">
        <f t="shared" si="95"/>
        <v>0.4980060585</v>
      </c>
      <c r="S50" s="44">
        <f t="shared" si="96"/>
        <v>0.7470090878</v>
      </c>
      <c r="T50" s="43">
        <f>F50/43.465</f>
        <v>64</v>
      </c>
      <c r="U50" s="43">
        <f t="shared" si="97"/>
        <v>4.266666667</v>
      </c>
      <c r="V50" s="40">
        <f t="shared" si="98"/>
        <v>138.5333333</v>
      </c>
      <c r="X50" s="31">
        <v>3.0</v>
      </c>
      <c r="Y50" s="31" t="s">
        <v>36</v>
      </c>
      <c r="Z50" s="31">
        <f t="shared" ref="Z50:AI50" si="139">SUM(D41)</f>
        <v>24</v>
      </c>
      <c r="AA50" s="32">
        <f t="shared" si="139"/>
        <v>24</v>
      </c>
      <c r="AB50" s="33">
        <f t="shared" si="139"/>
        <v>4795.376</v>
      </c>
      <c r="AC50" s="32">
        <f t="shared" si="139"/>
        <v>1258</v>
      </c>
      <c r="AD50" s="32">
        <f t="shared" si="139"/>
        <v>0</v>
      </c>
      <c r="AE50" s="32">
        <f t="shared" si="139"/>
        <v>1258</v>
      </c>
      <c r="AF50" s="32">
        <f t="shared" si="139"/>
        <v>1932</v>
      </c>
      <c r="AG50" s="32">
        <f t="shared" si="139"/>
        <v>0</v>
      </c>
      <c r="AH50" s="32">
        <f t="shared" si="139"/>
        <v>1932</v>
      </c>
      <c r="AI50" s="32">
        <f t="shared" si="139"/>
        <v>3190</v>
      </c>
      <c r="AJ50" s="34">
        <f t="shared" si="133"/>
        <v>199.8073333</v>
      </c>
      <c r="AK50" s="31">
        <f t="shared" ref="AK50:AK53" si="143">SUM(O41)</f>
        <v>4796</v>
      </c>
      <c r="AL50" s="35">
        <f t="shared" si="134"/>
        <v>0.6651376147</v>
      </c>
      <c r="AM50" s="36">
        <f t="shared" ref="AM50:AM53" si="144">SUM(Q41)</f>
        <v>1.5</v>
      </c>
      <c r="AN50" s="35">
        <f t="shared" si="135"/>
        <v>0.4434827773</v>
      </c>
      <c r="AO50" s="37">
        <f t="shared" si="136"/>
        <v>0.6652241659</v>
      </c>
      <c r="AP50" s="36">
        <f t="shared" ref="AP50:AQ50" si="140">SUM(T41)</f>
        <v>128.1706313</v>
      </c>
      <c r="AQ50" s="36">
        <f t="shared" si="140"/>
        <v>5.340442971</v>
      </c>
      <c r="AR50" s="32">
        <f t="shared" si="138"/>
        <v>132.9166667</v>
      </c>
    </row>
    <row r="51" ht="15.75" customHeight="1">
      <c r="A51" s="21"/>
      <c r="B51" s="60" t="s">
        <v>33</v>
      </c>
      <c r="C51" s="60">
        <v>18.0</v>
      </c>
      <c r="D51" s="60">
        <f t="shared" ref="D51:M51" si="141">SUM(D33:D50)</f>
        <v>580</v>
      </c>
      <c r="E51" s="61">
        <f t="shared" si="141"/>
        <v>562</v>
      </c>
      <c r="F51" s="62">
        <f t="shared" si="141"/>
        <v>110327.335</v>
      </c>
      <c r="G51" s="61">
        <f t="shared" si="141"/>
        <v>38511</v>
      </c>
      <c r="H51" s="61">
        <f t="shared" si="141"/>
        <v>647</v>
      </c>
      <c r="I51" s="61">
        <f t="shared" si="141"/>
        <v>39158</v>
      </c>
      <c r="J51" s="61">
        <f t="shared" si="141"/>
        <v>48892</v>
      </c>
      <c r="K51" s="61">
        <f t="shared" si="141"/>
        <v>1345</v>
      </c>
      <c r="L51" s="61">
        <f t="shared" si="141"/>
        <v>50237</v>
      </c>
      <c r="M51" s="61">
        <f t="shared" si="141"/>
        <v>89395</v>
      </c>
      <c r="N51" s="62">
        <f t="shared" si="93"/>
        <v>196.311984</v>
      </c>
      <c r="O51" s="60">
        <f>SUM(O33:O50)</f>
        <v>126399</v>
      </c>
      <c r="P51" s="63">
        <f t="shared" si="94"/>
        <v>0.7072445193</v>
      </c>
      <c r="Q51" s="64">
        <v>1.5</v>
      </c>
      <c r="R51" s="63">
        <f t="shared" si="95"/>
        <v>0.5401804246</v>
      </c>
      <c r="S51" s="65">
        <f t="shared" si="96"/>
        <v>0.8102706369</v>
      </c>
      <c r="T51" s="64">
        <f>SUM(T33:T50)</f>
        <v>4081.628139</v>
      </c>
      <c r="U51" s="64">
        <f t="shared" si="97"/>
        <v>7.262683521</v>
      </c>
      <c r="V51" s="61">
        <f t="shared" si="98"/>
        <v>159.0658363</v>
      </c>
      <c r="X51" s="31">
        <v>4.0</v>
      </c>
      <c r="Y51" s="31" t="s">
        <v>37</v>
      </c>
      <c r="Z51" s="31">
        <f t="shared" ref="Z51:AI51" si="142">SUM(D42)</f>
        <v>30</v>
      </c>
      <c r="AA51" s="32">
        <f t="shared" si="142"/>
        <v>28</v>
      </c>
      <c r="AB51" s="33">
        <f t="shared" si="142"/>
        <v>5550.786</v>
      </c>
      <c r="AC51" s="32">
        <f t="shared" si="142"/>
        <v>2223</v>
      </c>
      <c r="AD51" s="32">
        <f t="shared" si="142"/>
        <v>0</v>
      </c>
      <c r="AE51" s="32">
        <f t="shared" si="142"/>
        <v>2223</v>
      </c>
      <c r="AF51" s="32">
        <f t="shared" si="142"/>
        <v>2702</v>
      </c>
      <c r="AG51" s="32">
        <f t="shared" si="142"/>
        <v>0</v>
      </c>
      <c r="AH51" s="32">
        <f t="shared" si="142"/>
        <v>2702</v>
      </c>
      <c r="AI51" s="32">
        <f t="shared" si="142"/>
        <v>4925</v>
      </c>
      <c r="AJ51" s="34">
        <f t="shared" si="133"/>
        <v>198.2423571</v>
      </c>
      <c r="AK51" s="31">
        <f t="shared" si="143"/>
        <v>5887</v>
      </c>
      <c r="AL51" s="35">
        <f t="shared" si="134"/>
        <v>0.8365890946</v>
      </c>
      <c r="AM51" s="36">
        <f t="shared" si="144"/>
        <v>1.5</v>
      </c>
      <c r="AN51" s="35">
        <f t="shared" si="135"/>
        <v>0.5915078213</v>
      </c>
      <c r="AO51" s="37">
        <f t="shared" si="136"/>
        <v>0.8872617319</v>
      </c>
      <c r="AP51" s="36">
        <f t="shared" ref="AP51:AQ51" si="145">SUM(T42)</f>
        <v>223.8942401</v>
      </c>
      <c r="AQ51" s="36">
        <f t="shared" si="145"/>
        <v>7.99622286</v>
      </c>
      <c r="AR51" s="32">
        <f t="shared" si="138"/>
        <v>175.8928571</v>
      </c>
    </row>
    <row r="52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X52" s="31">
        <v>5.0</v>
      </c>
      <c r="Y52" s="31" t="s">
        <v>39</v>
      </c>
      <c r="Z52" s="31">
        <f t="shared" ref="Z52:AI52" si="146">SUM(D43)</f>
        <v>28</v>
      </c>
      <c r="AA52" s="32">
        <f t="shared" si="146"/>
        <v>28</v>
      </c>
      <c r="AB52" s="33">
        <f t="shared" si="146"/>
        <v>5361.385</v>
      </c>
      <c r="AC52" s="32">
        <f t="shared" si="146"/>
        <v>1143</v>
      </c>
      <c r="AD52" s="32">
        <f t="shared" si="146"/>
        <v>48</v>
      </c>
      <c r="AE52" s="32">
        <f t="shared" si="146"/>
        <v>1191</v>
      </c>
      <c r="AF52" s="32">
        <f t="shared" si="146"/>
        <v>1761</v>
      </c>
      <c r="AG52" s="32">
        <f t="shared" si="146"/>
        <v>128</v>
      </c>
      <c r="AH52" s="32">
        <f t="shared" si="146"/>
        <v>1889</v>
      </c>
      <c r="AI52" s="32">
        <f t="shared" si="146"/>
        <v>3080</v>
      </c>
      <c r="AJ52" s="34">
        <f t="shared" si="133"/>
        <v>191.4780357</v>
      </c>
      <c r="AK52" s="31">
        <f t="shared" si="143"/>
        <v>3569</v>
      </c>
      <c r="AL52" s="35">
        <f t="shared" si="134"/>
        <v>0.862986831</v>
      </c>
      <c r="AM52" s="36">
        <f t="shared" si="144"/>
        <v>1.5</v>
      </c>
      <c r="AN52" s="35">
        <f t="shared" si="135"/>
        <v>0.3829856153</v>
      </c>
      <c r="AO52" s="37">
        <f t="shared" si="136"/>
        <v>0.574478423</v>
      </c>
      <c r="AP52" s="36">
        <f t="shared" ref="AP52:AQ52" si="147">SUM(T43)</f>
        <v>249.7966268</v>
      </c>
      <c r="AQ52" s="36">
        <f t="shared" si="147"/>
        <v>8.921308098</v>
      </c>
      <c r="AR52" s="32">
        <f t="shared" si="138"/>
        <v>110</v>
      </c>
    </row>
    <row r="53" ht="15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X53" s="31">
        <v>6.0</v>
      </c>
      <c r="Y53" s="31" t="s">
        <v>41</v>
      </c>
      <c r="Z53" s="31">
        <f t="shared" ref="Z53:AI53" si="148">SUM(D44)</f>
        <v>24</v>
      </c>
      <c r="AA53" s="32">
        <f t="shared" si="148"/>
        <v>23</v>
      </c>
      <c r="AB53" s="33">
        <f t="shared" si="148"/>
        <v>4493.58</v>
      </c>
      <c r="AC53" s="32">
        <f t="shared" si="148"/>
        <v>1038</v>
      </c>
      <c r="AD53" s="32">
        <f t="shared" si="148"/>
        <v>145</v>
      </c>
      <c r="AE53" s="32">
        <f t="shared" si="148"/>
        <v>1183</v>
      </c>
      <c r="AF53" s="32">
        <f t="shared" si="148"/>
        <v>1397</v>
      </c>
      <c r="AG53" s="32">
        <f t="shared" si="148"/>
        <v>50</v>
      </c>
      <c r="AH53" s="32">
        <f t="shared" si="148"/>
        <v>1447</v>
      </c>
      <c r="AI53" s="32">
        <f t="shared" si="148"/>
        <v>2630</v>
      </c>
      <c r="AJ53" s="34">
        <f t="shared" si="133"/>
        <v>195.3730435</v>
      </c>
      <c r="AK53" s="31">
        <f t="shared" si="143"/>
        <v>3801</v>
      </c>
      <c r="AL53" s="35">
        <f t="shared" si="134"/>
        <v>0.6919231781</v>
      </c>
      <c r="AM53" s="36">
        <f t="shared" si="144"/>
        <v>1.5</v>
      </c>
      <c r="AN53" s="35">
        <f t="shared" si="135"/>
        <v>0.3901862954</v>
      </c>
      <c r="AO53" s="37">
        <f t="shared" si="136"/>
        <v>0.5852794431</v>
      </c>
      <c r="AP53" s="36">
        <f t="shared" ref="AP53:AQ53" si="149">SUM(T44)</f>
        <v>151.6666667</v>
      </c>
      <c r="AQ53" s="36">
        <f t="shared" si="149"/>
        <v>6.594202899</v>
      </c>
      <c r="AR53" s="32">
        <f t="shared" si="138"/>
        <v>114.3478261</v>
      </c>
    </row>
    <row r="54" ht="15.75" customHeight="1">
      <c r="A54" s="1" t="s">
        <v>45</v>
      </c>
      <c r="D54" s="2"/>
      <c r="X54" s="46" t="s">
        <v>33</v>
      </c>
      <c r="Y54" s="46">
        <v>6.0</v>
      </c>
      <c r="Z54" s="46">
        <f t="shared" ref="Z54:AI54" si="150">SUM(Z48:Z53)</f>
        <v>168</v>
      </c>
      <c r="AA54" s="47">
        <f t="shared" si="150"/>
        <v>163</v>
      </c>
      <c r="AB54" s="49">
        <f t="shared" si="150"/>
        <v>31913.279</v>
      </c>
      <c r="AC54" s="47">
        <f t="shared" si="150"/>
        <v>11855</v>
      </c>
      <c r="AD54" s="47">
        <f t="shared" si="150"/>
        <v>193</v>
      </c>
      <c r="AE54" s="47">
        <f t="shared" si="150"/>
        <v>12048</v>
      </c>
      <c r="AF54" s="47">
        <f t="shared" si="150"/>
        <v>14994</v>
      </c>
      <c r="AG54" s="47">
        <f t="shared" si="150"/>
        <v>178</v>
      </c>
      <c r="AH54" s="47">
        <f t="shared" si="150"/>
        <v>15172</v>
      </c>
      <c r="AI54" s="47">
        <f t="shared" si="150"/>
        <v>27220</v>
      </c>
      <c r="AJ54" s="49">
        <f t="shared" si="133"/>
        <v>195.7869877</v>
      </c>
      <c r="AK54" s="46">
        <f>SUM(AK48:AK53)</f>
        <v>37031</v>
      </c>
      <c r="AL54" s="50">
        <f t="shared" si="134"/>
        <v>0.7350598147</v>
      </c>
      <c r="AM54" s="51">
        <v>1.5</v>
      </c>
      <c r="AN54" s="50">
        <f t="shared" si="135"/>
        <v>0.568624323</v>
      </c>
      <c r="AO54" s="52">
        <f t="shared" si="136"/>
        <v>0.8529364845</v>
      </c>
      <c r="AP54" s="51">
        <f>SUM(AP48:AP53)</f>
        <v>1333.113448</v>
      </c>
      <c r="AQ54" s="51">
        <f>AP54/AA54</f>
        <v>8.178610111</v>
      </c>
      <c r="AR54" s="47">
        <f t="shared" si="138"/>
        <v>166.993865</v>
      </c>
    </row>
    <row r="55" ht="15.75" customHeight="1">
      <c r="A55" s="1" t="s">
        <v>45</v>
      </c>
      <c r="D55" s="2"/>
      <c r="X55" s="66" t="s">
        <v>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6"/>
    </row>
    <row r="56" ht="15.75" customHeight="1">
      <c r="A56" s="7">
        <v>46206.0</v>
      </c>
      <c r="B56" s="8" t="s">
        <v>2</v>
      </c>
      <c r="C56" s="8" t="s">
        <v>3</v>
      </c>
      <c r="D56" s="8" t="s">
        <v>4</v>
      </c>
      <c r="E56" s="8" t="s">
        <v>5</v>
      </c>
      <c r="F56" s="9" t="s">
        <v>6</v>
      </c>
      <c r="G56" s="8" t="s">
        <v>7</v>
      </c>
      <c r="H56" s="8" t="s">
        <v>8</v>
      </c>
      <c r="I56" s="8" t="s">
        <v>9</v>
      </c>
      <c r="J56" s="8" t="s">
        <v>10</v>
      </c>
      <c r="K56" s="8" t="s">
        <v>11</v>
      </c>
      <c r="L56" s="8" t="s">
        <v>12</v>
      </c>
      <c r="M56" s="8" t="s">
        <v>13</v>
      </c>
      <c r="N56" s="9" t="s">
        <v>14</v>
      </c>
      <c r="O56" s="8" t="s">
        <v>15</v>
      </c>
      <c r="P56" s="8" t="s">
        <v>16</v>
      </c>
      <c r="Q56" s="8" t="s">
        <v>17</v>
      </c>
      <c r="R56" s="8" t="s">
        <v>18</v>
      </c>
      <c r="S56" s="11" t="s">
        <v>19</v>
      </c>
      <c r="T56" s="12" t="s">
        <v>20</v>
      </c>
      <c r="U56" s="12" t="s">
        <v>21</v>
      </c>
      <c r="V56" s="13" t="s">
        <v>22</v>
      </c>
      <c r="X56" s="14" t="s">
        <v>2</v>
      </c>
      <c r="Y56" s="14" t="s">
        <v>3</v>
      </c>
      <c r="Z56" s="14" t="s">
        <v>4</v>
      </c>
      <c r="AA56" s="14" t="s">
        <v>5</v>
      </c>
      <c r="AB56" s="15" t="s">
        <v>6</v>
      </c>
      <c r="AC56" s="14" t="s">
        <v>7</v>
      </c>
      <c r="AD56" s="14" t="s">
        <v>8</v>
      </c>
      <c r="AE56" s="14" t="s">
        <v>9</v>
      </c>
      <c r="AF56" s="14" t="s">
        <v>10</v>
      </c>
      <c r="AG56" s="14" t="s">
        <v>11</v>
      </c>
      <c r="AH56" s="14" t="s">
        <v>12</v>
      </c>
      <c r="AI56" s="14" t="s">
        <v>13</v>
      </c>
      <c r="AJ56" s="15" t="s">
        <v>14</v>
      </c>
      <c r="AK56" s="14" t="s">
        <v>15</v>
      </c>
      <c r="AL56" s="14" t="s">
        <v>16</v>
      </c>
      <c r="AM56" s="16" t="s">
        <v>17</v>
      </c>
      <c r="AN56" s="17" t="s">
        <v>18</v>
      </c>
      <c r="AO56" s="18" t="s">
        <v>19</v>
      </c>
      <c r="AP56" s="19" t="s">
        <v>20</v>
      </c>
      <c r="AQ56" s="19" t="s">
        <v>21</v>
      </c>
      <c r="AR56" s="20" t="s">
        <v>22</v>
      </c>
    </row>
    <row r="57" ht="15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X57" s="22">
        <v>1.0</v>
      </c>
      <c r="Y57" s="22" t="s">
        <v>23</v>
      </c>
      <c r="Z57" s="22">
        <f t="shared" ref="Z57:AI57" si="151">SUM(D65)</f>
        <v>35</v>
      </c>
      <c r="AA57" s="23">
        <f t="shared" si="151"/>
        <v>35</v>
      </c>
      <c r="AB57" s="24">
        <f t="shared" si="151"/>
        <v>6984.18</v>
      </c>
      <c r="AC57" s="23">
        <f t="shared" si="151"/>
        <v>1806</v>
      </c>
      <c r="AD57" s="23">
        <f t="shared" si="151"/>
        <v>0</v>
      </c>
      <c r="AE57" s="23">
        <f t="shared" si="151"/>
        <v>1806</v>
      </c>
      <c r="AF57" s="23">
        <f t="shared" si="151"/>
        <v>2871</v>
      </c>
      <c r="AG57" s="23">
        <f t="shared" si="151"/>
        <v>0</v>
      </c>
      <c r="AH57" s="23">
        <f t="shared" si="151"/>
        <v>2871</v>
      </c>
      <c r="AI57" s="23">
        <f t="shared" si="151"/>
        <v>4677</v>
      </c>
      <c r="AJ57" s="25">
        <f t="shared" ref="AJ57:AJ59" si="154">AB57/AA57</f>
        <v>199.548</v>
      </c>
      <c r="AK57" s="22">
        <f>SUM(O65)</f>
        <v>6853</v>
      </c>
      <c r="AL57" s="26">
        <f t="shared" ref="AL57:AL63" si="155">AI57/AK57</f>
        <v>0.6824748285</v>
      </c>
      <c r="AM57" s="27">
        <f t="shared" ref="AM57:AM59" si="156">SUM(Q65)</f>
        <v>1.5</v>
      </c>
      <c r="AN57" s="26">
        <f t="shared" ref="AN57:AN63" si="157">AO57/AM57</f>
        <v>0.4464375202</v>
      </c>
      <c r="AO57" s="28">
        <f t="shared" ref="AO57:AO63" si="158">AI57/AB57</f>
        <v>0.6696562803</v>
      </c>
      <c r="AP57" s="27">
        <f t="shared" ref="AP57:AQ57" si="152">SUM(T65)</f>
        <v>207</v>
      </c>
      <c r="AQ57" s="27">
        <f t="shared" si="152"/>
        <v>5.914285714</v>
      </c>
      <c r="AR57" s="23">
        <f t="shared" ref="AR57:AR63" si="160">AI57/AA57</f>
        <v>133.6285714</v>
      </c>
    </row>
    <row r="58" ht="15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X58" s="22">
        <v>2.0</v>
      </c>
      <c r="Y58" s="22" t="s">
        <v>24</v>
      </c>
      <c r="Z58" s="22">
        <f t="shared" ref="Z58:AI58" si="153">SUM(D66)</f>
        <v>44</v>
      </c>
      <c r="AA58" s="23">
        <f t="shared" si="153"/>
        <v>43</v>
      </c>
      <c r="AB58" s="24">
        <f t="shared" si="153"/>
        <v>8604.112</v>
      </c>
      <c r="AC58" s="23">
        <f t="shared" si="153"/>
        <v>1070</v>
      </c>
      <c r="AD58" s="23">
        <f t="shared" si="153"/>
        <v>0</v>
      </c>
      <c r="AE58" s="23">
        <f t="shared" si="153"/>
        <v>1070</v>
      </c>
      <c r="AF58" s="23">
        <f t="shared" si="153"/>
        <v>1113</v>
      </c>
      <c r="AG58" s="23">
        <f t="shared" si="153"/>
        <v>0</v>
      </c>
      <c r="AH58" s="23">
        <f t="shared" si="153"/>
        <v>1113</v>
      </c>
      <c r="AI58" s="23">
        <f t="shared" si="153"/>
        <v>2183</v>
      </c>
      <c r="AJ58" s="25">
        <f t="shared" si="154"/>
        <v>200.0956279</v>
      </c>
      <c r="AK58" s="22">
        <v>1580.0</v>
      </c>
      <c r="AL58" s="29">
        <f t="shared" si="155"/>
        <v>1.38164557</v>
      </c>
      <c r="AM58" s="27">
        <f t="shared" si="156"/>
        <v>1.5</v>
      </c>
      <c r="AN58" s="26">
        <f t="shared" si="157"/>
        <v>0.1691439318</v>
      </c>
      <c r="AO58" s="28">
        <f t="shared" si="158"/>
        <v>0.2537158977</v>
      </c>
      <c r="AP58" s="27">
        <f t="shared" ref="AP58:AQ58" si="159">SUM(T66)</f>
        <v>320.9890692</v>
      </c>
      <c r="AQ58" s="27">
        <f t="shared" si="159"/>
        <v>7.464862075</v>
      </c>
      <c r="AR58" s="23">
        <f t="shared" si="160"/>
        <v>50.76744186</v>
      </c>
    </row>
    <row r="59" ht="15.75" customHeight="1">
      <c r="A59" s="21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X59" s="31">
        <v>3.0</v>
      </c>
      <c r="Y59" s="31" t="s">
        <v>25</v>
      </c>
      <c r="Z59" s="31">
        <f t="shared" ref="Z59:AI59" si="161">SUM(D67)</f>
        <v>32</v>
      </c>
      <c r="AA59" s="32">
        <f t="shared" si="161"/>
        <v>32</v>
      </c>
      <c r="AB59" s="33">
        <f t="shared" si="161"/>
        <v>6148.952</v>
      </c>
      <c r="AC59" s="32">
        <f t="shared" si="161"/>
        <v>2196</v>
      </c>
      <c r="AD59" s="32">
        <f t="shared" si="161"/>
        <v>280</v>
      </c>
      <c r="AE59" s="32">
        <f t="shared" si="161"/>
        <v>2476</v>
      </c>
      <c r="AF59" s="32">
        <f t="shared" si="161"/>
        <v>3060</v>
      </c>
      <c r="AG59" s="32">
        <f t="shared" si="161"/>
        <v>128</v>
      </c>
      <c r="AH59" s="32">
        <f t="shared" si="161"/>
        <v>3188</v>
      </c>
      <c r="AI59" s="32">
        <f t="shared" si="161"/>
        <v>5664</v>
      </c>
      <c r="AJ59" s="34">
        <f t="shared" si="154"/>
        <v>192.15475</v>
      </c>
      <c r="AK59" s="31">
        <f>SUM(O67)</f>
        <v>6622</v>
      </c>
      <c r="AL59" s="35">
        <f t="shared" si="155"/>
        <v>0.8553307158</v>
      </c>
      <c r="AM59" s="36">
        <f t="shared" si="156"/>
        <v>1.5</v>
      </c>
      <c r="AN59" s="35">
        <f t="shared" si="157"/>
        <v>0.6140883845</v>
      </c>
      <c r="AO59" s="37">
        <f t="shared" si="158"/>
        <v>0.9211325767</v>
      </c>
      <c r="AP59" s="36">
        <f t="shared" ref="AP59:AQ59" si="162">SUM(T67)</f>
        <v>257.9258389</v>
      </c>
      <c r="AQ59" s="36">
        <f t="shared" si="162"/>
        <v>8.060182466</v>
      </c>
      <c r="AR59" s="32">
        <f t="shared" si="160"/>
        <v>177</v>
      </c>
    </row>
    <row r="60" ht="15.75" customHeight="1">
      <c r="A60" s="21"/>
      <c r="B60" s="38">
        <v>1.0</v>
      </c>
      <c r="C60" s="38" t="s">
        <v>26</v>
      </c>
      <c r="D60" s="39">
        <v>20.0</v>
      </c>
      <c r="E60" s="40">
        <f>IFERROR(__xludf.DUMMYFUNCTION("COUNT(IMPORTRANGE(""https://docs.google.com/spreadsheets/d/1z0o91thOT38lgejTE_Bd2p3v_9VCDdQRkUsMIVqpQCk/edit"",""3!d2:d21""))"),19.0)</f>
        <v>19</v>
      </c>
      <c r="F60" s="41">
        <f>IFERROR(__xludf.DUMMYFUNCTION("SUM(IMPORTRANGE(""https://docs.google.com/spreadsheets/d/1z0o91thOT38lgejTE_Bd2p3v_9VCDdQRkUsMIVqpQCk/edit"",""3!Q2:Q21""))"),3676.284)</f>
        <v>3676.284</v>
      </c>
      <c r="G60" s="40">
        <f>IFERROR(__xludf.DUMMYFUNCTION("IMPORTRANGE(""https://docs.google.com/spreadsheets/d/1z0o91thOT38lgejTE_Bd2p3v_9VCDdQRkUsMIVqpQCk/edit"",""3!e28"")"),1884.0)</f>
        <v>1884</v>
      </c>
      <c r="H60" s="40">
        <f>IFERROR(__xludf.DUMMYFUNCTION("IMPORTRANGE(""https://docs.google.com/spreadsheets/d/1z0o91thOT38lgejTE_Bd2p3v_9VCDdQRkUsMIVqpQCk/edit"",""3!e29"")"),101.0)</f>
        <v>101</v>
      </c>
      <c r="I60" s="40">
        <f t="shared" ref="I60:I77" si="165">SUM(G60:H60)</f>
        <v>1985</v>
      </c>
      <c r="J60" s="40">
        <f>IFERROR(__xludf.DUMMYFUNCTION("IMPORTRANGE(""https://docs.google.com/spreadsheets/d/1z0o91thOT38lgejTE_Bd2p3v_9VCDdQRkUsMIVqpQCk/edit"",""3!e32"")"),2559.0)</f>
        <v>2559</v>
      </c>
      <c r="K60" s="40">
        <f>IFERROR(__xludf.DUMMYFUNCTION("IMPORTRANGE(""https://docs.google.com/spreadsheets/d/1z0o91thOT38lgejTE_Bd2p3v_9VCDdQRkUsMIVqpQCk/edit"",""3!e33"")"),0.0)</f>
        <v>0</v>
      </c>
      <c r="L60" s="40">
        <f t="shared" ref="L60:L66" si="166">SUM(J60:K60)</f>
        <v>2559</v>
      </c>
      <c r="M60" s="40">
        <f t="shared" ref="M60:M77" si="167">SUM(I60+L60)</f>
        <v>4544</v>
      </c>
      <c r="N60" s="41">
        <f t="shared" ref="N60:N78" si="168">F60/E60</f>
        <v>193.4886316</v>
      </c>
      <c r="O60" s="38">
        <v>5161.0</v>
      </c>
      <c r="P60" s="42">
        <f t="shared" ref="P60:P78" si="169">M60/O60</f>
        <v>0.8804495253</v>
      </c>
      <c r="Q60" s="43">
        <v>1.5</v>
      </c>
      <c r="R60" s="42">
        <f t="shared" ref="R60:R78" si="170">S60/Q60</f>
        <v>0.8240204874</v>
      </c>
      <c r="S60" s="44">
        <f t="shared" ref="S60:S78" si="171">M60/F60</f>
        <v>1.236030731</v>
      </c>
      <c r="T60" s="43">
        <f>F60/14.415</f>
        <v>255.0318418</v>
      </c>
      <c r="U60" s="43">
        <f t="shared" ref="U60:U78" si="172">T60/E60</f>
        <v>13.42272852</v>
      </c>
      <c r="V60" s="40">
        <f t="shared" ref="V60:V78" si="173">M60/E60</f>
        <v>239.1578947</v>
      </c>
      <c r="X60" s="22">
        <v>4.0</v>
      </c>
      <c r="Y60" s="22" t="s">
        <v>27</v>
      </c>
      <c r="Z60" s="22">
        <f t="shared" ref="Z60:AK60" si="163">SUM(D73)</f>
        <v>30</v>
      </c>
      <c r="AA60" s="23">
        <f t="shared" si="163"/>
        <v>30</v>
      </c>
      <c r="AB60" s="24">
        <f t="shared" si="163"/>
        <v>5305.88</v>
      </c>
      <c r="AC60" s="23">
        <f t="shared" si="163"/>
        <v>1460</v>
      </c>
      <c r="AD60" s="23">
        <f t="shared" si="163"/>
        <v>30</v>
      </c>
      <c r="AE60" s="23">
        <f t="shared" si="163"/>
        <v>1490</v>
      </c>
      <c r="AF60" s="23">
        <f t="shared" si="163"/>
        <v>2365</v>
      </c>
      <c r="AG60" s="23">
        <f t="shared" si="163"/>
        <v>64</v>
      </c>
      <c r="AH60" s="23">
        <f t="shared" si="163"/>
        <v>2429</v>
      </c>
      <c r="AI60" s="23">
        <f t="shared" si="163"/>
        <v>3919</v>
      </c>
      <c r="AJ60" s="25">
        <f t="shared" si="163"/>
        <v>176.8626667</v>
      </c>
      <c r="AK60" s="22">
        <f t="shared" si="163"/>
        <v>8101</v>
      </c>
      <c r="AL60" s="26">
        <f t="shared" si="155"/>
        <v>0.4837674361</v>
      </c>
      <c r="AM60" s="27">
        <f>SUM(Q73)</f>
        <v>1.5</v>
      </c>
      <c r="AN60" s="26">
        <f t="shared" si="157"/>
        <v>0.4924096788</v>
      </c>
      <c r="AO60" s="28">
        <f t="shared" si="158"/>
        <v>0.7386145182</v>
      </c>
      <c r="AP60" s="27">
        <f t="shared" ref="AP60:AQ60" si="164">SUM(T73)</f>
        <v>265.4931198</v>
      </c>
      <c r="AQ60" s="27">
        <f t="shared" si="164"/>
        <v>8.849770661</v>
      </c>
      <c r="AR60" s="23">
        <f t="shared" si="160"/>
        <v>130.6333333</v>
      </c>
    </row>
    <row r="61" ht="15.75" customHeight="1">
      <c r="A61" s="21"/>
      <c r="B61" s="38">
        <v>2.0</v>
      </c>
      <c r="C61" s="38" t="s">
        <v>28</v>
      </c>
      <c r="D61" s="39">
        <v>33.0</v>
      </c>
      <c r="E61" s="40">
        <f>IFERROR(__xludf.DUMMYFUNCTION("COUNT(IMPORTRANGE(""https://docs.google.com/spreadsheets/d/10a85iNN0y9GF6ngQfF1JXGAzFk-T7ywH4-TZtQcOTaE/edit"",""3!d2:d34""))"),33.0)</f>
        <v>33</v>
      </c>
      <c r="F61" s="41">
        <f>IFERROR(__xludf.DUMMYFUNCTION("SUM(IMPORTRANGE(""https://docs.google.com/spreadsheets/d/10a85iNN0y9GF6ngQfF1JXGAzFk-T7ywH4-TZtQcOTaE/edit"",""3!Q2:Q34""))"),6267.385)</f>
        <v>6267.385</v>
      </c>
      <c r="G61" s="40">
        <f>IFERROR(__xludf.DUMMYFUNCTION("IMPORTRANGE(""https://docs.google.com/spreadsheets/d/10a85iNN0y9GF6ngQfF1JXGAzFk-T7ywH4-TZtQcOTaE/edit"",""3!e41"")"),2129.0)</f>
        <v>2129</v>
      </c>
      <c r="H61" s="40">
        <f>IFERROR(__xludf.DUMMYFUNCTION("IMPORTRANGE(""https://docs.google.com/spreadsheets/d/10a85iNN0y9GF6ngQfF1JXGAzFk-T7ywH4-TZtQcOTaE/edit"",""3!e42"")"),56.0)</f>
        <v>56</v>
      </c>
      <c r="I61" s="40">
        <f t="shared" si="165"/>
        <v>2185</v>
      </c>
      <c r="J61" s="40">
        <f>IFERROR(__xludf.DUMMYFUNCTION("IMPORTRANGE(""https://docs.google.com/spreadsheets/d/10a85iNN0y9GF6ngQfF1JXGAzFk-T7ywH4-TZtQcOTaE/edit"",""3!e45"")"),2384.0)</f>
        <v>2384</v>
      </c>
      <c r="K61" s="40">
        <f>IFERROR(__xludf.DUMMYFUNCTION("IMPORTRANGE(""https://docs.google.com/spreadsheets/d/10a85iNN0y9GF6ngQfF1JXGAzFk-T7ywH4-TZtQcOTaE/edit"",""3!e46"")"),377.0)</f>
        <v>377</v>
      </c>
      <c r="L61" s="40">
        <f t="shared" si="166"/>
        <v>2761</v>
      </c>
      <c r="M61" s="40">
        <f t="shared" si="167"/>
        <v>4946</v>
      </c>
      <c r="N61" s="41">
        <f t="shared" si="168"/>
        <v>189.9207576</v>
      </c>
      <c r="O61" s="38">
        <v>7315.0</v>
      </c>
      <c r="P61" s="42">
        <f t="shared" si="169"/>
        <v>0.6761449077</v>
      </c>
      <c r="Q61" s="43">
        <v>1.5</v>
      </c>
      <c r="R61" s="42">
        <f t="shared" si="170"/>
        <v>0.526109906</v>
      </c>
      <c r="S61" s="44">
        <f t="shared" si="171"/>
        <v>0.789164859</v>
      </c>
      <c r="T61" s="43">
        <f>F61/30.897</f>
        <v>202.8476875</v>
      </c>
      <c r="U61" s="43">
        <f t="shared" si="172"/>
        <v>6.146899621</v>
      </c>
      <c r="V61" s="40">
        <f t="shared" si="173"/>
        <v>149.8787879</v>
      </c>
      <c r="X61" s="22">
        <v>5.0</v>
      </c>
      <c r="Y61" s="22" t="s">
        <v>29</v>
      </c>
      <c r="Z61" s="22">
        <f t="shared" ref="Z61:AI61" si="174">SUM(D76)</f>
        <v>30</v>
      </c>
      <c r="AA61" s="23">
        <f t="shared" si="174"/>
        <v>30</v>
      </c>
      <c r="AB61" s="24">
        <f t="shared" si="174"/>
        <v>5962.702</v>
      </c>
      <c r="AC61" s="23">
        <f t="shared" si="174"/>
        <v>2453</v>
      </c>
      <c r="AD61" s="23">
        <f t="shared" si="174"/>
        <v>0</v>
      </c>
      <c r="AE61" s="23">
        <f t="shared" si="174"/>
        <v>2453</v>
      </c>
      <c r="AF61" s="23">
        <f t="shared" si="174"/>
        <v>3533</v>
      </c>
      <c r="AG61" s="23">
        <f t="shared" si="174"/>
        <v>0</v>
      </c>
      <c r="AH61" s="23">
        <f t="shared" si="174"/>
        <v>3533</v>
      </c>
      <c r="AI61" s="23">
        <f t="shared" si="174"/>
        <v>5986</v>
      </c>
      <c r="AJ61" s="25">
        <f t="shared" ref="AJ61:AJ63" si="177">AB61/AA61</f>
        <v>198.7567333</v>
      </c>
      <c r="AK61" s="22">
        <f t="shared" ref="AK61:AK62" si="178">SUM(O76)</f>
        <v>9201</v>
      </c>
      <c r="AL61" s="26">
        <f t="shared" si="155"/>
        <v>0.6505814585</v>
      </c>
      <c r="AM61" s="27">
        <f t="shared" ref="AM61:AM62" si="179">SUM(Q76)</f>
        <v>1.5</v>
      </c>
      <c r="AN61" s="26">
        <f t="shared" si="157"/>
        <v>0.669271526</v>
      </c>
      <c r="AO61" s="28">
        <f t="shared" si="158"/>
        <v>1.003907289</v>
      </c>
      <c r="AP61" s="27">
        <f t="shared" ref="AP61:AQ61" si="175">SUM(T76)</f>
        <v>229</v>
      </c>
      <c r="AQ61" s="27">
        <f t="shared" si="175"/>
        <v>7.633333333</v>
      </c>
      <c r="AR61" s="23">
        <f t="shared" si="160"/>
        <v>199.5333333</v>
      </c>
    </row>
    <row r="62" ht="15.75" customHeight="1">
      <c r="A62" s="21"/>
      <c r="B62" s="38">
        <v>3.0</v>
      </c>
      <c r="C62" s="38" t="s">
        <v>30</v>
      </c>
      <c r="D62" s="39">
        <v>60.0</v>
      </c>
      <c r="E62" s="40">
        <f>IFERROR(__xludf.DUMMYFUNCTION("COUNT(IMPORTRANGE(""https://docs.google.com/spreadsheets/d/1WojVzHhpzodJL1e5UDHeu3A3u5MTSZwvxHu0BrwvL9w/edit"",""3!d2:d61""))"),55.0)</f>
        <v>55</v>
      </c>
      <c r="F62" s="45">
        <f>IFERROR(__xludf.DUMMYFUNCTION("SUM(IMPORTRANGE(""https://docs.google.com/spreadsheets/d/1WojVzHhpzodJL1e5UDHeu3A3u5MTSZwvxHu0BrwvL9w/edit"",""3!Q2:Q61""))"),10893.903999999991)</f>
        <v>10893.904</v>
      </c>
      <c r="G62" s="40">
        <f>IFERROR(__xludf.DUMMYFUNCTION("IMPORTRANGE(""https://docs.google.com/spreadsheets/d/1WojVzHhpzodJL1e5UDHeu3A3u5MTSZwvxHu0BrwvL9w/edit"",""3!e68"")"),2720.0)</f>
        <v>2720</v>
      </c>
      <c r="H62" s="40">
        <f>IFERROR(__xludf.DUMMYFUNCTION("IMPORTRANGE(""https://docs.google.com/spreadsheets/d/1WojVzHhpzodJL1e5UDHeu3A3u5MTSZwvxHu0BrwvL9w/edit"",""3!e69"")"),0.0)</f>
        <v>0</v>
      </c>
      <c r="I62" s="40">
        <f t="shared" si="165"/>
        <v>2720</v>
      </c>
      <c r="J62" s="40">
        <f>IFERROR(__xludf.DUMMYFUNCTION("IMPORTRANGE(""https://docs.google.com/spreadsheets/d/1WojVzHhpzodJL1e5UDHeu3A3u5MTSZwvxHu0BrwvL9w/edit"",""3!e72"")"),4777.0)</f>
        <v>4777</v>
      </c>
      <c r="K62" s="40">
        <f>IFERROR(__xludf.DUMMYFUNCTION("IMPORTRANGE(""https://docs.google.com/spreadsheets/d/1WojVzHhpzodJL1e5UDHeu3A3u5MTSZwvxHu0BrwvL9w/edit"",""3!e73"")"),0.0)</f>
        <v>0</v>
      </c>
      <c r="L62" s="40">
        <f t="shared" si="166"/>
        <v>4777</v>
      </c>
      <c r="M62" s="40">
        <f t="shared" si="167"/>
        <v>7497</v>
      </c>
      <c r="N62" s="41">
        <f t="shared" si="168"/>
        <v>198.0709818</v>
      </c>
      <c r="O62" s="38">
        <v>11164.0</v>
      </c>
      <c r="P62" s="42">
        <f t="shared" si="169"/>
        <v>0.6715335005</v>
      </c>
      <c r="Q62" s="43">
        <v>1.5</v>
      </c>
      <c r="R62" s="42">
        <f t="shared" si="170"/>
        <v>0.458788695</v>
      </c>
      <c r="S62" s="44">
        <f t="shared" si="171"/>
        <v>0.6881830426</v>
      </c>
      <c r="T62" s="43">
        <f>F62/29.603</f>
        <v>368</v>
      </c>
      <c r="U62" s="43">
        <f t="shared" si="172"/>
        <v>6.690909091</v>
      </c>
      <c r="V62" s="40">
        <f t="shared" si="173"/>
        <v>136.3090909</v>
      </c>
      <c r="X62" s="22">
        <v>6.0</v>
      </c>
      <c r="Y62" s="22" t="s">
        <v>31</v>
      </c>
      <c r="Z62" s="22">
        <f t="shared" ref="Z62:AI62" si="176">SUM(D77)</f>
        <v>15</v>
      </c>
      <c r="AA62" s="23">
        <f t="shared" si="176"/>
        <v>15</v>
      </c>
      <c r="AB62" s="25">
        <f t="shared" si="176"/>
        <v>3042.55</v>
      </c>
      <c r="AC62" s="23">
        <f t="shared" si="176"/>
        <v>847</v>
      </c>
      <c r="AD62" s="23">
        <f t="shared" si="176"/>
        <v>12</v>
      </c>
      <c r="AE62" s="23">
        <f t="shared" si="176"/>
        <v>859</v>
      </c>
      <c r="AF62" s="23">
        <f t="shared" si="176"/>
        <v>1078</v>
      </c>
      <c r="AG62" s="23">
        <f t="shared" si="176"/>
        <v>110</v>
      </c>
      <c r="AH62" s="23">
        <f t="shared" si="176"/>
        <v>1188</v>
      </c>
      <c r="AI62" s="23">
        <f t="shared" si="176"/>
        <v>2047</v>
      </c>
      <c r="AJ62" s="25">
        <f t="shared" si="177"/>
        <v>202.8366667</v>
      </c>
      <c r="AK62" s="22">
        <f t="shared" si="178"/>
        <v>2717</v>
      </c>
      <c r="AL62" s="26">
        <f t="shared" si="155"/>
        <v>0.7534044902</v>
      </c>
      <c r="AM62" s="27">
        <f t="shared" si="179"/>
        <v>1.5</v>
      </c>
      <c r="AN62" s="26">
        <f t="shared" si="157"/>
        <v>0.448527277</v>
      </c>
      <c r="AO62" s="28">
        <f t="shared" si="158"/>
        <v>0.6727909155</v>
      </c>
      <c r="AP62" s="27">
        <f t="shared" ref="AP62:AQ62" si="180">SUM(T77)</f>
        <v>70</v>
      </c>
      <c r="AQ62" s="27">
        <f t="shared" si="180"/>
        <v>4.666666667</v>
      </c>
      <c r="AR62" s="23">
        <f t="shared" si="160"/>
        <v>136.4666667</v>
      </c>
    </row>
    <row r="63" ht="15.75" customHeight="1">
      <c r="A63" s="21"/>
      <c r="B63" s="38">
        <v>4.0</v>
      </c>
      <c r="C63" s="38" t="s">
        <v>32</v>
      </c>
      <c r="D63" s="39">
        <v>42.0</v>
      </c>
      <c r="E63" s="40">
        <f>IFERROR(__xludf.DUMMYFUNCTION("COUNT(IMPORTRANGE(""https://docs.google.com/spreadsheets/d/1vmCj5YcMSPHj1m64syDndQ6cqVL3yolcU03Y8KHmvdc/edit"",""3!d2:d43""))"),40.0)</f>
        <v>40</v>
      </c>
      <c r="F63" s="45">
        <f>IFERROR(__xludf.DUMMYFUNCTION("SUM(IMPORTRANGE(""https://docs.google.com/spreadsheets/d/1vmCj5YcMSPHj1m64syDndQ6cqVL3yolcU03Y8KHmvdc/edit"",""3!Q2:Q43""))"),7891.564999999993)</f>
        <v>7891.565</v>
      </c>
      <c r="G63" s="38">
        <f>IFERROR(__xludf.DUMMYFUNCTION("IMPORTRANGE(""https://docs.google.com/spreadsheets/d/1vmCj5YcMSPHj1m64syDndQ6cqVL3yolcU03Y8KHmvdc/edit"",""3!e50"")"),4240.0)</f>
        <v>4240</v>
      </c>
      <c r="H63" s="38">
        <f>IFERROR(__xludf.DUMMYFUNCTION("IMPORTRANGE(""https://docs.google.com/spreadsheets/d/1vmCj5YcMSPHj1m64syDndQ6cqVL3yolcU03Y8KHmvdc/edit"",""3!e51"")"),0.0)</f>
        <v>0</v>
      </c>
      <c r="I63" s="40">
        <f t="shared" si="165"/>
        <v>4240</v>
      </c>
      <c r="J63" s="38">
        <f>IFERROR(__xludf.DUMMYFUNCTION("IMPORTRANGE(""https://docs.google.com/spreadsheets/d/1vmCj5YcMSPHj1m64syDndQ6cqVL3yolcU03Y8KHmvdc/edit"",""3!e54"")"),4792.0)</f>
        <v>4792</v>
      </c>
      <c r="K63" s="38">
        <f>IFERROR(__xludf.DUMMYFUNCTION("IMPORTRANGE(""https://docs.google.com/spreadsheets/d/1vmCj5YcMSPHj1m64syDndQ6cqVL3yolcU03Y8KHmvdc/edit"",""3!e55"")"),0.0)</f>
        <v>0</v>
      </c>
      <c r="L63" s="40">
        <f t="shared" si="166"/>
        <v>4792</v>
      </c>
      <c r="M63" s="40">
        <f t="shared" si="167"/>
        <v>9032</v>
      </c>
      <c r="N63" s="41">
        <f t="shared" si="168"/>
        <v>197.289125</v>
      </c>
      <c r="O63" s="38">
        <v>13817.0</v>
      </c>
      <c r="P63" s="42">
        <f t="shared" si="169"/>
        <v>0.6536874864</v>
      </c>
      <c r="Q63" s="43">
        <v>1.5</v>
      </c>
      <c r="R63" s="42">
        <f t="shared" si="170"/>
        <v>0.7630087737</v>
      </c>
      <c r="S63" s="44">
        <f t="shared" si="171"/>
        <v>1.144513161</v>
      </c>
      <c r="T63" s="43">
        <f>F63/25.089</f>
        <v>314.5428275</v>
      </c>
      <c r="U63" s="43">
        <f t="shared" si="172"/>
        <v>7.863570688</v>
      </c>
      <c r="V63" s="40">
        <f t="shared" si="173"/>
        <v>225.8</v>
      </c>
      <c r="X63" s="46" t="s">
        <v>33</v>
      </c>
      <c r="Y63" s="46">
        <v>6.0</v>
      </c>
      <c r="Z63" s="46">
        <f t="shared" ref="Z63:AI63" si="181">SUM(Z57:Z62)</f>
        <v>186</v>
      </c>
      <c r="AA63" s="47">
        <f t="shared" si="181"/>
        <v>185</v>
      </c>
      <c r="AB63" s="48">
        <f t="shared" si="181"/>
        <v>36048.376</v>
      </c>
      <c r="AC63" s="47">
        <f t="shared" si="181"/>
        <v>9832</v>
      </c>
      <c r="AD63" s="47">
        <f t="shared" si="181"/>
        <v>322</v>
      </c>
      <c r="AE63" s="47">
        <f t="shared" si="181"/>
        <v>10154</v>
      </c>
      <c r="AF63" s="47">
        <f t="shared" si="181"/>
        <v>14020</v>
      </c>
      <c r="AG63" s="47">
        <f t="shared" si="181"/>
        <v>302</v>
      </c>
      <c r="AH63" s="47">
        <f t="shared" si="181"/>
        <v>14322</v>
      </c>
      <c r="AI63" s="47">
        <f t="shared" si="181"/>
        <v>24476</v>
      </c>
      <c r="AJ63" s="49">
        <f t="shared" si="177"/>
        <v>194.8560865</v>
      </c>
      <c r="AK63" s="46">
        <f>SUM(AK57:AK62)</f>
        <v>35074</v>
      </c>
      <c r="AL63" s="50">
        <f t="shared" si="155"/>
        <v>0.697838855</v>
      </c>
      <c r="AM63" s="51">
        <v>1.5</v>
      </c>
      <c r="AN63" s="50">
        <f t="shared" si="157"/>
        <v>0.4526509969</v>
      </c>
      <c r="AO63" s="52">
        <f t="shared" si="158"/>
        <v>0.6789764954</v>
      </c>
      <c r="AP63" s="51">
        <f>SUM(AP57:AP62)</f>
        <v>1350.408028</v>
      </c>
      <c r="AQ63" s="51">
        <f>AP63/AA63</f>
        <v>7.299502854</v>
      </c>
      <c r="AR63" s="47">
        <f t="shared" si="160"/>
        <v>132.3027027</v>
      </c>
    </row>
    <row r="64" ht="15.75" customHeight="1">
      <c r="A64" s="21"/>
      <c r="B64" s="38">
        <v>5.0</v>
      </c>
      <c r="C64" s="38" t="s">
        <v>34</v>
      </c>
      <c r="D64" s="39">
        <v>40.0</v>
      </c>
      <c r="E64" s="40">
        <f>IFERROR(__xludf.DUMMYFUNCTION("COUNT(IMPORTRANGE(""https://docs.google.com/spreadsheets/d/14_Y-fpuq1wcec3DlT_1PBYekOC0YblQMrWVfO12YO3k/edit"",""3!d2:d41""))"),38.0)</f>
        <v>38</v>
      </c>
      <c r="F64" s="45">
        <f>IFERROR(__xludf.DUMMYFUNCTION("SUM(IMPORTRANGE(""https://docs.google.com/spreadsheets/d/14_Y-fpuq1wcec3DlT_1PBYekOC0YblQMrWVfO12YO3k/edit"",""3!Q2:Q41""))"),6988.239000000002)</f>
        <v>6988.239</v>
      </c>
      <c r="G64" s="40">
        <f>IFERROR(__xludf.DUMMYFUNCTION("IMPORTRANGE(""https://docs.google.com/spreadsheets/d/14_Y-fpuq1wcec3DlT_1PBYekOC0YblQMrWVfO12YO3k/edit"",""3!e48"")"),2258.0)</f>
        <v>2258</v>
      </c>
      <c r="H64" s="40">
        <f>IFERROR(__xludf.DUMMYFUNCTION("IMPORTRANGE(""https://docs.google.com/spreadsheets/d/14_Y-fpuq1wcec3DlT_1PBYekOC0YblQMrWVfO12YO3k/edit"",""3!e49"")"),0.0)</f>
        <v>0</v>
      </c>
      <c r="I64" s="40">
        <f t="shared" si="165"/>
        <v>2258</v>
      </c>
      <c r="J64" s="40">
        <f>IFERROR(__xludf.DUMMYFUNCTION("IMPORTRANGE(""https://docs.google.com/spreadsheets/d/14_Y-fpuq1wcec3DlT_1PBYekOC0YblQMrWVfO12YO3k/edit"",""3!e52"")"),2883.0)</f>
        <v>2883</v>
      </c>
      <c r="K64" s="40">
        <f>IFERROR(__xludf.DUMMYFUNCTION("IMPORTRANGE(""https://docs.google.com/spreadsheets/d/14_Y-fpuq1wcec3DlT_1PBYekOC0YblQMrWVfO12YO3k/edit"",""3!e53"")"),36.0)</f>
        <v>36</v>
      </c>
      <c r="L64" s="40">
        <f t="shared" si="166"/>
        <v>2919</v>
      </c>
      <c r="M64" s="40">
        <f t="shared" si="167"/>
        <v>5177</v>
      </c>
      <c r="N64" s="41">
        <f t="shared" si="168"/>
        <v>183.9010263</v>
      </c>
      <c r="O64" s="38">
        <v>9354.0</v>
      </c>
      <c r="P64" s="42">
        <f t="shared" si="169"/>
        <v>0.5534530682</v>
      </c>
      <c r="Q64" s="43">
        <v>1.5</v>
      </c>
      <c r="R64" s="42">
        <f t="shared" si="170"/>
        <v>0.4938774036</v>
      </c>
      <c r="S64" s="44">
        <f t="shared" si="171"/>
        <v>0.7408161055</v>
      </c>
      <c r="T64" s="43">
        <f>F64/30.713</f>
        <v>227.5335851</v>
      </c>
      <c r="U64" s="43">
        <f t="shared" si="172"/>
        <v>5.987725924</v>
      </c>
      <c r="V64" s="40">
        <f t="shared" si="173"/>
        <v>136.2368421</v>
      </c>
      <c r="X64" s="53" t="s">
        <v>35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6"/>
    </row>
    <row r="65" ht="15.75" customHeight="1">
      <c r="A65" s="21"/>
      <c r="B65" s="38">
        <v>6.0</v>
      </c>
      <c r="C65" s="38" t="s">
        <v>23</v>
      </c>
      <c r="D65" s="39">
        <v>35.0</v>
      </c>
      <c r="E65" s="40">
        <f>IFERROR(__xludf.DUMMYFUNCTION("COUNT(IMPORTRANGE(""https://docs.google.com/spreadsheets/d/1lJqjdj05V4LOXuBOiTdE65GV4ZITyx1cMLcDdcuoUnE/edit"",""3!d2:d36""))"),35.0)</f>
        <v>35</v>
      </c>
      <c r="F65" s="45">
        <f>IFERROR(__xludf.DUMMYFUNCTION("SUM(IMPORTRANGE(""https://docs.google.com/spreadsheets/d/1lJqjdj05V4LOXuBOiTdE65GV4ZITyx1cMLcDdcuoUnE/edit"",""3!Q2:Q36""))"),6984.179999999996)</f>
        <v>6984.18</v>
      </c>
      <c r="G65" s="40">
        <f>IFERROR(__xludf.DUMMYFUNCTION("IMPORTRANGE(""https://docs.google.com/spreadsheets/d/1lJqjdj05V4LOXuBOiTdE65GV4ZITyx1cMLcDdcuoUnE/edit"",""3!e43"")"),1806.0)</f>
        <v>1806</v>
      </c>
      <c r="H65" s="40">
        <f>IFERROR(__xludf.DUMMYFUNCTION("IMPORTRANGE(""https://docs.google.com/spreadsheets/d/1lJqjdj05V4LOXuBOiTdE65GV4ZITyx1cMLcDdcuoUnE/edit"",""3!e44"")"),0.0)</f>
        <v>0</v>
      </c>
      <c r="I65" s="40">
        <f t="shared" si="165"/>
        <v>1806</v>
      </c>
      <c r="J65" s="40">
        <f>IFERROR(__xludf.DUMMYFUNCTION("IMPORTRANGE(""https://docs.google.com/spreadsheets/d/1lJqjdj05V4LOXuBOiTdE65GV4ZITyx1cMLcDdcuoUnE/edit"",""3!e47"")"),2871.0)</f>
        <v>2871</v>
      </c>
      <c r="K65" s="40">
        <f>IFERROR(__xludf.DUMMYFUNCTION("IMPORTRANGE(""https://docs.google.com/spreadsheets/d/1lJqjdj05V4LOXuBOiTdE65GV4ZITyx1cMLcDdcuoUnE/edit"",""3!e48"")"),0.0)</f>
        <v>0</v>
      </c>
      <c r="L65" s="40">
        <f t="shared" si="166"/>
        <v>2871</v>
      </c>
      <c r="M65" s="40">
        <f t="shared" si="167"/>
        <v>4677</v>
      </c>
      <c r="N65" s="41">
        <f t="shared" si="168"/>
        <v>199.548</v>
      </c>
      <c r="O65" s="38">
        <v>6853.0</v>
      </c>
      <c r="P65" s="42">
        <f t="shared" si="169"/>
        <v>0.6824748285</v>
      </c>
      <c r="Q65" s="43">
        <v>1.5</v>
      </c>
      <c r="R65" s="42">
        <f t="shared" si="170"/>
        <v>0.4464375202</v>
      </c>
      <c r="S65" s="44">
        <f t="shared" si="171"/>
        <v>0.6696562803</v>
      </c>
      <c r="T65" s="43">
        <f>F65/33.74</f>
        <v>207</v>
      </c>
      <c r="U65" s="43">
        <f t="shared" si="172"/>
        <v>5.914285714</v>
      </c>
      <c r="V65" s="40">
        <f t="shared" si="173"/>
        <v>133.6285714</v>
      </c>
      <c r="X65" s="14" t="s">
        <v>2</v>
      </c>
      <c r="Y65" s="14" t="s">
        <v>3</v>
      </c>
      <c r="Z65" s="14" t="s">
        <v>4</v>
      </c>
      <c r="AA65" s="14" t="s">
        <v>5</v>
      </c>
      <c r="AB65" s="15" t="s">
        <v>6</v>
      </c>
      <c r="AC65" s="14" t="s">
        <v>7</v>
      </c>
      <c r="AD65" s="14" t="s">
        <v>8</v>
      </c>
      <c r="AE65" s="14" t="s">
        <v>9</v>
      </c>
      <c r="AF65" s="14" t="s">
        <v>10</v>
      </c>
      <c r="AG65" s="14" t="s">
        <v>11</v>
      </c>
      <c r="AH65" s="14" t="s">
        <v>12</v>
      </c>
      <c r="AI65" s="14" t="s">
        <v>13</v>
      </c>
      <c r="AJ65" s="15" t="s">
        <v>14</v>
      </c>
      <c r="AK65" s="14" t="s">
        <v>15</v>
      </c>
      <c r="AL65" s="14" t="s">
        <v>16</v>
      </c>
      <c r="AM65" s="16" t="s">
        <v>17</v>
      </c>
      <c r="AN65" s="17" t="s">
        <v>18</v>
      </c>
      <c r="AO65" s="18" t="s">
        <v>19</v>
      </c>
      <c r="AP65" s="19" t="s">
        <v>20</v>
      </c>
      <c r="AQ65" s="19" t="s">
        <v>21</v>
      </c>
      <c r="AR65" s="20" t="s">
        <v>22</v>
      </c>
    </row>
    <row r="66" ht="15.75" customHeight="1">
      <c r="A66" s="21"/>
      <c r="B66" s="38">
        <v>7.0</v>
      </c>
      <c r="C66" s="38" t="s">
        <v>24</v>
      </c>
      <c r="D66" s="39">
        <v>44.0</v>
      </c>
      <c r="E66" s="54">
        <f>IFERROR(__xludf.DUMMYFUNCTION("COUNT(IMPORTRANGE(""https://docs.google.com/spreadsheets/d/1_7EEO26q9Yq-XhNFiy7I6Zh4Yg6uGjTs9y0UqNvPKcQ/edit"",""3!d2:d45""))"),43.0)</f>
        <v>43</v>
      </c>
      <c r="F66" s="55">
        <f>IFERROR(__xludf.DUMMYFUNCTION("SUM(IMPORTRANGE(""https://docs.google.com/spreadsheets/d/1_7EEO26q9Yq-XhNFiy7I6Zh4Yg6uGjTs9y0UqNvPKcQ/edit"",""3!Q2:Q45""))"),8604.111999999994)</f>
        <v>8604.112</v>
      </c>
      <c r="G66" s="54">
        <f>IFERROR(__xludf.DUMMYFUNCTION("IMPORTRANGE(""https://docs.google.com/spreadsheets/d/1_7EEO26q9Yq-XhNFiy7I6Zh4Yg6uGjTs9y0UqNvPKcQ/edit"",""3!e53"")"),1070.0)</f>
        <v>1070</v>
      </c>
      <c r="H66" s="54">
        <f>IFERROR(__xludf.DUMMYFUNCTION("IMPORTRANGE(""https://docs.google.com/spreadsheets/d/1_7EEO26q9Yq-XhNFiy7I6Zh4Yg6uGjTs9y0UqNvPKcQ/edit"",""3!e54"")"),0.0)</f>
        <v>0</v>
      </c>
      <c r="I66" s="54">
        <f t="shared" si="165"/>
        <v>1070</v>
      </c>
      <c r="J66" s="54">
        <f>IFERROR(__xludf.DUMMYFUNCTION("IMPORTRANGE(""https://docs.google.com/spreadsheets/d/1_7EEO26q9Yq-XhNFiy7I6Zh4Yg6uGjTs9y0UqNvPKcQ/edit"",""3!e57"")"),1113.0)</f>
        <v>1113</v>
      </c>
      <c r="K66" s="54">
        <f>IFERROR(__xludf.DUMMYFUNCTION("IMPORTRANGE(""https://docs.google.com/spreadsheets/d/1_7EEO26q9Yq-XhNFiy7I6Zh4Yg6uGjTs9y0UqNvPKcQ/edit"",""3!e58"")"),0.0)</f>
        <v>0</v>
      </c>
      <c r="L66" s="40">
        <f t="shared" si="166"/>
        <v>1113</v>
      </c>
      <c r="M66" s="40">
        <f t="shared" si="167"/>
        <v>2183</v>
      </c>
      <c r="N66" s="41">
        <f t="shared" si="168"/>
        <v>200.0956279</v>
      </c>
      <c r="O66" s="38">
        <v>1580.0</v>
      </c>
      <c r="P66" s="56">
        <f t="shared" si="169"/>
        <v>1.38164557</v>
      </c>
      <c r="Q66" s="43">
        <v>1.5</v>
      </c>
      <c r="R66" s="42">
        <f t="shared" si="170"/>
        <v>0.1691439318</v>
      </c>
      <c r="S66" s="44">
        <f t="shared" si="171"/>
        <v>0.2537158977</v>
      </c>
      <c r="T66" s="43">
        <f>F66/26.805</f>
        <v>320.9890692</v>
      </c>
      <c r="U66" s="43">
        <f t="shared" si="172"/>
        <v>7.464862075</v>
      </c>
      <c r="V66" s="40">
        <f t="shared" si="173"/>
        <v>50.76744186</v>
      </c>
      <c r="X66" s="22">
        <v>1.0</v>
      </c>
      <c r="Y66" s="22" t="s">
        <v>28</v>
      </c>
      <c r="Z66" s="22">
        <f t="shared" ref="Z66:AI66" si="182">SUM(D61)</f>
        <v>33</v>
      </c>
      <c r="AA66" s="23">
        <f t="shared" si="182"/>
        <v>33</v>
      </c>
      <c r="AB66" s="25">
        <f t="shared" si="182"/>
        <v>6267.385</v>
      </c>
      <c r="AC66" s="23">
        <f t="shared" si="182"/>
        <v>2129</v>
      </c>
      <c r="AD66" s="23">
        <f t="shared" si="182"/>
        <v>56</v>
      </c>
      <c r="AE66" s="23">
        <f t="shared" si="182"/>
        <v>2185</v>
      </c>
      <c r="AF66" s="23">
        <f t="shared" si="182"/>
        <v>2384</v>
      </c>
      <c r="AG66" s="23">
        <f t="shared" si="182"/>
        <v>377</v>
      </c>
      <c r="AH66" s="23">
        <f t="shared" si="182"/>
        <v>2761</v>
      </c>
      <c r="AI66" s="23">
        <f t="shared" si="182"/>
        <v>4946</v>
      </c>
      <c r="AJ66" s="25">
        <f t="shared" ref="AJ66:AJ72" si="185">AB66/AA66</f>
        <v>189.9207576</v>
      </c>
      <c r="AK66" s="22">
        <f t="shared" ref="AK66:AK67" si="186">SUM(O61)</f>
        <v>7315</v>
      </c>
      <c r="AL66" s="26">
        <f t="shared" ref="AL66:AL72" si="187">AI66/AK66</f>
        <v>0.6761449077</v>
      </c>
      <c r="AM66" s="27">
        <f t="shared" ref="AM66:AM67" si="188">SUM(Q61)</f>
        <v>1.5</v>
      </c>
      <c r="AN66" s="26">
        <f t="shared" ref="AN66:AN72" si="189">AO66/AM66</f>
        <v>0.526109906</v>
      </c>
      <c r="AO66" s="28">
        <f t="shared" ref="AO66:AO72" si="190">AI66/AB66</f>
        <v>0.789164859</v>
      </c>
      <c r="AP66" s="27">
        <f t="shared" ref="AP66:AQ66" si="183">SUM(T61)</f>
        <v>202.8476875</v>
      </c>
      <c r="AQ66" s="27">
        <f t="shared" si="183"/>
        <v>6.146899621</v>
      </c>
      <c r="AR66" s="23">
        <f t="shared" ref="AR66:AR72" si="192">AI66/AA66</f>
        <v>149.8787879</v>
      </c>
    </row>
    <row r="67" ht="15.75" customHeight="1">
      <c r="A67" s="21"/>
      <c r="B67" s="38">
        <v>8.0</v>
      </c>
      <c r="C67" s="38" t="s">
        <v>25</v>
      </c>
      <c r="D67" s="57">
        <v>32.0</v>
      </c>
      <c r="E67" s="40">
        <f>IFERROR(__xludf.DUMMYFUNCTION("COUNT(IMPORTRANGE(""https://docs.google.com/spreadsheets/d/1vLOLpiE-XsbnCnwWPcoi87PlUSXfqIAAQn3kvqHfO6s/edit"",""3!d2:D33""))"),32.0)</f>
        <v>32</v>
      </c>
      <c r="F67" s="45">
        <f>IFERROR(__xludf.DUMMYFUNCTION("SUM(IMPORTRANGE(""https://docs.google.com/spreadsheets/d/1vLOLpiE-XsbnCnwWPcoi87PlUSXfqIAAQn3kvqHfO6s/edit"",""3!Q2:Q33""))"),6148.952000000002)</f>
        <v>6148.952</v>
      </c>
      <c r="G67" s="40">
        <f>IFERROR(__xludf.DUMMYFUNCTION("IMPORTRANGE(""https://docs.google.com/spreadsheets/d/1vLOLpiE-XsbnCnwWPcoi87PlUSXfqIAAQn3kvqHfO6s/edit"",""3!e40"")"),2196.0)</f>
        <v>2196</v>
      </c>
      <c r="H67" s="40">
        <f>IFERROR(__xludf.DUMMYFUNCTION("IMPORTRANGE(""https://docs.google.com/spreadsheets/d/1vLOLpiE-XsbnCnwWPcoi87PlUSXfqIAAQn3kvqHfO6s/edit"",""3!e41"")"),280.0)</f>
        <v>280</v>
      </c>
      <c r="I67" s="40">
        <f t="shared" si="165"/>
        <v>2476</v>
      </c>
      <c r="J67" s="40">
        <f>IFERROR(__xludf.DUMMYFUNCTION("IMPORTRANGE(""https://docs.google.com/spreadsheets/d/1vLOLpiE-XsbnCnwWPcoi87PlUSXfqIAAQn3kvqHfO6s/edit"",""3!e44"")"),3060.0)</f>
        <v>3060</v>
      </c>
      <c r="K67" s="40">
        <f>IFERROR(__xludf.DUMMYFUNCTION("IMPORTRANGE(""https://docs.google.com/spreadsheets/d/1vLOLpiE-XsbnCnwWPcoi87PlUSXfqIAAQn3kvqHfO6s/edit"",""3!e45"")"),128.0)</f>
        <v>128</v>
      </c>
      <c r="L67" s="40">
        <f>J67+K67</f>
        <v>3188</v>
      </c>
      <c r="M67" s="40">
        <f t="shared" si="167"/>
        <v>5664</v>
      </c>
      <c r="N67" s="41">
        <f t="shared" si="168"/>
        <v>192.15475</v>
      </c>
      <c r="O67" s="38">
        <v>6622.0</v>
      </c>
      <c r="P67" s="42">
        <f t="shared" si="169"/>
        <v>0.8553307158</v>
      </c>
      <c r="Q67" s="43">
        <v>1.5</v>
      </c>
      <c r="R67" s="42">
        <f t="shared" si="170"/>
        <v>0.6140883845</v>
      </c>
      <c r="S67" s="44">
        <f t="shared" si="171"/>
        <v>0.9211325767</v>
      </c>
      <c r="T67" s="43">
        <f>F67/23.84</f>
        <v>257.9258389</v>
      </c>
      <c r="U67" s="43">
        <f t="shared" si="172"/>
        <v>8.060182466</v>
      </c>
      <c r="V67" s="40">
        <f t="shared" si="173"/>
        <v>177</v>
      </c>
      <c r="X67" s="31">
        <v>2.0</v>
      </c>
      <c r="Y67" s="31" t="s">
        <v>30</v>
      </c>
      <c r="Z67" s="31">
        <f t="shared" ref="Z67:AI67" si="184">SUM(D62)</f>
        <v>60</v>
      </c>
      <c r="AA67" s="32">
        <f t="shared" si="184"/>
        <v>55</v>
      </c>
      <c r="AB67" s="33">
        <f t="shared" si="184"/>
        <v>10893.904</v>
      </c>
      <c r="AC67" s="32">
        <f t="shared" si="184"/>
        <v>2720</v>
      </c>
      <c r="AD67" s="32">
        <f t="shared" si="184"/>
        <v>0</v>
      </c>
      <c r="AE67" s="32">
        <f t="shared" si="184"/>
        <v>2720</v>
      </c>
      <c r="AF67" s="32">
        <f t="shared" si="184"/>
        <v>4777</v>
      </c>
      <c r="AG67" s="32">
        <f t="shared" si="184"/>
        <v>0</v>
      </c>
      <c r="AH67" s="32">
        <f t="shared" si="184"/>
        <v>4777</v>
      </c>
      <c r="AI67" s="32">
        <f t="shared" si="184"/>
        <v>7497</v>
      </c>
      <c r="AJ67" s="34">
        <f t="shared" si="185"/>
        <v>198.0709818</v>
      </c>
      <c r="AK67" s="31">
        <f t="shared" si="186"/>
        <v>11164</v>
      </c>
      <c r="AL67" s="35">
        <f t="shared" si="187"/>
        <v>0.6715335005</v>
      </c>
      <c r="AM67" s="36">
        <f t="shared" si="188"/>
        <v>1.5</v>
      </c>
      <c r="AN67" s="35">
        <f t="shared" si="189"/>
        <v>0.458788695</v>
      </c>
      <c r="AO67" s="37">
        <f t="shared" si="190"/>
        <v>0.6881830426</v>
      </c>
      <c r="AP67" s="36">
        <f t="shared" ref="AP67:AQ67" si="191">SUM(T62)</f>
        <v>368</v>
      </c>
      <c r="AQ67" s="36">
        <f t="shared" si="191"/>
        <v>6.690909091</v>
      </c>
      <c r="AR67" s="32">
        <f t="shared" si="192"/>
        <v>136.3090909</v>
      </c>
    </row>
    <row r="68" ht="15.75" customHeight="1">
      <c r="A68" s="21"/>
      <c r="B68" s="38">
        <v>9.0</v>
      </c>
      <c r="C68" s="38" t="s">
        <v>36</v>
      </c>
      <c r="D68" s="57">
        <v>24.0</v>
      </c>
      <c r="E68" s="40">
        <f>IFERROR(__xludf.DUMMYFUNCTION("COUNT(IMPORTRANGE(""https://docs.google.com/spreadsheets/d/1WJJVq25XDtGjt-J2JPxeKs3jIvDZtkIREC0lFPXwf74/edit"",""3!d2:d31""))"),24.0)</f>
        <v>24</v>
      </c>
      <c r="F68" s="45">
        <f>IFERROR(__xludf.DUMMYFUNCTION("SUM(IMPORTRANGE(""https://docs.google.com/spreadsheets/d/1WJJVq25XDtGjt-J2JPxeKs3jIvDZtkIREC0lFPXwf74/edit"",""3!Q2:Q31""))"),4745.193999999999)</f>
        <v>4745.194</v>
      </c>
      <c r="G68" s="40">
        <f>IFERROR(__xludf.DUMMYFUNCTION("IMPORTRANGE(""https://docs.google.com/spreadsheets/d/1WJJVq25XDtGjt-J2JPxeKs3jIvDZtkIREC0lFPXwf74/edit"",""3!e38"")"),1189.0)</f>
        <v>1189</v>
      </c>
      <c r="H68" s="40">
        <f>IFERROR(__xludf.DUMMYFUNCTION("IMPORTRANGE(""https://docs.google.com/spreadsheets/d/1WJJVq25XDtGjt-J2JPxeKs3jIvDZtkIREC0lFPXwf74/edit"",""3!e39"")"),0.0)</f>
        <v>0</v>
      </c>
      <c r="I68" s="40">
        <f t="shared" si="165"/>
        <v>1189</v>
      </c>
      <c r="J68" s="40">
        <f>IFERROR(__xludf.DUMMYFUNCTION("IMPORTRANGE(""https://docs.google.com/spreadsheets/d/1WJJVq25XDtGjt-J2JPxeKs3jIvDZtkIREC0lFPXwf74/edit"",""3!e42"")"),1969.0)</f>
        <v>1969</v>
      </c>
      <c r="K68" s="40">
        <f>IFERROR(__xludf.DUMMYFUNCTION("IMPORTRANGE(""https://docs.google.com/spreadsheets/d/1WJJVq25XDtGjt-J2JPxeKs3jIvDZtkIREC0lFPXwf74/edit"",""3!e43"")"),0.0)</f>
        <v>0</v>
      </c>
      <c r="L68" s="40">
        <f t="shared" ref="L68:L77" si="195">SUM(J68:K68)</f>
        <v>1969</v>
      </c>
      <c r="M68" s="40">
        <f t="shared" si="167"/>
        <v>3158</v>
      </c>
      <c r="N68" s="41">
        <f t="shared" si="168"/>
        <v>197.7164167</v>
      </c>
      <c r="O68" s="38">
        <v>4796.0</v>
      </c>
      <c r="P68" s="42">
        <f t="shared" si="169"/>
        <v>0.6584653878</v>
      </c>
      <c r="Q68" s="43">
        <v>1.5</v>
      </c>
      <c r="R68" s="42">
        <f t="shared" si="170"/>
        <v>0.4436769779</v>
      </c>
      <c r="S68" s="44">
        <f t="shared" si="171"/>
        <v>0.6655154668</v>
      </c>
      <c r="T68" s="43">
        <f>F68/37.414</f>
        <v>126.8293687</v>
      </c>
      <c r="U68" s="43">
        <f t="shared" si="172"/>
        <v>5.284557029</v>
      </c>
      <c r="V68" s="40">
        <f t="shared" si="173"/>
        <v>131.5833333</v>
      </c>
      <c r="X68" s="22">
        <v>3.0</v>
      </c>
      <c r="Y68" s="22" t="s">
        <v>34</v>
      </c>
      <c r="Z68" s="22">
        <f t="shared" ref="Z68:AI68" si="193">SUM(D64)</f>
        <v>40</v>
      </c>
      <c r="AA68" s="23">
        <f t="shared" si="193"/>
        <v>38</v>
      </c>
      <c r="AB68" s="24">
        <f t="shared" si="193"/>
        <v>6988.239</v>
      </c>
      <c r="AC68" s="23">
        <f t="shared" si="193"/>
        <v>2258</v>
      </c>
      <c r="AD68" s="23">
        <f t="shared" si="193"/>
        <v>0</v>
      </c>
      <c r="AE68" s="23">
        <f t="shared" si="193"/>
        <v>2258</v>
      </c>
      <c r="AF68" s="23">
        <f t="shared" si="193"/>
        <v>2883</v>
      </c>
      <c r="AG68" s="23">
        <f t="shared" si="193"/>
        <v>36</v>
      </c>
      <c r="AH68" s="23">
        <f t="shared" si="193"/>
        <v>2919</v>
      </c>
      <c r="AI68" s="23">
        <f t="shared" si="193"/>
        <v>5177</v>
      </c>
      <c r="AJ68" s="25">
        <f t="shared" si="185"/>
        <v>183.9010263</v>
      </c>
      <c r="AK68" s="22">
        <f>SUM(O64)</f>
        <v>9354</v>
      </c>
      <c r="AL68" s="26">
        <f t="shared" si="187"/>
        <v>0.5534530682</v>
      </c>
      <c r="AM68" s="27">
        <f>SUM(Q64)</f>
        <v>1.5</v>
      </c>
      <c r="AN68" s="26">
        <f t="shared" si="189"/>
        <v>0.4938774036</v>
      </c>
      <c r="AO68" s="28">
        <f t="shared" si="190"/>
        <v>0.7408161055</v>
      </c>
      <c r="AP68" s="27">
        <f t="shared" ref="AP68:AQ68" si="194">SUM(T64)</f>
        <v>227.5335851</v>
      </c>
      <c r="AQ68" s="27">
        <f t="shared" si="194"/>
        <v>5.987725924</v>
      </c>
      <c r="AR68" s="23">
        <f t="shared" si="192"/>
        <v>136.2368421</v>
      </c>
    </row>
    <row r="69" ht="15.75" customHeight="1">
      <c r="A69" s="21"/>
      <c r="B69" s="38">
        <v>10.0</v>
      </c>
      <c r="C69" s="38" t="s">
        <v>37</v>
      </c>
      <c r="D69" s="39">
        <v>30.0</v>
      </c>
      <c r="E69" s="40">
        <f>IFERROR(__xludf.DUMMYFUNCTION("COUNT(IMPORTRANGE(""https://docs.google.com/spreadsheets/d/1rJyYfywRpWJW0zvDJHLOJtqUQqffoCGaqTVxxTDgV0k/edit"",""3!d2:d31""))"),29.0)</f>
        <v>29</v>
      </c>
      <c r="F69" s="45">
        <f>IFERROR(__xludf.DUMMYFUNCTION("SUM(IMPORTRANGE(""https://docs.google.com/spreadsheets/d/1rJyYfywRpWJW0zvDJHLOJtqUQqffoCGaqTVxxTDgV0k/edit"",""3!Q2:Q31""))"),5539.476000000002)</f>
        <v>5539.476</v>
      </c>
      <c r="G69" s="40">
        <f>IFERROR(__xludf.DUMMYFUNCTION("(IMPORTRANGE(""https://docs.google.com/spreadsheets/d/1rJyYfywRpWJW0zvDJHLOJtqUQqffoCGaqTVxxTDgV0k/edit"",""3!e38""))"),2148.0)</f>
        <v>2148</v>
      </c>
      <c r="H69" s="40">
        <f>IFERROR(__xludf.DUMMYFUNCTION("(IMPORTRANGE(""https://docs.google.com/spreadsheets/d/1rJyYfywRpWJW0zvDJHLOJtqUQqffoCGaqTVxxTDgV0k/edit"",""3!e39""))"),0.0)</f>
        <v>0</v>
      </c>
      <c r="I69" s="40">
        <f t="shared" si="165"/>
        <v>2148</v>
      </c>
      <c r="J69" s="40">
        <f>IFERROR(__xludf.DUMMYFUNCTION("(IMPORTRANGE(""https://docs.google.com/spreadsheets/d/1rJyYfywRpWJW0zvDJHLOJtqUQqffoCGaqTVxxTDgV0k/edit"",""3!e42""))"),2430.0)</f>
        <v>2430</v>
      </c>
      <c r="K69" s="40">
        <f>IFERROR(__xludf.DUMMYFUNCTION("(IMPORTRANGE(""https://docs.google.com/spreadsheets/d/1rJyYfywRpWJW0zvDJHLOJtqUQqffoCGaqTVxxTDgV0k/edit"",""3!e43""))"),93.0)</f>
        <v>93</v>
      </c>
      <c r="L69" s="40">
        <f t="shared" si="195"/>
        <v>2523</v>
      </c>
      <c r="M69" s="40">
        <f t="shared" si="167"/>
        <v>4671</v>
      </c>
      <c r="N69" s="41">
        <f t="shared" si="168"/>
        <v>191.0164138</v>
      </c>
      <c r="O69" s="38">
        <v>5887.0</v>
      </c>
      <c r="P69" s="42">
        <f t="shared" si="169"/>
        <v>0.7934431799</v>
      </c>
      <c r="Q69" s="43">
        <v>1.5</v>
      </c>
      <c r="R69" s="42">
        <f t="shared" si="170"/>
        <v>0.5621470334</v>
      </c>
      <c r="S69" s="44">
        <f t="shared" si="171"/>
        <v>0.8432205501</v>
      </c>
      <c r="T69" s="43">
        <f>F69/24.792</f>
        <v>223.4380445</v>
      </c>
      <c r="U69" s="43">
        <f t="shared" si="172"/>
        <v>7.704760156</v>
      </c>
      <c r="V69" s="40">
        <f t="shared" si="173"/>
        <v>161.0689655</v>
      </c>
      <c r="X69" s="31">
        <v>4.0</v>
      </c>
      <c r="Y69" s="31" t="s">
        <v>38</v>
      </c>
      <c r="Z69" s="31">
        <f t="shared" ref="Z69:AI69" si="196">SUM(D72)</f>
        <v>30</v>
      </c>
      <c r="AA69" s="32">
        <f t="shared" si="196"/>
        <v>29</v>
      </c>
      <c r="AB69" s="33">
        <f t="shared" si="196"/>
        <v>6263.16</v>
      </c>
      <c r="AC69" s="32">
        <f t="shared" si="196"/>
        <v>1706</v>
      </c>
      <c r="AD69" s="32">
        <f t="shared" si="196"/>
        <v>177</v>
      </c>
      <c r="AE69" s="32">
        <f t="shared" si="196"/>
        <v>1883</v>
      </c>
      <c r="AF69" s="32">
        <f t="shared" si="196"/>
        <v>2583</v>
      </c>
      <c r="AG69" s="32">
        <f t="shared" si="196"/>
        <v>0</v>
      </c>
      <c r="AH69" s="32">
        <f t="shared" si="196"/>
        <v>2583</v>
      </c>
      <c r="AI69" s="32">
        <f t="shared" si="196"/>
        <v>4466</v>
      </c>
      <c r="AJ69" s="34">
        <f t="shared" si="185"/>
        <v>215.9710345</v>
      </c>
      <c r="AK69" s="31">
        <v>7324.0</v>
      </c>
      <c r="AL69" s="35">
        <f t="shared" si="187"/>
        <v>0.6097760786</v>
      </c>
      <c r="AM69" s="36">
        <f>SUM(Q72)</f>
        <v>1.5</v>
      </c>
      <c r="AN69" s="35">
        <f t="shared" si="189"/>
        <v>0.4753723892</v>
      </c>
      <c r="AO69" s="37">
        <f t="shared" si="190"/>
        <v>0.7130585838</v>
      </c>
      <c r="AP69" s="36">
        <f t="shared" ref="AP69:AQ69" si="197">SUM(T72)</f>
        <v>152</v>
      </c>
      <c r="AQ69" s="36">
        <f t="shared" si="197"/>
        <v>5.24137931</v>
      </c>
      <c r="AR69" s="32">
        <f t="shared" si="192"/>
        <v>154</v>
      </c>
    </row>
    <row r="70" ht="15.75" customHeight="1">
      <c r="A70" s="21"/>
      <c r="B70" s="38">
        <v>12.0</v>
      </c>
      <c r="C70" s="38" t="s">
        <v>39</v>
      </c>
      <c r="D70" s="39">
        <v>28.0</v>
      </c>
      <c r="E70" s="40">
        <f>IFERROR(__xludf.DUMMYFUNCTION("COUNT(IMPORTRANGE(""https://docs.google.com/spreadsheets/d/1uaTn2DZCfr7O1PvovOd0wElzVz8kpl_iPfnrkNPp0Is/edit"",""3!d2:d29""))"),27.0)</f>
        <v>27</v>
      </c>
      <c r="F70" s="45">
        <f>IFERROR(__xludf.DUMMYFUNCTION("SUM(IMPORTRANGE(""https://docs.google.com/spreadsheets/d/1uaTn2DZCfr7O1PvovOd0wElzVz8kpl_iPfnrkNPp0Is/edit"",""3!Q2:Q29""))"),5404.311000000003)</f>
        <v>5404.311</v>
      </c>
      <c r="G70" s="40">
        <f>IFERROR(__xludf.DUMMYFUNCTION("IMPORTRANGE(""https://docs.google.com/spreadsheets/d/1uaTn2DZCfr7O1PvovOd0wElzVz8kpl_iPfnrkNPp0Is/edit"",""3!e36"")"),1046.0)</f>
        <v>1046</v>
      </c>
      <c r="H70" s="40">
        <f>IFERROR(__xludf.DUMMYFUNCTION("(IMPORTRANGE(""https://docs.google.com/spreadsheets/d/1uaTn2DZCfr7O1PvovOd0wElzVz8kpl_iPfnrkNPp0Is/edit"",""3!e37""))"),112.0)</f>
        <v>112</v>
      </c>
      <c r="I70" s="40">
        <f t="shared" si="165"/>
        <v>1158</v>
      </c>
      <c r="J70" s="40">
        <f>IFERROR(__xludf.DUMMYFUNCTION("IMPORTRANGE(""https://docs.google.com/spreadsheets/d/1uaTn2DZCfr7O1PvovOd0wElzVz8kpl_iPfnrkNPp0Is/edit"",""3!e40"")"),1963.0)</f>
        <v>1963</v>
      </c>
      <c r="K70" s="40">
        <f>IFERROR(__xludf.DUMMYFUNCTION("IMPORTRANGE(""https://docs.google.com/spreadsheets/d/1uaTn2DZCfr7O1PvovOd0wElzVz8kpl_iPfnrkNPp0Is/edit"",""3!e41"")"),163.0)</f>
        <v>163</v>
      </c>
      <c r="L70" s="40">
        <f t="shared" si="195"/>
        <v>2126</v>
      </c>
      <c r="M70" s="40">
        <f t="shared" si="167"/>
        <v>3284</v>
      </c>
      <c r="N70" s="41">
        <f t="shared" si="168"/>
        <v>200.1596667</v>
      </c>
      <c r="O70" s="38">
        <v>3569.0</v>
      </c>
      <c r="P70" s="42">
        <f t="shared" si="169"/>
        <v>0.9201456991</v>
      </c>
      <c r="Q70" s="43">
        <v>1.5</v>
      </c>
      <c r="R70" s="42">
        <f t="shared" si="170"/>
        <v>0.405108687</v>
      </c>
      <c r="S70" s="44">
        <f t="shared" si="171"/>
        <v>0.6076630305</v>
      </c>
      <c r="T70" s="43">
        <f>F70/21.463</f>
        <v>251.7966268</v>
      </c>
      <c r="U70" s="43">
        <f t="shared" si="172"/>
        <v>9.325800991</v>
      </c>
      <c r="V70" s="40">
        <f t="shared" si="173"/>
        <v>121.6296296</v>
      </c>
      <c r="X70" s="31">
        <v>5.0</v>
      </c>
      <c r="Y70" s="31" t="s">
        <v>40</v>
      </c>
      <c r="Z70" s="31">
        <f t="shared" ref="Z70:AI70" si="198">SUM(D74)</f>
        <v>30</v>
      </c>
      <c r="AA70" s="32">
        <f t="shared" si="198"/>
        <v>29</v>
      </c>
      <c r="AB70" s="33">
        <f t="shared" si="198"/>
        <v>5546.385</v>
      </c>
      <c r="AC70" s="32">
        <f t="shared" si="198"/>
        <v>3255</v>
      </c>
      <c r="AD70" s="32">
        <f t="shared" si="198"/>
        <v>0</v>
      </c>
      <c r="AE70" s="32">
        <f t="shared" si="198"/>
        <v>3255</v>
      </c>
      <c r="AF70" s="32">
        <f t="shared" si="198"/>
        <v>3774</v>
      </c>
      <c r="AG70" s="32">
        <f t="shared" si="198"/>
        <v>60</v>
      </c>
      <c r="AH70" s="32">
        <f t="shared" si="198"/>
        <v>3834</v>
      </c>
      <c r="AI70" s="32">
        <f t="shared" si="198"/>
        <v>7089</v>
      </c>
      <c r="AJ70" s="34">
        <f t="shared" si="185"/>
        <v>191.2546552</v>
      </c>
      <c r="AK70" s="31">
        <f t="shared" ref="AK70:AK71" si="201">SUM(O74)</f>
        <v>8239</v>
      </c>
      <c r="AL70" s="35">
        <f t="shared" si="187"/>
        <v>0.8604199539</v>
      </c>
      <c r="AM70" s="36">
        <f t="shared" ref="AM70:AM71" si="202">SUM(Q74)</f>
        <v>1.5</v>
      </c>
      <c r="AN70" s="35">
        <f t="shared" si="189"/>
        <v>0.8520865393</v>
      </c>
      <c r="AO70" s="37">
        <f t="shared" si="190"/>
        <v>1.278129809</v>
      </c>
      <c r="AP70" s="36">
        <f t="shared" ref="AP70:AQ70" si="199">SUM(T74)</f>
        <v>195</v>
      </c>
      <c r="AQ70" s="36">
        <f t="shared" si="199"/>
        <v>6.724137931</v>
      </c>
      <c r="AR70" s="32">
        <f t="shared" si="192"/>
        <v>244.4482759</v>
      </c>
    </row>
    <row r="71" ht="15.75" customHeight="1">
      <c r="A71" s="21"/>
      <c r="B71" s="38">
        <v>12.0</v>
      </c>
      <c r="C71" s="38" t="s">
        <v>41</v>
      </c>
      <c r="D71" s="39">
        <v>24.0</v>
      </c>
      <c r="E71" s="40">
        <f>IFERROR(__xludf.DUMMYFUNCTION("COUNT(IMPORTRANGE(""https://docs.google.com/spreadsheets/d/1oYscvfOJW7GMkxt8QcupWuzb3ohaYePd3Mt2V2ufHok/edit"",""3!d2:d25""))"),23.0)</f>
        <v>23</v>
      </c>
      <c r="F71" s="45">
        <f>IFERROR(__xludf.DUMMYFUNCTION("SUM(IMPORTRANGE(""https://docs.google.com/spreadsheets/d/1oYscvfOJW7GMkxt8QcupWuzb3ohaYePd3Mt2V2ufHok/edit"",""3!Q2:Q25""))"),4348.732000000001)</f>
        <v>4348.732</v>
      </c>
      <c r="G71" s="40">
        <f>IFERROR(__xludf.DUMMYFUNCTION("IMPORTRANGE(""https://docs.google.com/spreadsheets/d/1oYscvfOJW7GMkxt8QcupWuzb3ohaYePd3Mt2V2ufHok/edit"",""3!e32"")"),965.0)</f>
        <v>965</v>
      </c>
      <c r="H71" s="40">
        <f>IFERROR(__xludf.DUMMYFUNCTION("IMPORTRANGE(""https://docs.google.com/spreadsheets/d/1oYscvfOJW7GMkxt8QcupWuzb3ohaYePd3Mt2V2ufHok/edit"",""3!e33"")"),213.0)</f>
        <v>213</v>
      </c>
      <c r="I71" s="40">
        <f t="shared" si="165"/>
        <v>1178</v>
      </c>
      <c r="J71" s="40">
        <f>IFERROR(__xludf.DUMMYFUNCTION("IMPORTRANGE(""https://docs.google.com/spreadsheets/d/1oYscvfOJW7GMkxt8QcupWuzb3ohaYePd3Mt2V2ufHok/edit"",""3!e36"")"),1560.0)</f>
        <v>1560</v>
      </c>
      <c r="K71" s="40">
        <f>IFERROR(__xludf.DUMMYFUNCTION("IMPORTRANGE(""https://docs.google.com/spreadsheets/d/1oYscvfOJW7GMkxt8QcupWuzb3ohaYePd3Mt2V2ufHok/edit"",""3!e37"")"),134.0)</f>
        <v>134</v>
      </c>
      <c r="L71" s="40">
        <f t="shared" si="195"/>
        <v>1694</v>
      </c>
      <c r="M71" s="40">
        <f t="shared" si="167"/>
        <v>2872</v>
      </c>
      <c r="N71" s="41">
        <f t="shared" si="168"/>
        <v>189.0753043</v>
      </c>
      <c r="O71" s="38">
        <v>3801.0</v>
      </c>
      <c r="P71" s="42">
        <f t="shared" si="169"/>
        <v>0.755590634</v>
      </c>
      <c r="Q71" s="43">
        <v>1.5</v>
      </c>
      <c r="R71" s="42">
        <f t="shared" si="170"/>
        <v>0.4402815963</v>
      </c>
      <c r="S71" s="44">
        <f t="shared" si="171"/>
        <v>0.6604223944</v>
      </c>
      <c r="T71" s="43">
        <f>F71/29.628</f>
        <v>146.7777778</v>
      </c>
      <c r="U71" s="43">
        <f t="shared" si="172"/>
        <v>6.381642512</v>
      </c>
      <c r="V71" s="40">
        <f t="shared" si="173"/>
        <v>124.8695652</v>
      </c>
      <c r="X71" s="22">
        <v>6.0</v>
      </c>
      <c r="Y71" s="22" t="s">
        <v>42</v>
      </c>
      <c r="Z71" s="22">
        <f t="shared" ref="Z71:AI71" si="200">SUM(D75)</f>
        <v>33</v>
      </c>
      <c r="AA71" s="23">
        <f t="shared" si="200"/>
        <v>33</v>
      </c>
      <c r="AB71" s="24">
        <f t="shared" si="200"/>
        <v>6257.2</v>
      </c>
      <c r="AC71" s="23">
        <f t="shared" si="200"/>
        <v>2770</v>
      </c>
      <c r="AD71" s="23">
        <f t="shared" si="200"/>
        <v>40</v>
      </c>
      <c r="AE71" s="23">
        <f t="shared" si="200"/>
        <v>2810</v>
      </c>
      <c r="AF71" s="23">
        <f t="shared" si="200"/>
        <v>3893</v>
      </c>
      <c r="AG71" s="23">
        <f t="shared" si="200"/>
        <v>311</v>
      </c>
      <c r="AH71" s="23">
        <f t="shared" si="200"/>
        <v>4204</v>
      </c>
      <c r="AI71" s="23">
        <f t="shared" si="200"/>
        <v>7014</v>
      </c>
      <c r="AJ71" s="25">
        <f t="shared" si="185"/>
        <v>189.6121212</v>
      </c>
      <c r="AK71" s="22">
        <f t="shared" si="201"/>
        <v>9877</v>
      </c>
      <c r="AL71" s="26">
        <f t="shared" si="187"/>
        <v>0.7101346563</v>
      </c>
      <c r="AM71" s="27">
        <f t="shared" si="202"/>
        <v>1.5</v>
      </c>
      <c r="AN71" s="26">
        <f t="shared" si="189"/>
        <v>0.7472991114</v>
      </c>
      <c r="AO71" s="28">
        <f t="shared" si="190"/>
        <v>1.120948667</v>
      </c>
      <c r="AP71" s="27">
        <f t="shared" ref="AP71:AQ71" si="203">SUM(T75)</f>
        <v>239.2353279</v>
      </c>
      <c r="AQ71" s="27">
        <f t="shared" si="203"/>
        <v>7.249555389</v>
      </c>
      <c r="AR71" s="23">
        <f t="shared" si="192"/>
        <v>212.5454545</v>
      </c>
    </row>
    <row r="72" ht="15.75" customHeight="1">
      <c r="A72" s="21"/>
      <c r="B72" s="38">
        <v>13.0</v>
      </c>
      <c r="C72" s="38" t="s">
        <v>43</v>
      </c>
      <c r="D72" s="39">
        <v>30.0</v>
      </c>
      <c r="E72" s="40">
        <f>IFERROR(__xludf.DUMMYFUNCTION("COUNT(IMPORTRANGE(""https://docs.google.com/spreadsheets/d/1AxBmuQEdOYAeRnZ4C8vO6kuTNp7X_SGhpLXuY0n4ln4/edit"",""3!d2:d31""))"),29.0)</f>
        <v>29</v>
      </c>
      <c r="F72" s="45">
        <f>IFERROR(__xludf.DUMMYFUNCTION("SUM(IMPORTRANGE(""https://docs.google.com/spreadsheets/d/1AxBmuQEdOYAeRnZ4C8vO6kuTNp7X_SGhpLXuY0n4ln4/edit"",""3!Q2:Q31""))"),6263.16)</f>
        <v>6263.16</v>
      </c>
      <c r="G72" s="40">
        <f>IFERROR(__xludf.DUMMYFUNCTION("IMPORTRANGE(""https://docs.google.com/spreadsheets/d/1AxBmuQEdOYAeRnZ4C8vO6kuTNp7X_SGhpLXuY0n4ln4/edit"",""3!e38"")"),1706.0)</f>
        <v>1706</v>
      </c>
      <c r="H72" s="40">
        <f>IFERROR(__xludf.DUMMYFUNCTION("IMPORTRANGE(""https://docs.google.com/spreadsheets/d/1AxBmuQEdOYAeRnZ4C8vO6kuTNp7X_SGhpLXuY0n4ln4/edit"",""3!e39"")"),177.0)</f>
        <v>177</v>
      </c>
      <c r="I72" s="40">
        <f t="shared" si="165"/>
        <v>1883</v>
      </c>
      <c r="J72" s="40">
        <f>IFERROR(__xludf.DUMMYFUNCTION("IMPORTRANGE(""https://docs.google.com/spreadsheets/d/1AxBmuQEdOYAeRnZ4C8vO6kuTNp7X_SGhpLXuY0n4ln4/edit"",""3!e42"")"),2583.0)</f>
        <v>2583</v>
      </c>
      <c r="K72" s="40">
        <f>IFERROR(__xludf.DUMMYFUNCTION("IMPORTRANGE(""https://docs.google.com/spreadsheets/d/1AxBmuQEdOYAeRnZ4C8vO6kuTNp7X_SGhpLXuY0n4ln4/edit"",""3!e43"")"),0.0)</f>
        <v>0</v>
      </c>
      <c r="L72" s="40">
        <f t="shared" si="195"/>
        <v>2583</v>
      </c>
      <c r="M72" s="40">
        <f t="shared" si="167"/>
        <v>4466</v>
      </c>
      <c r="N72" s="41">
        <f t="shared" si="168"/>
        <v>215.9710345</v>
      </c>
      <c r="O72" s="38">
        <v>8345.0</v>
      </c>
      <c r="P72" s="42">
        <f t="shared" si="169"/>
        <v>0.5351707609</v>
      </c>
      <c r="Q72" s="43">
        <v>1.5</v>
      </c>
      <c r="R72" s="42">
        <f t="shared" si="170"/>
        <v>0.4753723892</v>
      </c>
      <c r="S72" s="44">
        <f t="shared" si="171"/>
        <v>0.7130585838</v>
      </c>
      <c r="T72" s="43">
        <f>F72/41.205</f>
        <v>152</v>
      </c>
      <c r="U72" s="43">
        <f t="shared" si="172"/>
        <v>5.24137931</v>
      </c>
      <c r="V72" s="40">
        <f t="shared" si="173"/>
        <v>154</v>
      </c>
      <c r="X72" s="46" t="s">
        <v>33</v>
      </c>
      <c r="Y72" s="46">
        <v>6.0</v>
      </c>
      <c r="Z72" s="46">
        <f t="shared" ref="Z72:AI72" si="204">SUM(Z66:Z71)</f>
        <v>226</v>
      </c>
      <c r="AA72" s="47">
        <f t="shared" si="204"/>
        <v>217</v>
      </c>
      <c r="AB72" s="49">
        <f t="shared" si="204"/>
        <v>42216.273</v>
      </c>
      <c r="AC72" s="47">
        <f t="shared" si="204"/>
        <v>14838</v>
      </c>
      <c r="AD72" s="47">
        <f t="shared" si="204"/>
        <v>273</v>
      </c>
      <c r="AE72" s="47">
        <f t="shared" si="204"/>
        <v>15111</v>
      </c>
      <c r="AF72" s="47">
        <f t="shared" si="204"/>
        <v>20294</v>
      </c>
      <c r="AG72" s="47">
        <f t="shared" si="204"/>
        <v>784</v>
      </c>
      <c r="AH72" s="47">
        <f t="shared" si="204"/>
        <v>21078</v>
      </c>
      <c r="AI72" s="47">
        <f t="shared" si="204"/>
        <v>36189</v>
      </c>
      <c r="AJ72" s="49">
        <f t="shared" si="185"/>
        <v>194.5450369</v>
      </c>
      <c r="AK72" s="46">
        <f>SUM(AK66:AK71)</f>
        <v>53273</v>
      </c>
      <c r="AL72" s="50">
        <f t="shared" si="187"/>
        <v>0.679312222</v>
      </c>
      <c r="AM72" s="51">
        <v>1.5</v>
      </c>
      <c r="AN72" s="50">
        <f t="shared" si="189"/>
        <v>0.571485787</v>
      </c>
      <c r="AO72" s="52">
        <f t="shared" si="190"/>
        <v>0.8572286805</v>
      </c>
      <c r="AP72" s="51">
        <f>SUM(AP66:AP71)</f>
        <v>1384.6166</v>
      </c>
      <c r="AQ72" s="51">
        <f>AP72/AA72</f>
        <v>6.380721661</v>
      </c>
      <c r="AR72" s="47">
        <f t="shared" si="192"/>
        <v>166.7695853</v>
      </c>
    </row>
    <row r="73" ht="15.75" customHeight="1">
      <c r="A73" s="21"/>
      <c r="B73" s="38">
        <v>14.0</v>
      </c>
      <c r="C73" s="38" t="s">
        <v>27</v>
      </c>
      <c r="D73" s="39">
        <v>30.0</v>
      </c>
      <c r="E73" s="40">
        <f>IFERROR(__xludf.DUMMYFUNCTION("COUNT(IMPORTRANGE(""https://docs.google.com/spreadsheets/d/1LsL4JuXvBtfJ-TVi4NFml9lV_pmd61b789A_nbO-QrA/edit"",""3!d2:d31""))"),30.0)</f>
        <v>30</v>
      </c>
      <c r="F73" s="45">
        <f>IFERROR(__xludf.DUMMYFUNCTION("SUM(IMPORTRANGE(""https://docs.google.com/spreadsheets/d/1LsL4JuXvBtfJ-TVi4NFml9lV_pmd61b789A_nbO-QrA/edit"",""3!Q2:Q31""))"),5305.880000000001)</f>
        <v>5305.88</v>
      </c>
      <c r="G73" s="40">
        <f>IFERROR(__xludf.DUMMYFUNCTION("IMPORTRANGE(""https://docs.google.com/spreadsheets/d/1LsL4JuXvBtfJ-TVi4NFml9lV_pmd61b789A_nbO-QrA/edit"",""3!e38"")"),1460.0)</f>
        <v>1460</v>
      </c>
      <c r="H73" s="40">
        <f>IFERROR(__xludf.DUMMYFUNCTION("IMPORTRANGE(""https://docs.google.com/spreadsheets/d/1LsL4JuXvBtfJ-TVi4NFml9lV_pmd61b789A_nbO-QrA/edit"",""3!e39"")"),30.0)</f>
        <v>30</v>
      </c>
      <c r="I73" s="40">
        <f t="shared" si="165"/>
        <v>1490</v>
      </c>
      <c r="J73" s="40">
        <f>IFERROR(__xludf.DUMMYFUNCTION("IMPORTRANGE(""https://docs.google.com/spreadsheets/d/1LsL4JuXvBtfJ-TVi4NFml9lV_pmd61b789A_nbO-QrA/edit"",""3!e42"")"),2365.0)</f>
        <v>2365</v>
      </c>
      <c r="K73" s="40">
        <f>IFERROR(__xludf.DUMMYFUNCTION("IMPORTRANGE(""https://docs.google.com/spreadsheets/d/1LsL4JuXvBtfJ-TVi4NFml9lV_pmd61b789A_nbO-QrA/edit"",""3!e43"")"),64.0)</f>
        <v>64</v>
      </c>
      <c r="L73" s="40">
        <f t="shared" si="195"/>
        <v>2429</v>
      </c>
      <c r="M73" s="40">
        <f t="shared" si="167"/>
        <v>3919</v>
      </c>
      <c r="N73" s="41">
        <f t="shared" si="168"/>
        <v>176.8626667</v>
      </c>
      <c r="O73" s="38">
        <v>8101.0</v>
      </c>
      <c r="P73" s="42">
        <f t="shared" si="169"/>
        <v>0.4837674361</v>
      </c>
      <c r="Q73" s="43">
        <v>1.5</v>
      </c>
      <c r="R73" s="42">
        <f t="shared" si="170"/>
        <v>0.4924096788</v>
      </c>
      <c r="S73" s="44">
        <f t="shared" si="171"/>
        <v>0.7386145182</v>
      </c>
      <c r="T73" s="43">
        <f>F73/19.985</f>
        <v>265.4931198</v>
      </c>
      <c r="U73" s="43">
        <f t="shared" si="172"/>
        <v>8.849770661</v>
      </c>
      <c r="V73" s="40">
        <f t="shared" si="173"/>
        <v>130.6333333</v>
      </c>
      <c r="X73" s="59" t="s">
        <v>44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6"/>
    </row>
    <row r="74" ht="15.75" customHeight="1">
      <c r="A74" s="21"/>
      <c r="B74" s="38">
        <v>15.0</v>
      </c>
      <c r="C74" s="38" t="s">
        <v>40</v>
      </c>
      <c r="D74" s="39">
        <v>30.0</v>
      </c>
      <c r="E74" s="40">
        <f>IFERROR(__xludf.DUMMYFUNCTION("COUNT(IMPORTRANGE(""https://docs.google.com/spreadsheets/d/1Krav0MVlY0vbUNsFRDnb_kR72_tyuGnWBYbGjNZrl18/edit"",""3!d2:d31""))"),29.0)</f>
        <v>29</v>
      </c>
      <c r="F74" s="45">
        <f>IFERROR(__xludf.DUMMYFUNCTION("SUM(IMPORTRANGE(""https://docs.google.com/spreadsheets/d/1Krav0MVlY0vbUNsFRDnb_kR72_tyuGnWBYbGjNZrl18/edit"",""3!Q2:Q31""))"),5546.384999999999)</f>
        <v>5546.385</v>
      </c>
      <c r="G74" s="40">
        <f>IFERROR(__xludf.DUMMYFUNCTION("IMPORTRANGE(""https://docs.google.com/spreadsheets/d/1Krav0MVlY0vbUNsFRDnb_kR72_tyuGnWBYbGjNZrl18/edit"",""3!e38"")"),3255.0)</f>
        <v>3255</v>
      </c>
      <c r="H74" s="40">
        <f>IFERROR(__xludf.DUMMYFUNCTION("IMPORTRANGE(""https://docs.google.com/spreadsheets/d/1Krav0MVlY0vbUNsFRDnb_kR72_tyuGnWBYbGjNZrl18/edit"",""3!e39"")"),0.0)</f>
        <v>0</v>
      </c>
      <c r="I74" s="40">
        <f t="shared" si="165"/>
        <v>3255</v>
      </c>
      <c r="J74" s="40">
        <f>IFERROR(__xludf.DUMMYFUNCTION("IMPORTRANGE(""https://docs.google.com/spreadsheets/d/1Krav0MVlY0vbUNsFRDnb_kR72_tyuGnWBYbGjNZrl18/edit"",""3!e42"")"),3774.0)</f>
        <v>3774</v>
      </c>
      <c r="K74" s="40">
        <f>IFERROR(__xludf.DUMMYFUNCTION("IMPORTRANGE(""https://docs.google.com/spreadsheets/d/1Krav0MVlY0vbUNsFRDnb_kR72_tyuGnWBYbGjNZrl18/edit"",""3!e43"")"),60.0)</f>
        <v>60</v>
      </c>
      <c r="L74" s="40">
        <f t="shared" si="195"/>
        <v>3834</v>
      </c>
      <c r="M74" s="40">
        <f t="shared" si="167"/>
        <v>7089</v>
      </c>
      <c r="N74" s="41">
        <f t="shared" si="168"/>
        <v>191.2546552</v>
      </c>
      <c r="O74" s="38">
        <v>8239.0</v>
      </c>
      <c r="P74" s="42">
        <f t="shared" si="169"/>
        <v>0.8604199539</v>
      </c>
      <c r="Q74" s="43">
        <v>1.5</v>
      </c>
      <c r="R74" s="42">
        <f t="shared" si="170"/>
        <v>0.8520865393</v>
      </c>
      <c r="S74" s="44">
        <f t="shared" si="171"/>
        <v>1.278129809</v>
      </c>
      <c r="T74" s="43">
        <f>F74/28.443</f>
        <v>195</v>
      </c>
      <c r="U74" s="43">
        <f t="shared" si="172"/>
        <v>6.724137931</v>
      </c>
      <c r="V74" s="40">
        <f t="shared" si="173"/>
        <v>244.4482759</v>
      </c>
      <c r="X74" s="14" t="s">
        <v>2</v>
      </c>
      <c r="Y74" s="14" t="s">
        <v>3</v>
      </c>
      <c r="Z74" s="14" t="s">
        <v>4</v>
      </c>
      <c r="AA74" s="14" t="s">
        <v>5</v>
      </c>
      <c r="AB74" s="15" t="s">
        <v>6</v>
      </c>
      <c r="AC74" s="14" t="s">
        <v>7</v>
      </c>
      <c r="AD74" s="14" t="s">
        <v>8</v>
      </c>
      <c r="AE74" s="14" t="s">
        <v>9</v>
      </c>
      <c r="AF74" s="14" t="s">
        <v>10</v>
      </c>
      <c r="AG74" s="14" t="s">
        <v>11</v>
      </c>
      <c r="AH74" s="14" t="s">
        <v>12</v>
      </c>
      <c r="AI74" s="14" t="s">
        <v>13</v>
      </c>
      <c r="AJ74" s="15" t="s">
        <v>14</v>
      </c>
      <c r="AK74" s="14" t="s">
        <v>15</v>
      </c>
      <c r="AL74" s="14" t="s">
        <v>16</v>
      </c>
      <c r="AM74" s="16" t="s">
        <v>17</v>
      </c>
      <c r="AN74" s="17" t="s">
        <v>18</v>
      </c>
      <c r="AO74" s="18" t="s">
        <v>19</v>
      </c>
      <c r="AP74" s="19" t="s">
        <v>20</v>
      </c>
      <c r="AQ74" s="19" t="s">
        <v>21</v>
      </c>
      <c r="AR74" s="20" t="s">
        <v>22</v>
      </c>
    </row>
    <row r="75" ht="15.75" customHeight="1">
      <c r="A75" s="21"/>
      <c r="B75" s="38">
        <v>16.0</v>
      </c>
      <c r="C75" s="38" t="s">
        <v>42</v>
      </c>
      <c r="D75" s="39">
        <v>33.0</v>
      </c>
      <c r="E75" s="40">
        <f>IFERROR(__xludf.DUMMYFUNCTION("COUNT(IMPORTRANGE(""https://docs.google.com/spreadsheets/d/1uXtm-E8PG0CetlFmSpTX3RK0LNEMnpR-mxbET9AGD6w/edit"",""3!d2:d34""))"),33.0)</f>
        <v>33</v>
      </c>
      <c r="F75" s="45">
        <f>IFERROR(__xludf.DUMMYFUNCTION("SUM(IMPORTRANGE(""https://docs.google.com/spreadsheets/d/1uXtm-E8PG0CetlFmSpTX3RK0LNEMnpR-mxbET9AGD6w/edit"",""3!Q2:Q34""))"),6257.199999999997)</f>
        <v>6257.2</v>
      </c>
      <c r="G75" s="40">
        <f>IFERROR(__xludf.DUMMYFUNCTION("IMPORTRANGE(""https://docs.google.com/spreadsheets/d/1uXtm-E8PG0CetlFmSpTX3RK0LNEMnpR-mxbET9AGD6w/edit"",""3!e41"")"),2770.0)</f>
        <v>2770</v>
      </c>
      <c r="H75" s="40">
        <f>IFERROR(__xludf.DUMMYFUNCTION("IMPORTRANGE(""https://docs.google.com/spreadsheets/d/1uXtm-E8PG0CetlFmSpTX3RK0LNEMnpR-mxbET9AGD6w/edit"",""3!e42"")"),40.0)</f>
        <v>40</v>
      </c>
      <c r="I75" s="40">
        <f t="shared" si="165"/>
        <v>2810</v>
      </c>
      <c r="J75" s="40">
        <f>IFERROR(__xludf.DUMMYFUNCTION("IMPORTRANGE(""https://docs.google.com/spreadsheets/d/1uXtm-E8PG0CetlFmSpTX3RK0LNEMnpR-mxbET9AGD6w/edit"",""3!e45"")"),3893.0)</f>
        <v>3893</v>
      </c>
      <c r="K75" s="40">
        <f>IFERROR(__xludf.DUMMYFUNCTION("IMPORTRANGE(""https://docs.google.com/spreadsheets/d/1uXtm-E8PG0CetlFmSpTX3RK0LNEMnpR-mxbET9AGD6w/edit"",""3!e46"")"),311.0)</f>
        <v>311</v>
      </c>
      <c r="L75" s="40">
        <f t="shared" si="195"/>
        <v>4204</v>
      </c>
      <c r="M75" s="40">
        <f t="shared" si="167"/>
        <v>7014</v>
      </c>
      <c r="N75" s="41">
        <f t="shared" si="168"/>
        <v>189.6121212</v>
      </c>
      <c r="O75" s="38">
        <v>9877.0</v>
      </c>
      <c r="P75" s="42">
        <f t="shared" si="169"/>
        <v>0.7101346563</v>
      </c>
      <c r="Q75" s="43">
        <v>1.5</v>
      </c>
      <c r="R75" s="42">
        <f t="shared" si="170"/>
        <v>0.7472991114</v>
      </c>
      <c r="S75" s="44">
        <f t="shared" si="171"/>
        <v>1.120948667</v>
      </c>
      <c r="T75" s="43">
        <f>F75/26.155</f>
        <v>239.2353279</v>
      </c>
      <c r="U75" s="43">
        <f t="shared" si="172"/>
        <v>7.249555389</v>
      </c>
      <c r="V75" s="40">
        <f t="shared" si="173"/>
        <v>212.5454545</v>
      </c>
      <c r="X75" s="31">
        <v>1.0</v>
      </c>
      <c r="Y75" s="31" t="s">
        <v>26</v>
      </c>
      <c r="Z75" s="31">
        <f t="shared" ref="Z75:AI75" si="205">SUM(D60)</f>
        <v>20</v>
      </c>
      <c r="AA75" s="32">
        <f t="shared" si="205"/>
        <v>19</v>
      </c>
      <c r="AB75" s="34">
        <f t="shared" si="205"/>
        <v>3676.284</v>
      </c>
      <c r="AC75" s="32">
        <f t="shared" si="205"/>
        <v>1884</v>
      </c>
      <c r="AD75" s="32">
        <f t="shared" si="205"/>
        <v>101</v>
      </c>
      <c r="AE75" s="32">
        <f t="shared" si="205"/>
        <v>1985</v>
      </c>
      <c r="AF75" s="32">
        <f t="shared" si="205"/>
        <v>2559</v>
      </c>
      <c r="AG75" s="32">
        <f t="shared" si="205"/>
        <v>0</v>
      </c>
      <c r="AH75" s="32">
        <f t="shared" si="205"/>
        <v>2559</v>
      </c>
      <c r="AI75" s="32">
        <f t="shared" si="205"/>
        <v>4544</v>
      </c>
      <c r="AJ75" s="34">
        <f t="shared" ref="AJ75:AJ81" si="208">AB75/AA75</f>
        <v>193.4886316</v>
      </c>
      <c r="AK75" s="31">
        <f>SUM(O60)</f>
        <v>5161</v>
      </c>
      <c r="AL75" s="35">
        <f t="shared" ref="AL75:AL81" si="209">AI75/AK75</f>
        <v>0.8804495253</v>
      </c>
      <c r="AM75" s="36">
        <f>SUM(Q60)</f>
        <v>1.5</v>
      </c>
      <c r="AN75" s="35">
        <f t="shared" ref="AN75:AN81" si="210">AO75/AM75</f>
        <v>0.8240204874</v>
      </c>
      <c r="AO75" s="37">
        <f t="shared" ref="AO75:AO81" si="211">AI75/AB75</f>
        <v>1.236030731</v>
      </c>
      <c r="AP75" s="36">
        <f t="shared" ref="AP75:AQ75" si="206">SUM(T60)</f>
        <v>255.0318418</v>
      </c>
      <c r="AQ75" s="36">
        <f t="shared" si="206"/>
        <v>13.42272852</v>
      </c>
      <c r="AR75" s="32">
        <f t="shared" ref="AR75:AR81" si="213">AI75/AA75</f>
        <v>239.1578947</v>
      </c>
    </row>
    <row r="76" ht="15.75" customHeight="1">
      <c r="A76" s="21"/>
      <c r="B76" s="38">
        <v>17.0</v>
      </c>
      <c r="C76" s="38" t="s">
        <v>29</v>
      </c>
      <c r="D76" s="39">
        <v>30.0</v>
      </c>
      <c r="E76" s="40">
        <f>IFERROR(__xludf.DUMMYFUNCTION("COUNT(IMPORTRANGE(""https://docs.google.com/spreadsheets/d/12xcKI0lSnAsjEsxfm9K8Qx0B_89Gzsh816mowItkQao/edit"",""3!d2:d31""))"),30.0)</f>
        <v>30</v>
      </c>
      <c r="F76" s="45">
        <f>IFERROR(__xludf.DUMMYFUNCTION("SUM(IMPORTRANGE(""https://docs.google.com/spreadsheets/d/12xcKI0lSnAsjEsxfm9K8Qx0B_89Gzsh816mowItkQao/edit"",""3!Q2:Q31""))"),5962.702000000002)</f>
        <v>5962.702</v>
      </c>
      <c r="G76" s="40">
        <f>IFERROR(__xludf.DUMMYFUNCTION("IMPORTRANGE(""https://docs.google.com/spreadsheets/d/12xcKI0lSnAsjEsxfm9K8Qx0B_89Gzsh816mowItkQao/edit"",""3!e38"")"),2453.0)</f>
        <v>2453</v>
      </c>
      <c r="H76" s="40">
        <f>IFERROR(__xludf.DUMMYFUNCTION("IMPORTRANGE(""https://docs.google.com/spreadsheets/d/12xcKI0lSnAsjEsxfm9K8Qx0B_89Gzsh816mowItkQao/edit"",""3!e39"")"),0.0)</f>
        <v>0</v>
      </c>
      <c r="I76" s="40">
        <f t="shared" si="165"/>
        <v>2453</v>
      </c>
      <c r="J76" s="40">
        <f>IFERROR(__xludf.DUMMYFUNCTION("IMPORTRANGE(""https://docs.google.com/spreadsheets/d/12xcKI0lSnAsjEsxfm9K8Qx0B_89Gzsh816mowItkQao/edit"",""3!e42"")"),3533.0)</f>
        <v>3533</v>
      </c>
      <c r="K76" s="40">
        <f>IFERROR(__xludf.DUMMYFUNCTION("IMPORTRANGE(""https://docs.google.com/spreadsheets/d/12xcKI0lSnAsjEsxfm9K8Qx0B_89Gzsh816mowItkQao/edit"",""3!e43"")"),0.0)</f>
        <v>0</v>
      </c>
      <c r="L76" s="40">
        <f t="shared" si="195"/>
        <v>3533</v>
      </c>
      <c r="M76" s="40">
        <f t="shared" si="167"/>
        <v>5986</v>
      </c>
      <c r="N76" s="41">
        <f t="shared" si="168"/>
        <v>198.7567333</v>
      </c>
      <c r="O76" s="38">
        <v>9201.0</v>
      </c>
      <c r="P76" s="42">
        <f t="shared" si="169"/>
        <v>0.6505814585</v>
      </c>
      <c r="Q76" s="43">
        <v>1.5</v>
      </c>
      <c r="R76" s="42">
        <f t="shared" si="170"/>
        <v>0.669271526</v>
      </c>
      <c r="S76" s="44">
        <f t="shared" si="171"/>
        <v>1.003907289</v>
      </c>
      <c r="T76" s="43">
        <f>F76/26.038</f>
        <v>229</v>
      </c>
      <c r="U76" s="43">
        <f t="shared" si="172"/>
        <v>7.633333333</v>
      </c>
      <c r="V76" s="40">
        <f t="shared" si="173"/>
        <v>199.5333333</v>
      </c>
      <c r="X76" s="31">
        <v>2.0</v>
      </c>
      <c r="Y76" s="31" t="s">
        <v>32</v>
      </c>
      <c r="Z76" s="31">
        <f t="shared" ref="Z76:AI76" si="207">SUM(D63)</f>
        <v>42</v>
      </c>
      <c r="AA76" s="32">
        <f t="shared" si="207"/>
        <v>40</v>
      </c>
      <c r="AB76" s="33">
        <f t="shared" si="207"/>
        <v>7891.565</v>
      </c>
      <c r="AC76" s="31">
        <f t="shared" si="207"/>
        <v>4240</v>
      </c>
      <c r="AD76" s="31">
        <f t="shared" si="207"/>
        <v>0</v>
      </c>
      <c r="AE76" s="32">
        <f t="shared" si="207"/>
        <v>4240</v>
      </c>
      <c r="AF76" s="31">
        <f t="shared" si="207"/>
        <v>4792</v>
      </c>
      <c r="AG76" s="31">
        <f t="shared" si="207"/>
        <v>0</v>
      </c>
      <c r="AH76" s="32">
        <f t="shared" si="207"/>
        <v>4792</v>
      </c>
      <c r="AI76" s="32">
        <f t="shared" si="207"/>
        <v>9032</v>
      </c>
      <c r="AJ76" s="34">
        <f t="shared" si="208"/>
        <v>197.289125</v>
      </c>
      <c r="AK76" s="31">
        <f>SUM(O63)</f>
        <v>13817</v>
      </c>
      <c r="AL76" s="35">
        <f t="shared" si="209"/>
        <v>0.6536874864</v>
      </c>
      <c r="AM76" s="36">
        <f>SUM(Q63)</f>
        <v>1.5</v>
      </c>
      <c r="AN76" s="35">
        <f t="shared" si="210"/>
        <v>0.7630087737</v>
      </c>
      <c r="AO76" s="37">
        <f t="shared" si="211"/>
        <v>1.144513161</v>
      </c>
      <c r="AP76" s="36">
        <f t="shared" ref="AP76:AQ76" si="212">SUM(T63)</f>
        <v>314.5428275</v>
      </c>
      <c r="AQ76" s="36">
        <f t="shared" si="212"/>
        <v>7.863570688</v>
      </c>
      <c r="AR76" s="32">
        <f t="shared" si="213"/>
        <v>225.8</v>
      </c>
    </row>
    <row r="77" ht="15.75" customHeight="1">
      <c r="A77" s="21"/>
      <c r="B77" s="38">
        <v>18.0</v>
      </c>
      <c r="C77" s="38" t="s">
        <v>31</v>
      </c>
      <c r="D77" s="39">
        <v>15.0</v>
      </c>
      <c r="E77" s="40">
        <f>IFERROR(__xludf.DUMMYFUNCTION("COUNT(IMPORTRANGE(""https://docs.google.com/spreadsheets/d/1fgCFOFzOla4Qim6_-zG-lbYhLCItqv_kZiAHoErRgcM/edit"",""3!d2:d16""))"),15.0)</f>
        <v>15</v>
      </c>
      <c r="F77" s="41">
        <f>IFERROR(__xludf.DUMMYFUNCTION("SUM(IMPORTRANGE(""https://docs.google.com/spreadsheets/d/1fgCFOFzOla4Qim6_-zG-lbYhLCItqv_kZiAHoErRgcM/edit"",""3!Q2:Q16""))"),3042.5499999999993)</f>
        <v>3042.55</v>
      </c>
      <c r="G77" s="40">
        <f>IFERROR(__xludf.DUMMYFUNCTION("IMPORTRANGE(""https://docs.google.com/spreadsheets/d/1fgCFOFzOla4Qim6_-zG-lbYhLCItqv_kZiAHoErRgcM/edit"",""3!e23"")"),847.0)</f>
        <v>847</v>
      </c>
      <c r="H77" s="40">
        <f>IFERROR(__xludf.DUMMYFUNCTION("IMPORTRANGE(""https://docs.google.com/spreadsheets/d/1fgCFOFzOla4Qim6_-zG-lbYhLCItqv_kZiAHoErRgcM/edit"",""3!e24"")"),12.0)</f>
        <v>12</v>
      </c>
      <c r="I77" s="40">
        <f t="shared" si="165"/>
        <v>859</v>
      </c>
      <c r="J77" s="40">
        <f>IFERROR(__xludf.DUMMYFUNCTION("IMPORTRANGE(""https://docs.google.com/spreadsheets/d/1fgCFOFzOla4Qim6_-zG-lbYhLCItqv_kZiAHoErRgcM/edit"",""3!e27"")"),1078.0)</f>
        <v>1078</v>
      </c>
      <c r="K77" s="40">
        <f>IFERROR(__xludf.DUMMYFUNCTION("IMPORTRANGE(""https://docs.google.com/spreadsheets/d/1fgCFOFzOla4Qim6_-zG-lbYhLCItqv_kZiAHoErRgcM/edit"",""3!e28"")"),110.0)</f>
        <v>110</v>
      </c>
      <c r="L77" s="40">
        <f t="shared" si="195"/>
        <v>1188</v>
      </c>
      <c r="M77" s="40">
        <f t="shared" si="167"/>
        <v>2047</v>
      </c>
      <c r="N77" s="41">
        <f t="shared" si="168"/>
        <v>202.8366667</v>
      </c>
      <c r="O77" s="38">
        <v>2717.0</v>
      </c>
      <c r="P77" s="42">
        <f t="shared" si="169"/>
        <v>0.7534044902</v>
      </c>
      <c r="Q77" s="43">
        <v>1.5</v>
      </c>
      <c r="R77" s="42">
        <f t="shared" si="170"/>
        <v>0.448527277</v>
      </c>
      <c r="S77" s="44">
        <f t="shared" si="171"/>
        <v>0.6727909155</v>
      </c>
      <c r="T77" s="43">
        <f>F77/43.465</f>
        <v>70</v>
      </c>
      <c r="U77" s="43">
        <f t="shared" si="172"/>
        <v>4.666666667</v>
      </c>
      <c r="V77" s="40">
        <f t="shared" si="173"/>
        <v>136.4666667</v>
      </c>
      <c r="X77" s="31">
        <v>3.0</v>
      </c>
      <c r="Y77" s="31" t="s">
        <v>36</v>
      </c>
      <c r="Z77" s="31">
        <f t="shared" ref="Z77:AI77" si="214">SUM(D68)</f>
        <v>24</v>
      </c>
      <c r="AA77" s="32">
        <f t="shared" si="214"/>
        <v>24</v>
      </c>
      <c r="AB77" s="33">
        <f t="shared" si="214"/>
        <v>4745.194</v>
      </c>
      <c r="AC77" s="32">
        <f t="shared" si="214"/>
        <v>1189</v>
      </c>
      <c r="AD77" s="32">
        <f t="shared" si="214"/>
        <v>0</v>
      </c>
      <c r="AE77" s="32">
        <f t="shared" si="214"/>
        <v>1189</v>
      </c>
      <c r="AF77" s="32">
        <f t="shared" si="214"/>
        <v>1969</v>
      </c>
      <c r="AG77" s="32">
        <f t="shared" si="214"/>
        <v>0</v>
      </c>
      <c r="AH77" s="32">
        <f t="shared" si="214"/>
        <v>1969</v>
      </c>
      <c r="AI77" s="32">
        <f t="shared" si="214"/>
        <v>3158</v>
      </c>
      <c r="AJ77" s="34">
        <f t="shared" si="208"/>
        <v>197.7164167</v>
      </c>
      <c r="AK77" s="31">
        <f t="shared" ref="AK77:AK80" si="218">SUM(O68)</f>
        <v>4796</v>
      </c>
      <c r="AL77" s="35">
        <f t="shared" si="209"/>
        <v>0.6584653878</v>
      </c>
      <c r="AM77" s="36">
        <f t="shared" ref="AM77:AM80" si="219">SUM(Q68)</f>
        <v>1.5</v>
      </c>
      <c r="AN77" s="35">
        <f t="shared" si="210"/>
        <v>0.4436769779</v>
      </c>
      <c r="AO77" s="37">
        <f t="shared" si="211"/>
        <v>0.6655154668</v>
      </c>
      <c r="AP77" s="36">
        <f t="shared" ref="AP77:AQ77" si="215">SUM(T68)</f>
        <v>126.8293687</v>
      </c>
      <c r="AQ77" s="36">
        <f t="shared" si="215"/>
        <v>5.284557029</v>
      </c>
      <c r="AR77" s="32">
        <f t="shared" si="213"/>
        <v>131.5833333</v>
      </c>
    </row>
    <row r="78" ht="15.75" customHeight="1">
      <c r="A78" s="21"/>
      <c r="B78" s="60" t="s">
        <v>33</v>
      </c>
      <c r="C78" s="60">
        <v>18.0</v>
      </c>
      <c r="D78" s="60">
        <f t="shared" ref="D78:M78" si="216">SUM(D60:D77)</f>
        <v>580</v>
      </c>
      <c r="E78" s="61">
        <f t="shared" si="216"/>
        <v>564</v>
      </c>
      <c r="F78" s="62">
        <f t="shared" si="216"/>
        <v>109870.211</v>
      </c>
      <c r="G78" s="61">
        <f t="shared" si="216"/>
        <v>36142</v>
      </c>
      <c r="H78" s="61">
        <f t="shared" si="216"/>
        <v>1021</v>
      </c>
      <c r="I78" s="61">
        <f t="shared" si="216"/>
        <v>37163</v>
      </c>
      <c r="J78" s="61">
        <f t="shared" si="216"/>
        <v>49587</v>
      </c>
      <c r="K78" s="61">
        <f t="shared" si="216"/>
        <v>1476</v>
      </c>
      <c r="L78" s="61">
        <f t="shared" si="216"/>
        <v>51063</v>
      </c>
      <c r="M78" s="61">
        <f t="shared" si="216"/>
        <v>88226</v>
      </c>
      <c r="N78" s="62">
        <f t="shared" si="168"/>
        <v>194.8053387</v>
      </c>
      <c r="O78" s="60">
        <f>SUM(O60:O77)</f>
        <v>126399</v>
      </c>
      <c r="P78" s="63">
        <f t="shared" si="169"/>
        <v>0.6979960284</v>
      </c>
      <c r="Q78" s="64">
        <v>1.5</v>
      </c>
      <c r="R78" s="63">
        <f t="shared" si="170"/>
        <v>0.5353346717</v>
      </c>
      <c r="S78" s="65">
        <f t="shared" si="171"/>
        <v>0.8030020075</v>
      </c>
      <c r="T78" s="64">
        <f>SUM(T60:T77)</f>
        <v>4053.441116</v>
      </c>
      <c r="U78" s="64">
        <f t="shared" si="172"/>
        <v>7.186952333</v>
      </c>
      <c r="V78" s="61">
        <f t="shared" si="173"/>
        <v>156.429078</v>
      </c>
      <c r="X78" s="31">
        <v>4.0</v>
      </c>
      <c r="Y78" s="31" t="s">
        <v>37</v>
      </c>
      <c r="Z78" s="31">
        <f t="shared" ref="Z78:AI78" si="217">SUM(D69)</f>
        <v>30</v>
      </c>
      <c r="AA78" s="32">
        <f t="shared" si="217"/>
        <v>29</v>
      </c>
      <c r="AB78" s="33">
        <f t="shared" si="217"/>
        <v>5539.476</v>
      </c>
      <c r="AC78" s="32">
        <f t="shared" si="217"/>
        <v>2148</v>
      </c>
      <c r="AD78" s="32">
        <f t="shared" si="217"/>
        <v>0</v>
      </c>
      <c r="AE78" s="32">
        <f t="shared" si="217"/>
        <v>2148</v>
      </c>
      <c r="AF78" s="32">
        <f t="shared" si="217"/>
        <v>2430</v>
      </c>
      <c r="AG78" s="32">
        <f t="shared" si="217"/>
        <v>93</v>
      </c>
      <c r="AH78" s="32">
        <f t="shared" si="217"/>
        <v>2523</v>
      </c>
      <c r="AI78" s="32">
        <f t="shared" si="217"/>
        <v>4671</v>
      </c>
      <c r="AJ78" s="34">
        <f t="shared" si="208"/>
        <v>191.0164138</v>
      </c>
      <c r="AK78" s="31">
        <f t="shared" si="218"/>
        <v>5887</v>
      </c>
      <c r="AL78" s="35">
        <f t="shared" si="209"/>
        <v>0.7934431799</v>
      </c>
      <c r="AM78" s="36">
        <f t="shared" si="219"/>
        <v>1.5</v>
      </c>
      <c r="AN78" s="35">
        <f t="shared" si="210"/>
        <v>0.5621470334</v>
      </c>
      <c r="AO78" s="37">
        <f t="shared" si="211"/>
        <v>0.8432205501</v>
      </c>
      <c r="AP78" s="36">
        <f t="shared" ref="AP78:AQ78" si="220">SUM(T69)</f>
        <v>223.4380445</v>
      </c>
      <c r="AQ78" s="36">
        <f t="shared" si="220"/>
        <v>7.704760156</v>
      </c>
      <c r="AR78" s="32">
        <f t="shared" si="213"/>
        <v>161.0689655</v>
      </c>
    </row>
    <row r="79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X79" s="31">
        <v>5.0</v>
      </c>
      <c r="Y79" s="31" t="s">
        <v>39</v>
      </c>
      <c r="Z79" s="31">
        <f t="shared" ref="Z79:AI79" si="221">SUM(D70)</f>
        <v>28</v>
      </c>
      <c r="AA79" s="32">
        <f t="shared" si="221"/>
        <v>27</v>
      </c>
      <c r="AB79" s="33">
        <f t="shared" si="221"/>
        <v>5404.311</v>
      </c>
      <c r="AC79" s="32">
        <f t="shared" si="221"/>
        <v>1046</v>
      </c>
      <c r="AD79" s="32">
        <f t="shared" si="221"/>
        <v>112</v>
      </c>
      <c r="AE79" s="32">
        <f t="shared" si="221"/>
        <v>1158</v>
      </c>
      <c r="AF79" s="32">
        <f t="shared" si="221"/>
        <v>1963</v>
      </c>
      <c r="AG79" s="32">
        <f t="shared" si="221"/>
        <v>163</v>
      </c>
      <c r="AH79" s="32">
        <f t="shared" si="221"/>
        <v>2126</v>
      </c>
      <c r="AI79" s="32">
        <f t="shared" si="221"/>
        <v>3284</v>
      </c>
      <c r="AJ79" s="34">
        <f t="shared" si="208"/>
        <v>200.1596667</v>
      </c>
      <c r="AK79" s="31">
        <f t="shared" si="218"/>
        <v>3569</v>
      </c>
      <c r="AL79" s="35">
        <f t="shared" si="209"/>
        <v>0.9201456991</v>
      </c>
      <c r="AM79" s="36">
        <f t="shared" si="219"/>
        <v>1.5</v>
      </c>
      <c r="AN79" s="35">
        <f t="shared" si="210"/>
        <v>0.405108687</v>
      </c>
      <c r="AO79" s="37">
        <f t="shared" si="211"/>
        <v>0.6076630305</v>
      </c>
      <c r="AP79" s="36">
        <f t="shared" ref="AP79:AQ79" si="222">SUM(T70)</f>
        <v>251.7966268</v>
      </c>
      <c r="AQ79" s="36">
        <f t="shared" si="222"/>
        <v>9.325800991</v>
      </c>
      <c r="AR79" s="32">
        <f t="shared" si="213"/>
        <v>121.6296296</v>
      </c>
    </row>
    <row r="80" ht="15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X80" s="31">
        <v>6.0</v>
      </c>
      <c r="Y80" s="31" t="s">
        <v>41</v>
      </c>
      <c r="Z80" s="31">
        <f t="shared" ref="Z80:AI80" si="223">SUM(D71)</f>
        <v>24</v>
      </c>
      <c r="AA80" s="32">
        <f t="shared" si="223"/>
        <v>23</v>
      </c>
      <c r="AB80" s="33">
        <f t="shared" si="223"/>
        <v>4348.732</v>
      </c>
      <c r="AC80" s="32">
        <f t="shared" si="223"/>
        <v>965</v>
      </c>
      <c r="AD80" s="32">
        <f t="shared" si="223"/>
        <v>213</v>
      </c>
      <c r="AE80" s="32">
        <f t="shared" si="223"/>
        <v>1178</v>
      </c>
      <c r="AF80" s="32">
        <f t="shared" si="223"/>
        <v>1560</v>
      </c>
      <c r="AG80" s="32">
        <f t="shared" si="223"/>
        <v>134</v>
      </c>
      <c r="AH80" s="32">
        <f t="shared" si="223"/>
        <v>1694</v>
      </c>
      <c r="AI80" s="32">
        <f t="shared" si="223"/>
        <v>2872</v>
      </c>
      <c r="AJ80" s="34">
        <f t="shared" si="208"/>
        <v>189.0753043</v>
      </c>
      <c r="AK80" s="31">
        <f t="shared" si="218"/>
        <v>3801</v>
      </c>
      <c r="AL80" s="35">
        <f t="shared" si="209"/>
        <v>0.755590634</v>
      </c>
      <c r="AM80" s="36">
        <f t="shared" si="219"/>
        <v>1.5</v>
      </c>
      <c r="AN80" s="35">
        <f t="shared" si="210"/>
        <v>0.4402815963</v>
      </c>
      <c r="AO80" s="37">
        <f t="shared" si="211"/>
        <v>0.6604223944</v>
      </c>
      <c r="AP80" s="36">
        <f t="shared" ref="AP80:AQ80" si="224">SUM(T71)</f>
        <v>146.7777778</v>
      </c>
      <c r="AQ80" s="36">
        <f t="shared" si="224"/>
        <v>6.381642512</v>
      </c>
      <c r="AR80" s="32">
        <f t="shared" si="213"/>
        <v>124.8695652</v>
      </c>
    </row>
    <row r="81" ht="15.75" customHeight="1">
      <c r="A81" s="1" t="s">
        <v>45</v>
      </c>
      <c r="D81" s="2"/>
      <c r="X81" s="46" t="s">
        <v>33</v>
      </c>
      <c r="Y81" s="46">
        <v>6.0</v>
      </c>
      <c r="Z81" s="46">
        <f t="shared" ref="Z81:AI81" si="225">SUM(Z75:Z80)</f>
        <v>168</v>
      </c>
      <c r="AA81" s="47">
        <f t="shared" si="225"/>
        <v>162</v>
      </c>
      <c r="AB81" s="49">
        <f t="shared" si="225"/>
        <v>31605.562</v>
      </c>
      <c r="AC81" s="47">
        <f t="shared" si="225"/>
        <v>11472</v>
      </c>
      <c r="AD81" s="47">
        <f t="shared" si="225"/>
        <v>426</v>
      </c>
      <c r="AE81" s="47">
        <f t="shared" si="225"/>
        <v>11898</v>
      </c>
      <c r="AF81" s="47">
        <f t="shared" si="225"/>
        <v>15273</v>
      </c>
      <c r="AG81" s="47">
        <f t="shared" si="225"/>
        <v>390</v>
      </c>
      <c r="AH81" s="47">
        <f t="shared" si="225"/>
        <v>15663</v>
      </c>
      <c r="AI81" s="47">
        <f t="shared" si="225"/>
        <v>27561</v>
      </c>
      <c r="AJ81" s="49">
        <f t="shared" si="208"/>
        <v>195.0960617</v>
      </c>
      <c r="AK81" s="46">
        <f>SUM(AK75:AK80)</f>
        <v>37031</v>
      </c>
      <c r="AL81" s="50">
        <f t="shared" si="209"/>
        <v>0.7442683157</v>
      </c>
      <c r="AM81" s="51">
        <v>1.5</v>
      </c>
      <c r="AN81" s="50">
        <f t="shared" si="210"/>
        <v>0.5813533707</v>
      </c>
      <c r="AO81" s="52">
        <f t="shared" si="211"/>
        <v>0.872030056</v>
      </c>
      <c r="AP81" s="51">
        <f>SUM(AP75:AP80)</f>
        <v>1318.416487</v>
      </c>
      <c r="AQ81" s="51">
        <f>AP81/AA81</f>
        <v>8.138373377</v>
      </c>
      <c r="AR81" s="47">
        <f t="shared" si="213"/>
        <v>170.1296296</v>
      </c>
    </row>
    <row r="82" ht="15.75" customHeight="1">
      <c r="A82" s="1" t="s">
        <v>45</v>
      </c>
      <c r="D82" s="2"/>
      <c r="X82" s="66" t="s">
        <v>1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6"/>
    </row>
    <row r="83" ht="15.75" customHeight="1">
      <c r="A83" s="10">
        <v>46207.0</v>
      </c>
      <c r="B83" s="8" t="s">
        <v>2</v>
      </c>
      <c r="C83" s="8" t="s">
        <v>3</v>
      </c>
      <c r="D83" s="8" t="s">
        <v>4</v>
      </c>
      <c r="E83" s="8" t="s">
        <v>5</v>
      </c>
      <c r="F83" s="9" t="s">
        <v>6</v>
      </c>
      <c r="G83" s="8" t="s">
        <v>7</v>
      </c>
      <c r="H83" s="8" t="s">
        <v>8</v>
      </c>
      <c r="I83" s="8" t="s">
        <v>9</v>
      </c>
      <c r="J83" s="8" t="s">
        <v>10</v>
      </c>
      <c r="K83" s="8" t="s">
        <v>11</v>
      </c>
      <c r="L83" s="8" t="s">
        <v>12</v>
      </c>
      <c r="M83" s="8" t="s">
        <v>13</v>
      </c>
      <c r="N83" s="9" t="s">
        <v>14</v>
      </c>
      <c r="O83" s="8" t="s">
        <v>15</v>
      </c>
      <c r="P83" s="8" t="s">
        <v>16</v>
      </c>
      <c r="Q83" s="8" t="s">
        <v>17</v>
      </c>
      <c r="R83" s="8" t="s">
        <v>18</v>
      </c>
      <c r="S83" s="11" t="s">
        <v>19</v>
      </c>
      <c r="T83" s="12" t="s">
        <v>20</v>
      </c>
      <c r="U83" s="12" t="s">
        <v>21</v>
      </c>
      <c r="V83" s="13" t="s">
        <v>22</v>
      </c>
      <c r="X83" s="14" t="s">
        <v>2</v>
      </c>
      <c r="Y83" s="14" t="s">
        <v>3</v>
      </c>
      <c r="Z83" s="14" t="s">
        <v>4</v>
      </c>
      <c r="AA83" s="14" t="s">
        <v>5</v>
      </c>
      <c r="AB83" s="15" t="s">
        <v>6</v>
      </c>
      <c r="AC83" s="14" t="s">
        <v>7</v>
      </c>
      <c r="AD83" s="14" t="s">
        <v>8</v>
      </c>
      <c r="AE83" s="14" t="s">
        <v>9</v>
      </c>
      <c r="AF83" s="14" t="s">
        <v>10</v>
      </c>
      <c r="AG83" s="14" t="s">
        <v>11</v>
      </c>
      <c r="AH83" s="14" t="s">
        <v>12</v>
      </c>
      <c r="AI83" s="14" t="s">
        <v>13</v>
      </c>
      <c r="AJ83" s="15" t="s">
        <v>14</v>
      </c>
      <c r="AK83" s="14" t="s">
        <v>15</v>
      </c>
      <c r="AL83" s="14" t="s">
        <v>16</v>
      </c>
      <c r="AM83" s="16" t="s">
        <v>17</v>
      </c>
      <c r="AN83" s="17" t="s">
        <v>18</v>
      </c>
      <c r="AO83" s="18" t="s">
        <v>19</v>
      </c>
      <c r="AP83" s="19" t="s">
        <v>20</v>
      </c>
      <c r="AQ83" s="19" t="s">
        <v>21</v>
      </c>
      <c r="AR83" s="20" t="s">
        <v>22</v>
      </c>
    </row>
    <row r="84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X84" s="22">
        <v>1.0</v>
      </c>
      <c r="Y84" s="22" t="s">
        <v>23</v>
      </c>
      <c r="Z84" s="22">
        <f t="shared" ref="Z84:AI84" si="226">SUM(D92)</f>
        <v>28</v>
      </c>
      <c r="AA84" s="23">
        <f t="shared" si="226"/>
        <v>28</v>
      </c>
      <c r="AB84" s="24">
        <f t="shared" si="226"/>
        <v>5503.208</v>
      </c>
      <c r="AC84" s="23">
        <f t="shared" si="226"/>
        <v>1231</v>
      </c>
      <c r="AD84" s="23">
        <f t="shared" si="226"/>
        <v>0</v>
      </c>
      <c r="AE84" s="23">
        <f t="shared" si="226"/>
        <v>1231</v>
      </c>
      <c r="AF84" s="23">
        <f t="shared" si="226"/>
        <v>2257</v>
      </c>
      <c r="AG84" s="23">
        <f t="shared" si="226"/>
        <v>0</v>
      </c>
      <c r="AH84" s="23">
        <f t="shared" si="226"/>
        <v>2257</v>
      </c>
      <c r="AI84" s="23">
        <f t="shared" si="226"/>
        <v>3488</v>
      </c>
      <c r="AJ84" s="25">
        <f t="shared" ref="AJ84:AJ86" si="229">AB84/AA84</f>
        <v>196.5431429</v>
      </c>
      <c r="AK84" s="22">
        <f>SUM(O92)</f>
        <v>6853</v>
      </c>
      <c r="AL84" s="26">
        <f t="shared" ref="AL84:AL90" si="230">AI84/AK84</f>
        <v>0.5089741719</v>
      </c>
      <c r="AM84" s="27">
        <f t="shared" ref="AM84:AM86" si="231">SUM(Q92)</f>
        <v>1.5</v>
      </c>
      <c r="AN84" s="26">
        <f t="shared" ref="AN84:AN90" si="232">AO84/AM84</f>
        <v>0.4225414219</v>
      </c>
      <c r="AO84" s="28">
        <f t="shared" ref="AO84:AO90" si="233">AI84/AB84</f>
        <v>0.6338121329</v>
      </c>
      <c r="AP84" s="27">
        <f t="shared" ref="AP84:AQ84" si="227">SUM(T92)</f>
        <v>163.1063426</v>
      </c>
      <c r="AQ84" s="27">
        <f t="shared" si="227"/>
        <v>5.825226522</v>
      </c>
      <c r="AR84" s="23">
        <f t="shared" ref="AR84:AR90" si="235">AI84/AA84</f>
        <v>124.5714286</v>
      </c>
    </row>
    <row r="85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X85" s="22">
        <v>2.0</v>
      </c>
      <c r="Y85" s="22" t="s">
        <v>24</v>
      </c>
      <c r="Z85" s="22">
        <f t="shared" ref="Z85:AI85" si="228">SUM(D93)</f>
        <v>37</v>
      </c>
      <c r="AA85" s="23">
        <f t="shared" si="228"/>
        <v>37</v>
      </c>
      <c r="AB85" s="24">
        <f t="shared" si="228"/>
        <v>7106.993</v>
      </c>
      <c r="AC85" s="23">
        <f t="shared" si="228"/>
        <v>743</v>
      </c>
      <c r="AD85" s="23">
        <f t="shared" si="228"/>
        <v>0</v>
      </c>
      <c r="AE85" s="23">
        <f t="shared" si="228"/>
        <v>743</v>
      </c>
      <c r="AF85" s="23">
        <f t="shared" si="228"/>
        <v>1007</v>
      </c>
      <c r="AG85" s="23">
        <f t="shared" si="228"/>
        <v>15</v>
      </c>
      <c r="AH85" s="23">
        <f t="shared" si="228"/>
        <v>1022</v>
      </c>
      <c r="AI85" s="23">
        <f t="shared" si="228"/>
        <v>1765</v>
      </c>
      <c r="AJ85" s="25">
        <f t="shared" si="229"/>
        <v>192.0808919</v>
      </c>
      <c r="AK85" s="22">
        <v>1580.0</v>
      </c>
      <c r="AL85" s="29">
        <f t="shared" si="230"/>
        <v>1.117088608</v>
      </c>
      <c r="AM85" s="27">
        <f t="shared" si="231"/>
        <v>1.5</v>
      </c>
      <c r="AN85" s="26">
        <f t="shared" si="232"/>
        <v>0.16556463</v>
      </c>
      <c r="AO85" s="28">
        <f t="shared" si="233"/>
        <v>0.248346945</v>
      </c>
      <c r="AP85" s="27">
        <f t="shared" ref="AP85:AQ85" si="234">SUM(T93)</f>
        <v>265.1368401</v>
      </c>
      <c r="AQ85" s="27">
        <f t="shared" si="234"/>
        <v>7.165860544</v>
      </c>
      <c r="AR85" s="23">
        <f t="shared" si="235"/>
        <v>47.7027027</v>
      </c>
    </row>
    <row r="86" ht="15.75" customHeight="1">
      <c r="A86" s="21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X86" s="31">
        <v>3.0</v>
      </c>
      <c r="Y86" s="31" t="s">
        <v>25</v>
      </c>
      <c r="Z86" s="31">
        <f t="shared" ref="Z86:AI86" si="236">SUM(D94)</f>
        <v>27</v>
      </c>
      <c r="AA86" s="32">
        <f t="shared" si="236"/>
        <v>26</v>
      </c>
      <c r="AB86" s="33">
        <f t="shared" si="236"/>
        <v>4640.872</v>
      </c>
      <c r="AC86" s="32">
        <f t="shared" si="236"/>
        <v>1785</v>
      </c>
      <c r="AD86" s="32">
        <f t="shared" si="236"/>
        <v>276</v>
      </c>
      <c r="AE86" s="32">
        <f t="shared" si="236"/>
        <v>2061</v>
      </c>
      <c r="AF86" s="32">
        <f t="shared" si="236"/>
        <v>1976</v>
      </c>
      <c r="AG86" s="32">
        <f t="shared" si="236"/>
        <v>264</v>
      </c>
      <c r="AH86" s="32">
        <f t="shared" si="236"/>
        <v>2240</v>
      </c>
      <c r="AI86" s="32">
        <f t="shared" si="236"/>
        <v>4301</v>
      </c>
      <c r="AJ86" s="34">
        <f t="shared" si="229"/>
        <v>178.4950769</v>
      </c>
      <c r="AK86" s="31">
        <f>SUM(O94)</f>
        <v>6622</v>
      </c>
      <c r="AL86" s="35">
        <f t="shared" si="230"/>
        <v>0.6495016611</v>
      </c>
      <c r="AM86" s="36">
        <f t="shared" si="231"/>
        <v>1.5</v>
      </c>
      <c r="AN86" s="35">
        <f t="shared" si="232"/>
        <v>0.6178436581</v>
      </c>
      <c r="AO86" s="37">
        <f t="shared" si="233"/>
        <v>0.9267654872</v>
      </c>
      <c r="AP86" s="36">
        <f t="shared" ref="AP86:AQ86" si="237">SUM(T94)</f>
        <v>194.6674497</v>
      </c>
      <c r="AQ86" s="36">
        <f t="shared" si="237"/>
        <v>7.487209602</v>
      </c>
      <c r="AR86" s="32">
        <f t="shared" si="235"/>
        <v>165.4230769</v>
      </c>
    </row>
    <row r="87" ht="15.75" customHeight="1">
      <c r="A87" s="21"/>
      <c r="B87" s="38">
        <v>1.0</v>
      </c>
      <c r="C87" s="38" t="s">
        <v>26</v>
      </c>
      <c r="D87" s="39">
        <v>16.0</v>
      </c>
      <c r="E87" s="40">
        <f>IFERROR(__xludf.DUMMYFUNCTION("COUNT(IMPORTRANGE(""https://docs.google.com/spreadsheets/d/1z0o91thOT38lgejTE_Bd2p3v_9VCDdQRkUsMIVqpQCk/edit"",""4!d2:d21""))"),16.0)</f>
        <v>16</v>
      </c>
      <c r="F87" s="41">
        <f>IFERROR(__xludf.DUMMYFUNCTION("SUM(IMPORTRANGE(""https://docs.google.com/spreadsheets/d/1z0o91thOT38lgejTE_Bd2p3v_9VCDdQRkUsMIVqpQCk/edit"",""4!Q2:Q21""))"),3063.7230000000004)</f>
        <v>3063.723</v>
      </c>
      <c r="G87" s="40">
        <f>IFERROR(__xludf.DUMMYFUNCTION("IMPORTRANGE(""https://docs.google.com/spreadsheets/d/1z0o91thOT38lgejTE_Bd2p3v_9VCDdQRkUsMIVqpQCk/edit"",""4!e28"")"),1422.0)</f>
        <v>1422</v>
      </c>
      <c r="H87" s="40">
        <f>IFERROR(__xludf.DUMMYFUNCTION("IMPORTRANGE(""https://docs.google.com/spreadsheets/d/1z0o91thOT38lgejTE_Bd2p3v_9VCDdQRkUsMIVqpQCk/edit"",""4!e29"")"),107.0)</f>
        <v>107</v>
      </c>
      <c r="I87" s="40">
        <f t="shared" ref="I87:I104" si="240">SUM(G87:H87)</f>
        <v>1529</v>
      </c>
      <c r="J87" s="40">
        <f>IFERROR(__xludf.DUMMYFUNCTION("IMPORTRANGE(""https://docs.google.com/spreadsheets/d/1z0o91thOT38lgejTE_Bd2p3v_9VCDdQRkUsMIVqpQCk/edit"",""4!e32"")"),1158.0)</f>
        <v>1158</v>
      </c>
      <c r="K87" s="40">
        <f>IFERROR(__xludf.DUMMYFUNCTION("IMPORTRANGE(""https://docs.google.com/spreadsheets/d/1z0o91thOT38lgejTE_Bd2p3v_9VCDdQRkUsMIVqpQCk/edit"",""4!e33"")"),38.0)</f>
        <v>38</v>
      </c>
      <c r="L87" s="40">
        <f t="shared" ref="L87:L93" si="241">SUM(J87:K87)</f>
        <v>1196</v>
      </c>
      <c r="M87" s="40">
        <f t="shared" ref="M87:M104" si="242">SUM(I87+L87)</f>
        <v>2725</v>
      </c>
      <c r="N87" s="41">
        <f t="shared" ref="N87:N105" si="243">F87/E87</f>
        <v>191.4826875</v>
      </c>
      <c r="O87" s="38">
        <v>5161.0</v>
      </c>
      <c r="P87" s="42">
        <f t="shared" ref="P87:P105" si="244">M87/O87</f>
        <v>0.5279984499</v>
      </c>
      <c r="Q87" s="43">
        <v>1.5</v>
      </c>
      <c r="R87" s="42">
        <f t="shared" ref="R87:R105" si="245">S87/Q87</f>
        <v>0.592960482</v>
      </c>
      <c r="S87" s="44">
        <f t="shared" ref="S87:S105" si="246">M87/F87</f>
        <v>0.8894407229</v>
      </c>
      <c r="T87" s="43">
        <f>F87/14.415</f>
        <v>212.5371488</v>
      </c>
      <c r="U87" s="43">
        <f t="shared" ref="U87:U105" si="247">T87/E87</f>
        <v>13.2835718</v>
      </c>
      <c r="V87" s="40">
        <f t="shared" ref="V87:V105" si="248">M87/E87</f>
        <v>170.3125</v>
      </c>
      <c r="X87" s="22">
        <v>4.0</v>
      </c>
      <c r="Y87" s="22" t="s">
        <v>27</v>
      </c>
      <c r="Z87" s="22">
        <f t="shared" ref="Z87:AK87" si="238">SUM(D100)</f>
        <v>24</v>
      </c>
      <c r="AA87" s="23">
        <f t="shared" si="238"/>
        <v>24</v>
      </c>
      <c r="AB87" s="24">
        <f t="shared" si="238"/>
        <v>4132.788</v>
      </c>
      <c r="AC87" s="23">
        <f t="shared" si="238"/>
        <v>1503</v>
      </c>
      <c r="AD87" s="23">
        <f t="shared" si="238"/>
        <v>85</v>
      </c>
      <c r="AE87" s="23">
        <f t="shared" si="238"/>
        <v>1588</v>
      </c>
      <c r="AF87" s="23">
        <f t="shared" si="238"/>
        <v>1742</v>
      </c>
      <c r="AG87" s="23">
        <f t="shared" si="238"/>
        <v>79</v>
      </c>
      <c r="AH87" s="23">
        <f t="shared" si="238"/>
        <v>1821</v>
      </c>
      <c r="AI87" s="23">
        <f t="shared" si="238"/>
        <v>3409</v>
      </c>
      <c r="AJ87" s="25">
        <f t="shared" si="238"/>
        <v>172.1995</v>
      </c>
      <c r="AK87" s="22">
        <f t="shared" si="238"/>
        <v>8101</v>
      </c>
      <c r="AL87" s="26">
        <f t="shared" si="230"/>
        <v>0.4208122454</v>
      </c>
      <c r="AM87" s="27">
        <f>SUM(Q100)</f>
        <v>1.5</v>
      </c>
      <c r="AN87" s="26">
        <f t="shared" si="232"/>
        <v>0.5499112625</v>
      </c>
      <c r="AO87" s="28">
        <f t="shared" si="233"/>
        <v>0.8248668937</v>
      </c>
      <c r="AP87" s="27">
        <f t="shared" ref="AP87:AQ87" si="239">SUM(T100)</f>
        <v>206.7944959</v>
      </c>
      <c r="AQ87" s="27">
        <f t="shared" si="239"/>
        <v>8.616437328</v>
      </c>
      <c r="AR87" s="23">
        <f t="shared" si="235"/>
        <v>142.0416667</v>
      </c>
    </row>
    <row r="88" ht="15.75" customHeight="1">
      <c r="A88" s="21"/>
      <c r="B88" s="38">
        <v>2.0</v>
      </c>
      <c r="C88" s="38" t="s">
        <v>28</v>
      </c>
      <c r="D88" s="39">
        <v>26.0</v>
      </c>
      <c r="E88" s="40">
        <f>IFERROR(__xludf.DUMMYFUNCTION("COUNT(IMPORTRANGE(""https://docs.google.com/spreadsheets/d/10a85iNN0y9GF6ngQfF1JXGAzFk-T7ywH4-TZtQcOTaE/edit"",""4!d2:d34""))"),26.0)</f>
        <v>26</v>
      </c>
      <c r="F88" s="41">
        <f>IFERROR(__xludf.DUMMYFUNCTION("SUM(IMPORTRANGE(""https://docs.google.com/spreadsheets/d/10a85iNN0y9GF6ngQfF1JXGAzFk-T7ywH4-TZtQcOTaE/edit"",""4!Q2:Q34""))"),4953.086000000001)</f>
        <v>4953.086</v>
      </c>
      <c r="G88" s="40">
        <f>IFERROR(__xludf.DUMMYFUNCTION("IMPORTRANGE(""https://docs.google.com/spreadsheets/d/10a85iNN0y9GF6ngQfF1JXGAzFk-T7ywH4-TZtQcOTaE/edit"",""4!e41"")"),1763.0)</f>
        <v>1763</v>
      </c>
      <c r="H88" s="40">
        <f>IFERROR(__xludf.DUMMYFUNCTION("IMPORTRANGE(""https://docs.google.com/spreadsheets/d/10a85iNN0y9GF6ngQfF1JXGAzFk-T7ywH4-TZtQcOTaE/edit"",""4!e42"")"),38.0)</f>
        <v>38</v>
      </c>
      <c r="I88" s="40">
        <f t="shared" si="240"/>
        <v>1801</v>
      </c>
      <c r="J88" s="40">
        <f>IFERROR(__xludf.DUMMYFUNCTION("IMPORTRANGE(""https://docs.google.com/spreadsheets/d/10a85iNN0y9GF6ngQfF1JXGAzFk-T7ywH4-TZtQcOTaE/edit"",""4!e45"")"),1867.0)</f>
        <v>1867</v>
      </c>
      <c r="K88" s="40">
        <f>IFERROR(__xludf.DUMMYFUNCTION("IMPORTRANGE(""https://docs.google.com/spreadsheets/d/10a85iNN0y9GF6ngQfF1JXGAzFk-T7ywH4-TZtQcOTaE/edit"",""4!e46"")"),243.0)</f>
        <v>243</v>
      </c>
      <c r="L88" s="40">
        <f t="shared" si="241"/>
        <v>2110</v>
      </c>
      <c r="M88" s="40">
        <f t="shared" si="242"/>
        <v>3911</v>
      </c>
      <c r="N88" s="41">
        <f t="shared" si="243"/>
        <v>190.5033077</v>
      </c>
      <c r="O88" s="38">
        <v>7315.0</v>
      </c>
      <c r="P88" s="42">
        <f t="shared" si="244"/>
        <v>0.5346548189</v>
      </c>
      <c r="Q88" s="43">
        <v>1.5</v>
      </c>
      <c r="R88" s="42">
        <f t="shared" si="245"/>
        <v>0.5264058273</v>
      </c>
      <c r="S88" s="44">
        <f t="shared" si="246"/>
        <v>0.7896087409</v>
      </c>
      <c r="T88" s="43">
        <f>F88/30.897</f>
        <v>160.3096093</v>
      </c>
      <c r="U88" s="43">
        <f t="shared" si="247"/>
        <v>6.165754206</v>
      </c>
      <c r="V88" s="40">
        <f t="shared" si="248"/>
        <v>150.4230769</v>
      </c>
      <c r="X88" s="22">
        <v>5.0</v>
      </c>
      <c r="Y88" s="22" t="s">
        <v>29</v>
      </c>
      <c r="Z88" s="22">
        <f t="shared" ref="Z88:AI88" si="249">SUM(D103)</f>
        <v>24</v>
      </c>
      <c r="AA88" s="23">
        <f t="shared" si="249"/>
        <v>24</v>
      </c>
      <c r="AB88" s="24">
        <f t="shared" si="249"/>
        <v>4660.802</v>
      </c>
      <c r="AC88" s="23">
        <f t="shared" si="249"/>
        <v>1292</v>
      </c>
      <c r="AD88" s="23">
        <f t="shared" si="249"/>
        <v>0</v>
      </c>
      <c r="AE88" s="23">
        <f t="shared" si="249"/>
        <v>1292</v>
      </c>
      <c r="AF88" s="23">
        <f t="shared" si="249"/>
        <v>3603</v>
      </c>
      <c r="AG88" s="23">
        <f t="shared" si="249"/>
        <v>0</v>
      </c>
      <c r="AH88" s="23">
        <f t="shared" si="249"/>
        <v>3603</v>
      </c>
      <c r="AI88" s="23">
        <f t="shared" si="249"/>
        <v>4895</v>
      </c>
      <c r="AJ88" s="25">
        <f t="shared" ref="AJ88:AJ90" si="252">AB88/AA88</f>
        <v>194.2000833</v>
      </c>
      <c r="AK88" s="22">
        <f t="shared" ref="AK88:AK89" si="253">SUM(O103)</f>
        <v>9201</v>
      </c>
      <c r="AL88" s="26">
        <f t="shared" si="230"/>
        <v>0.5320073905</v>
      </c>
      <c r="AM88" s="27">
        <f t="shared" ref="AM88:AM89" si="254">SUM(Q103)</f>
        <v>1.5</v>
      </c>
      <c r="AN88" s="26">
        <f t="shared" si="232"/>
        <v>0.7001656224</v>
      </c>
      <c r="AO88" s="28">
        <f t="shared" si="233"/>
        <v>1.050248434</v>
      </c>
      <c r="AP88" s="27">
        <f t="shared" ref="AP88:AQ88" si="250">SUM(T103)</f>
        <v>179</v>
      </c>
      <c r="AQ88" s="27">
        <f t="shared" si="250"/>
        <v>7.458333333</v>
      </c>
      <c r="AR88" s="23">
        <f t="shared" si="235"/>
        <v>203.9583333</v>
      </c>
    </row>
    <row r="89" ht="15.75" customHeight="1">
      <c r="A89" s="21"/>
      <c r="B89" s="38">
        <v>3.0</v>
      </c>
      <c r="C89" s="38" t="s">
        <v>30</v>
      </c>
      <c r="D89" s="39">
        <v>48.0</v>
      </c>
      <c r="E89" s="40">
        <f>IFERROR(__xludf.DUMMYFUNCTION("COUNT(IMPORTRANGE(""https://docs.google.com/spreadsheets/d/1WojVzHhpzodJL1e5UDHeu3A3u5MTSZwvxHu0BrwvL9w/edit"",""4!d2:d61""))"),47.0)</f>
        <v>47</v>
      </c>
      <c r="F89" s="45">
        <f>IFERROR(__xludf.DUMMYFUNCTION("SUM(IMPORTRANGE(""https://docs.google.com/spreadsheets/d/1WojVzHhpzodJL1e5UDHeu3A3u5MTSZwvxHu0BrwvL9w/edit"",""4!Q2:Q61""))"),8906.214)</f>
        <v>8906.214</v>
      </c>
      <c r="G89" s="40">
        <f>IFERROR(__xludf.DUMMYFUNCTION("IMPORTRANGE(""https://docs.google.com/spreadsheets/d/1WojVzHhpzodJL1e5UDHeu3A3u5MTSZwvxHu0BrwvL9w/edit"",""4!e68"")"),2439.0)</f>
        <v>2439</v>
      </c>
      <c r="H89" s="40">
        <f>IFERROR(__xludf.DUMMYFUNCTION("IMPORTRANGE(""https://docs.google.com/spreadsheets/d/1WojVzHhpzodJL1e5UDHeu3A3u5MTSZwvxHu0BrwvL9w/edit"",""4!e69"")"),0.0)</f>
        <v>0</v>
      </c>
      <c r="I89" s="40">
        <f t="shared" si="240"/>
        <v>2439</v>
      </c>
      <c r="J89" s="40">
        <f>IFERROR(__xludf.DUMMYFUNCTION("IMPORTRANGE(""https://docs.google.com/spreadsheets/d/1WojVzHhpzodJL1e5UDHeu3A3u5MTSZwvxHu0BrwvL9w/edit"",""4!e72"")"),4237.0)</f>
        <v>4237</v>
      </c>
      <c r="K89" s="40">
        <f>IFERROR(__xludf.DUMMYFUNCTION("IMPORTRANGE(""https://docs.google.com/spreadsheets/d/1WojVzHhpzodJL1e5UDHeu3A3u5MTSZwvxHu0BrwvL9w/edit"",""4!e73"")"),0.0)</f>
        <v>0</v>
      </c>
      <c r="L89" s="40">
        <f t="shared" si="241"/>
        <v>4237</v>
      </c>
      <c r="M89" s="40">
        <f t="shared" si="242"/>
        <v>6676</v>
      </c>
      <c r="N89" s="41">
        <f t="shared" si="243"/>
        <v>189.4939149</v>
      </c>
      <c r="O89" s="38">
        <v>11164.0</v>
      </c>
      <c r="P89" s="42">
        <f t="shared" si="244"/>
        <v>0.5979935507</v>
      </c>
      <c r="Q89" s="43">
        <v>1.5</v>
      </c>
      <c r="R89" s="42">
        <f t="shared" si="245"/>
        <v>0.4997259966</v>
      </c>
      <c r="S89" s="44">
        <f t="shared" si="246"/>
        <v>0.7495889948</v>
      </c>
      <c r="T89" s="43">
        <f>F89/29.603</f>
        <v>300.855116</v>
      </c>
      <c r="U89" s="43">
        <f t="shared" si="247"/>
        <v>6.401172682</v>
      </c>
      <c r="V89" s="40">
        <f t="shared" si="248"/>
        <v>142.0425532</v>
      </c>
      <c r="X89" s="22">
        <v>6.0</v>
      </c>
      <c r="Y89" s="22" t="s">
        <v>31</v>
      </c>
      <c r="Z89" s="22">
        <f t="shared" ref="Z89:AI89" si="251">SUM(D104)</f>
        <v>12</v>
      </c>
      <c r="AA89" s="23">
        <f t="shared" si="251"/>
        <v>11</v>
      </c>
      <c r="AB89" s="25">
        <f t="shared" si="251"/>
        <v>2129.785</v>
      </c>
      <c r="AC89" s="23">
        <f t="shared" si="251"/>
        <v>691</v>
      </c>
      <c r="AD89" s="23">
        <f t="shared" si="251"/>
        <v>0</v>
      </c>
      <c r="AE89" s="23">
        <f t="shared" si="251"/>
        <v>691</v>
      </c>
      <c r="AF89" s="23">
        <f t="shared" si="251"/>
        <v>663</v>
      </c>
      <c r="AG89" s="23">
        <f t="shared" si="251"/>
        <v>0</v>
      </c>
      <c r="AH89" s="23">
        <f t="shared" si="251"/>
        <v>663</v>
      </c>
      <c r="AI89" s="23">
        <f t="shared" si="251"/>
        <v>1354</v>
      </c>
      <c r="AJ89" s="25">
        <f t="shared" si="252"/>
        <v>193.6168182</v>
      </c>
      <c r="AK89" s="22">
        <f t="shared" si="253"/>
        <v>2717</v>
      </c>
      <c r="AL89" s="26">
        <f t="shared" si="230"/>
        <v>0.4983437615</v>
      </c>
      <c r="AM89" s="27">
        <f t="shared" si="254"/>
        <v>1.5</v>
      </c>
      <c r="AN89" s="26">
        <f t="shared" si="232"/>
        <v>0.4238299484</v>
      </c>
      <c r="AO89" s="28">
        <f t="shared" si="233"/>
        <v>0.6357449226</v>
      </c>
      <c r="AP89" s="27">
        <f t="shared" ref="AP89:AQ89" si="255">SUM(T104)</f>
        <v>49</v>
      </c>
      <c r="AQ89" s="27">
        <f t="shared" si="255"/>
        <v>4.454545455</v>
      </c>
      <c r="AR89" s="23">
        <f t="shared" si="235"/>
        <v>123.0909091</v>
      </c>
    </row>
    <row r="90" ht="15.75" customHeight="1">
      <c r="A90" s="21"/>
      <c r="B90" s="38">
        <v>4.0</v>
      </c>
      <c r="C90" s="38" t="s">
        <v>32</v>
      </c>
      <c r="D90" s="39">
        <v>33.0</v>
      </c>
      <c r="E90" s="40">
        <f>IFERROR(__xludf.DUMMYFUNCTION("COUNT(IMPORTRANGE(""https://docs.google.com/spreadsheets/d/1vmCj5YcMSPHj1m64syDndQ6cqVL3yolcU03Y8KHmvdc/edit"",""4!d2:d43""))"),32.0)</f>
        <v>32</v>
      </c>
      <c r="F90" s="45">
        <f>IFERROR(__xludf.DUMMYFUNCTION("SUM(IMPORTRANGE(""https://docs.google.com/spreadsheets/d/1vmCj5YcMSPHj1m64syDndQ6cqVL3yolcU03Y8KHmvdc/edit"",""4!Q2:Q43""))"),6148.953999999996)</f>
        <v>6148.954</v>
      </c>
      <c r="G90" s="38">
        <f>IFERROR(__xludf.DUMMYFUNCTION("IMPORTRANGE(""https://docs.google.com/spreadsheets/d/1vmCj5YcMSPHj1m64syDndQ6cqVL3yolcU03Y8KHmvdc/edit"",""4!e50"")"),3337.0)</f>
        <v>3337</v>
      </c>
      <c r="H90" s="38">
        <f>IFERROR(__xludf.DUMMYFUNCTION("IMPORTRANGE(""https://docs.google.com/spreadsheets/d/1vmCj5YcMSPHj1m64syDndQ6cqVL3yolcU03Y8KHmvdc/edit"",""4!e51"")"),50.0)</f>
        <v>50</v>
      </c>
      <c r="I90" s="40">
        <f t="shared" si="240"/>
        <v>3387</v>
      </c>
      <c r="J90" s="38">
        <f>IFERROR(__xludf.DUMMYFUNCTION("IMPORTRANGE(""https://docs.google.com/spreadsheets/d/1vmCj5YcMSPHj1m64syDndQ6cqVL3yolcU03Y8KHmvdc/edit"",""4!e54"")"),3342.0)</f>
        <v>3342</v>
      </c>
      <c r="K90" s="38">
        <f>IFERROR(__xludf.DUMMYFUNCTION("IMPORTRANGE(""https://docs.google.com/spreadsheets/d/1vmCj5YcMSPHj1m64syDndQ6cqVL3yolcU03Y8KHmvdc/edit"",""4!e55"")"),110.0)</f>
        <v>110</v>
      </c>
      <c r="L90" s="40">
        <f t="shared" si="241"/>
        <v>3452</v>
      </c>
      <c r="M90" s="40">
        <f t="shared" si="242"/>
        <v>6839</v>
      </c>
      <c r="N90" s="41">
        <f t="shared" si="243"/>
        <v>192.1548125</v>
      </c>
      <c r="O90" s="38">
        <v>13817.0</v>
      </c>
      <c r="P90" s="42">
        <f t="shared" si="244"/>
        <v>0.4949699645</v>
      </c>
      <c r="Q90" s="43">
        <v>1.5</v>
      </c>
      <c r="R90" s="42">
        <f t="shared" si="245"/>
        <v>0.7414811256</v>
      </c>
      <c r="S90" s="44">
        <f t="shared" si="246"/>
        <v>1.112221688</v>
      </c>
      <c r="T90" s="43">
        <f>F90/25.089</f>
        <v>245.0856551</v>
      </c>
      <c r="U90" s="43">
        <f t="shared" si="247"/>
        <v>7.658926721</v>
      </c>
      <c r="V90" s="40">
        <f t="shared" si="248"/>
        <v>213.71875</v>
      </c>
      <c r="X90" s="46" t="s">
        <v>33</v>
      </c>
      <c r="Y90" s="46">
        <v>6.0</v>
      </c>
      <c r="Z90" s="46">
        <f t="shared" ref="Z90:AI90" si="256">SUM(Z84:Z89)</f>
        <v>152</v>
      </c>
      <c r="AA90" s="47">
        <f t="shared" si="256"/>
        <v>150</v>
      </c>
      <c r="AB90" s="48">
        <f t="shared" si="256"/>
        <v>28174.448</v>
      </c>
      <c r="AC90" s="47">
        <f t="shared" si="256"/>
        <v>7245</v>
      </c>
      <c r="AD90" s="47">
        <f t="shared" si="256"/>
        <v>361</v>
      </c>
      <c r="AE90" s="47">
        <f t="shared" si="256"/>
        <v>7606</v>
      </c>
      <c r="AF90" s="47">
        <f t="shared" si="256"/>
        <v>11248</v>
      </c>
      <c r="AG90" s="47">
        <f t="shared" si="256"/>
        <v>358</v>
      </c>
      <c r="AH90" s="47">
        <f t="shared" si="256"/>
        <v>11606</v>
      </c>
      <c r="AI90" s="47">
        <f t="shared" si="256"/>
        <v>19212</v>
      </c>
      <c r="AJ90" s="49">
        <f t="shared" si="252"/>
        <v>187.8296533</v>
      </c>
      <c r="AK90" s="46">
        <f>SUM(AK84:AK89)</f>
        <v>35074</v>
      </c>
      <c r="AL90" s="50">
        <f t="shared" si="230"/>
        <v>0.5477561727</v>
      </c>
      <c r="AM90" s="51">
        <v>1.5</v>
      </c>
      <c r="AN90" s="50">
        <f t="shared" si="232"/>
        <v>0.4545963066</v>
      </c>
      <c r="AO90" s="52">
        <f t="shared" si="233"/>
        <v>0.6818944598</v>
      </c>
      <c r="AP90" s="51">
        <f>SUM(AP84:AP89)</f>
        <v>1057.705128</v>
      </c>
      <c r="AQ90" s="51">
        <f>AP90/AA90</f>
        <v>7.051367522</v>
      </c>
      <c r="AR90" s="47">
        <f t="shared" si="235"/>
        <v>128.08</v>
      </c>
    </row>
    <row r="91" ht="15.75" customHeight="1">
      <c r="A91" s="21"/>
      <c r="B91" s="38">
        <v>5.0</v>
      </c>
      <c r="C91" s="38" t="s">
        <v>34</v>
      </c>
      <c r="D91" s="39">
        <v>32.0</v>
      </c>
      <c r="E91" s="40">
        <f>IFERROR(__xludf.DUMMYFUNCTION("COUNT(IMPORTRANGE(""https://docs.google.com/spreadsheets/d/14_Y-fpuq1wcec3DlT_1PBYekOC0YblQMrWVfO12YO3k/edit"",""4!d2:d41""))"),31.0)</f>
        <v>31</v>
      </c>
      <c r="F91" s="45">
        <f>IFERROR(__xludf.DUMMYFUNCTION("SUM(IMPORTRANGE(""https://docs.google.com/spreadsheets/d/14_Y-fpuq1wcec3DlT_1PBYekOC0YblQMrWVfO12YO3k/edit"",""4!Q2:Q41""))"),5909.6460000000025)</f>
        <v>5909.646</v>
      </c>
      <c r="G91" s="40">
        <f>IFERROR(__xludf.DUMMYFUNCTION("IMPORTRANGE(""https://docs.google.com/spreadsheets/d/14_Y-fpuq1wcec3DlT_1PBYekOC0YblQMrWVfO12YO3k/edit"",""4!e48"")"),1750.0)</f>
        <v>1750</v>
      </c>
      <c r="H91" s="40">
        <f>IFERROR(__xludf.DUMMYFUNCTION("IMPORTRANGE(""https://docs.google.com/spreadsheets/d/14_Y-fpuq1wcec3DlT_1PBYekOC0YblQMrWVfO12YO3k/edit"",""4!e49"")"),0.0)</f>
        <v>0</v>
      </c>
      <c r="I91" s="40">
        <f t="shared" si="240"/>
        <v>1750</v>
      </c>
      <c r="J91" s="40">
        <f>IFERROR(__xludf.DUMMYFUNCTION("IMPORTRANGE(""https://docs.google.com/spreadsheets/d/14_Y-fpuq1wcec3DlT_1PBYekOC0YblQMrWVfO12YO3k/edit"",""4!e52"")"),2688.0)</f>
        <v>2688</v>
      </c>
      <c r="K91" s="40">
        <f>IFERROR(__xludf.DUMMYFUNCTION("IMPORTRANGE(""https://docs.google.com/spreadsheets/d/14_Y-fpuq1wcec3DlT_1PBYekOC0YblQMrWVfO12YO3k/edit"",""4!e53"")"),75.0)</f>
        <v>75</v>
      </c>
      <c r="L91" s="40">
        <f t="shared" si="241"/>
        <v>2763</v>
      </c>
      <c r="M91" s="40">
        <f t="shared" si="242"/>
        <v>4513</v>
      </c>
      <c r="N91" s="41">
        <f t="shared" si="243"/>
        <v>190.6337419</v>
      </c>
      <c r="O91" s="38">
        <v>9354.0</v>
      </c>
      <c r="P91" s="42">
        <f t="shared" si="244"/>
        <v>0.4824673936</v>
      </c>
      <c r="Q91" s="43">
        <v>1.5</v>
      </c>
      <c r="R91" s="42">
        <f t="shared" si="245"/>
        <v>0.5091111492</v>
      </c>
      <c r="S91" s="44">
        <f t="shared" si="246"/>
        <v>0.7636667239</v>
      </c>
      <c r="T91" s="43">
        <f>F91/30.713</f>
        <v>192.4151337</v>
      </c>
      <c r="U91" s="43">
        <f t="shared" si="247"/>
        <v>6.206939795</v>
      </c>
      <c r="V91" s="40">
        <f t="shared" si="248"/>
        <v>145.5806452</v>
      </c>
      <c r="X91" s="53" t="s">
        <v>35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6"/>
    </row>
    <row r="92" ht="15.75" customHeight="1">
      <c r="A92" s="21"/>
      <c r="B92" s="38">
        <v>6.0</v>
      </c>
      <c r="C92" s="38" t="s">
        <v>23</v>
      </c>
      <c r="D92" s="39">
        <v>28.0</v>
      </c>
      <c r="E92" s="40">
        <f>IFERROR(__xludf.DUMMYFUNCTION("COUNT(IMPORTRANGE(""https://docs.google.com/spreadsheets/d/1lJqjdj05V4LOXuBOiTdE65GV4ZITyx1cMLcDdcuoUnE/edit"",""4!d2:d36""))"),28.0)</f>
        <v>28</v>
      </c>
      <c r="F92" s="45">
        <f>IFERROR(__xludf.DUMMYFUNCTION("SUM(IMPORTRANGE(""https://docs.google.com/spreadsheets/d/1lJqjdj05V4LOXuBOiTdE65GV4ZITyx1cMLcDdcuoUnE/edit"",""4!Q2:Q36""))"),5503.207999999999)</f>
        <v>5503.208</v>
      </c>
      <c r="G92" s="40">
        <f>IFERROR(__xludf.DUMMYFUNCTION("IMPORTRANGE(""https://docs.google.com/spreadsheets/d/1lJqjdj05V4LOXuBOiTdE65GV4ZITyx1cMLcDdcuoUnE/edit"",""4!e43"")"),1231.0)</f>
        <v>1231</v>
      </c>
      <c r="H92" s="40">
        <f>IFERROR(__xludf.DUMMYFUNCTION("IMPORTRANGE(""https://docs.google.com/spreadsheets/d/1lJqjdj05V4LOXuBOiTdE65GV4ZITyx1cMLcDdcuoUnE/edit"",""4!e44"")"),0.0)</f>
        <v>0</v>
      </c>
      <c r="I92" s="40">
        <f t="shared" si="240"/>
        <v>1231</v>
      </c>
      <c r="J92" s="40">
        <f>IFERROR(__xludf.DUMMYFUNCTION("IMPORTRANGE(""https://docs.google.com/spreadsheets/d/1lJqjdj05V4LOXuBOiTdE65GV4ZITyx1cMLcDdcuoUnE/edit"",""4!e47"")"),2257.0)</f>
        <v>2257</v>
      </c>
      <c r="K92" s="40">
        <f>IFERROR(__xludf.DUMMYFUNCTION("IMPORTRANGE(""https://docs.google.com/spreadsheets/d/1lJqjdj05V4LOXuBOiTdE65GV4ZITyx1cMLcDdcuoUnE/edit"",""4!e48"")"),0.0)</f>
        <v>0</v>
      </c>
      <c r="L92" s="40">
        <f t="shared" si="241"/>
        <v>2257</v>
      </c>
      <c r="M92" s="40">
        <f t="shared" si="242"/>
        <v>3488</v>
      </c>
      <c r="N92" s="41">
        <f t="shared" si="243"/>
        <v>196.5431429</v>
      </c>
      <c r="O92" s="38">
        <v>6853.0</v>
      </c>
      <c r="P92" s="42">
        <f t="shared" si="244"/>
        <v>0.5089741719</v>
      </c>
      <c r="Q92" s="43">
        <v>1.5</v>
      </c>
      <c r="R92" s="42">
        <f t="shared" si="245"/>
        <v>0.4225414219</v>
      </c>
      <c r="S92" s="44">
        <f t="shared" si="246"/>
        <v>0.6338121329</v>
      </c>
      <c r="T92" s="43">
        <f>F92/33.74</f>
        <v>163.1063426</v>
      </c>
      <c r="U92" s="43">
        <f t="shared" si="247"/>
        <v>5.825226522</v>
      </c>
      <c r="V92" s="40">
        <f t="shared" si="248"/>
        <v>124.5714286</v>
      </c>
      <c r="X92" s="14" t="s">
        <v>2</v>
      </c>
      <c r="Y92" s="14" t="s">
        <v>3</v>
      </c>
      <c r="Z92" s="14" t="s">
        <v>4</v>
      </c>
      <c r="AA92" s="14" t="s">
        <v>5</v>
      </c>
      <c r="AB92" s="15" t="s">
        <v>6</v>
      </c>
      <c r="AC92" s="14" t="s">
        <v>7</v>
      </c>
      <c r="AD92" s="14" t="s">
        <v>8</v>
      </c>
      <c r="AE92" s="14" t="s">
        <v>9</v>
      </c>
      <c r="AF92" s="14" t="s">
        <v>10</v>
      </c>
      <c r="AG92" s="14" t="s">
        <v>11</v>
      </c>
      <c r="AH92" s="14" t="s">
        <v>12</v>
      </c>
      <c r="AI92" s="14" t="s">
        <v>13</v>
      </c>
      <c r="AJ92" s="15" t="s">
        <v>14</v>
      </c>
      <c r="AK92" s="14" t="s">
        <v>15</v>
      </c>
      <c r="AL92" s="14" t="s">
        <v>16</v>
      </c>
      <c r="AM92" s="16" t="s">
        <v>17</v>
      </c>
      <c r="AN92" s="17" t="s">
        <v>18</v>
      </c>
      <c r="AO92" s="18" t="s">
        <v>19</v>
      </c>
      <c r="AP92" s="19" t="s">
        <v>20</v>
      </c>
      <c r="AQ92" s="19" t="s">
        <v>21</v>
      </c>
      <c r="AR92" s="20" t="s">
        <v>22</v>
      </c>
    </row>
    <row r="93" ht="15.75" customHeight="1">
      <c r="A93" s="21"/>
      <c r="B93" s="38">
        <v>7.0</v>
      </c>
      <c r="C93" s="38" t="s">
        <v>24</v>
      </c>
      <c r="D93" s="39">
        <v>37.0</v>
      </c>
      <c r="E93" s="54">
        <f>IFERROR(__xludf.DUMMYFUNCTION("COUNT(IMPORTRANGE(""https://docs.google.com/spreadsheets/d/1_7EEO26q9Yq-XhNFiy7I6Zh4Yg6uGjTs9y0UqNvPKcQ/edit"",""4!d2:d45""))"),37.0)</f>
        <v>37</v>
      </c>
      <c r="F93" s="55">
        <f>IFERROR(__xludf.DUMMYFUNCTION("SUM(IMPORTRANGE(""https://docs.google.com/spreadsheets/d/1_7EEO26q9Yq-XhNFiy7I6Zh4Yg6uGjTs9y0UqNvPKcQ/edit"",""4!Q2:Q45""))"),7106.992999999996)</f>
        <v>7106.993</v>
      </c>
      <c r="G93" s="54">
        <f>IFERROR(__xludf.DUMMYFUNCTION("IMPORTRANGE(""https://docs.google.com/spreadsheets/d/1_7EEO26q9Yq-XhNFiy7I6Zh4Yg6uGjTs9y0UqNvPKcQ/edit"",""4!e53"")"),743.0)</f>
        <v>743</v>
      </c>
      <c r="H93" s="54">
        <f>IFERROR(__xludf.DUMMYFUNCTION("IMPORTRANGE(""https://docs.google.com/spreadsheets/d/1_7EEO26q9Yq-XhNFiy7I6Zh4Yg6uGjTs9y0UqNvPKcQ/edit"",""4!e54"")"),0.0)</f>
        <v>0</v>
      </c>
      <c r="I93" s="54">
        <f t="shared" si="240"/>
        <v>743</v>
      </c>
      <c r="J93" s="54">
        <f>IFERROR(__xludf.DUMMYFUNCTION("IMPORTRANGE(""https://docs.google.com/spreadsheets/d/1_7EEO26q9Yq-XhNFiy7I6Zh4Yg6uGjTs9y0UqNvPKcQ/edit"",""4!e57"")"),1007.0)</f>
        <v>1007</v>
      </c>
      <c r="K93" s="54">
        <f>IFERROR(__xludf.DUMMYFUNCTION("IMPORTRANGE(""https://docs.google.com/spreadsheets/d/1_7EEO26q9Yq-XhNFiy7I6Zh4Yg6uGjTs9y0UqNvPKcQ/edit"",""4!e58"")"),15.0)</f>
        <v>15</v>
      </c>
      <c r="L93" s="40">
        <f t="shared" si="241"/>
        <v>1022</v>
      </c>
      <c r="M93" s="40">
        <f t="shared" si="242"/>
        <v>1765</v>
      </c>
      <c r="N93" s="41">
        <f t="shared" si="243"/>
        <v>192.0808919</v>
      </c>
      <c r="O93" s="38">
        <v>1580.0</v>
      </c>
      <c r="P93" s="56">
        <f t="shared" si="244"/>
        <v>1.117088608</v>
      </c>
      <c r="Q93" s="43">
        <v>1.5</v>
      </c>
      <c r="R93" s="42">
        <f t="shared" si="245"/>
        <v>0.16556463</v>
      </c>
      <c r="S93" s="44">
        <f t="shared" si="246"/>
        <v>0.248346945</v>
      </c>
      <c r="T93" s="43">
        <f>F93/26.805</f>
        <v>265.1368401</v>
      </c>
      <c r="U93" s="43">
        <f t="shared" si="247"/>
        <v>7.165860544</v>
      </c>
      <c r="V93" s="40">
        <f t="shared" si="248"/>
        <v>47.7027027</v>
      </c>
      <c r="X93" s="22">
        <v>1.0</v>
      </c>
      <c r="Y93" s="22" t="s">
        <v>28</v>
      </c>
      <c r="Z93" s="22">
        <f t="shared" ref="Z93:AI93" si="257">SUM(D88)</f>
        <v>26</v>
      </c>
      <c r="AA93" s="23">
        <f t="shared" si="257"/>
        <v>26</v>
      </c>
      <c r="AB93" s="25">
        <f t="shared" si="257"/>
        <v>4953.086</v>
      </c>
      <c r="AC93" s="23">
        <f t="shared" si="257"/>
        <v>1763</v>
      </c>
      <c r="AD93" s="23">
        <f t="shared" si="257"/>
        <v>38</v>
      </c>
      <c r="AE93" s="23">
        <f t="shared" si="257"/>
        <v>1801</v>
      </c>
      <c r="AF93" s="23">
        <f t="shared" si="257"/>
        <v>1867</v>
      </c>
      <c r="AG93" s="23">
        <f t="shared" si="257"/>
        <v>243</v>
      </c>
      <c r="AH93" s="23">
        <f t="shared" si="257"/>
        <v>2110</v>
      </c>
      <c r="AI93" s="23">
        <f t="shared" si="257"/>
        <v>3911</v>
      </c>
      <c r="AJ93" s="25">
        <f t="shared" ref="AJ93:AJ99" si="260">AB93/AA93</f>
        <v>190.5033077</v>
      </c>
      <c r="AK93" s="22">
        <f t="shared" ref="AK93:AK94" si="261">SUM(O88)</f>
        <v>7315</v>
      </c>
      <c r="AL93" s="26">
        <f t="shared" ref="AL93:AL99" si="262">AI93/AK93</f>
        <v>0.5346548189</v>
      </c>
      <c r="AM93" s="27">
        <f t="shared" ref="AM93:AM94" si="263">SUM(Q88)</f>
        <v>1.5</v>
      </c>
      <c r="AN93" s="26">
        <f t="shared" ref="AN93:AN99" si="264">AO93/AM93</f>
        <v>0.5264058273</v>
      </c>
      <c r="AO93" s="28">
        <f t="shared" ref="AO93:AO99" si="265">AI93/AB93</f>
        <v>0.7896087409</v>
      </c>
      <c r="AP93" s="27">
        <f t="shared" ref="AP93:AQ93" si="258">SUM(T88)</f>
        <v>160.3096093</v>
      </c>
      <c r="AQ93" s="27">
        <f t="shared" si="258"/>
        <v>6.165754206</v>
      </c>
      <c r="AR93" s="23">
        <f t="shared" ref="AR93:AR99" si="267">AI93/AA93</f>
        <v>150.4230769</v>
      </c>
    </row>
    <row r="94" ht="15.75" customHeight="1">
      <c r="A94" s="21"/>
      <c r="B94" s="38">
        <v>8.0</v>
      </c>
      <c r="C94" s="38" t="s">
        <v>25</v>
      </c>
      <c r="D94" s="57">
        <v>27.0</v>
      </c>
      <c r="E94" s="40">
        <f>IFERROR(__xludf.DUMMYFUNCTION("COUNT(IMPORTRANGE(""https://docs.google.com/spreadsheets/d/1vLOLpiE-XsbnCnwWPcoi87PlUSXfqIAAQn3kvqHfO6s/edit"",""4!d2:D33""))"),26.0)</f>
        <v>26</v>
      </c>
      <c r="F94" s="45">
        <f>IFERROR(__xludf.DUMMYFUNCTION("SUM(IMPORTRANGE(""https://docs.google.com/spreadsheets/d/1vLOLpiE-XsbnCnwWPcoi87PlUSXfqIAAQn3kvqHfO6s/edit"",""4!Q2:Q33""))"),4640.872)</f>
        <v>4640.872</v>
      </c>
      <c r="G94" s="40">
        <f>IFERROR(__xludf.DUMMYFUNCTION("IMPORTRANGE(""https://docs.google.com/spreadsheets/d/1vLOLpiE-XsbnCnwWPcoi87PlUSXfqIAAQn3kvqHfO6s/edit"",""4!e40"")"),1785.0)</f>
        <v>1785</v>
      </c>
      <c r="H94" s="40">
        <f>IFERROR(__xludf.DUMMYFUNCTION("IMPORTRANGE(""https://docs.google.com/spreadsheets/d/1vLOLpiE-XsbnCnwWPcoi87PlUSXfqIAAQn3kvqHfO6s/edit"",""4!e41"")"),276.0)</f>
        <v>276</v>
      </c>
      <c r="I94" s="40">
        <f t="shared" si="240"/>
        <v>2061</v>
      </c>
      <c r="J94" s="40">
        <f>IFERROR(__xludf.DUMMYFUNCTION("IMPORTRANGE(""https://docs.google.com/spreadsheets/d/1vLOLpiE-XsbnCnwWPcoi87PlUSXfqIAAQn3kvqHfO6s/edit"",""4!e44"")"),1976.0)</f>
        <v>1976</v>
      </c>
      <c r="K94" s="40">
        <f>IFERROR(__xludf.DUMMYFUNCTION("IMPORTRANGE(""https://docs.google.com/spreadsheets/d/1vLOLpiE-XsbnCnwWPcoi87PlUSXfqIAAQn3kvqHfO6s/edit"",""4!e45"")"),264.0)</f>
        <v>264</v>
      </c>
      <c r="L94" s="40">
        <f>J94+K94</f>
        <v>2240</v>
      </c>
      <c r="M94" s="40">
        <f t="shared" si="242"/>
        <v>4301</v>
      </c>
      <c r="N94" s="41">
        <f t="shared" si="243"/>
        <v>178.4950769</v>
      </c>
      <c r="O94" s="38">
        <v>6622.0</v>
      </c>
      <c r="P94" s="42">
        <f t="shared" si="244"/>
        <v>0.6495016611</v>
      </c>
      <c r="Q94" s="43">
        <v>1.5</v>
      </c>
      <c r="R94" s="42">
        <f t="shared" si="245"/>
        <v>0.6178436581</v>
      </c>
      <c r="S94" s="44">
        <f t="shared" si="246"/>
        <v>0.9267654872</v>
      </c>
      <c r="T94" s="43">
        <f>F94/23.84</f>
        <v>194.6674497</v>
      </c>
      <c r="U94" s="43">
        <f t="shared" si="247"/>
        <v>7.487209602</v>
      </c>
      <c r="V94" s="40">
        <f t="shared" si="248"/>
        <v>165.4230769</v>
      </c>
      <c r="X94" s="31">
        <v>2.0</v>
      </c>
      <c r="Y94" s="31" t="s">
        <v>30</v>
      </c>
      <c r="Z94" s="31">
        <f t="shared" ref="Z94:AI94" si="259">SUM(D89)</f>
        <v>48</v>
      </c>
      <c r="AA94" s="32">
        <f t="shared" si="259"/>
        <v>47</v>
      </c>
      <c r="AB94" s="33">
        <f t="shared" si="259"/>
        <v>8906.214</v>
      </c>
      <c r="AC94" s="32">
        <f t="shared" si="259"/>
        <v>2439</v>
      </c>
      <c r="AD94" s="32">
        <f t="shared" si="259"/>
        <v>0</v>
      </c>
      <c r="AE94" s="32">
        <f t="shared" si="259"/>
        <v>2439</v>
      </c>
      <c r="AF94" s="32">
        <f t="shared" si="259"/>
        <v>4237</v>
      </c>
      <c r="AG94" s="32">
        <f t="shared" si="259"/>
        <v>0</v>
      </c>
      <c r="AH94" s="32">
        <f t="shared" si="259"/>
        <v>4237</v>
      </c>
      <c r="AI94" s="32">
        <f t="shared" si="259"/>
        <v>6676</v>
      </c>
      <c r="AJ94" s="34">
        <f t="shared" si="260"/>
        <v>189.4939149</v>
      </c>
      <c r="AK94" s="31">
        <f t="shared" si="261"/>
        <v>11164</v>
      </c>
      <c r="AL94" s="35">
        <f t="shared" si="262"/>
        <v>0.5979935507</v>
      </c>
      <c r="AM94" s="36">
        <f t="shared" si="263"/>
        <v>1.5</v>
      </c>
      <c r="AN94" s="35">
        <f t="shared" si="264"/>
        <v>0.4997259966</v>
      </c>
      <c r="AO94" s="37">
        <f t="shared" si="265"/>
        <v>0.7495889948</v>
      </c>
      <c r="AP94" s="36">
        <f t="shared" ref="AP94:AQ94" si="266">SUM(T89)</f>
        <v>300.855116</v>
      </c>
      <c r="AQ94" s="36">
        <f t="shared" si="266"/>
        <v>6.401172682</v>
      </c>
      <c r="AR94" s="32">
        <f t="shared" si="267"/>
        <v>142.0425532</v>
      </c>
    </row>
    <row r="95" ht="15.75" customHeight="1">
      <c r="A95" s="21"/>
      <c r="B95" s="38">
        <v>9.0</v>
      </c>
      <c r="C95" s="38" t="s">
        <v>36</v>
      </c>
      <c r="D95" s="57">
        <v>24.0</v>
      </c>
      <c r="E95" s="40">
        <f>IFERROR(__xludf.DUMMYFUNCTION("COUNT(IMPORTRANGE(""https://docs.google.com/spreadsheets/d/1WJJVq25XDtGjt-J2JPxeKs3jIvDZtkIREC0lFPXwf74/edit"",""4!d2:d31""))"),24.0)</f>
        <v>24</v>
      </c>
      <c r="F95" s="45">
        <f>IFERROR(__xludf.DUMMYFUNCTION("SUM(IMPORTRANGE(""https://docs.google.com/spreadsheets/d/1WJJVq25XDtGjt-J2JPxeKs3jIvDZtkIREC0lFPXwf74/edit"",""4!Q2:Q31""))"),4689.870999999998)</f>
        <v>4689.871</v>
      </c>
      <c r="G95" s="40">
        <f>IFERROR(__xludf.DUMMYFUNCTION("IMPORTRANGE(""https://docs.google.com/spreadsheets/d/1WJJVq25XDtGjt-J2JPxeKs3jIvDZtkIREC0lFPXwf74/edit"",""4!e38"")"),1091.0)</f>
        <v>1091</v>
      </c>
      <c r="H95" s="40">
        <f>IFERROR(__xludf.DUMMYFUNCTION("IMPORTRANGE(""https://docs.google.com/spreadsheets/d/1WJJVq25XDtGjt-J2JPxeKs3jIvDZtkIREC0lFPXwf74/edit"",""4!e39"")"),0.0)</f>
        <v>0</v>
      </c>
      <c r="I95" s="40">
        <f t="shared" si="240"/>
        <v>1091</v>
      </c>
      <c r="J95" s="40">
        <f>IFERROR(__xludf.DUMMYFUNCTION("IMPORTRANGE(""https://docs.google.com/spreadsheets/d/1WJJVq25XDtGjt-J2JPxeKs3jIvDZtkIREC0lFPXwf74/edit"",""4!e42"")"),1562.0)</f>
        <v>1562</v>
      </c>
      <c r="K95" s="40">
        <f>IFERROR(__xludf.DUMMYFUNCTION("IMPORTRANGE(""https://docs.google.com/spreadsheets/d/1WJJVq25XDtGjt-J2JPxeKs3jIvDZtkIREC0lFPXwf74/edit"",""4!e43"")"),0.0)</f>
        <v>0</v>
      </c>
      <c r="L95" s="40">
        <f t="shared" ref="L95:L104" si="270">SUM(J95:K95)</f>
        <v>1562</v>
      </c>
      <c r="M95" s="40">
        <f t="shared" si="242"/>
        <v>2653</v>
      </c>
      <c r="N95" s="41">
        <f t="shared" si="243"/>
        <v>195.4112917</v>
      </c>
      <c r="O95" s="38">
        <v>4796.0</v>
      </c>
      <c r="P95" s="42">
        <f t="shared" si="244"/>
        <v>0.5531693078</v>
      </c>
      <c r="Q95" s="43">
        <v>1.5</v>
      </c>
      <c r="R95" s="42">
        <f t="shared" si="245"/>
        <v>0.3771248008</v>
      </c>
      <c r="S95" s="44">
        <f t="shared" si="246"/>
        <v>0.5656872012</v>
      </c>
      <c r="T95" s="43">
        <f>F95/37.414</f>
        <v>125.3506976</v>
      </c>
      <c r="U95" s="43">
        <f t="shared" si="247"/>
        <v>5.222945733</v>
      </c>
      <c r="V95" s="40">
        <f t="shared" si="248"/>
        <v>110.5416667</v>
      </c>
      <c r="X95" s="22">
        <v>3.0</v>
      </c>
      <c r="Y95" s="22" t="s">
        <v>34</v>
      </c>
      <c r="Z95" s="22">
        <f t="shared" ref="Z95:AI95" si="268">SUM(D91)</f>
        <v>32</v>
      </c>
      <c r="AA95" s="23">
        <f t="shared" si="268"/>
        <v>31</v>
      </c>
      <c r="AB95" s="24">
        <f t="shared" si="268"/>
        <v>5909.646</v>
      </c>
      <c r="AC95" s="23">
        <f t="shared" si="268"/>
        <v>1750</v>
      </c>
      <c r="AD95" s="23">
        <f t="shared" si="268"/>
        <v>0</v>
      </c>
      <c r="AE95" s="23">
        <f t="shared" si="268"/>
        <v>1750</v>
      </c>
      <c r="AF95" s="23">
        <f t="shared" si="268"/>
        <v>2688</v>
      </c>
      <c r="AG95" s="23">
        <f t="shared" si="268"/>
        <v>75</v>
      </c>
      <c r="AH95" s="23">
        <f t="shared" si="268"/>
        <v>2763</v>
      </c>
      <c r="AI95" s="23">
        <f t="shared" si="268"/>
        <v>4513</v>
      </c>
      <c r="AJ95" s="25">
        <f t="shared" si="260"/>
        <v>190.6337419</v>
      </c>
      <c r="AK95" s="22">
        <f>SUM(O91)</f>
        <v>9354</v>
      </c>
      <c r="AL95" s="26">
        <f t="shared" si="262"/>
        <v>0.4824673936</v>
      </c>
      <c r="AM95" s="27">
        <f>SUM(Q91)</f>
        <v>1.5</v>
      </c>
      <c r="AN95" s="26">
        <f t="shared" si="264"/>
        <v>0.5091111492</v>
      </c>
      <c r="AO95" s="28">
        <f t="shared" si="265"/>
        <v>0.7636667239</v>
      </c>
      <c r="AP95" s="27">
        <f t="shared" ref="AP95:AQ95" si="269">SUM(T91)</f>
        <v>192.4151337</v>
      </c>
      <c r="AQ95" s="27">
        <f t="shared" si="269"/>
        <v>6.206939795</v>
      </c>
      <c r="AR95" s="23">
        <f t="shared" si="267"/>
        <v>145.5806452</v>
      </c>
    </row>
    <row r="96" ht="15.75" customHeight="1">
      <c r="A96" s="21"/>
      <c r="B96" s="38">
        <v>10.0</v>
      </c>
      <c r="C96" s="38" t="s">
        <v>37</v>
      </c>
      <c r="D96" s="39">
        <v>24.0</v>
      </c>
      <c r="E96" s="40">
        <f>IFERROR(__xludf.DUMMYFUNCTION("COUNT(IMPORTRANGE(""https://docs.google.com/spreadsheets/d/1rJyYfywRpWJW0zvDJHLOJtqUQqffoCGaqTVxxTDgV0k/edit"",""4!d2:d31""))"),23.0)</f>
        <v>23</v>
      </c>
      <c r="F96" s="45">
        <f>IFERROR(__xludf.DUMMYFUNCTION("SUM(IMPORTRANGE(""https://docs.google.com/spreadsheets/d/1rJyYfywRpWJW0zvDJHLOJtqUQqffoCGaqTVxxTDgV0k/edit"",""4!Q2:Q31""))"),4509.522000000003)</f>
        <v>4509.522</v>
      </c>
      <c r="G96" s="40">
        <f>IFERROR(__xludf.DUMMYFUNCTION("(IMPORTRANGE(""https://docs.google.com/spreadsheets/d/1rJyYfywRpWJW0zvDJHLOJtqUQqffoCGaqTVxxTDgV0k/edit"",""4!e38""))"),1313.0)</f>
        <v>1313</v>
      </c>
      <c r="H96" s="40">
        <f>IFERROR(__xludf.DUMMYFUNCTION("(IMPORTRANGE(""https://docs.google.com/spreadsheets/d/1rJyYfywRpWJW0zvDJHLOJtqUQqffoCGaqTVxxTDgV0k/edit"",""4!e39""))"),0.0)</f>
        <v>0</v>
      </c>
      <c r="I96" s="40">
        <f t="shared" si="240"/>
        <v>1313</v>
      </c>
      <c r="J96" s="40">
        <f>IFERROR(__xludf.DUMMYFUNCTION("(IMPORTRANGE(""https://docs.google.com/spreadsheets/d/1rJyYfywRpWJW0zvDJHLOJtqUQqffoCGaqTVxxTDgV0k/edit"",""4!e42""))"),2246.0)</f>
        <v>2246</v>
      </c>
      <c r="K96" s="40">
        <f>IFERROR(__xludf.DUMMYFUNCTION("(IMPORTRANGE(""https://docs.google.com/spreadsheets/d/1rJyYfywRpWJW0zvDJHLOJtqUQqffoCGaqTVxxTDgV0k/edit"",""4!e43""))"),68.0)</f>
        <v>68</v>
      </c>
      <c r="L96" s="40">
        <f t="shared" si="270"/>
        <v>2314</v>
      </c>
      <c r="M96" s="40">
        <f t="shared" si="242"/>
        <v>3627</v>
      </c>
      <c r="N96" s="41">
        <f t="shared" si="243"/>
        <v>196.0661739</v>
      </c>
      <c r="O96" s="38">
        <v>5887.0</v>
      </c>
      <c r="P96" s="42">
        <f t="shared" si="244"/>
        <v>0.6161032784</v>
      </c>
      <c r="Q96" s="43">
        <v>1.5</v>
      </c>
      <c r="R96" s="42">
        <f t="shared" si="245"/>
        <v>0.5361987368</v>
      </c>
      <c r="S96" s="44">
        <f t="shared" si="246"/>
        <v>0.8042981052</v>
      </c>
      <c r="T96" s="43">
        <f>F96/24.792</f>
        <v>181.8942401</v>
      </c>
      <c r="U96" s="43">
        <f t="shared" si="247"/>
        <v>7.908445221</v>
      </c>
      <c r="V96" s="40">
        <f t="shared" si="248"/>
        <v>157.6956522</v>
      </c>
      <c r="X96" s="31">
        <v>4.0</v>
      </c>
      <c r="Y96" s="31" t="s">
        <v>38</v>
      </c>
      <c r="Z96" s="31">
        <f t="shared" ref="Z96:AI96" si="271">SUM(D99)</f>
        <v>24</v>
      </c>
      <c r="AA96" s="32">
        <f t="shared" si="271"/>
        <v>23</v>
      </c>
      <c r="AB96" s="33">
        <f t="shared" si="271"/>
        <v>4573.755</v>
      </c>
      <c r="AC96" s="32">
        <f t="shared" si="271"/>
        <v>1457</v>
      </c>
      <c r="AD96" s="32">
        <f t="shared" si="271"/>
        <v>140</v>
      </c>
      <c r="AE96" s="32">
        <f t="shared" si="271"/>
        <v>1597</v>
      </c>
      <c r="AF96" s="32">
        <f t="shared" si="271"/>
        <v>2262</v>
      </c>
      <c r="AG96" s="32">
        <f t="shared" si="271"/>
        <v>0</v>
      </c>
      <c r="AH96" s="32">
        <f t="shared" si="271"/>
        <v>2262</v>
      </c>
      <c r="AI96" s="32">
        <f t="shared" si="271"/>
        <v>3859</v>
      </c>
      <c r="AJ96" s="34">
        <f t="shared" si="260"/>
        <v>198.858913</v>
      </c>
      <c r="AK96" s="31">
        <v>7324.0</v>
      </c>
      <c r="AL96" s="35">
        <f t="shared" si="262"/>
        <v>0.52689787</v>
      </c>
      <c r="AM96" s="36">
        <f>SUM(Q99)</f>
        <v>1.5</v>
      </c>
      <c r="AN96" s="35">
        <f t="shared" si="264"/>
        <v>0.5624845814</v>
      </c>
      <c r="AO96" s="37">
        <f t="shared" si="265"/>
        <v>0.8437268721</v>
      </c>
      <c r="AP96" s="36">
        <f t="shared" ref="AP96:AQ96" si="272">SUM(T99)</f>
        <v>111</v>
      </c>
      <c r="AQ96" s="36">
        <f t="shared" si="272"/>
        <v>4.826086957</v>
      </c>
      <c r="AR96" s="32">
        <f t="shared" si="267"/>
        <v>167.7826087</v>
      </c>
    </row>
    <row r="97" ht="15.75" customHeight="1">
      <c r="A97" s="21"/>
      <c r="B97" s="38">
        <v>12.0</v>
      </c>
      <c r="C97" s="38" t="s">
        <v>39</v>
      </c>
      <c r="D97" s="39">
        <v>22.0</v>
      </c>
      <c r="E97" s="40">
        <f>IFERROR(__xludf.DUMMYFUNCTION("COUNT(IMPORTRANGE(""https://docs.google.com/spreadsheets/d/1uaTn2DZCfr7O1PvovOd0wElzVz8kpl_iPfnrkNPp0Is/edit"",""4!d2:d29""))"),22.0)</f>
        <v>22</v>
      </c>
      <c r="F97" s="45">
        <f>IFERROR(__xludf.DUMMYFUNCTION("SUM(IMPORTRANGE(""https://docs.google.com/spreadsheets/d/1uaTn2DZCfr7O1PvovOd0wElzVz8kpl_iPfnrkNPp0Is/edit"",""4!Q2:Q29""))"),4126.353000000001)</f>
        <v>4126.353</v>
      </c>
      <c r="G97" s="40">
        <f>IFERROR(__xludf.DUMMYFUNCTION("IMPORTRANGE(""https://docs.google.com/spreadsheets/d/1uaTn2DZCfr7O1PvovOd0wElzVz8kpl_iPfnrkNPp0Is/edit"",""4!e36"")"),955.0)</f>
        <v>955</v>
      </c>
      <c r="H97" s="40">
        <f>IFERROR(__xludf.DUMMYFUNCTION("(IMPORTRANGE(""https://docs.google.com/spreadsheets/d/1uaTn2DZCfr7O1PvovOd0wElzVz8kpl_iPfnrkNPp0Is/edit"",""4!e37""))"),111.0)</f>
        <v>111</v>
      </c>
      <c r="I97" s="40">
        <f t="shared" si="240"/>
        <v>1066</v>
      </c>
      <c r="J97" s="40">
        <f>IFERROR(__xludf.DUMMYFUNCTION("IMPORTRANGE(""https://docs.google.com/spreadsheets/d/1uaTn2DZCfr7O1PvovOd0wElzVz8kpl_iPfnrkNPp0Is/edit"",""4!e40"")"),1774.0)</f>
        <v>1774</v>
      </c>
      <c r="K97" s="40">
        <f>IFERROR(__xludf.DUMMYFUNCTION("IMPORTRANGE(""https://docs.google.com/spreadsheets/d/1uaTn2DZCfr7O1PvovOd0wElzVz8kpl_iPfnrkNPp0Is/edit"",""4!e41"")"),75.0)</f>
        <v>75</v>
      </c>
      <c r="L97" s="40">
        <f t="shared" si="270"/>
        <v>1849</v>
      </c>
      <c r="M97" s="40">
        <f t="shared" si="242"/>
        <v>2915</v>
      </c>
      <c r="N97" s="41">
        <f t="shared" si="243"/>
        <v>187.5615</v>
      </c>
      <c r="O97" s="38">
        <v>3569.0</v>
      </c>
      <c r="P97" s="42">
        <f t="shared" si="244"/>
        <v>0.8167553937</v>
      </c>
      <c r="Q97" s="43">
        <v>1.5</v>
      </c>
      <c r="R97" s="42">
        <f t="shared" si="245"/>
        <v>0.4709566373</v>
      </c>
      <c r="S97" s="44">
        <f t="shared" si="246"/>
        <v>0.706434956</v>
      </c>
      <c r="T97" s="43">
        <f>F97/21.463</f>
        <v>192.2542515</v>
      </c>
      <c r="U97" s="43">
        <f t="shared" si="247"/>
        <v>8.738829614</v>
      </c>
      <c r="V97" s="40">
        <f t="shared" si="248"/>
        <v>132.5</v>
      </c>
      <c r="X97" s="31">
        <v>5.0</v>
      </c>
      <c r="Y97" s="31" t="s">
        <v>40</v>
      </c>
      <c r="Z97" s="31">
        <f t="shared" ref="Z97:AI97" si="273">SUM(D101)</f>
        <v>24</v>
      </c>
      <c r="AA97" s="32">
        <f t="shared" si="273"/>
        <v>24</v>
      </c>
      <c r="AB97" s="33">
        <f t="shared" si="273"/>
        <v>4493.994</v>
      </c>
      <c r="AC97" s="32">
        <f t="shared" si="273"/>
        <v>2467</v>
      </c>
      <c r="AD97" s="32">
        <f t="shared" si="273"/>
        <v>16</v>
      </c>
      <c r="AE97" s="32">
        <f t="shared" si="273"/>
        <v>2483</v>
      </c>
      <c r="AF97" s="32">
        <f t="shared" si="273"/>
        <v>3091</v>
      </c>
      <c r="AG97" s="32">
        <f t="shared" si="273"/>
        <v>0</v>
      </c>
      <c r="AH97" s="32">
        <f t="shared" si="273"/>
        <v>3091</v>
      </c>
      <c r="AI97" s="32">
        <f t="shared" si="273"/>
        <v>5574</v>
      </c>
      <c r="AJ97" s="34">
        <f t="shared" si="260"/>
        <v>187.24975</v>
      </c>
      <c r="AK97" s="31">
        <f t="shared" ref="AK97:AK98" si="276">SUM(O101)</f>
        <v>8239</v>
      </c>
      <c r="AL97" s="35">
        <f t="shared" si="262"/>
        <v>0.6765384149</v>
      </c>
      <c r="AM97" s="36">
        <f t="shared" ref="AM97:AM98" si="277">SUM(Q101)</f>
        <v>1.5</v>
      </c>
      <c r="AN97" s="35">
        <f t="shared" si="264"/>
        <v>0.8268813888</v>
      </c>
      <c r="AO97" s="37">
        <f t="shared" si="265"/>
        <v>1.240322083</v>
      </c>
      <c r="AP97" s="36">
        <f t="shared" ref="AP97:AQ97" si="274">SUM(T101)</f>
        <v>158</v>
      </c>
      <c r="AQ97" s="36">
        <f t="shared" si="274"/>
        <v>6.583333333</v>
      </c>
      <c r="AR97" s="32">
        <f t="shared" si="267"/>
        <v>232.25</v>
      </c>
    </row>
    <row r="98" ht="15.75" customHeight="1">
      <c r="A98" s="21"/>
      <c r="B98" s="38">
        <v>12.0</v>
      </c>
      <c r="C98" s="38" t="s">
        <v>41</v>
      </c>
      <c r="D98" s="39">
        <v>20.0</v>
      </c>
      <c r="E98" s="40">
        <f>IFERROR(__xludf.DUMMYFUNCTION("COUNT(IMPORTRANGE(""https://docs.google.com/spreadsheets/d/1oYscvfOJW7GMkxt8QcupWuzb3ohaYePd3Mt2V2ufHok/edit"",""4!d2:d25""))"),20.0)</f>
        <v>20</v>
      </c>
      <c r="F98" s="45">
        <f>IFERROR(__xludf.DUMMYFUNCTION("SUM(IMPORTRANGE(""https://docs.google.com/spreadsheets/d/1oYscvfOJW7GMkxt8QcupWuzb3ohaYePd3Mt2V2ufHok/edit"",""4!Q2:Q25""))"),4006.364000000002)</f>
        <v>4006.364</v>
      </c>
      <c r="G98" s="40">
        <f>IFERROR(__xludf.DUMMYFUNCTION("IMPORTRANGE(""https://docs.google.com/spreadsheets/d/1oYscvfOJW7GMkxt8QcupWuzb3ohaYePd3Mt2V2ufHok/edit"",""4!e32"")"),901.0)</f>
        <v>901</v>
      </c>
      <c r="H98" s="40">
        <f>IFERROR(__xludf.DUMMYFUNCTION("IMPORTRANGE(""https://docs.google.com/spreadsheets/d/1oYscvfOJW7GMkxt8QcupWuzb3ohaYePd3Mt2V2ufHok/edit"",""4!e33"")"),0.0)</f>
        <v>0</v>
      </c>
      <c r="I98" s="40">
        <f t="shared" si="240"/>
        <v>901</v>
      </c>
      <c r="J98" s="40">
        <f>IFERROR(__xludf.DUMMYFUNCTION("IMPORTRANGE(""https://docs.google.com/spreadsheets/d/1oYscvfOJW7GMkxt8QcupWuzb3ohaYePd3Mt2V2ufHok/edit"",""4!e36"")"),1473.0)</f>
        <v>1473</v>
      </c>
      <c r="K98" s="40">
        <f>IFERROR(__xludf.DUMMYFUNCTION("IMPORTRANGE(""https://docs.google.com/spreadsheets/d/1oYscvfOJW7GMkxt8QcupWuzb3ohaYePd3Mt2V2ufHok/edit"",""4!e37"")"),0.0)</f>
        <v>0</v>
      </c>
      <c r="L98" s="40">
        <f t="shared" si="270"/>
        <v>1473</v>
      </c>
      <c r="M98" s="40">
        <f t="shared" si="242"/>
        <v>2374</v>
      </c>
      <c r="N98" s="41">
        <f t="shared" si="243"/>
        <v>200.3182</v>
      </c>
      <c r="O98" s="38">
        <v>3801.0</v>
      </c>
      <c r="P98" s="42">
        <f t="shared" si="244"/>
        <v>0.6245724809</v>
      </c>
      <c r="Q98" s="43">
        <v>1.5</v>
      </c>
      <c r="R98" s="42">
        <f t="shared" si="245"/>
        <v>0.395038161</v>
      </c>
      <c r="S98" s="44">
        <f t="shared" si="246"/>
        <v>0.5925572414</v>
      </c>
      <c r="T98" s="43">
        <f>F98/29.628</f>
        <v>135.2222222</v>
      </c>
      <c r="U98" s="43">
        <f t="shared" si="247"/>
        <v>6.761111111</v>
      </c>
      <c r="V98" s="40">
        <f t="shared" si="248"/>
        <v>118.7</v>
      </c>
      <c r="X98" s="22">
        <v>6.0</v>
      </c>
      <c r="Y98" s="22" t="s">
        <v>42</v>
      </c>
      <c r="Z98" s="22">
        <f t="shared" ref="Z98:AI98" si="275">SUM(D102)</f>
        <v>26</v>
      </c>
      <c r="AA98" s="23">
        <f t="shared" si="275"/>
        <v>26</v>
      </c>
      <c r="AB98" s="24">
        <f t="shared" si="275"/>
        <v>5178.69</v>
      </c>
      <c r="AC98" s="23">
        <f t="shared" si="275"/>
        <v>2258</v>
      </c>
      <c r="AD98" s="23">
        <f t="shared" si="275"/>
        <v>0</v>
      </c>
      <c r="AE98" s="23">
        <f t="shared" si="275"/>
        <v>2258</v>
      </c>
      <c r="AF98" s="23">
        <f t="shared" si="275"/>
        <v>3286</v>
      </c>
      <c r="AG98" s="23">
        <f t="shared" si="275"/>
        <v>0</v>
      </c>
      <c r="AH98" s="23">
        <f t="shared" si="275"/>
        <v>3286</v>
      </c>
      <c r="AI98" s="23">
        <f t="shared" si="275"/>
        <v>5544</v>
      </c>
      <c r="AJ98" s="25">
        <f t="shared" si="260"/>
        <v>199.1803846</v>
      </c>
      <c r="AK98" s="22">
        <f t="shared" si="276"/>
        <v>9877</v>
      </c>
      <c r="AL98" s="26">
        <f t="shared" si="262"/>
        <v>0.5613040397</v>
      </c>
      <c r="AM98" s="27">
        <f t="shared" si="277"/>
        <v>1.5</v>
      </c>
      <c r="AN98" s="26">
        <f t="shared" si="264"/>
        <v>0.7136940037</v>
      </c>
      <c r="AO98" s="28">
        <f t="shared" si="265"/>
        <v>1.070541006</v>
      </c>
      <c r="AP98" s="27">
        <f t="shared" ref="AP98:AQ98" si="278">SUM(T102)</f>
        <v>198</v>
      </c>
      <c r="AQ98" s="27">
        <f t="shared" si="278"/>
        <v>7.615384615</v>
      </c>
      <c r="AR98" s="23">
        <f t="shared" si="267"/>
        <v>213.2307692</v>
      </c>
    </row>
    <row r="99" ht="15.75" customHeight="1">
      <c r="A99" s="21"/>
      <c r="B99" s="38">
        <v>13.0</v>
      </c>
      <c r="C99" s="38" t="s">
        <v>43</v>
      </c>
      <c r="D99" s="39">
        <v>24.0</v>
      </c>
      <c r="E99" s="40">
        <f>IFERROR(__xludf.DUMMYFUNCTION("COUNT(IMPORTRANGE(""https://docs.google.com/spreadsheets/d/1AxBmuQEdOYAeRnZ4C8vO6kuTNp7X_SGhpLXuY0n4ln4/edit"",""4!d2:d31""))"),23.0)</f>
        <v>23</v>
      </c>
      <c r="F99" s="45">
        <f>IFERROR(__xludf.DUMMYFUNCTION("SUM(IMPORTRANGE(""https://docs.google.com/spreadsheets/d/1AxBmuQEdOYAeRnZ4C8vO6kuTNp7X_SGhpLXuY0n4ln4/edit"",""4!Q2:Q31""))"),4573.755)</f>
        <v>4573.755</v>
      </c>
      <c r="G99" s="40">
        <f>IFERROR(__xludf.DUMMYFUNCTION("IMPORTRANGE(""https://docs.google.com/spreadsheets/d/1AxBmuQEdOYAeRnZ4C8vO6kuTNp7X_SGhpLXuY0n4ln4/edit"",""4!e38"")"),1457.0)</f>
        <v>1457</v>
      </c>
      <c r="H99" s="40">
        <f>IFERROR(__xludf.DUMMYFUNCTION("IMPORTRANGE(""https://docs.google.com/spreadsheets/d/1AxBmuQEdOYAeRnZ4C8vO6kuTNp7X_SGhpLXuY0n4ln4/edit"",""4!e39"")"),140.0)</f>
        <v>140</v>
      </c>
      <c r="I99" s="40">
        <f t="shared" si="240"/>
        <v>1597</v>
      </c>
      <c r="J99" s="40">
        <f>IFERROR(__xludf.DUMMYFUNCTION("IMPORTRANGE(""https://docs.google.com/spreadsheets/d/1AxBmuQEdOYAeRnZ4C8vO6kuTNp7X_SGhpLXuY0n4ln4/edit"",""4!e42"")"),2262.0)</f>
        <v>2262</v>
      </c>
      <c r="K99" s="40">
        <f>IFERROR(__xludf.DUMMYFUNCTION("IMPORTRANGE(""https://docs.google.com/spreadsheets/d/1AxBmuQEdOYAeRnZ4C8vO6kuTNp7X_SGhpLXuY0n4ln4/edit"",""4!e43"")"),0.0)</f>
        <v>0</v>
      </c>
      <c r="L99" s="40">
        <f t="shared" si="270"/>
        <v>2262</v>
      </c>
      <c r="M99" s="40">
        <f t="shared" si="242"/>
        <v>3859</v>
      </c>
      <c r="N99" s="41">
        <f t="shared" si="243"/>
        <v>198.858913</v>
      </c>
      <c r="O99" s="38">
        <v>8345.0</v>
      </c>
      <c r="P99" s="42">
        <f t="shared" si="244"/>
        <v>0.4624325944</v>
      </c>
      <c r="Q99" s="43">
        <v>1.5</v>
      </c>
      <c r="R99" s="42">
        <f t="shared" si="245"/>
        <v>0.5624845814</v>
      </c>
      <c r="S99" s="44">
        <f t="shared" si="246"/>
        <v>0.8437268721</v>
      </c>
      <c r="T99" s="43">
        <f>F99/41.205</f>
        <v>111</v>
      </c>
      <c r="U99" s="43">
        <f t="shared" si="247"/>
        <v>4.826086957</v>
      </c>
      <c r="V99" s="40">
        <f t="shared" si="248"/>
        <v>167.7826087</v>
      </c>
      <c r="X99" s="46" t="s">
        <v>33</v>
      </c>
      <c r="Y99" s="46">
        <v>6.0</v>
      </c>
      <c r="Z99" s="46">
        <f t="shared" ref="Z99:AI99" si="279">SUM(Z93:Z98)</f>
        <v>180</v>
      </c>
      <c r="AA99" s="47">
        <f t="shared" si="279"/>
        <v>177</v>
      </c>
      <c r="AB99" s="49">
        <f t="shared" si="279"/>
        <v>34015.385</v>
      </c>
      <c r="AC99" s="47">
        <f t="shared" si="279"/>
        <v>12134</v>
      </c>
      <c r="AD99" s="47">
        <f t="shared" si="279"/>
        <v>194</v>
      </c>
      <c r="AE99" s="47">
        <f t="shared" si="279"/>
        <v>12328</v>
      </c>
      <c r="AF99" s="47">
        <f t="shared" si="279"/>
        <v>17431</v>
      </c>
      <c r="AG99" s="47">
        <f t="shared" si="279"/>
        <v>318</v>
      </c>
      <c r="AH99" s="47">
        <f t="shared" si="279"/>
        <v>17749</v>
      </c>
      <c r="AI99" s="47">
        <f t="shared" si="279"/>
        <v>30077</v>
      </c>
      <c r="AJ99" s="49">
        <f t="shared" si="260"/>
        <v>192.1773164</v>
      </c>
      <c r="AK99" s="46">
        <f>SUM(AK93:AK98)</f>
        <v>53273</v>
      </c>
      <c r="AL99" s="50">
        <f t="shared" si="262"/>
        <v>0.5645824339</v>
      </c>
      <c r="AM99" s="51">
        <v>1.5</v>
      </c>
      <c r="AN99" s="50">
        <f t="shared" si="264"/>
        <v>0.5894783591</v>
      </c>
      <c r="AO99" s="52">
        <f t="shared" si="265"/>
        <v>0.8842175386</v>
      </c>
      <c r="AP99" s="51">
        <f>SUM(AP93:AP98)</f>
        <v>1120.579859</v>
      </c>
      <c r="AQ99" s="51">
        <f>AP99/AA99</f>
        <v>6.330959656</v>
      </c>
      <c r="AR99" s="47">
        <f t="shared" si="267"/>
        <v>169.9265537</v>
      </c>
    </row>
    <row r="100" ht="15.75" customHeight="1">
      <c r="A100" s="21"/>
      <c r="B100" s="38">
        <v>14.0</v>
      </c>
      <c r="C100" s="38" t="s">
        <v>27</v>
      </c>
      <c r="D100" s="39">
        <v>24.0</v>
      </c>
      <c r="E100" s="40">
        <f>IFERROR(__xludf.DUMMYFUNCTION("COUNT(IMPORTRANGE(""https://docs.google.com/spreadsheets/d/1LsL4JuXvBtfJ-TVi4NFml9lV_pmd61b789A_nbO-QrA/edit"",""4!d2:d31""))"),24.0)</f>
        <v>24</v>
      </c>
      <c r="F100" s="45">
        <f>IFERROR(__xludf.DUMMYFUNCTION("SUM(IMPORTRANGE(""https://docs.google.com/spreadsheets/d/1LsL4JuXvBtfJ-TVi4NFml9lV_pmd61b789A_nbO-QrA/edit"",""4!Q2:Q31""))"),4132.788)</f>
        <v>4132.788</v>
      </c>
      <c r="G100" s="40">
        <f>IFERROR(__xludf.DUMMYFUNCTION("IMPORTRANGE(""https://docs.google.com/spreadsheets/d/1LsL4JuXvBtfJ-TVi4NFml9lV_pmd61b789A_nbO-QrA/edit"",""4!e38"")"),1503.0)</f>
        <v>1503</v>
      </c>
      <c r="H100" s="40">
        <f>IFERROR(__xludf.DUMMYFUNCTION("IMPORTRANGE(""https://docs.google.com/spreadsheets/d/1LsL4JuXvBtfJ-TVi4NFml9lV_pmd61b789A_nbO-QrA/edit"",""4!e39"")"),85.0)</f>
        <v>85</v>
      </c>
      <c r="I100" s="40">
        <f t="shared" si="240"/>
        <v>1588</v>
      </c>
      <c r="J100" s="40">
        <f>IFERROR(__xludf.DUMMYFUNCTION("IMPORTRANGE(""https://docs.google.com/spreadsheets/d/1LsL4JuXvBtfJ-TVi4NFml9lV_pmd61b789A_nbO-QrA/edit"",""4!e42"")"),1742.0)</f>
        <v>1742</v>
      </c>
      <c r="K100" s="40">
        <f>IFERROR(__xludf.DUMMYFUNCTION("IMPORTRANGE(""https://docs.google.com/spreadsheets/d/1LsL4JuXvBtfJ-TVi4NFml9lV_pmd61b789A_nbO-QrA/edit"",""4!e43"")"),79.0)</f>
        <v>79</v>
      </c>
      <c r="L100" s="40">
        <f t="shared" si="270"/>
        <v>1821</v>
      </c>
      <c r="M100" s="40">
        <f t="shared" si="242"/>
        <v>3409</v>
      </c>
      <c r="N100" s="41">
        <f t="shared" si="243"/>
        <v>172.1995</v>
      </c>
      <c r="O100" s="38">
        <v>8101.0</v>
      </c>
      <c r="P100" s="42">
        <f t="shared" si="244"/>
        <v>0.4208122454</v>
      </c>
      <c r="Q100" s="43">
        <v>1.5</v>
      </c>
      <c r="R100" s="42">
        <f t="shared" si="245"/>
        <v>0.5499112625</v>
      </c>
      <c r="S100" s="44">
        <f t="shared" si="246"/>
        <v>0.8248668937</v>
      </c>
      <c r="T100" s="43">
        <f>F100/19.985</f>
        <v>206.7944959</v>
      </c>
      <c r="U100" s="43">
        <f t="shared" si="247"/>
        <v>8.616437328</v>
      </c>
      <c r="V100" s="40">
        <f t="shared" si="248"/>
        <v>142.0416667</v>
      </c>
      <c r="X100" s="59" t="s">
        <v>44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6"/>
    </row>
    <row r="101" ht="15.75" customHeight="1">
      <c r="A101" s="21"/>
      <c r="B101" s="38">
        <v>15.0</v>
      </c>
      <c r="C101" s="38" t="s">
        <v>40</v>
      </c>
      <c r="D101" s="39">
        <v>24.0</v>
      </c>
      <c r="E101" s="40">
        <f>IFERROR(__xludf.DUMMYFUNCTION("COUNT(IMPORTRANGE(""https://docs.google.com/spreadsheets/d/1Krav0MVlY0vbUNsFRDnb_kR72_tyuGnWBYbGjNZrl18/edit"",""4!d2:d31""))"),24.0)</f>
        <v>24</v>
      </c>
      <c r="F101" s="45">
        <f>IFERROR(__xludf.DUMMYFUNCTION("SUM(IMPORTRANGE(""https://docs.google.com/spreadsheets/d/1Krav0MVlY0vbUNsFRDnb_kR72_tyuGnWBYbGjNZrl18/edit"",""4!Q2:Q31""))"),4493.994000000001)</f>
        <v>4493.994</v>
      </c>
      <c r="G101" s="40">
        <f>IFERROR(__xludf.DUMMYFUNCTION("IMPORTRANGE(""https://docs.google.com/spreadsheets/d/1Krav0MVlY0vbUNsFRDnb_kR72_tyuGnWBYbGjNZrl18/edit"",""4!e38"")"),2467.0)</f>
        <v>2467</v>
      </c>
      <c r="H101" s="40">
        <f>IFERROR(__xludf.DUMMYFUNCTION("IMPORTRANGE(""https://docs.google.com/spreadsheets/d/1Krav0MVlY0vbUNsFRDnb_kR72_tyuGnWBYbGjNZrl18/edit"",""4!e39"")"),16.0)</f>
        <v>16</v>
      </c>
      <c r="I101" s="40">
        <f t="shared" si="240"/>
        <v>2483</v>
      </c>
      <c r="J101" s="40">
        <f>IFERROR(__xludf.DUMMYFUNCTION("IMPORTRANGE(""https://docs.google.com/spreadsheets/d/1Krav0MVlY0vbUNsFRDnb_kR72_tyuGnWBYbGjNZrl18/edit"",""4!e42"")"),3091.0)</f>
        <v>3091</v>
      </c>
      <c r="K101" s="40">
        <f>IFERROR(__xludf.DUMMYFUNCTION("IMPORTRANGE(""https://docs.google.com/spreadsheets/d/1Krav0MVlY0vbUNsFRDnb_kR72_tyuGnWBYbGjNZrl18/edit"",""4!e43"")"),0.0)</f>
        <v>0</v>
      </c>
      <c r="L101" s="40">
        <f t="shared" si="270"/>
        <v>3091</v>
      </c>
      <c r="M101" s="40">
        <f t="shared" si="242"/>
        <v>5574</v>
      </c>
      <c r="N101" s="41">
        <f t="shared" si="243"/>
        <v>187.24975</v>
      </c>
      <c r="O101" s="38">
        <v>8239.0</v>
      </c>
      <c r="P101" s="42">
        <f t="shared" si="244"/>
        <v>0.6765384149</v>
      </c>
      <c r="Q101" s="43">
        <v>1.5</v>
      </c>
      <c r="R101" s="42">
        <f t="shared" si="245"/>
        <v>0.8268813888</v>
      </c>
      <c r="S101" s="44">
        <f t="shared" si="246"/>
        <v>1.240322083</v>
      </c>
      <c r="T101" s="43">
        <f>F101/28.443</f>
        <v>158</v>
      </c>
      <c r="U101" s="43">
        <f t="shared" si="247"/>
        <v>6.583333333</v>
      </c>
      <c r="V101" s="40">
        <f t="shared" si="248"/>
        <v>232.25</v>
      </c>
      <c r="X101" s="14" t="s">
        <v>2</v>
      </c>
      <c r="Y101" s="14" t="s">
        <v>3</v>
      </c>
      <c r="Z101" s="14" t="s">
        <v>4</v>
      </c>
      <c r="AA101" s="14" t="s">
        <v>5</v>
      </c>
      <c r="AB101" s="15" t="s">
        <v>6</v>
      </c>
      <c r="AC101" s="14" t="s">
        <v>7</v>
      </c>
      <c r="AD101" s="14" t="s">
        <v>8</v>
      </c>
      <c r="AE101" s="14" t="s">
        <v>9</v>
      </c>
      <c r="AF101" s="14" t="s">
        <v>10</v>
      </c>
      <c r="AG101" s="14" t="s">
        <v>11</v>
      </c>
      <c r="AH101" s="14" t="s">
        <v>12</v>
      </c>
      <c r="AI101" s="14" t="s">
        <v>13</v>
      </c>
      <c r="AJ101" s="15" t="s">
        <v>14</v>
      </c>
      <c r="AK101" s="14" t="s">
        <v>15</v>
      </c>
      <c r="AL101" s="14" t="s">
        <v>16</v>
      </c>
      <c r="AM101" s="16" t="s">
        <v>17</v>
      </c>
      <c r="AN101" s="17" t="s">
        <v>18</v>
      </c>
      <c r="AO101" s="18" t="s">
        <v>19</v>
      </c>
      <c r="AP101" s="19" t="s">
        <v>20</v>
      </c>
      <c r="AQ101" s="19" t="s">
        <v>21</v>
      </c>
      <c r="AR101" s="20" t="s">
        <v>22</v>
      </c>
    </row>
    <row r="102" ht="15.75" customHeight="1">
      <c r="A102" s="21"/>
      <c r="B102" s="38">
        <v>16.0</v>
      </c>
      <c r="C102" s="38" t="s">
        <v>42</v>
      </c>
      <c r="D102" s="39">
        <v>26.0</v>
      </c>
      <c r="E102" s="40">
        <f>IFERROR(__xludf.DUMMYFUNCTION("COUNT(IMPORTRANGE(""https://docs.google.com/spreadsheets/d/1uXtm-E8PG0CetlFmSpTX3RK0LNEMnpR-mxbET9AGD6w/edit"",""4!d2:d34""))"),26.0)</f>
        <v>26</v>
      </c>
      <c r="F102" s="45">
        <f>IFERROR(__xludf.DUMMYFUNCTION("SUM(IMPORTRANGE(""https://docs.google.com/spreadsheets/d/1uXtm-E8PG0CetlFmSpTX3RK0LNEMnpR-mxbET9AGD6w/edit"",""4!Q2:Q34""))"),5178.689999999998)</f>
        <v>5178.69</v>
      </c>
      <c r="G102" s="40">
        <f>IFERROR(__xludf.DUMMYFUNCTION("IMPORTRANGE(""https://docs.google.com/spreadsheets/d/1uXtm-E8PG0CetlFmSpTX3RK0LNEMnpR-mxbET9AGD6w/edit"",""4!e41"")"),2258.0)</f>
        <v>2258</v>
      </c>
      <c r="H102" s="40">
        <f>IFERROR(__xludf.DUMMYFUNCTION("IMPORTRANGE(""https://docs.google.com/spreadsheets/d/1uXtm-E8PG0CetlFmSpTX3RK0LNEMnpR-mxbET9AGD6w/edit"",""4!e42"")"),0.0)</f>
        <v>0</v>
      </c>
      <c r="I102" s="40">
        <f t="shared" si="240"/>
        <v>2258</v>
      </c>
      <c r="J102" s="40">
        <f>IFERROR(__xludf.DUMMYFUNCTION("IMPORTRANGE(""https://docs.google.com/spreadsheets/d/1uXtm-E8PG0CetlFmSpTX3RK0LNEMnpR-mxbET9AGD6w/edit"",""4!e45"")"),3286.0)</f>
        <v>3286</v>
      </c>
      <c r="K102" s="40">
        <f>IFERROR(__xludf.DUMMYFUNCTION("IMPORTRANGE(""https://docs.google.com/spreadsheets/d/1uXtm-E8PG0CetlFmSpTX3RK0LNEMnpR-mxbET9AGD6w/edit"",""4!e46"")"),0.0)</f>
        <v>0</v>
      </c>
      <c r="L102" s="40">
        <f t="shared" si="270"/>
        <v>3286</v>
      </c>
      <c r="M102" s="40">
        <f t="shared" si="242"/>
        <v>5544</v>
      </c>
      <c r="N102" s="41">
        <f t="shared" si="243"/>
        <v>199.1803846</v>
      </c>
      <c r="O102" s="38">
        <v>9877.0</v>
      </c>
      <c r="P102" s="42">
        <f t="shared" si="244"/>
        <v>0.5613040397</v>
      </c>
      <c r="Q102" s="43">
        <v>1.5</v>
      </c>
      <c r="R102" s="42">
        <f t="shared" si="245"/>
        <v>0.7136940037</v>
      </c>
      <c r="S102" s="44">
        <f t="shared" si="246"/>
        <v>1.070541006</v>
      </c>
      <c r="T102" s="43">
        <f>F102/26.155</f>
        <v>198</v>
      </c>
      <c r="U102" s="43">
        <f t="shared" si="247"/>
        <v>7.615384615</v>
      </c>
      <c r="V102" s="40">
        <f t="shared" si="248"/>
        <v>213.2307692</v>
      </c>
      <c r="X102" s="31">
        <v>1.0</v>
      </c>
      <c r="Y102" s="31" t="s">
        <v>26</v>
      </c>
      <c r="Z102" s="31">
        <f t="shared" ref="Z102:AI102" si="280">SUM(D87)</f>
        <v>16</v>
      </c>
      <c r="AA102" s="32">
        <f t="shared" si="280"/>
        <v>16</v>
      </c>
      <c r="AB102" s="34">
        <f t="shared" si="280"/>
        <v>3063.723</v>
      </c>
      <c r="AC102" s="32">
        <f t="shared" si="280"/>
        <v>1422</v>
      </c>
      <c r="AD102" s="32">
        <f t="shared" si="280"/>
        <v>107</v>
      </c>
      <c r="AE102" s="32">
        <f t="shared" si="280"/>
        <v>1529</v>
      </c>
      <c r="AF102" s="32">
        <f t="shared" si="280"/>
        <v>1158</v>
      </c>
      <c r="AG102" s="32">
        <f t="shared" si="280"/>
        <v>38</v>
      </c>
      <c r="AH102" s="32">
        <f t="shared" si="280"/>
        <v>1196</v>
      </c>
      <c r="AI102" s="32">
        <f t="shared" si="280"/>
        <v>2725</v>
      </c>
      <c r="AJ102" s="34">
        <f t="shared" ref="AJ102:AJ108" si="283">AB102/AA102</f>
        <v>191.4826875</v>
      </c>
      <c r="AK102" s="31">
        <f>SUM(O87)</f>
        <v>5161</v>
      </c>
      <c r="AL102" s="35">
        <f t="shared" ref="AL102:AL108" si="284">AI102/AK102</f>
        <v>0.5279984499</v>
      </c>
      <c r="AM102" s="36">
        <f>SUM(Q87)</f>
        <v>1.5</v>
      </c>
      <c r="AN102" s="35">
        <f t="shared" ref="AN102:AN108" si="285">AO102/AM102</f>
        <v>0.592960482</v>
      </c>
      <c r="AO102" s="37">
        <f t="shared" ref="AO102:AO108" si="286">AI102/AB102</f>
        <v>0.8894407229</v>
      </c>
      <c r="AP102" s="36">
        <f t="shared" ref="AP102:AQ102" si="281">SUM(T87)</f>
        <v>212.5371488</v>
      </c>
      <c r="AQ102" s="36">
        <f t="shared" si="281"/>
        <v>13.2835718</v>
      </c>
      <c r="AR102" s="32">
        <f t="shared" ref="AR102:AR108" si="288">AI102/AA102</f>
        <v>170.3125</v>
      </c>
    </row>
    <row r="103" ht="15.75" customHeight="1">
      <c r="A103" s="21"/>
      <c r="B103" s="38">
        <v>17.0</v>
      </c>
      <c r="C103" s="38" t="s">
        <v>29</v>
      </c>
      <c r="D103" s="39">
        <v>24.0</v>
      </c>
      <c r="E103" s="40">
        <f>IFERROR(__xludf.DUMMYFUNCTION("COUNT(IMPORTRANGE(""https://docs.google.com/spreadsheets/d/12xcKI0lSnAsjEsxfm9K8Qx0B_89Gzsh816mowItkQao/edit"",""4!d2:d31""))"),24.0)</f>
        <v>24</v>
      </c>
      <c r="F103" s="45">
        <f>IFERROR(__xludf.DUMMYFUNCTION("SUM(IMPORTRANGE(""https://docs.google.com/spreadsheets/d/12xcKI0lSnAsjEsxfm9K8Qx0B_89Gzsh816mowItkQao/edit"",""4!Q2:Q31""))"),4660.802000000001)</f>
        <v>4660.802</v>
      </c>
      <c r="G103" s="40">
        <f>IFERROR(__xludf.DUMMYFUNCTION("IMPORTRANGE(""https://docs.google.com/spreadsheets/d/12xcKI0lSnAsjEsxfm9K8Qx0B_89Gzsh816mowItkQao/edit"",""4!e38"")"),1292.0)</f>
        <v>1292</v>
      </c>
      <c r="H103" s="40">
        <f>IFERROR(__xludf.DUMMYFUNCTION("IMPORTRANGE(""https://docs.google.com/spreadsheets/d/12xcKI0lSnAsjEsxfm9K8Qx0B_89Gzsh816mowItkQao/edit"",""4!e39"")"),0.0)</f>
        <v>0</v>
      </c>
      <c r="I103" s="40">
        <f t="shared" si="240"/>
        <v>1292</v>
      </c>
      <c r="J103" s="40">
        <f>IFERROR(__xludf.DUMMYFUNCTION("IMPORTRANGE(""https://docs.google.com/spreadsheets/d/12xcKI0lSnAsjEsxfm9K8Qx0B_89Gzsh816mowItkQao/edit"",""4!e42"")"),3603.0)</f>
        <v>3603</v>
      </c>
      <c r="K103" s="40">
        <f>IFERROR(__xludf.DUMMYFUNCTION("IMPORTRANGE(""https://docs.google.com/spreadsheets/d/12xcKI0lSnAsjEsxfm9K8Qx0B_89Gzsh816mowItkQao/edit"",""4!e43"")"),0.0)</f>
        <v>0</v>
      </c>
      <c r="L103" s="40">
        <f t="shared" si="270"/>
        <v>3603</v>
      </c>
      <c r="M103" s="40">
        <f t="shared" si="242"/>
        <v>4895</v>
      </c>
      <c r="N103" s="41">
        <f t="shared" si="243"/>
        <v>194.2000833</v>
      </c>
      <c r="O103" s="38">
        <v>9201.0</v>
      </c>
      <c r="P103" s="42">
        <f t="shared" si="244"/>
        <v>0.5320073905</v>
      </c>
      <c r="Q103" s="43">
        <v>1.5</v>
      </c>
      <c r="R103" s="42">
        <f t="shared" si="245"/>
        <v>0.7001656224</v>
      </c>
      <c r="S103" s="44">
        <f t="shared" si="246"/>
        <v>1.050248434</v>
      </c>
      <c r="T103" s="43">
        <f>F103/26.038</f>
        <v>179</v>
      </c>
      <c r="U103" s="43">
        <f t="shared" si="247"/>
        <v>7.458333333</v>
      </c>
      <c r="V103" s="40">
        <f t="shared" si="248"/>
        <v>203.9583333</v>
      </c>
      <c r="X103" s="31">
        <v>2.0</v>
      </c>
      <c r="Y103" s="31" t="s">
        <v>32</v>
      </c>
      <c r="Z103" s="31">
        <f t="shared" ref="Z103:AI103" si="282">SUM(D90)</f>
        <v>33</v>
      </c>
      <c r="AA103" s="32">
        <f t="shared" si="282"/>
        <v>32</v>
      </c>
      <c r="AB103" s="33">
        <f t="shared" si="282"/>
        <v>6148.954</v>
      </c>
      <c r="AC103" s="31">
        <f t="shared" si="282"/>
        <v>3337</v>
      </c>
      <c r="AD103" s="31">
        <f t="shared" si="282"/>
        <v>50</v>
      </c>
      <c r="AE103" s="32">
        <f t="shared" si="282"/>
        <v>3387</v>
      </c>
      <c r="AF103" s="31">
        <f t="shared" si="282"/>
        <v>3342</v>
      </c>
      <c r="AG103" s="31">
        <f t="shared" si="282"/>
        <v>110</v>
      </c>
      <c r="AH103" s="32">
        <f t="shared" si="282"/>
        <v>3452</v>
      </c>
      <c r="AI103" s="32">
        <f t="shared" si="282"/>
        <v>6839</v>
      </c>
      <c r="AJ103" s="34">
        <f t="shared" si="283"/>
        <v>192.1548125</v>
      </c>
      <c r="AK103" s="31">
        <f>SUM(O90)</f>
        <v>13817</v>
      </c>
      <c r="AL103" s="35">
        <f t="shared" si="284"/>
        <v>0.4949699645</v>
      </c>
      <c r="AM103" s="36">
        <f>SUM(Q90)</f>
        <v>1.5</v>
      </c>
      <c r="AN103" s="35">
        <f t="shared" si="285"/>
        <v>0.7414811256</v>
      </c>
      <c r="AO103" s="37">
        <f t="shared" si="286"/>
        <v>1.112221688</v>
      </c>
      <c r="AP103" s="36">
        <f t="shared" ref="AP103:AQ103" si="287">SUM(T90)</f>
        <v>245.0856551</v>
      </c>
      <c r="AQ103" s="36">
        <f t="shared" si="287"/>
        <v>7.658926721</v>
      </c>
      <c r="AR103" s="32">
        <f t="shared" si="288"/>
        <v>213.71875</v>
      </c>
    </row>
    <row r="104" ht="15.75" customHeight="1">
      <c r="A104" s="21"/>
      <c r="B104" s="38">
        <v>18.0</v>
      </c>
      <c r="C104" s="38" t="s">
        <v>31</v>
      </c>
      <c r="D104" s="39">
        <v>12.0</v>
      </c>
      <c r="E104" s="40">
        <f>IFERROR(__xludf.DUMMYFUNCTION("COUNT(IMPORTRANGE(""https://docs.google.com/spreadsheets/d/1fgCFOFzOla4Qim6_-zG-lbYhLCItqv_kZiAHoErRgcM/edit"",""4!d2:d16""))"),11.0)</f>
        <v>11</v>
      </c>
      <c r="F104" s="41">
        <f>IFERROR(__xludf.DUMMYFUNCTION("SUM(IMPORTRANGE(""https://docs.google.com/spreadsheets/d/1fgCFOFzOla4Qim6_-zG-lbYhLCItqv_kZiAHoErRgcM/edit"",""4!Q2:Q16""))"),2129.785)</f>
        <v>2129.785</v>
      </c>
      <c r="G104" s="40">
        <f>IFERROR(__xludf.DUMMYFUNCTION("IMPORTRANGE(""https://docs.google.com/spreadsheets/d/1fgCFOFzOla4Qim6_-zG-lbYhLCItqv_kZiAHoErRgcM/edit"",""4!e23"")"),691.0)</f>
        <v>691</v>
      </c>
      <c r="H104" s="40">
        <f>IFERROR(__xludf.DUMMYFUNCTION("IMPORTRANGE(""https://docs.google.com/spreadsheets/d/1fgCFOFzOla4Qim6_-zG-lbYhLCItqv_kZiAHoErRgcM/edit"",""4!e24"")"),0.0)</f>
        <v>0</v>
      </c>
      <c r="I104" s="40">
        <f t="shared" si="240"/>
        <v>691</v>
      </c>
      <c r="J104" s="40">
        <f>IFERROR(__xludf.DUMMYFUNCTION("IMPORTRANGE(""https://docs.google.com/spreadsheets/d/1fgCFOFzOla4Qim6_-zG-lbYhLCItqv_kZiAHoErRgcM/edit"",""4!e27"")"),663.0)</f>
        <v>663</v>
      </c>
      <c r="K104" s="40">
        <f>IFERROR(__xludf.DUMMYFUNCTION("IMPORTRANGE(""https://docs.google.com/spreadsheets/d/1fgCFOFzOla4Qim6_-zG-lbYhLCItqv_kZiAHoErRgcM/edit"",""4!e28"")"),0.0)</f>
        <v>0</v>
      </c>
      <c r="L104" s="40">
        <f t="shared" si="270"/>
        <v>663</v>
      </c>
      <c r="M104" s="40">
        <f t="shared" si="242"/>
        <v>1354</v>
      </c>
      <c r="N104" s="41">
        <f t="shared" si="243"/>
        <v>193.6168182</v>
      </c>
      <c r="O104" s="38">
        <v>2717.0</v>
      </c>
      <c r="P104" s="42">
        <f t="shared" si="244"/>
        <v>0.4983437615</v>
      </c>
      <c r="Q104" s="43">
        <v>1.5</v>
      </c>
      <c r="R104" s="42">
        <f t="shared" si="245"/>
        <v>0.4238299484</v>
      </c>
      <c r="S104" s="44">
        <f t="shared" si="246"/>
        <v>0.6357449226</v>
      </c>
      <c r="T104" s="43">
        <f>F104/43.465</f>
        <v>49</v>
      </c>
      <c r="U104" s="43">
        <f t="shared" si="247"/>
        <v>4.454545455</v>
      </c>
      <c r="V104" s="40">
        <f t="shared" si="248"/>
        <v>123.0909091</v>
      </c>
      <c r="X104" s="31">
        <v>3.0</v>
      </c>
      <c r="Y104" s="31" t="s">
        <v>36</v>
      </c>
      <c r="Z104" s="31">
        <f t="shared" ref="Z104:AI104" si="289">SUM(D95)</f>
        <v>24</v>
      </c>
      <c r="AA104" s="32">
        <f t="shared" si="289"/>
        <v>24</v>
      </c>
      <c r="AB104" s="33">
        <f t="shared" si="289"/>
        <v>4689.871</v>
      </c>
      <c r="AC104" s="32">
        <f t="shared" si="289"/>
        <v>1091</v>
      </c>
      <c r="AD104" s="32">
        <f t="shared" si="289"/>
        <v>0</v>
      </c>
      <c r="AE104" s="32">
        <f t="shared" si="289"/>
        <v>1091</v>
      </c>
      <c r="AF104" s="32">
        <f t="shared" si="289"/>
        <v>1562</v>
      </c>
      <c r="AG104" s="32">
        <f t="shared" si="289"/>
        <v>0</v>
      </c>
      <c r="AH104" s="32">
        <f t="shared" si="289"/>
        <v>1562</v>
      </c>
      <c r="AI104" s="32">
        <f t="shared" si="289"/>
        <v>2653</v>
      </c>
      <c r="AJ104" s="34">
        <f t="shared" si="283"/>
        <v>195.4112917</v>
      </c>
      <c r="AK104" s="31">
        <f t="shared" ref="AK104:AK107" si="293">SUM(O95)</f>
        <v>4796</v>
      </c>
      <c r="AL104" s="35">
        <f t="shared" si="284"/>
        <v>0.5531693078</v>
      </c>
      <c r="AM104" s="36">
        <f t="shared" ref="AM104:AM107" si="294">SUM(Q95)</f>
        <v>1.5</v>
      </c>
      <c r="AN104" s="35">
        <f t="shared" si="285"/>
        <v>0.3771248008</v>
      </c>
      <c r="AO104" s="37">
        <f t="shared" si="286"/>
        <v>0.5656872012</v>
      </c>
      <c r="AP104" s="36">
        <f t="shared" ref="AP104:AQ104" si="290">SUM(T95)</f>
        <v>125.3506976</v>
      </c>
      <c r="AQ104" s="36">
        <f t="shared" si="290"/>
        <v>5.222945733</v>
      </c>
      <c r="AR104" s="32">
        <f t="shared" si="288"/>
        <v>110.5416667</v>
      </c>
    </row>
    <row r="105" ht="15.75" customHeight="1">
      <c r="A105" s="21"/>
      <c r="B105" s="60" t="s">
        <v>33</v>
      </c>
      <c r="C105" s="60">
        <v>18.0</v>
      </c>
      <c r="D105" s="60">
        <f t="shared" ref="D105:M105" si="291">SUM(D87:D104)</f>
        <v>471</v>
      </c>
      <c r="E105" s="61">
        <f t="shared" si="291"/>
        <v>464</v>
      </c>
      <c r="F105" s="62">
        <f t="shared" si="291"/>
        <v>88734.62</v>
      </c>
      <c r="G105" s="61">
        <f t="shared" si="291"/>
        <v>28398</v>
      </c>
      <c r="H105" s="61">
        <f t="shared" si="291"/>
        <v>823</v>
      </c>
      <c r="I105" s="61">
        <f t="shared" si="291"/>
        <v>29221</v>
      </c>
      <c r="J105" s="61">
        <f t="shared" si="291"/>
        <v>40234</v>
      </c>
      <c r="K105" s="61">
        <f t="shared" si="291"/>
        <v>967</v>
      </c>
      <c r="L105" s="61">
        <f t="shared" si="291"/>
        <v>41201</v>
      </c>
      <c r="M105" s="61">
        <f t="shared" si="291"/>
        <v>70422</v>
      </c>
      <c r="N105" s="62">
        <f t="shared" si="243"/>
        <v>191.2384052</v>
      </c>
      <c r="O105" s="60">
        <f>SUM(O87:O104)</f>
        <v>126399</v>
      </c>
      <c r="P105" s="63">
        <f t="shared" si="244"/>
        <v>0.5571404837</v>
      </c>
      <c r="Q105" s="64">
        <v>1.5</v>
      </c>
      <c r="R105" s="63">
        <f t="shared" si="245"/>
        <v>0.5290832372</v>
      </c>
      <c r="S105" s="65">
        <f t="shared" si="246"/>
        <v>0.7936248558</v>
      </c>
      <c r="T105" s="64">
        <f>SUM(T87:T104)</f>
        <v>3270.629203</v>
      </c>
      <c r="U105" s="64">
        <f t="shared" si="247"/>
        <v>7.048769833</v>
      </c>
      <c r="V105" s="61">
        <f t="shared" si="248"/>
        <v>151.7715517</v>
      </c>
      <c r="X105" s="31">
        <v>4.0</v>
      </c>
      <c r="Y105" s="31" t="s">
        <v>37</v>
      </c>
      <c r="Z105" s="31">
        <f t="shared" ref="Z105:AI105" si="292">SUM(D96)</f>
        <v>24</v>
      </c>
      <c r="AA105" s="32">
        <f t="shared" si="292"/>
        <v>23</v>
      </c>
      <c r="AB105" s="33">
        <f t="shared" si="292"/>
        <v>4509.522</v>
      </c>
      <c r="AC105" s="32">
        <f t="shared" si="292"/>
        <v>1313</v>
      </c>
      <c r="AD105" s="32">
        <f t="shared" si="292"/>
        <v>0</v>
      </c>
      <c r="AE105" s="32">
        <f t="shared" si="292"/>
        <v>1313</v>
      </c>
      <c r="AF105" s="32">
        <f t="shared" si="292"/>
        <v>2246</v>
      </c>
      <c r="AG105" s="32">
        <f t="shared" si="292"/>
        <v>68</v>
      </c>
      <c r="AH105" s="32">
        <f t="shared" si="292"/>
        <v>2314</v>
      </c>
      <c r="AI105" s="32">
        <f t="shared" si="292"/>
        <v>3627</v>
      </c>
      <c r="AJ105" s="34">
        <f t="shared" si="283"/>
        <v>196.0661739</v>
      </c>
      <c r="AK105" s="31">
        <f t="shared" si="293"/>
        <v>5887</v>
      </c>
      <c r="AL105" s="35">
        <f t="shared" si="284"/>
        <v>0.6161032784</v>
      </c>
      <c r="AM105" s="36">
        <f t="shared" si="294"/>
        <v>1.5</v>
      </c>
      <c r="AN105" s="35">
        <f t="shared" si="285"/>
        <v>0.5361987368</v>
      </c>
      <c r="AO105" s="37">
        <f t="shared" si="286"/>
        <v>0.8042981052</v>
      </c>
      <c r="AP105" s="36">
        <f t="shared" ref="AP105:AQ105" si="295">SUM(T96)</f>
        <v>181.8942401</v>
      </c>
      <c r="AQ105" s="36">
        <f t="shared" si="295"/>
        <v>7.908445221</v>
      </c>
      <c r="AR105" s="32">
        <f t="shared" si="288"/>
        <v>157.6956522</v>
      </c>
    </row>
    <row r="106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X106" s="31">
        <v>5.0</v>
      </c>
      <c r="Y106" s="31" t="s">
        <v>39</v>
      </c>
      <c r="Z106" s="31">
        <f t="shared" ref="Z106:AI106" si="296">SUM(D97)</f>
        <v>22</v>
      </c>
      <c r="AA106" s="32">
        <f t="shared" si="296"/>
        <v>22</v>
      </c>
      <c r="AB106" s="33">
        <f t="shared" si="296"/>
        <v>4126.353</v>
      </c>
      <c r="AC106" s="32">
        <f t="shared" si="296"/>
        <v>955</v>
      </c>
      <c r="AD106" s="32">
        <f t="shared" si="296"/>
        <v>111</v>
      </c>
      <c r="AE106" s="32">
        <f t="shared" si="296"/>
        <v>1066</v>
      </c>
      <c r="AF106" s="32">
        <f t="shared" si="296"/>
        <v>1774</v>
      </c>
      <c r="AG106" s="32">
        <f t="shared" si="296"/>
        <v>75</v>
      </c>
      <c r="AH106" s="32">
        <f t="shared" si="296"/>
        <v>1849</v>
      </c>
      <c r="AI106" s="32">
        <f t="shared" si="296"/>
        <v>2915</v>
      </c>
      <c r="AJ106" s="34">
        <f t="shared" si="283"/>
        <v>187.5615</v>
      </c>
      <c r="AK106" s="31">
        <f t="shared" si="293"/>
        <v>3569</v>
      </c>
      <c r="AL106" s="35">
        <f t="shared" si="284"/>
        <v>0.8167553937</v>
      </c>
      <c r="AM106" s="36">
        <f t="shared" si="294"/>
        <v>1.5</v>
      </c>
      <c r="AN106" s="35">
        <f t="shared" si="285"/>
        <v>0.4709566373</v>
      </c>
      <c r="AO106" s="37">
        <f t="shared" si="286"/>
        <v>0.706434956</v>
      </c>
      <c r="AP106" s="36">
        <f t="shared" ref="AP106:AQ106" si="297">SUM(T97)</f>
        <v>192.2542515</v>
      </c>
      <c r="AQ106" s="36">
        <f t="shared" si="297"/>
        <v>8.738829614</v>
      </c>
      <c r="AR106" s="32">
        <f t="shared" si="288"/>
        <v>132.5</v>
      </c>
    </row>
    <row r="107" ht="15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X107" s="31">
        <v>6.0</v>
      </c>
      <c r="Y107" s="31" t="s">
        <v>41</v>
      </c>
      <c r="Z107" s="31">
        <f t="shared" ref="Z107:AI107" si="298">SUM(D98)</f>
        <v>20</v>
      </c>
      <c r="AA107" s="32">
        <f t="shared" si="298"/>
        <v>20</v>
      </c>
      <c r="AB107" s="33">
        <f t="shared" si="298"/>
        <v>4006.364</v>
      </c>
      <c r="AC107" s="32">
        <f t="shared" si="298"/>
        <v>901</v>
      </c>
      <c r="AD107" s="32">
        <f t="shared" si="298"/>
        <v>0</v>
      </c>
      <c r="AE107" s="32">
        <f t="shared" si="298"/>
        <v>901</v>
      </c>
      <c r="AF107" s="32">
        <f t="shared" si="298"/>
        <v>1473</v>
      </c>
      <c r="AG107" s="32">
        <f t="shared" si="298"/>
        <v>0</v>
      </c>
      <c r="AH107" s="32">
        <f t="shared" si="298"/>
        <v>1473</v>
      </c>
      <c r="AI107" s="32">
        <f t="shared" si="298"/>
        <v>2374</v>
      </c>
      <c r="AJ107" s="34">
        <f t="shared" si="283"/>
        <v>200.3182</v>
      </c>
      <c r="AK107" s="31">
        <f t="shared" si="293"/>
        <v>3801</v>
      </c>
      <c r="AL107" s="35">
        <f t="shared" si="284"/>
        <v>0.6245724809</v>
      </c>
      <c r="AM107" s="36">
        <f t="shared" si="294"/>
        <v>1.5</v>
      </c>
      <c r="AN107" s="35">
        <f t="shared" si="285"/>
        <v>0.395038161</v>
      </c>
      <c r="AO107" s="37">
        <f t="shared" si="286"/>
        <v>0.5925572414</v>
      </c>
      <c r="AP107" s="36">
        <f t="shared" ref="AP107:AQ107" si="299">SUM(T98)</f>
        <v>135.2222222</v>
      </c>
      <c r="AQ107" s="36">
        <f t="shared" si="299"/>
        <v>6.761111111</v>
      </c>
      <c r="AR107" s="32">
        <f t="shared" si="288"/>
        <v>118.7</v>
      </c>
    </row>
    <row r="108" ht="15.75" customHeight="1">
      <c r="A108" s="1" t="s">
        <v>45</v>
      </c>
      <c r="D108" s="2"/>
      <c r="X108" s="46" t="s">
        <v>33</v>
      </c>
      <c r="Y108" s="46">
        <v>6.0</v>
      </c>
      <c r="Z108" s="46">
        <f t="shared" ref="Z108:AI108" si="300">SUM(Z102:Z107)</f>
        <v>139</v>
      </c>
      <c r="AA108" s="47">
        <f t="shared" si="300"/>
        <v>137</v>
      </c>
      <c r="AB108" s="49">
        <f t="shared" si="300"/>
        <v>26544.787</v>
      </c>
      <c r="AC108" s="47">
        <f t="shared" si="300"/>
        <v>9019</v>
      </c>
      <c r="AD108" s="47">
        <f t="shared" si="300"/>
        <v>268</v>
      </c>
      <c r="AE108" s="47">
        <f t="shared" si="300"/>
        <v>9287</v>
      </c>
      <c r="AF108" s="47">
        <f t="shared" si="300"/>
        <v>11555</v>
      </c>
      <c r="AG108" s="47">
        <f t="shared" si="300"/>
        <v>291</v>
      </c>
      <c r="AH108" s="47">
        <f t="shared" si="300"/>
        <v>11846</v>
      </c>
      <c r="AI108" s="47">
        <f t="shared" si="300"/>
        <v>21133</v>
      </c>
      <c r="AJ108" s="49">
        <f t="shared" si="283"/>
        <v>193.7575693</v>
      </c>
      <c r="AK108" s="46">
        <f>SUM(AK102:AK107)</f>
        <v>37031</v>
      </c>
      <c r="AL108" s="50">
        <f t="shared" si="284"/>
        <v>0.5706840215</v>
      </c>
      <c r="AM108" s="51">
        <v>1.5</v>
      </c>
      <c r="AN108" s="50">
        <f t="shared" si="285"/>
        <v>0.5307507899</v>
      </c>
      <c r="AO108" s="52">
        <f t="shared" si="286"/>
        <v>0.7961261848</v>
      </c>
      <c r="AP108" s="51">
        <f>SUM(AP102:AP107)</f>
        <v>1092.344215</v>
      </c>
      <c r="AQ108" s="51">
        <f>AP108/AA108</f>
        <v>7.97331544</v>
      </c>
      <c r="AR108" s="47">
        <f t="shared" si="288"/>
        <v>154.2554745</v>
      </c>
    </row>
    <row r="109" ht="15.75" customHeight="1">
      <c r="A109" s="1" t="s">
        <v>45</v>
      </c>
      <c r="D109" s="2"/>
      <c r="X109" s="66" t="s">
        <v>1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6"/>
    </row>
    <row r="110" ht="15.75" customHeight="1">
      <c r="A110" s="10">
        <v>46208.0</v>
      </c>
      <c r="B110" s="8" t="s">
        <v>2</v>
      </c>
      <c r="C110" s="8" t="s">
        <v>3</v>
      </c>
      <c r="D110" s="8" t="s">
        <v>4</v>
      </c>
      <c r="E110" s="8" t="s">
        <v>5</v>
      </c>
      <c r="F110" s="9" t="s">
        <v>6</v>
      </c>
      <c r="G110" s="8" t="s">
        <v>7</v>
      </c>
      <c r="H110" s="8" t="s">
        <v>8</v>
      </c>
      <c r="I110" s="8" t="s">
        <v>9</v>
      </c>
      <c r="J110" s="8" t="s">
        <v>10</v>
      </c>
      <c r="K110" s="8" t="s">
        <v>11</v>
      </c>
      <c r="L110" s="8" t="s">
        <v>12</v>
      </c>
      <c r="M110" s="8" t="s">
        <v>13</v>
      </c>
      <c r="N110" s="9" t="s">
        <v>14</v>
      </c>
      <c r="O110" s="8" t="s">
        <v>15</v>
      </c>
      <c r="P110" s="8" t="s">
        <v>16</v>
      </c>
      <c r="Q110" s="8" t="s">
        <v>17</v>
      </c>
      <c r="R110" s="8" t="s">
        <v>18</v>
      </c>
      <c r="S110" s="11" t="s">
        <v>19</v>
      </c>
      <c r="T110" s="12" t="s">
        <v>20</v>
      </c>
      <c r="U110" s="12" t="s">
        <v>21</v>
      </c>
      <c r="V110" s="13" t="s">
        <v>22</v>
      </c>
      <c r="X110" s="14" t="s">
        <v>2</v>
      </c>
      <c r="Y110" s="14" t="s">
        <v>3</v>
      </c>
      <c r="Z110" s="14" t="s">
        <v>4</v>
      </c>
      <c r="AA110" s="14" t="s">
        <v>5</v>
      </c>
      <c r="AB110" s="15" t="s">
        <v>6</v>
      </c>
      <c r="AC110" s="14" t="s">
        <v>7</v>
      </c>
      <c r="AD110" s="14" t="s">
        <v>8</v>
      </c>
      <c r="AE110" s="14" t="s">
        <v>9</v>
      </c>
      <c r="AF110" s="14" t="s">
        <v>10</v>
      </c>
      <c r="AG110" s="14" t="s">
        <v>11</v>
      </c>
      <c r="AH110" s="14" t="s">
        <v>12</v>
      </c>
      <c r="AI110" s="14" t="s">
        <v>13</v>
      </c>
      <c r="AJ110" s="15" t="s">
        <v>14</v>
      </c>
      <c r="AK110" s="14" t="s">
        <v>15</v>
      </c>
      <c r="AL110" s="14" t="s">
        <v>16</v>
      </c>
      <c r="AM110" s="16" t="s">
        <v>17</v>
      </c>
      <c r="AN110" s="17" t="s">
        <v>18</v>
      </c>
      <c r="AO110" s="18" t="s">
        <v>19</v>
      </c>
      <c r="AP110" s="19" t="s">
        <v>20</v>
      </c>
      <c r="AQ110" s="19" t="s">
        <v>21</v>
      </c>
      <c r="AR110" s="20" t="s">
        <v>22</v>
      </c>
    </row>
    <row r="111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X111" s="22">
        <v>1.0</v>
      </c>
      <c r="Y111" s="22" t="s">
        <v>23</v>
      </c>
      <c r="Z111" s="22">
        <f t="shared" ref="Z111:AI111" si="301">SUM(D119)</f>
        <v>26</v>
      </c>
      <c r="AA111" s="23">
        <f t="shared" si="301"/>
        <v>25</v>
      </c>
      <c r="AB111" s="24">
        <f t="shared" si="301"/>
        <v>4993.52</v>
      </c>
      <c r="AC111" s="23">
        <f t="shared" si="301"/>
        <v>1007</v>
      </c>
      <c r="AD111" s="23">
        <f t="shared" si="301"/>
        <v>0</v>
      </c>
      <c r="AE111" s="23">
        <f t="shared" si="301"/>
        <v>1007</v>
      </c>
      <c r="AF111" s="23">
        <f t="shared" si="301"/>
        <v>2021</v>
      </c>
      <c r="AG111" s="23">
        <f t="shared" si="301"/>
        <v>0</v>
      </c>
      <c r="AH111" s="23">
        <f t="shared" si="301"/>
        <v>2021</v>
      </c>
      <c r="AI111" s="23">
        <f t="shared" si="301"/>
        <v>3028</v>
      </c>
      <c r="AJ111" s="25">
        <f t="shared" ref="AJ111:AJ113" si="304">AB111/AA111</f>
        <v>199.7408</v>
      </c>
      <c r="AK111" s="22">
        <f>SUM(O119)</f>
        <v>6853</v>
      </c>
      <c r="AL111" s="26">
        <f t="shared" ref="AL111:AL117" si="305">AI111/AK111</f>
        <v>0.4418502845</v>
      </c>
      <c r="AM111" s="27">
        <f t="shared" ref="AM111:AM113" si="306">SUM(Q119)</f>
        <v>1.5</v>
      </c>
      <c r="AN111" s="26">
        <f t="shared" ref="AN111:AN117" si="307">AO111/AM111</f>
        <v>0.4042572507</v>
      </c>
      <c r="AO111" s="28">
        <f t="shared" ref="AO111:AO117" si="308">AI111/AB111</f>
        <v>0.6063858761</v>
      </c>
      <c r="AP111" s="27">
        <f t="shared" ref="AP111:AQ111" si="302">SUM(T119)</f>
        <v>148</v>
      </c>
      <c r="AQ111" s="27">
        <f t="shared" si="302"/>
        <v>5.92</v>
      </c>
      <c r="AR111" s="23">
        <f t="shared" ref="AR111:AR117" si="310">AI111/AA111</f>
        <v>121.12</v>
      </c>
    </row>
    <row r="11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X112" s="22">
        <v>2.0</v>
      </c>
      <c r="Y112" s="22" t="s">
        <v>24</v>
      </c>
      <c r="Z112" s="22">
        <f t="shared" ref="Z112:AI112" si="303">SUM(D120)</f>
        <v>35</v>
      </c>
      <c r="AA112" s="23">
        <f t="shared" si="303"/>
        <v>34</v>
      </c>
      <c r="AB112" s="24">
        <f t="shared" si="303"/>
        <v>6711.712</v>
      </c>
      <c r="AC112" s="23">
        <f t="shared" si="303"/>
        <v>626</v>
      </c>
      <c r="AD112" s="23">
        <f t="shared" si="303"/>
        <v>0</v>
      </c>
      <c r="AE112" s="23">
        <f t="shared" si="303"/>
        <v>626</v>
      </c>
      <c r="AF112" s="23">
        <f t="shared" si="303"/>
        <v>927</v>
      </c>
      <c r="AG112" s="23">
        <f t="shared" si="303"/>
        <v>0</v>
      </c>
      <c r="AH112" s="23">
        <f t="shared" si="303"/>
        <v>927</v>
      </c>
      <c r="AI112" s="23">
        <f t="shared" si="303"/>
        <v>1553</v>
      </c>
      <c r="AJ112" s="25">
        <f t="shared" si="304"/>
        <v>197.4032941</v>
      </c>
      <c r="AK112" s="22">
        <v>1580.0</v>
      </c>
      <c r="AL112" s="26">
        <f t="shared" si="305"/>
        <v>0.9829113924</v>
      </c>
      <c r="AM112" s="27">
        <f t="shared" si="306"/>
        <v>1.5</v>
      </c>
      <c r="AN112" s="26">
        <f t="shared" si="307"/>
        <v>0.1542577115</v>
      </c>
      <c r="AO112" s="28">
        <f t="shared" si="308"/>
        <v>0.2313865672</v>
      </c>
      <c r="AP112" s="27">
        <f t="shared" ref="AP112:AQ112" si="309">SUM(T120)</f>
        <v>250.3903003</v>
      </c>
      <c r="AQ112" s="27">
        <f t="shared" si="309"/>
        <v>7.364420598</v>
      </c>
      <c r="AR112" s="23">
        <f t="shared" si="310"/>
        <v>45.67647059</v>
      </c>
    </row>
    <row r="113" ht="15.75" customHeight="1">
      <c r="A113" s="21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X113" s="31">
        <v>3.0</v>
      </c>
      <c r="Y113" s="31" t="s">
        <v>25</v>
      </c>
      <c r="Z113" s="31">
        <f t="shared" ref="Z113:AI113" si="311">SUM(D121)</f>
        <v>26</v>
      </c>
      <c r="AA113" s="32">
        <f t="shared" si="311"/>
        <v>23</v>
      </c>
      <c r="AB113" s="33">
        <f t="shared" si="311"/>
        <v>4436.008</v>
      </c>
      <c r="AC113" s="32">
        <f t="shared" si="311"/>
        <v>1377</v>
      </c>
      <c r="AD113" s="32">
        <f t="shared" si="311"/>
        <v>232</v>
      </c>
      <c r="AE113" s="32">
        <f t="shared" si="311"/>
        <v>1609</v>
      </c>
      <c r="AF113" s="32">
        <f t="shared" si="311"/>
        <v>2052</v>
      </c>
      <c r="AG113" s="32">
        <f t="shared" si="311"/>
        <v>162</v>
      </c>
      <c r="AH113" s="32">
        <f t="shared" si="311"/>
        <v>2214</v>
      </c>
      <c r="AI113" s="32">
        <f t="shared" si="311"/>
        <v>3823</v>
      </c>
      <c r="AJ113" s="34">
        <f t="shared" si="304"/>
        <v>192.869913</v>
      </c>
      <c r="AK113" s="31">
        <f>SUM(O121)</f>
        <v>6622</v>
      </c>
      <c r="AL113" s="35">
        <f t="shared" si="305"/>
        <v>0.5773180308</v>
      </c>
      <c r="AM113" s="36">
        <f t="shared" si="306"/>
        <v>1.5</v>
      </c>
      <c r="AN113" s="35">
        <f t="shared" si="307"/>
        <v>0.574540593</v>
      </c>
      <c r="AO113" s="37">
        <f t="shared" si="308"/>
        <v>0.8618108894</v>
      </c>
      <c r="AP113" s="36">
        <f t="shared" ref="AP113:AQ113" si="312">SUM(T121)</f>
        <v>186.0741611</v>
      </c>
      <c r="AQ113" s="36">
        <f t="shared" si="312"/>
        <v>8.090180916</v>
      </c>
      <c r="AR113" s="32">
        <f t="shared" si="310"/>
        <v>166.2173913</v>
      </c>
    </row>
    <row r="114" ht="15.75" customHeight="1">
      <c r="A114" s="21"/>
      <c r="B114" s="38">
        <v>1.0</v>
      </c>
      <c r="C114" s="38" t="s">
        <v>26</v>
      </c>
      <c r="D114" s="39">
        <v>15.0</v>
      </c>
      <c r="E114" s="40">
        <f>IFERROR(__xludf.DUMMYFUNCTION("COUNT(IMPORTRANGE(""https://docs.google.com/spreadsheets/d/1z0o91thOT38lgejTE_Bd2p3v_9VCDdQRkUsMIVqpQCk/edit"",""5!d2:d21""))"),15.0)</f>
        <v>15</v>
      </c>
      <c r="F114" s="41">
        <f>IFERROR(__xludf.DUMMYFUNCTION("SUM(IMPORTRANGE(""https://docs.google.com/spreadsheets/d/1z0o91thOT38lgejTE_Bd2p3v_9VCDdQRkUsMIVqpQCk/edit"",""5!Q2:Q21""))"),2883.459)</f>
        <v>2883.459</v>
      </c>
      <c r="G114" s="40">
        <f>IFERROR(__xludf.DUMMYFUNCTION("IMPORTRANGE(""https://docs.google.com/spreadsheets/d/1z0o91thOT38lgejTE_Bd2p3v_9VCDdQRkUsMIVqpQCk/edit"",""5!e28"")"),1436.0)</f>
        <v>1436</v>
      </c>
      <c r="H114" s="40">
        <f>IFERROR(__xludf.DUMMYFUNCTION("IMPORTRANGE(""https://docs.google.com/spreadsheets/d/1z0o91thOT38lgejTE_Bd2p3v_9VCDdQRkUsMIVqpQCk/edit"",""5!e29"")"),0.0)</f>
        <v>0</v>
      </c>
      <c r="I114" s="40">
        <f t="shared" ref="I114:I131" si="315">SUM(G114:H114)</f>
        <v>1436</v>
      </c>
      <c r="J114" s="40">
        <f>IFERROR(__xludf.DUMMYFUNCTION("IMPORTRANGE(""https://docs.google.com/spreadsheets/d/1z0o91thOT38lgejTE_Bd2p3v_9VCDdQRkUsMIVqpQCk/edit"",""5!e32"")"),1574.0)</f>
        <v>1574</v>
      </c>
      <c r="K114" s="40">
        <f>IFERROR(__xludf.DUMMYFUNCTION("IMPORTRANGE(""https://docs.google.com/spreadsheets/d/1z0o91thOT38lgejTE_Bd2p3v_9VCDdQRkUsMIVqpQCk/edit"",""5!e33"")"),0.0)</f>
        <v>0</v>
      </c>
      <c r="L114" s="40">
        <f t="shared" ref="L114:L120" si="316">SUM(J114:K114)</f>
        <v>1574</v>
      </c>
      <c r="M114" s="40">
        <f t="shared" ref="M114:M131" si="317">SUM(I114+L114)</f>
        <v>3010</v>
      </c>
      <c r="N114" s="41">
        <f t="shared" ref="N114:N132" si="318">F114/E114</f>
        <v>192.2306</v>
      </c>
      <c r="O114" s="38">
        <v>5161.0</v>
      </c>
      <c r="P114" s="42">
        <f t="shared" ref="P114:P132" si="319">M114/O114</f>
        <v>0.5832203061</v>
      </c>
      <c r="Q114" s="43">
        <v>1.5</v>
      </c>
      <c r="R114" s="42">
        <f t="shared" ref="R114:R132" si="320">S114/Q114</f>
        <v>0.6959234262</v>
      </c>
      <c r="S114" s="44">
        <f t="shared" ref="S114:S132" si="321">M114/F114</f>
        <v>1.043885139</v>
      </c>
      <c r="T114" s="43">
        <f>F114/14.415</f>
        <v>200.0318418</v>
      </c>
      <c r="U114" s="43">
        <f t="shared" ref="U114:U132" si="322">T114/E114</f>
        <v>13.33545612</v>
      </c>
      <c r="V114" s="40">
        <f t="shared" ref="V114:V132" si="323">M114/E114</f>
        <v>200.6666667</v>
      </c>
      <c r="X114" s="22">
        <v>4.0</v>
      </c>
      <c r="Y114" s="22" t="s">
        <v>27</v>
      </c>
      <c r="Z114" s="22">
        <f t="shared" ref="Z114:AK114" si="313">SUM(D127)</f>
        <v>23</v>
      </c>
      <c r="AA114" s="23">
        <f t="shared" si="313"/>
        <v>23</v>
      </c>
      <c r="AB114" s="24">
        <f t="shared" si="313"/>
        <v>4292.668</v>
      </c>
      <c r="AC114" s="23">
        <f t="shared" si="313"/>
        <v>1622</v>
      </c>
      <c r="AD114" s="23">
        <f t="shared" si="313"/>
        <v>0</v>
      </c>
      <c r="AE114" s="23">
        <f t="shared" si="313"/>
        <v>1622</v>
      </c>
      <c r="AF114" s="23">
        <f t="shared" si="313"/>
        <v>2145</v>
      </c>
      <c r="AG114" s="23">
        <f t="shared" si="313"/>
        <v>33</v>
      </c>
      <c r="AH114" s="23">
        <f t="shared" si="313"/>
        <v>2178</v>
      </c>
      <c r="AI114" s="23">
        <f t="shared" si="313"/>
        <v>3800</v>
      </c>
      <c r="AJ114" s="25">
        <f t="shared" si="313"/>
        <v>186.6377391</v>
      </c>
      <c r="AK114" s="22">
        <f t="shared" si="313"/>
        <v>8101</v>
      </c>
      <c r="AL114" s="26">
        <f t="shared" si="305"/>
        <v>0.4690778916</v>
      </c>
      <c r="AM114" s="27">
        <f>SUM(Q127)</f>
        <v>1.5</v>
      </c>
      <c r="AN114" s="26">
        <f t="shared" si="307"/>
        <v>0.5901535673</v>
      </c>
      <c r="AO114" s="28">
        <f t="shared" si="308"/>
        <v>0.8852303509</v>
      </c>
      <c r="AP114" s="27">
        <f t="shared" ref="AP114:AQ114" si="314">SUM(T127)</f>
        <v>214.7944959</v>
      </c>
      <c r="AQ114" s="27">
        <f t="shared" si="314"/>
        <v>9.338891125</v>
      </c>
      <c r="AR114" s="23">
        <f t="shared" si="310"/>
        <v>165.2173913</v>
      </c>
    </row>
    <row r="115" ht="15.75" customHeight="1">
      <c r="A115" s="21"/>
      <c r="B115" s="38">
        <v>2.0</v>
      </c>
      <c r="C115" s="38" t="s">
        <v>28</v>
      </c>
      <c r="D115" s="39">
        <v>24.0</v>
      </c>
      <c r="E115" s="40">
        <f>IFERROR(__xludf.DUMMYFUNCTION("COUNT(IMPORTRANGE(""https://docs.google.com/spreadsheets/d/10a85iNN0y9GF6ngQfF1JXGAzFk-T7ywH4-TZtQcOTaE/edit"",""5!d2:d34""))"),23.0)</f>
        <v>23</v>
      </c>
      <c r="F115" s="41">
        <f>IFERROR(__xludf.DUMMYFUNCTION("SUM(IMPORTRANGE(""https://docs.google.com/spreadsheets/d/10a85iNN0y9GF6ngQfF1JXGAzFk-T7ywH4-TZtQcOTaE/edit"",""5!Q2:Q34""))"),4613.218999999999)</f>
        <v>4613.219</v>
      </c>
      <c r="G115" s="40">
        <f>IFERROR(__xludf.DUMMYFUNCTION("IMPORTRANGE(""https://docs.google.com/spreadsheets/d/10a85iNN0y9GF6ngQfF1JXGAzFk-T7ywH4-TZtQcOTaE/edit"",""5!e41"")"),1457.0)</f>
        <v>1457</v>
      </c>
      <c r="H115" s="40">
        <f>IFERROR(__xludf.DUMMYFUNCTION("IMPORTRANGE(""https://docs.google.com/spreadsheets/d/10a85iNN0y9GF6ngQfF1JXGAzFk-T7ywH4-TZtQcOTaE/edit"",""5!e42"")"),97.0)</f>
        <v>97</v>
      </c>
      <c r="I115" s="40">
        <f t="shared" si="315"/>
        <v>1554</v>
      </c>
      <c r="J115" s="40">
        <f>IFERROR(__xludf.DUMMYFUNCTION("IMPORTRANGE(""https://docs.google.com/spreadsheets/d/10a85iNN0y9GF6ngQfF1JXGAzFk-T7ywH4-TZtQcOTaE/edit"",""5!e45"")"),2054.0)</f>
        <v>2054</v>
      </c>
      <c r="K115" s="40">
        <f>IFERROR(__xludf.DUMMYFUNCTION("IMPORTRANGE(""https://docs.google.com/spreadsheets/d/10a85iNN0y9GF6ngQfF1JXGAzFk-T7ywH4-TZtQcOTaE/edit"",""5!e46"")"),291.0)</f>
        <v>291</v>
      </c>
      <c r="L115" s="40">
        <f t="shared" si="316"/>
        <v>2345</v>
      </c>
      <c r="M115" s="40">
        <f t="shared" si="317"/>
        <v>3899</v>
      </c>
      <c r="N115" s="41">
        <f t="shared" si="318"/>
        <v>200.5747391</v>
      </c>
      <c r="O115" s="38">
        <v>7315.0</v>
      </c>
      <c r="P115" s="42">
        <f t="shared" si="319"/>
        <v>0.5330143541</v>
      </c>
      <c r="Q115" s="43">
        <v>1.5</v>
      </c>
      <c r="R115" s="42">
        <f t="shared" si="320"/>
        <v>0.5634532706</v>
      </c>
      <c r="S115" s="44">
        <f t="shared" si="321"/>
        <v>0.8451799058</v>
      </c>
      <c r="T115" s="43">
        <f>F115/30.897</f>
        <v>149.3096093</v>
      </c>
      <c r="U115" s="43">
        <f t="shared" si="322"/>
        <v>6.491722146</v>
      </c>
      <c r="V115" s="40">
        <f t="shared" si="323"/>
        <v>169.5217391</v>
      </c>
      <c r="X115" s="22">
        <v>5.0</v>
      </c>
      <c r="Y115" s="22" t="s">
        <v>29</v>
      </c>
      <c r="Z115" s="22">
        <f t="shared" ref="Z115:AI115" si="324">SUM(D130)</f>
        <v>23</v>
      </c>
      <c r="AA115" s="23">
        <f t="shared" si="324"/>
        <v>20</v>
      </c>
      <c r="AB115" s="24">
        <f t="shared" si="324"/>
        <v>4009.852</v>
      </c>
      <c r="AC115" s="23">
        <f t="shared" si="324"/>
        <v>1532</v>
      </c>
      <c r="AD115" s="23">
        <f t="shared" si="324"/>
        <v>0</v>
      </c>
      <c r="AE115" s="23">
        <f t="shared" si="324"/>
        <v>1532</v>
      </c>
      <c r="AF115" s="23">
        <f t="shared" si="324"/>
        <v>2440</v>
      </c>
      <c r="AG115" s="23">
        <f t="shared" si="324"/>
        <v>0</v>
      </c>
      <c r="AH115" s="23">
        <f t="shared" si="324"/>
        <v>2440</v>
      </c>
      <c r="AI115" s="23">
        <f t="shared" si="324"/>
        <v>3972</v>
      </c>
      <c r="AJ115" s="25">
        <f t="shared" ref="AJ115:AJ117" si="327">AB115/AA115</f>
        <v>200.4926</v>
      </c>
      <c r="AK115" s="22">
        <f t="shared" ref="AK115:AK116" si="328">SUM(O130)</f>
        <v>9201</v>
      </c>
      <c r="AL115" s="26">
        <f t="shared" si="305"/>
        <v>0.4316922074</v>
      </c>
      <c r="AM115" s="27">
        <f t="shared" ref="AM115:AM116" si="329">SUM(Q130)</f>
        <v>1.5</v>
      </c>
      <c r="AN115" s="26">
        <f t="shared" si="307"/>
        <v>0.6603735001</v>
      </c>
      <c r="AO115" s="28">
        <f t="shared" si="308"/>
        <v>0.9905602501</v>
      </c>
      <c r="AP115" s="27">
        <f t="shared" ref="AP115:AQ115" si="325">SUM(T130)</f>
        <v>154</v>
      </c>
      <c r="AQ115" s="27">
        <f t="shared" si="325"/>
        <v>7.7</v>
      </c>
      <c r="AR115" s="23">
        <f t="shared" si="310"/>
        <v>198.6</v>
      </c>
    </row>
    <row r="116" ht="15.75" customHeight="1">
      <c r="A116" s="21"/>
      <c r="B116" s="38">
        <v>3.0</v>
      </c>
      <c r="C116" s="38" t="s">
        <v>30</v>
      </c>
      <c r="D116" s="39">
        <v>45.0</v>
      </c>
      <c r="E116" s="40">
        <f>IFERROR(__xludf.DUMMYFUNCTION("COUNT(IMPORTRANGE(""https://docs.google.com/spreadsheets/d/1WojVzHhpzodJL1e5UDHeu3A3u5MTSZwvxHu0BrwvL9w/edit"",""5!d2:d61""))"),45.0)</f>
        <v>45</v>
      </c>
      <c r="F116" s="45">
        <f>IFERROR(__xludf.DUMMYFUNCTION("SUM(IMPORTRANGE(""https://docs.google.com/spreadsheets/d/1WojVzHhpzodJL1e5UDHeu3A3u5MTSZwvxHu0BrwvL9w/edit"",""5!Q2:Q61""))"),8821.693999999994)</f>
        <v>8821.694</v>
      </c>
      <c r="G116" s="40">
        <f>IFERROR(__xludf.DUMMYFUNCTION("IMPORTRANGE(""https://docs.google.com/spreadsheets/d/1WojVzHhpzodJL1e5UDHeu3A3u5MTSZwvxHu0BrwvL9w/edit"",""5!e68"")"),2126.0)</f>
        <v>2126</v>
      </c>
      <c r="H116" s="40">
        <f>IFERROR(__xludf.DUMMYFUNCTION("IMPORTRANGE(""https://docs.google.com/spreadsheets/d/1WojVzHhpzodJL1e5UDHeu3A3u5MTSZwvxHu0BrwvL9w/edit"",""5!e69"")"),0.0)</f>
        <v>0</v>
      </c>
      <c r="I116" s="40">
        <f t="shared" si="315"/>
        <v>2126</v>
      </c>
      <c r="J116" s="40">
        <f>IFERROR(__xludf.DUMMYFUNCTION("IMPORTRANGE(""https://docs.google.com/spreadsheets/d/1WojVzHhpzodJL1e5UDHeu3A3u5MTSZwvxHu0BrwvL9w/edit"",""5!e72"")"),4059.0)</f>
        <v>4059</v>
      </c>
      <c r="K116" s="40">
        <f>IFERROR(__xludf.DUMMYFUNCTION("IMPORTRANGE(""https://docs.google.com/spreadsheets/d/1WojVzHhpzodJL1e5UDHeu3A3u5MTSZwvxHu0BrwvL9w/edit"",""5!e73"")"),0.0)</f>
        <v>0</v>
      </c>
      <c r="L116" s="40">
        <f t="shared" si="316"/>
        <v>4059</v>
      </c>
      <c r="M116" s="40">
        <f t="shared" si="317"/>
        <v>6185</v>
      </c>
      <c r="N116" s="41">
        <f t="shared" si="318"/>
        <v>196.0376444</v>
      </c>
      <c r="O116" s="38">
        <v>11164.0</v>
      </c>
      <c r="P116" s="42">
        <f t="shared" si="319"/>
        <v>0.5540128986</v>
      </c>
      <c r="Q116" s="43">
        <v>1.5</v>
      </c>
      <c r="R116" s="42">
        <f t="shared" si="320"/>
        <v>0.4674083383</v>
      </c>
      <c r="S116" s="44">
        <f t="shared" si="321"/>
        <v>0.7011125074</v>
      </c>
      <c r="T116" s="43">
        <f>F116/29.603</f>
        <v>298</v>
      </c>
      <c r="U116" s="43">
        <f t="shared" si="322"/>
        <v>6.622222222</v>
      </c>
      <c r="V116" s="40">
        <f t="shared" si="323"/>
        <v>137.4444444</v>
      </c>
      <c r="X116" s="22">
        <v>6.0</v>
      </c>
      <c r="Y116" s="22" t="s">
        <v>31</v>
      </c>
      <c r="Z116" s="22">
        <f t="shared" ref="Z116:AI116" si="326">SUM(D131)</f>
        <v>11</v>
      </c>
      <c r="AA116" s="23">
        <f t="shared" si="326"/>
        <v>10</v>
      </c>
      <c r="AB116" s="25">
        <f t="shared" si="326"/>
        <v>1912.46</v>
      </c>
      <c r="AC116" s="23">
        <f t="shared" si="326"/>
        <v>401</v>
      </c>
      <c r="AD116" s="23">
        <f t="shared" si="326"/>
        <v>0</v>
      </c>
      <c r="AE116" s="23">
        <f t="shared" si="326"/>
        <v>401</v>
      </c>
      <c r="AF116" s="23">
        <f t="shared" si="326"/>
        <v>582</v>
      </c>
      <c r="AG116" s="23">
        <f t="shared" si="326"/>
        <v>0</v>
      </c>
      <c r="AH116" s="23">
        <f t="shared" si="326"/>
        <v>582</v>
      </c>
      <c r="AI116" s="23">
        <f t="shared" si="326"/>
        <v>983</v>
      </c>
      <c r="AJ116" s="25">
        <f t="shared" si="327"/>
        <v>191.246</v>
      </c>
      <c r="AK116" s="22">
        <f t="shared" si="328"/>
        <v>2717</v>
      </c>
      <c r="AL116" s="26">
        <f t="shared" si="305"/>
        <v>0.3617960986</v>
      </c>
      <c r="AM116" s="27">
        <f t="shared" si="329"/>
        <v>1.5</v>
      </c>
      <c r="AN116" s="26">
        <f t="shared" si="307"/>
        <v>0.3426651189</v>
      </c>
      <c r="AO116" s="28">
        <f t="shared" si="308"/>
        <v>0.5139976784</v>
      </c>
      <c r="AP116" s="27">
        <f t="shared" ref="AP116:AQ116" si="330">SUM(T131)</f>
        <v>44</v>
      </c>
      <c r="AQ116" s="27">
        <f t="shared" si="330"/>
        <v>4.4</v>
      </c>
      <c r="AR116" s="23">
        <f t="shared" si="310"/>
        <v>98.3</v>
      </c>
    </row>
    <row r="117" ht="15.75" customHeight="1">
      <c r="A117" s="21"/>
      <c r="B117" s="38">
        <v>4.0</v>
      </c>
      <c r="C117" s="38" t="s">
        <v>32</v>
      </c>
      <c r="D117" s="39">
        <v>32.0</v>
      </c>
      <c r="E117" s="40">
        <f>IFERROR(__xludf.DUMMYFUNCTION("COUNT(IMPORTRANGE(""https://docs.google.com/spreadsheets/d/1vmCj5YcMSPHj1m64syDndQ6cqVL3yolcU03Y8KHmvdc/edit"",""5!d2:d43""))"),30.0)</f>
        <v>30</v>
      </c>
      <c r="F117" s="45">
        <f>IFERROR(__xludf.DUMMYFUNCTION("SUM(IMPORTRANGE(""https://docs.google.com/spreadsheets/d/1vmCj5YcMSPHj1m64syDndQ6cqVL3yolcU03Y8KHmvdc/edit"",""5!Q2:Q43""))"),6021.359999999995)</f>
        <v>6021.36</v>
      </c>
      <c r="G117" s="38">
        <f>IFERROR(__xludf.DUMMYFUNCTION("IMPORTRANGE(""https://docs.google.com/spreadsheets/d/1vmCj5YcMSPHj1m64syDndQ6cqVL3yolcU03Y8KHmvdc/edit"",""5!e50"")"),2646.0)</f>
        <v>2646</v>
      </c>
      <c r="H117" s="38">
        <f>IFERROR(__xludf.DUMMYFUNCTION("IMPORTRANGE(""https://docs.google.com/spreadsheets/d/1vmCj5YcMSPHj1m64syDndQ6cqVL3yolcU03Y8KHmvdc/edit"",""5!e51"")"),125.0)</f>
        <v>125</v>
      </c>
      <c r="I117" s="40">
        <f t="shared" si="315"/>
        <v>2771</v>
      </c>
      <c r="J117" s="38">
        <f>IFERROR(__xludf.DUMMYFUNCTION("IMPORTRANGE(""https://docs.google.com/spreadsheets/d/1vmCj5YcMSPHj1m64syDndQ6cqVL3yolcU03Y8KHmvdc/edit"",""5!e54"")"),3814.0)</f>
        <v>3814</v>
      </c>
      <c r="K117" s="38">
        <f>IFERROR(__xludf.DUMMYFUNCTION("IMPORTRANGE(""https://docs.google.com/spreadsheets/d/1vmCj5YcMSPHj1m64syDndQ6cqVL3yolcU03Y8KHmvdc/edit"",""5!e55"")"),163.0)</f>
        <v>163</v>
      </c>
      <c r="L117" s="40">
        <f t="shared" si="316"/>
        <v>3977</v>
      </c>
      <c r="M117" s="40">
        <f t="shared" si="317"/>
        <v>6748</v>
      </c>
      <c r="N117" s="41">
        <f t="shared" si="318"/>
        <v>200.712</v>
      </c>
      <c r="O117" s="38">
        <v>13817.0</v>
      </c>
      <c r="P117" s="42">
        <f t="shared" si="319"/>
        <v>0.4883838749</v>
      </c>
      <c r="Q117" s="43">
        <v>1.5</v>
      </c>
      <c r="R117" s="42">
        <f t="shared" si="320"/>
        <v>0.7471180376</v>
      </c>
      <c r="S117" s="44">
        <f t="shared" si="321"/>
        <v>1.120677056</v>
      </c>
      <c r="T117" s="43">
        <f>F117/25.089</f>
        <v>240</v>
      </c>
      <c r="U117" s="43">
        <f t="shared" si="322"/>
        <v>8</v>
      </c>
      <c r="V117" s="40">
        <f t="shared" si="323"/>
        <v>224.9333333</v>
      </c>
      <c r="X117" s="46" t="s">
        <v>33</v>
      </c>
      <c r="Y117" s="46">
        <v>6.0</v>
      </c>
      <c r="Z117" s="46">
        <f t="shared" ref="Z117:AI117" si="331">SUM(Z111:Z116)</f>
        <v>144</v>
      </c>
      <c r="AA117" s="47">
        <f t="shared" si="331"/>
        <v>135</v>
      </c>
      <c r="AB117" s="48">
        <f t="shared" si="331"/>
        <v>26356.22</v>
      </c>
      <c r="AC117" s="47">
        <f t="shared" si="331"/>
        <v>6565</v>
      </c>
      <c r="AD117" s="47">
        <f t="shared" si="331"/>
        <v>232</v>
      </c>
      <c r="AE117" s="47">
        <f t="shared" si="331"/>
        <v>6797</v>
      </c>
      <c r="AF117" s="47">
        <f t="shared" si="331"/>
        <v>10167</v>
      </c>
      <c r="AG117" s="47">
        <f t="shared" si="331"/>
        <v>195</v>
      </c>
      <c r="AH117" s="47">
        <f t="shared" si="331"/>
        <v>10362</v>
      </c>
      <c r="AI117" s="47">
        <f t="shared" si="331"/>
        <v>17159</v>
      </c>
      <c r="AJ117" s="49">
        <f t="shared" si="327"/>
        <v>195.2312593</v>
      </c>
      <c r="AK117" s="46">
        <f>SUM(AK111:AK116)</f>
        <v>35074</v>
      </c>
      <c r="AL117" s="50">
        <f t="shared" si="305"/>
        <v>0.4892227861</v>
      </c>
      <c r="AM117" s="51">
        <v>1.5</v>
      </c>
      <c r="AN117" s="50">
        <f t="shared" si="307"/>
        <v>0.4340278436</v>
      </c>
      <c r="AO117" s="52">
        <f t="shared" si="308"/>
        <v>0.6510417655</v>
      </c>
      <c r="AP117" s="51">
        <f>SUM(AP111:AP116)</f>
        <v>997.2589573</v>
      </c>
      <c r="AQ117" s="51">
        <f>AP117/AA117</f>
        <v>7.387103387</v>
      </c>
      <c r="AR117" s="47">
        <f t="shared" si="310"/>
        <v>127.1037037</v>
      </c>
    </row>
    <row r="118" ht="15.75" customHeight="1">
      <c r="A118" s="21"/>
      <c r="B118" s="38">
        <v>5.0</v>
      </c>
      <c r="C118" s="38" t="s">
        <v>34</v>
      </c>
      <c r="D118" s="39">
        <v>30.0</v>
      </c>
      <c r="E118" s="40">
        <f>IFERROR(__xludf.DUMMYFUNCTION("COUNT(IMPORTRANGE(""https://docs.google.com/spreadsheets/d/14_Y-fpuq1wcec3DlT_1PBYekOC0YblQMrWVfO12YO3k/edit"",""5!d2:d41""))"),30.0)</f>
        <v>30</v>
      </c>
      <c r="F118" s="45">
        <f>IFERROR(__xludf.DUMMYFUNCTION("SUM(IMPORTRANGE(""https://docs.google.com/spreadsheets/d/14_Y-fpuq1wcec3DlT_1PBYekOC0YblQMrWVfO12YO3k/edit"",""5!Q2:Q41""))"),5924.523000000002)</f>
        <v>5924.523</v>
      </c>
      <c r="G118" s="40">
        <f>IFERROR(__xludf.DUMMYFUNCTION("IMPORTRANGE(""https://docs.google.com/spreadsheets/d/14_Y-fpuq1wcec3DlT_1PBYekOC0YblQMrWVfO12YO3k/edit"",""5!e48"")"),1816.0)</f>
        <v>1816</v>
      </c>
      <c r="H118" s="40">
        <f>IFERROR(__xludf.DUMMYFUNCTION("IMPORTRANGE(""https://docs.google.com/spreadsheets/d/14_Y-fpuq1wcec3DlT_1PBYekOC0YblQMrWVfO12YO3k/edit"",""5!e49"")"),0.0)</f>
        <v>0</v>
      </c>
      <c r="I118" s="40">
        <f t="shared" si="315"/>
        <v>1816</v>
      </c>
      <c r="J118" s="40">
        <f>IFERROR(__xludf.DUMMYFUNCTION("IMPORTRANGE(""https://docs.google.com/spreadsheets/d/14_Y-fpuq1wcec3DlT_1PBYekOC0YblQMrWVfO12YO3k/edit"",""5!e52"")"),2475.0)</f>
        <v>2475</v>
      </c>
      <c r="K118" s="40">
        <f>IFERROR(__xludf.DUMMYFUNCTION("IMPORTRANGE(""https://docs.google.com/spreadsheets/d/14_Y-fpuq1wcec3DlT_1PBYekOC0YblQMrWVfO12YO3k/edit"",""5!e53"")"),0.0)</f>
        <v>0</v>
      </c>
      <c r="L118" s="40">
        <f t="shared" si="316"/>
        <v>2475</v>
      </c>
      <c r="M118" s="40">
        <f t="shared" si="317"/>
        <v>4291</v>
      </c>
      <c r="N118" s="41">
        <f t="shared" si="318"/>
        <v>197.4841</v>
      </c>
      <c r="O118" s="38">
        <v>9354.0</v>
      </c>
      <c r="P118" s="42">
        <f t="shared" si="319"/>
        <v>0.4587342313</v>
      </c>
      <c r="Q118" s="43">
        <v>1.5</v>
      </c>
      <c r="R118" s="42">
        <f t="shared" si="320"/>
        <v>0.4828518121</v>
      </c>
      <c r="S118" s="44">
        <f t="shared" si="321"/>
        <v>0.7242777182</v>
      </c>
      <c r="T118" s="43">
        <f>F118/30.713</f>
        <v>192.8995214</v>
      </c>
      <c r="U118" s="43">
        <f t="shared" si="322"/>
        <v>6.429984046</v>
      </c>
      <c r="V118" s="40">
        <f t="shared" si="323"/>
        <v>143.0333333</v>
      </c>
      <c r="X118" s="53" t="s">
        <v>35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6"/>
    </row>
    <row r="119" ht="15.75" customHeight="1">
      <c r="A119" s="21"/>
      <c r="B119" s="38">
        <v>6.0</v>
      </c>
      <c r="C119" s="38" t="s">
        <v>23</v>
      </c>
      <c r="D119" s="39">
        <v>26.0</v>
      </c>
      <c r="E119" s="40">
        <f>IFERROR(__xludf.DUMMYFUNCTION("COUNT(IMPORTRANGE(""https://docs.google.com/spreadsheets/d/1lJqjdj05V4LOXuBOiTdE65GV4ZITyx1cMLcDdcuoUnE/edit"",""5!d2:d36""))"),25.0)</f>
        <v>25</v>
      </c>
      <c r="F119" s="45">
        <f>IFERROR(__xludf.DUMMYFUNCTION("SUM(IMPORTRANGE(""https://docs.google.com/spreadsheets/d/1lJqjdj05V4LOXuBOiTdE65GV4ZITyx1cMLcDdcuoUnE/edit"",""5!Q2:Q36""))"),4993.519999999999)</f>
        <v>4993.52</v>
      </c>
      <c r="G119" s="40">
        <f>IFERROR(__xludf.DUMMYFUNCTION("IMPORTRANGE(""https://docs.google.com/spreadsheets/d/1lJqjdj05V4LOXuBOiTdE65GV4ZITyx1cMLcDdcuoUnE/edit"",""5!e43"")"),1007.0)</f>
        <v>1007</v>
      </c>
      <c r="H119" s="40">
        <f>IFERROR(__xludf.DUMMYFUNCTION("IMPORTRANGE(""https://docs.google.com/spreadsheets/d/1lJqjdj05V4LOXuBOiTdE65GV4ZITyx1cMLcDdcuoUnE/edit"",""5!e44"")"),0.0)</f>
        <v>0</v>
      </c>
      <c r="I119" s="40">
        <f t="shared" si="315"/>
        <v>1007</v>
      </c>
      <c r="J119" s="40">
        <f>IFERROR(__xludf.DUMMYFUNCTION("IMPORTRANGE(""https://docs.google.com/spreadsheets/d/1lJqjdj05V4LOXuBOiTdE65GV4ZITyx1cMLcDdcuoUnE/edit"",""5!e47"")"),2021.0)</f>
        <v>2021</v>
      </c>
      <c r="K119" s="40">
        <f>IFERROR(__xludf.DUMMYFUNCTION("IMPORTRANGE(""https://docs.google.com/spreadsheets/d/1lJqjdj05V4LOXuBOiTdE65GV4ZITyx1cMLcDdcuoUnE/edit"",""5!e48"")"),0.0)</f>
        <v>0</v>
      </c>
      <c r="L119" s="40">
        <f t="shared" si="316"/>
        <v>2021</v>
      </c>
      <c r="M119" s="40">
        <f t="shared" si="317"/>
        <v>3028</v>
      </c>
      <c r="N119" s="41">
        <f t="shared" si="318"/>
        <v>199.7408</v>
      </c>
      <c r="O119" s="38">
        <v>6853.0</v>
      </c>
      <c r="P119" s="42">
        <f t="shared" si="319"/>
        <v>0.4418502845</v>
      </c>
      <c r="Q119" s="43">
        <v>1.5</v>
      </c>
      <c r="R119" s="42">
        <f t="shared" si="320"/>
        <v>0.4042572507</v>
      </c>
      <c r="S119" s="44">
        <f t="shared" si="321"/>
        <v>0.6063858761</v>
      </c>
      <c r="T119" s="43">
        <f>F119/33.74</f>
        <v>148</v>
      </c>
      <c r="U119" s="43">
        <f t="shared" si="322"/>
        <v>5.92</v>
      </c>
      <c r="V119" s="40">
        <f t="shared" si="323"/>
        <v>121.12</v>
      </c>
      <c r="X119" s="14" t="s">
        <v>2</v>
      </c>
      <c r="Y119" s="14" t="s">
        <v>3</v>
      </c>
      <c r="Z119" s="14" t="s">
        <v>4</v>
      </c>
      <c r="AA119" s="14" t="s">
        <v>5</v>
      </c>
      <c r="AB119" s="15" t="s">
        <v>6</v>
      </c>
      <c r="AC119" s="14" t="s">
        <v>7</v>
      </c>
      <c r="AD119" s="14" t="s">
        <v>8</v>
      </c>
      <c r="AE119" s="14" t="s">
        <v>9</v>
      </c>
      <c r="AF119" s="14" t="s">
        <v>10</v>
      </c>
      <c r="AG119" s="14" t="s">
        <v>11</v>
      </c>
      <c r="AH119" s="14" t="s">
        <v>12</v>
      </c>
      <c r="AI119" s="14" t="s">
        <v>13</v>
      </c>
      <c r="AJ119" s="15" t="s">
        <v>14</v>
      </c>
      <c r="AK119" s="14" t="s">
        <v>15</v>
      </c>
      <c r="AL119" s="14" t="s">
        <v>16</v>
      </c>
      <c r="AM119" s="16" t="s">
        <v>17</v>
      </c>
      <c r="AN119" s="17" t="s">
        <v>18</v>
      </c>
      <c r="AO119" s="18" t="s">
        <v>19</v>
      </c>
      <c r="AP119" s="19" t="s">
        <v>20</v>
      </c>
      <c r="AQ119" s="19" t="s">
        <v>21</v>
      </c>
      <c r="AR119" s="20" t="s">
        <v>22</v>
      </c>
    </row>
    <row r="120" ht="15.75" customHeight="1">
      <c r="A120" s="21"/>
      <c r="B120" s="38">
        <v>7.0</v>
      </c>
      <c r="C120" s="38" t="s">
        <v>24</v>
      </c>
      <c r="D120" s="39">
        <v>35.0</v>
      </c>
      <c r="E120" s="54">
        <f>IFERROR(__xludf.DUMMYFUNCTION("COUNT(IMPORTRANGE(""https://docs.google.com/spreadsheets/d/1_7EEO26q9Yq-XhNFiy7I6Zh4Yg6uGjTs9y0UqNvPKcQ/edit"",""5!d2:d45""))"),34.0)</f>
        <v>34</v>
      </c>
      <c r="F120" s="55">
        <f>IFERROR(__xludf.DUMMYFUNCTION("SUM(IMPORTRANGE(""https://docs.google.com/spreadsheets/d/1_7EEO26q9Yq-XhNFiy7I6Zh4Yg6uGjTs9y0UqNvPKcQ/edit"",""5!Q2:Q45""))"),6711.711999999995)</f>
        <v>6711.712</v>
      </c>
      <c r="G120" s="54">
        <f>IFERROR(__xludf.DUMMYFUNCTION("IMPORTRANGE(""https://docs.google.com/spreadsheets/d/1_7EEO26q9Yq-XhNFiy7I6Zh4Yg6uGjTs9y0UqNvPKcQ/edit"",""5!e53"")"),626.0)</f>
        <v>626</v>
      </c>
      <c r="H120" s="54">
        <f>IFERROR(__xludf.DUMMYFUNCTION("IMPORTRANGE(""https://docs.google.com/spreadsheets/d/1_7EEO26q9Yq-XhNFiy7I6Zh4Yg6uGjTs9y0UqNvPKcQ/edit"",""5!e54"")"),0.0)</f>
        <v>0</v>
      </c>
      <c r="I120" s="54">
        <f t="shared" si="315"/>
        <v>626</v>
      </c>
      <c r="J120" s="54">
        <f>IFERROR(__xludf.DUMMYFUNCTION("IMPORTRANGE(""https://docs.google.com/spreadsheets/d/1_7EEO26q9Yq-XhNFiy7I6Zh4Yg6uGjTs9y0UqNvPKcQ/edit"",""5!e57"")"),927.0)</f>
        <v>927</v>
      </c>
      <c r="K120" s="54">
        <f>IFERROR(__xludf.DUMMYFUNCTION("IMPORTRANGE(""https://docs.google.com/spreadsheets/d/1_7EEO26q9Yq-XhNFiy7I6Zh4Yg6uGjTs9y0UqNvPKcQ/edit"",""5!e58"")"),0.0)</f>
        <v>0</v>
      </c>
      <c r="L120" s="40">
        <f t="shared" si="316"/>
        <v>927</v>
      </c>
      <c r="M120" s="40">
        <f t="shared" si="317"/>
        <v>1553</v>
      </c>
      <c r="N120" s="41">
        <f t="shared" si="318"/>
        <v>197.4032941</v>
      </c>
      <c r="O120" s="38">
        <v>1580.0</v>
      </c>
      <c r="P120" s="42">
        <f t="shared" si="319"/>
        <v>0.9829113924</v>
      </c>
      <c r="Q120" s="43">
        <v>1.5</v>
      </c>
      <c r="R120" s="42">
        <f t="shared" si="320"/>
        <v>0.1542577115</v>
      </c>
      <c r="S120" s="44">
        <f t="shared" si="321"/>
        <v>0.2313865672</v>
      </c>
      <c r="T120" s="43">
        <f>F120/26.805</f>
        <v>250.3903003</v>
      </c>
      <c r="U120" s="43">
        <f t="shared" si="322"/>
        <v>7.364420598</v>
      </c>
      <c r="V120" s="40">
        <f t="shared" si="323"/>
        <v>45.67647059</v>
      </c>
      <c r="X120" s="22">
        <v>1.0</v>
      </c>
      <c r="Y120" s="22" t="s">
        <v>28</v>
      </c>
      <c r="Z120" s="22">
        <f t="shared" ref="Z120:AI120" si="332">SUM(D115)</f>
        <v>24</v>
      </c>
      <c r="AA120" s="23">
        <f t="shared" si="332"/>
        <v>23</v>
      </c>
      <c r="AB120" s="25">
        <f t="shared" si="332"/>
        <v>4613.219</v>
      </c>
      <c r="AC120" s="23">
        <f t="shared" si="332"/>
        <v>1457</v>
      </c>
      <c r="AD120" s="23">
        <f t="shared" si="332"/>
        <v>97</v>
      </c>
      <c r="AE120" s="23">
        <f t="shared" si="332"/>
        <v>1554</v>
      </c>
      <c r="AF120" s="23">
        <f t="shared" si="332"/>
        <v>2054</v>
      </c>
      <c r="AG120" s="23">
        <f t="shared" si="332"/>
        <v>291</v>
      </c>
      <c r="AH120" s="23">
        <f t="shared" si="332"/>
        <v>2345</v>
      </c>
      <c r="AI120" s="23">
        <f t="shared" si="332"/>
        <v>3899</v>
      </c>
      <c r="AJ120" s="25">
        <f t="shared" ref="AJ120:AJ126" si="335">AB120/AA120</f>
        <v>200.5747391</v>
      </c>
      <c r="AK120" s="22">
        <f t="shared" ref="AK120:AK121" si="336">SUM(O115)</f>
        <v>7315</v>
      </c>
      <c r="AL120" s="26">
        <f t="shared" ref="AL120:AL126" si="337">AI120/AK120</f>
        <v>0.5330143541</v>
      </c>
      <c r="AM120" s="27">
        <f t="shared" ref="AM120:AM121" si="338">SUM(Q115)</f>
        <v>1.5</v>
      </c>
      <c r="AN120" s="26">
        <f t="shared" ref="AN120:AN126" si="339">AO120/AM120</f>
        <v>0.5634532706</v>
      </c>
      <c r="AO120" s="28">
        <f t="shared" ref="AO120:AO126" si="340">AI120/AB120</f>
        <v>0.8451799058</v>
      </c>
      <c r="AP120" s="27">
        <f t="shared" ref="AP120:AQ120" si="333">SUM(T115)</f>
        <v>149.3096093</v>
      </c>
      <c r="AQ120" s="27">
        <f t="shared" si="333"/>
        <v>6.491722146</v>
      </c>
      <c r="AR120" s="23">
        <f t="shared" ref="AR120:AR126" si="342">AI120/AA120</f>
        <v>169.5217391</v>
      </c>
    </row>
    <row r="121" ht="15.75" customHeight="1">
      <c r="A121" s="21"/>
      <c r="B121" s="38">
        <v>8.0</v>
      </c>
      <c r="C121" s="38" t="s">
        <v>25</v>
      </c>
      <c r="D121" s="57">
        <v>26.0</v>
      </c>
      <c r="E121" s="40">
        <f>IFERROR(__xludf.DUMMYFUNCTION("COUNT(IMPORTRANGE(""https://docs.google.com/spreadsheets/d/1vLOLpiE-XsbnCnwWPcoi87PlUSXfqIAAQn3kvqHfO6s/edit"",""5!d2:D33""))"),23.0)</f>
        <v>23</v>
      </c>
      <c r="F121" s="45">
        <f>IFERROR(__xludf.DUMMYFUNCTION("SUM(IMPORTRANGE(""https://docs.google.com/spreadsheets/d/1vLOLpiE-XsbnCnwWPcoi87PlUSXfqIAAQn3kvqHfO6s/edit"",""5!Q2:Q33""))"),4436.008)</f>
        <v>4436.008</v>
      </c>
      <c r="G121" s="40">
        <f>IFERROR(__xludf.DUMMYFUNCTION("IMPORTRANGE(""https://docs.google.com/spreadsheets/d/1vLOLpiE-XsbnCnwWPcoi87PlUSXfqIAAQn3kvqHfO6s/edit"",""5!e40"")"),1377.0)</f>
        <v>1377</v>
      </c>
      <c r="H121" s="40">
        <f>IFERROR(__xludf.DUMMYFUNCTION("IMPORTRANGE(""https://docs.google.com/spreadsheets/d/1vLOLpiE-XsbnCnwWPcoi87PlUSXfqIAAQn3kvqHfO6s/edit"",""5!e41"")"),232.0)</f>
        <v>232</v>
      </c>
      <c r="I121" s="40">
        <f t="shared" si="315"/>
        <v>1609</v>
      </c>
      <c r="J121" s="40">
        <f>IFERROR(__xludf.DUMMYFUNCTION("IMPORTRANGE(""https://docs.google.com/spreadsheets/d/1vLOLpiE-XsbnCnwWPcoi87PlUSXfqIAAQn3kvqHfO6s/edit"",""5!e44"")"),2052.0)</f>
        <v>2052</v>
      </c>
      <c r="K121" s="40">
        <f>IFERROR(__xludf.DUMMYFUNCTION("IMPORTRANGE(""https://docs.google.com/spreadsheets/d/1vLOLpiE-XsbnCnwWPcoi87PlUSXfqIAAQn3kvqHfO6s/edit"",""5!e45"")"),162.0)</f>
        <v>162</v>
      </c>
      <c r="L121" s="40">
        <f>J121+K121</f>
        <v>2214</v>
      </c>
      <c r="M121" s="40">
        <f t="shared" si="317"/>
        <v>3823</v>
      </c>
      <c r="N121" s="41">
        <f t="shared" si="318"/>
        <v>192.869913</v>
      </c>
      <c r="O121" s="38">
        <v>6622.0</v>
      </c>
      <c r="P121" s="42">
        <f t="shared" si="319"/>
        <v>0.5773180308</v>
      </c>
      <c r="Q121" s="43">
        <v>1.5</v>
      </c>
      <c r="R121" s="42">
        <f t="shared" si="320"/>
        <v>0.574540593</v>
      </c>
      <c r="S121" s="44">
        <f t="shared" si="321"/>
        <v>0.8618108894</v>
      </c>
      <c r="T121" s="43">
        <f>F121/23.84</f>
        <v>186.0741611</v>
      </c>
      <c r="U121" s="43">
        <f t="shared" si="322"/>
        <v>8.090180916</v>
      </c>
      <c r="V121" s="40">
        <f t="shared" si="323"/>
        <v>166.2173913</v>
      </c>
      <c r="X121" s="31">
        <v>2.0</v>
      </c>
      <c r="Y121" s="31" t="s">
        <v>30</v>
      </c>
      <c r="Z121" s="31">
        <f t="shared" ref="Z121:AI121" si="334">SUM(D116)</f>
        <v>45</v>
      </c>
      <c r="AA121" s="32">
        <f t="shared" si="334"/>
        <v>45</v>
      </c>
      <c r="AB121" s="33">
        <f t="shared" si="334"/>
        <v>8821.694</v>
      </c>
      <c r="AC121" s="32">
        <f t="shared" si="334"/>
        <v>2126</v>
      </c>
      <c r="AD121" s="32">
        <f t="shared" si="334"/>
        <v>0</v>
      </c>
      <c r="AE121" s="32">
        <f t="shared" si="334"/>
        <v>2126</v>
      </c>
      <c r="AF121" s="32">
        <f t="shared" si="334"/>
        <v>4059</v>
      </c>
      <c r="AG121" s="32">
        <f t="shared" si="334"/>
        <v>0</v>
      </c>
      <c r="AH121" s="32">
        <f t="shared" si="334"/>
        <v>4059</v>
      </c>
      <c r="AI121" s="32">
        <f t="shared" si="334"/>
        <v>6185</v>
      </c>
      <c r="AJ121" s="34">
        <f t="shared" si="335"/>
        <v>196.0376444</v>
      </c>
      <c r="AK121" s="31">
        <f t="shared" si="336"/>
        <v>11164</v>
      </c>
      <c r="AL121" s="35">
        <f t="shared" si="337"/>
        <v>0.5540128986</v>
      </c>
      <c r="AM121" s="36">
        <f t="shared" si="338"/>
        <v>1.5</v>
      </c>
      <c r="AN121" s="35">
        <f t="shared" si="339"/>
        <v>0.4674083383</v>
      </c>
      <c r="AO121" s="37">
        <f t="shared" si="340"/>
        <v>0.7011125074</v>
      </c>
      <c r="AP121" s="36">
        <f t="shared" ref="AP121:AQ121" si="341">SUM(T116)</f>
        <v>298</v>
      </c>
      <c r="AQ121" s="36">
        <f t="shared" si="341"/>
        <v>6.622222222</v>
      </c>
      <c r="AR121" s="32">
        <f t="shared" si="342"/>
        <v>137.4444444</v>
      </c>
    </row>
    <row r="122" ht="15.75" customHeight="1">
      <c r="A122" s="21"/>
      <c r="B122" s="38">
        <v>9.0</v>
      </c>
      <c r="C122" s="38" t="s">
        <v>36</v>
      </c>
      <c r="D122" s="57">
        <v>24.0</v>
      </c>
      <c r="E122" s="40">
        <f>IFERROR(__xludf.DUMMYFUNCTION("COUNT(IMPORTRANGE(""https://docs.google.com/spreadsheets/d/1WJJVq25XDtGjt-J2JPxeKs3jIvDZtkIREC0lFPXwf74/edit"",""5!d2:d31""))"),24.0)</f>
        <v>24</v>
      </c>
      <c r="F122" s="45">
        <f>IFERROR(__xludf.DUMMYFUNCTION("SUM(IMPORTRANGE(""https://docs.google.com/spreadsheets/d/1WJJVq25XDtGjt-J2JPxeKs3jIvDZtkIREC0lFPXwf74/edit"",""5!Q2:Q31""))"),4595.537999999999)</f>
        <v>4595.538</v>
      </c>
      <c r="G122" s="40">
        <f>IFERROR(__xludf.DUMMYFUNCTION("IMPORTRANGE(""https://docs.google.com/spreadsheets/d/1WJJVq25XDtGjt-J2JPxeKs3jIvDZtkIREC0lFPXwf74/edit"",""5!e38"")"),753.0)</f>
        <v>753</v>
      </c>
      <c r="H122" s="40">
        <f>IFERROR(__xludf.DUMMYFUNCTION("IMPORTRANGE(""https://docs.google.com/spreadsheets/d/1WJJVq25XDtGjt-J2JPxeKs3jIvDZtkIREC0lFPXwf74/edit"",""5!e39"")"),0.0)</f>
        <v>0</v>
      </c>
      <c r="I122" s="40">
        <f t="shared" si="315"/>
        <v>753</v>
      </c>
      <c r="J122" s="40">
        <f>IFERROR(__xludf.DUMMYFUNCTION("IMPORTRANGE(""https://docs.google.com/spreadsheets/d/1WJJVq25XDtGjt-J2JPxeKs3jIvDZtkIREC0lFPXwf74/edit"",""5!e42"")"),1518.0)</f>
        <v>1518</v>
      </c>
      <c r="K122" s="40">
        <f>IFERROR(__xludf.DUMMYFUNCTION("IMPORTRANGE(""https://docs.google.com/spreadsheets/d/1WJJVq25XDtGjt-J2JPxeKs3jIvDZtkIREC0lFPXwf74/edit"",""5!e43"")"),18.0)</f>
        <v>18</v>
      </c>
      <c r="L122" s="40">
        <f t="shared" ref="L122:L131" si="345">SUM(J122:K122)</f>
        <v>1536</v>
      </c>
      <c r="M122" s="40">
        <f t="shared" si="317"/>
        <v>2289</v>
      </c>
      <c r="N122" s="41">
        <f t="shared" si="318"/>
        <v>191.48075</v>
      </c>
      <c r="O122" s="38">
        <v>4796.0</v>
      </c>
      <c r="P122" s="42">
        <f t="shared" si="319"/>
        <v>0.4772727273</v>
      </c>
      <c r="Q122" s="43">
        <v>1.5</v>
      </c>
      <c r="R122" s="42">
        <f t="shared" si="320"/>
        <v>0.3320612298</v>
      </c>
      <c r="S122" s="44">
        <f t="shared" si="321"/>
        <v>0.4980918447</v>
      </c>
      <c r="T122" s="43">
        <f>F122/37.414</f>
        <v>122.8293687</v>
      </c>
      <c r="U122" s="43">
        <f t="shared" si="322"/>
        <v>5.117890362</v>
      </c>
      <c r="V122" s="40">
        <f t="shared" si="323"/>
        <v>95.375</v>
      </c>
      <c r="X122" s="22">
        <v>3.0</v>
      </c>
      <c r="Y122" s="22" t="s">
        <v>34</v>
      </c>
      <c r="Z122" s="22">
        <f t="shared" ref="Z122:AI122" si="343">SUM(D118)</f>
        <v>30</v>
      </c>
      <c r="AA122" s="23">
        <f t="shared" si="343"/>
        <v>30</v>
      </c>
      <c r="AB122" s="24">
        <f t="shared" si="343"/>
        <v>5924.523</v>
      </c>
      <c r="AC122" s="23">
        <f t="shared" si="343"/>
        <v>1816</v>
      </c>
      <c r="AD122" s="23">
        <f t="shared" si="343"/>
        <v>0</v>
      </c>
      <c r="AE122" s="23">
        <f t="shared" si="343"/>
        <v>1816</v>
      </c>
      <c r="AF122" s="23">
        <f t="shared" si="343"/>
        <v>2475</v>
      </c>
      <c r="AG122" s="23">
        <f t="shared" si="343"/>
        <v>0</v>
      </c>
      <c r="AH122" s="23">
        <f t="shared" si="343"/>
        <v>2475</v>
      </c>
      <c r="AI122" s="23">
        <f t="shared" si="343"/>
        <v>4291</v>
      </c>
      <c r="AJ122" s="25">
        <f t="shared" si="335"/>
        <v>197.4841</v>
      </c>
      <c r="AK122" s="22">
        <f>SUM(O118)</f>
        <v>9354</v>
      </c>
      <c r="AL122" s="26">
        <f t="shared" si="337"/>
        <v>0.4587342313</v>
      </c>
      <c r="AM122" s="27">
        <f>SUM(Q118)</f>
        <v>1.5</v>
      </c>
      <c r="AN122" s="26">
        <f t="shared" si="339"/>
        <v>0.4828518121</v>
      </c>
      <c r="AO122" s="28">
        <f t="shared" si="340"/>
        <v>0.7242777182</v>
      </c>
      <c r="AP122" s="27">
        <f t="shared" ref="AP122:AQ122" si="344">SUM(T118)</f>
        <v>192.8995214</v>
      </c>
      <c r="AQ122" s="27">
        <f t="shared" si="344"/>
        <v>6.429984046</v>
      </c>
      <c r="AR122" s="23">
        <f t="shared" si="342"/>
        <v>143.0333333</v>
      </c>
    </row>
    <row r="123" ht="15.75" customHeight="1">
      <c r="A123" s="21"/>
      <c r="B123" s="38">
        <v>10.0</v>
      </c>
      <c r="C123" s="38" t="s">
        <v>37</v>
      </c>
      <c r="D123" s="39">
        <v>23.0</v>
      </c>
      <c r="E123" s="40">
        <f>IFERROR(__xludf.DUMMYFUNCTION("COUNT(IMPORTRANGE(""https://docs.google.com/spreadsheets/d/1rJyYfywRpWJW0zvDJHLOJtqUQqffoCGaqTVxxTDgV0k/edit"",""5!d2:d31""))"),22.0)</f>
        <v>22</v>
      </c>
      <c r="F123" s="45">
        <f>IFERROR(__xludf.DUMMYFUNCTION("SUM(IMPORTRANGE(""https://docs.google.com/spreadsheets/d/1rJyYfywRpWJW0zvDJHLOJtqUQqffoCGaqTVxxTDgV0k/edit"",""5!Q2:Q31""))"),4311.1860000000015)</f>
        <v>4311.186</v>
      </c>
      <c r="G123" s="40">
        <f>IFERROR(__xludf.DUMMYFUNCTION("(IMPORTRANGE(""https://docs.google.com/spreadsheets/d/1rJyYfywRpWJW0zvDJHLOJtqUQqffoCGaqTVxxTDgV0k/edit"",""5!e38""))"),1011.0)</f>
        <v>1011</v>
      </c>
      <c r="H123" s="40">
        <f>IFERROR(__xludf.DUMMYFUNCTION("(IMPORTRANGE(""https://docs.google.com/spreadsheets/d/1rJyYfywRpWJW0zvDJHLOJtqUQqffoCGaqTVxxTDgV0k/edit"",""5!e39""))"),0.0)</f>
        <v>0</v>
      </c>
      <c r="I123" s="40">
        <f t="shared" si="315"/>
        <v>1011</v>
      </c>
      <c r="J123" s="40">
        <f>IFERROR(__xludf.DUMMYFUNCTION("(IMPORTRANGE(""https://docs.google.com/spreadsheets/d/1rJyYfywRpWJW0zvDJHLOJtqUQqffoCGaqTVxxTDgV0k/edit"",""5!e42""))"),1875.0)</f>
        <v>1875</v>
      </c>
      <c r="K123" s="40">
        <f>IFERROR(__xludf.DUMMYFUNCTION("(IMPORTRANGE(""https://docs.google.com/spreadsheets/d/1rJyYfywRpWJW0zvDJHLOJtqUQqffoCGaqTVxxTDgV0k/edit"",""5!e43""))"),89.0)</f>
        <v>89</v>
      </c>
      <c r="L123" s="40">
        <f t="shared" si="345"/>
        <v>1964</v>
      </c>
      <c r="M123" s="40">
        <f t="shared" si="317"/>
        <v>2975</v>
      </c>
      <c r="N123" s="41">
        <f t="shared" si="318"/>
        <v>195.963</v>
      </c>
      <c r="O123" s="38">
        <v>5887.0</v>
      </c>
      <c r="P123" s="42">
        <f t="shared" si="319"/>
        <v>0.5053507729</v>
      </c>
      <c r="Q123" s="43">
        <v>1.5</v>
      </c>
      <c r="R123" s="42">
        <f t="shared" si="320"/>
        <v>0.4600435549</v>
      </c>
      <c r="S123" s="44">
        <f t="shared" si="321"/>
        <v>0.6900653324</v>
      </c>
      <c r="T123" s="43">
        <f>F123/24.792</f>
        <v>173.8942401</v>
      </c>
      <c r="U123" s="43">
        <f t="shared" si="322"/>
        <v>7.90428364</v>
      </c>
      <c r="V123" s="40">
        <f t="shared" si="323"/>
        <v>135.2272727</v>
      </c>
      <c r="X123" s="31">
        <v>4.0</v>
      </c>
      <c r="Y123" s="31" t="s">
        <v>38</v>
      </c>
      <c r="Z123" s="31">
        <f t="shared" ref="Z123:AI123" si="346">SUM(D126)</f>
        <v>23</v>
      </c>
      <c r="AA123" s="32">
        <f t="shared" si="346"/>
        <v>22</v>
      </c>
      <c r="AB123" s="33">
        <f t="shared" si="346"/>
        <v>4367.73</v>
      </c>
      <c r="AC123" s="32">
        <f t="shared" si="346"/>
        <v>1275</v>
      </c>
      <c r="AD123" s="32">
        <f t="shared" si="346"/>
        <v>15</v>
      </c>
      <c r="AE123" s="32">
        <f t="shared" si="346"/>
        <v>1290</v>
      </c>
      <c r="AF123" s="32">
        <f t="shared" si="346"/>
        <v>1888</v>
      </c>
      <c r="AG123" s="32">
        <f t="shared" si="346"/>
        <v>25</v>
      </c>
      <c r="AH123" s="32">
        <f t="shared" si="346"/>
        <v>1913</v>
      </c>
      <c r="AI123" s="32">
        <f t="shared" si="346"/>
        <v>3203</v>
      </c>
      <c r="AJ123" s="34">
        <f t="shared" si="335"/>
        <v>198.5331818</v>
      </c>
      <c r="AK123" s="31">
        <v>7324.0</v>
      </c>
      <c r="AL123" s="35">
        <f t="shared" si="337"/>
        <v>0.4373293282</v>
      </c>
      <c r="AM123" s="36">
        <f>SUM(Q126)</f>
        <v>1.5</v>
      </c>
      <c r="AN123" s="35">
        <f t="shared" si="339"/>
        <v>0.4888885836</v>
      </c>
      <c r="AO123" s="37">
        <f t="shared" si="340"/>
        <v>0.7333328754</v>
      </c>
      <c r="AP123" s="36">
        <f t="shared" ref="AP123:AQ123" si="347">SUM(T126)</f>
        <v>106</v>
      </c>
      <c r="AQ123" s="36">
        <f t="shared" si="347"/>
        <v>4.818181818</v>
      </c>
      <c r="AR123" s="32">
        <f t="shared" si="342"/>
        <v>145.5909091</v>
      </c>
    </row>
    <row r="124" ht="15.75" customHeight="1">
      <c r="A124" s="21"/>
      <c r="B124" s="38">
        <v>12.0</v>
      </c>
      <c r="C124" s="38" t="s">
        <v>39</v>
      </c>
      <c r="D124" s="39">
        <v>21.0</v>
      </c>
      <c r="E124" s="40">
        <f>IFERROR(__xludf.DUMMYFUNCTION("COUNT(IMPORTRANGE(""https://docs.google.com/spreadsheets/d/1uaTn2DZCfr7O1PvovOd0wElzVz8kpl_iPfnrkNPp0Is/edit"",""5!d2:d29""))"),21.0)</f>
        <v>21</v>
      </c>
      <c r="F124" s="45">
        <f>IFERROR(__xludf.DUMMYFUNCTION("SUM(IMPORTRANGE(""https://docs.google.com/spreadsheets/d/1uaTn2DZCfr7O1PvovOd0wElzVz8kpl_iPfnrkNPp0Is/edit"",""5!Q2:Q29""))"),3933.186000000001)</f>
        <v>3933.186</v>
      </c>
      <c r="G124" s="40">
        <f>IFERROR(__xludf.DUMMYFUNCTION("IMPORTRANGE(""https://docs.google.com/spreadsheets/d/1uaTn2DZCfr7O1PvovOd0wElzVz8kpl_iPfnrkNPp0Is/edit"",""5!e36"")"),864.0)</f>
        <v>864</v>
      </c>
      <c r="H124" s="40">
        <f>IFERROR(__xludf.DUMMYFUNCTION("(IMPORTRANGE(""https://docs.google.com/spreadsheets/d/1uaTn2DZCfr7O1PvovOd0wElzVz8kpl_iPfnrkNPp0Is/edit"",""5!e37""))"),0.0)</f>
        <v>0</v>
      </c>
      <c r="I124" s="40">
        <f t="shared" si="315"/>
        <v>864</v>
      </c>
      <c r="J124" s="40">
        <f>IFERROR(__xludf.DUMMYFUNCTION("IMPORTRANGE(""https://docs.google.com/spreadsheets/d/1uaTn2DZCfr7O1PvovOd0wElzVz8kpl_iPfnrkNPp0Is/edit"",""5!e40"")"),1596.0)</f>
        <v>1596</v>
      </c>
      <c r="K124" s="40">
        <f>IFERROR(__xludf.DUMMYFUNCTION("IMPORTRANGE(""https://docs.google.com/spreadsheets/d/1uaTn2DZCfr7O1PvovOd0wElzVz8kpl_iPfnrkNPp0Is/edit"",""5!e41"")"),0.0)</f>
        <v>0</v>
      </c>
      <c r="L124" s="40">
        <f t="shared" si="345"/>
        <v>1596</v>
      </c>
      <c r="M124" s="40">
        <f t="shared" si="317"/>
        <v>2460</v>
      </c>
      <c r="N124" s="41">
        <f t="shared" si="318"/>
        <v>187.2945714</v>
      </c>
      <c r="O124" s="38">
        <v>3569.0</v>
      </c>
      <c r="P124" s="42">
        <f t="shared" si="319"/>
        <v>0.6892687027</v>
      </c>
      <c r="Q124" s="43">
        <v>1.5</v>
      </c>
      <c r="R124" s="42">
        <f t="shared" si="320"/>
        <v>0.4169647711</v>
      </c>
      <c r="S124" s="44">
        <f t="shared" si="321"/>
        <v>0.6254471566</v>
      </c>
      <c r="T124" s="43">
        <f>F124/21.463</f>
        <v>183.2542515</v>
      </c>
      <c r="U124" s="43">
        <f t="shared" si="322"/>
        <v>8.726392929</v>
      </c>
      <c r="V124" s="40">
        <f t="shared" si="323"/>
        <v>117.1428571</v>
      </c>
      <c r="X124" s="31">
        <v>5.0</v>
      </c>
      <c r="Y124" s="31" t="s">
        <v>40</v>
      </c>
      <c r="Z124" s="31">
        <f t="shared" ref="Z124:AI124" si="348">SUM(D128)</f>
        <v>23</v>
      </c>
      <c r="AA124" s="32">
        <f t="shared" si="348"/>
        <v>22</v>
      </c>
      <c r="AB124" s="33">
        <f t="shared" si="348"/>
        <v>4380.222</v>
      </c>
      <c r="AC124" s="32">
        <f t="shared" si="348"/>
        <v>2236</v>
      </c>
      <c r="AD124" s="32">
        <f t="shared" si="348"/>
        <v>0</v>
      </c>
      <c r="AE124" s="32">
        <f t="shared" si="348"/>
        <v>2236</v>
      </c>
      <c r="AF124" s="32">
        <f t="shared" si="348"/>
        <v>2705</v>
      </c>
      <c r="AG124" s="32">
        <f t="shared" si="348"/>
        <v>0</v>
      </c>
      <c r="AH124" s="32">
        <f t="shared" si="348"/>
        <v>2705</v>
      </c>
      <c r="AI124" s="32">
        <f t="shared" si="348"/>
        <v>4941</v>
      </c>
      <c r="AJ124" s="34">
        <f t="shared" si="335"/>
        <v>199.101</v>
      </c>
      <c r="AK124" s="31">
        <f t="shared" ref="AK124:AK125" si="351">SUM(O128)</f>
        <v>8239</v>
      </c>
      <c r="AL124" s="35">
        <f t="shared" si="337"/>
        <v>0.5997087025</v>
      </c>
      <c r="AM124" s="36">
        <f t="shared" ref="AM124:AM125" si="352">SUM(Q128)</f>
        <v>1.5</v>
      </c>
      <c r="AN124" s="35">
        <f t="shared" si="339"/>
        <v>0.7520166786</v>
      </c>
      <c r="AO124" s="37">
        <f t="shared" si="340"/>
        <v>1.128025018</v>
      </c>
      <c r="AP124" s="36">
        <f t="shared" ref="AP124:AQ124" si="349">SUM(T128)</f>
        <v>154</v>
      </c>
      <c r="AQ124" s="36">
        <f t="shared" si="349"/>
        <v>7</v>
      </c>
      <c r="AR124" s="32">
        <f t="shared" si="342"/>
        <v>224.5909091</v>
      </c>
    </row>
    <row r="125" ht="15.75" customHeight="1">
      <c r="A125" s="21"/>
      <c r="B125" s="38">
        <v>12.0</v>
      </c>
      <c r="C125" s="38" t="s">
        <v>41</v>
      </c>
      <c r="D125" s="39">
        <v>19.0</v>
      </c>
      <c r="E125" s="40">
        <f>IFERROR(__xludf.DUMMYFUNCTION("COUNT(IMPORTRANGE(""https://docs.google.com/spreadsheets/d/1oYscvfOJW7GMkxt8QcupWuzb3ohaYePd3Mt2V2ufHok/edit"",""5!d2:d25""))"),19.0)</f>
        <v>19</v>
      </c>
      <c r="F125" s="45">
        <f>IFERROR(__xludf.DUMMYFUNCTION("SUM(IMPORTRANGE(""https://docs.google.com/spreadsheets/d/1oYscvfOJW7GMkxt8QcupWuzb3ohaYePd3Mt2V2ufHok/edit"",""5!Q2:Q25""))"),3812.136000000002)</f>
        <v>3812.136</v>
      </c>
      <c r="G125" s="40">
        <f>IFERROR(__xludf.DUMMYFUNCTION("IMPORTRANGE(""https://docs.google.com/spreadsheets/d/1oYscvfOJW7GMkxt8QcupWuzb3ohaYePd3Mt2V2ufHok/edit"",""5!e32"")"),698.0)</f>
        <v>698</v>
      </c>
      <c r="H125" s="40">
        <f>IFERROR(__xludf.DUMMYFUNCTION("IMPORTRANGE(""https://docs.google.com/spreadsheets/d/1oYscvfOJW7GMkxt8QcupWuzb3ohaYePd3Mt2V2ufHok/edit"",""5!e33"")"),87.0)</f>
        <v>87</v>
      </c>
      <c r="I125" s="40">
        <f t="shared" si="315"/>
        <v>785</v>
      </c>
      <c r="J125" s="40">
        <f>IFERROR(__xludf.DUMMYFUNCTION("IMPORTRANGE(""https://docs.google.com/spreadsheets/d/1oYscvfOJW7GMkxt8QcupWuzb3ohaYePd3Mt2V2ufHok/edit"",""5!e36"")"),1251.0)</f>
        <v>1251</v>
      </c>
      <c r="K125" s="40">
        <f>IFERROR(__xludf.DUMMYFUNCTION("IMPORTRANGE(""https://docs.google.com/spreadsheets/d/1oYscvfOJW7GMkxt8QcupWuzb3ohaYePd3Mt2V2ufHok/edit"",""5!e37"")"),0.0)</f>
        <v>0</v>
      </c>
      <c r="L125" s="40">
        <f t="shared" si="345"/>
        <v>1251</v>
      </c>
      <c r="M125" s="40">
        <f t="shared" si="317"/>
        <v>2036</v>
      </c>
      <c r="N125" s="41">
        <f t="shared" si="318"/>
        <v>200.6387368</v>
      </c>
      <c r="O125" s="38">
        <v>3801.0</v>
      </c>
      <c r="P125" s="42">
        <f t="shared" si="319"/>
        <v>0.5356485135</v>
      </c>
      <c r="Q125" s="43">
        <v>1.5</v>
      </c>
      <c r="R125" s="42">
        <f t="shared" si="320"/>
        <v>0.3560558525</v>
      </c>
      <c r="S125" s="44">
        <f t="shared" si="321"/>
        <v>0.5340837788</v>
      </c>
      <c r="T125" s="43">
        <f>F125/29.628</f>
        <v>128.6666667</v>
      </c>
      <c r="U125" s="43">
        <f t="shared" si="322"/>
        <v>6.771929825</v>
      </c>
      <c r="V125" s="40">
        <f t="shared" si="323"/>
        <v>107.1578947</v>
      </c>
      <c r="X125" s="22">
        <v>6.0</v>
      </c>
      <c r="Y125" s="22" t="s">
        <v>42</v>
      </c>
      <c r="Z125" s="22">
        <f t="shared" ref="Z125:AI125" si="350">SUM(D129)</f>
        <v>24</v>
      </c>
      <c r="AA125" s="23">
        <f t="shared" si="350"/>
        <v>24</v>
      </c>
      <c r="AB125" s="24">
        <f t="shared" si="350"/>
        <v>4647.897</v>
      </c>
      <c r="AC125" s="23">
        <f t="shared" si="350"/>
        <v>2086</v>
      </c>
      <c r="AD125" s="23">
        <f t="shared" si="350"/>
        <v>96</v>
      </c>
      <c r="AE125" s="23">
        <f t="shared" si="350"/>
        <v>2182</v>
      </c>
      <c r="AF125" s="23">
        <f t="shared" si="350"/>
        <v>3101</v>
      </c>
      <c r="AG125" s="23">
        <f t="shared" si="350"/>
        <v>62</v>
      </c>
      <c r="AH125" s="23">
        <f t="shared" si="350"/>
        <v>3163</v>
      </c>
      <c r="AI125" s="23">
        <f t="shared" si="350"/>
        <v>5345</v>
      </c>
      <c r="AJ125" s="25">
        <f t="shared" si="335"/>
        <v>193.662375</v>
      </c>
      <c r="AK125" s="22">
        <f t="shared" si="351"/>
        <v>9877</v>
      </c>
      <c r="AL125" s="26">
        <f t="shared" si="337"/>
        <v>0.5411562215</v>
      </c>
      <c r="AM125" s="27">
        <f t="shared" si="352"/>
        <v>1.5</v>
      </c>
      <c r="AN125" s="26">
        <f t="shared" si="339"/>
        <v>0.7666549696</v>
      </c>
      <c r="AO125" s="28">
        <f t="shared" si="340"/>
        <v>1.149982454</v>
      </c>
      <c r="AP125" s="27">
        <f t="shared" ref="AP125:AQ125" si="353">SUM(T129)</f>
        <v>177.7058689</v>
      </c>
      <c r="AQ125" s="27">
        <f t="shared" si="353"/>
        <v>7.404411202</v>
      </c>
      <c r="AR125" s="23">
        <f t="shared" si="342"/>
        <v>222.7083333</v>
      </c>
    </row>
    <row r="126" ht="15.75" customHeight="1">
      <c r="A126" s="21"/>
      <c r="B126" s="38">
        <v>13.0</v>
      </c>
      <c r="C126" s="38" t="s">
        <v>43</v>
      </c>
      <c r="D126" s="39">
        <v>23.0</v>
      </c>
      <c r="E126" s="40">
        <f>IFERROR(__xludf.DUMMYFUNCTION("COUNT(IMPORTRANGE(""https://docs.google.com/spreadsheets/d/1AxBmuQEdOYAeRnZ4C8vO6kuTNp7X_SGhpLXuY0n4ln4/edit"",""5!d2:d31""))"),22.0)</f>
        <v>22</v>
      </c>
      <c r="F126" s="45">
        <f>IFERROR(__xludf.DUMMYFUNCTION("SUM(IMPORTRANGE(""https://docs.google.com/spreadsheets/d/1AxBmuQEdOYAeRnZ4C8vO6kuTNp7X_SGhpLXuY0n4ln4/edit"",""5!Q2:Q31""))"),4367.7300000000005)</f>
        <v>4367.73</v>
      </c>
      <c r="G126" s="40">
        <f>IFERROR(__xludf.DUMMYFUNCTION("IMPORTRANGE(""https://docs.google.com/spreadsheets/d/1AxBmuQEdOYAeRnZ4C8vO6kuTNp7X_SGhpLXuY0n4ln4/edit"",""5!e38"")"),1275.0)</f>
        <v>1275</v>
      </c>
      <c r="H126" s="40">
        <f>IFERROR(__xludf.DUMMYFUNCTION("IMPORTRANGE(""https://docs.google.com/spreadsheets/d/1AxBmuQEdOYAeRnZ4C8vO6kuTNp7X_SGhpLXuY0n4ln4/edit"",""5!e39"")"),15.0)</f>
        <v>15</v>
      </c>
      <c r="I126" s="40">
        <f t="shared" si="315"/>
        <v>1290</v>
      </c>
      <c r="J126" s="40">
        <f>IFERROR(__xludf.DUMMYFUNCTION("IMPORTRANGE(""https://docs.google.com/spreadsheets/d/1AxBmuQEdOYAeRnZ4C8vO6kuTNp7X_SGhpLXuY0n4ln4/edit"",""5!e42"")"),1888.0)</f>
        <v>1888</v>
      </c>
      <c r="K126" s="40">
        <f>IFERROR(__xludf.DUMMYFUNCTION("IMPORTRANGE(""https://docs.google.com/spreadsheets/d/1AxBmuQEdOYAeRnZ4C8vO6kuTNp7X_SGhpLXuY0n4ln4/edit"",""5!e43"")"),25.0)</f>
        <v>25</v>
      </c>
      <c r="L126" s="40">
        <f t="shared" si="345"/>
        <v>1913</v>
      </c>
      <c r="M126" s="40">
        <f t="shared" si="317"/>
        <v>3203</v>
      </c>
      <c r="N126" s="41">
        <f t="shared" si="318"/>
        <v>198.5331818</v>
      </c>
      <c r="O126" s="38">
        <v>8345.0</v>
      </c>
      <c r="P126" s="42">
        <f t="shared" si="319"/>
        <v>0.3838226483</v>
      </c>
      <c r="Q126" s="43">
        <v>1.5</v>
      </c>
      <c r="R126" s="42">
        <f t="shared" si="320"/>
        <v>0.4888885836</v>
      </c>
      <c r="S126" s="44">
        <f t="shared" si="321"/>
        <v>0.7333328754</v>
      </c>
      <c r="T126" s="43">
        <f>F126/41.205</f>
        <v>106</v>
      </c>
      <c r="U126" s="43">
        <f t="shared" si="322"/>
        <v>4.818181818</v>
      </c>
      <c r="V126" s="40">
        <f t="shared" si="323"/>
        <v>145.5909091</v>
      </c>
      <c r="X126" s="46" t="s">
        <v>33</v>
      </c>
      <c r="Y126" s="46">
        <v>6.0</v>
      </c>
      <c r="Z126" s="46">
        <f t="shared" ref="Z126:AI126" si="354">SUM(Z120:Z125)</f>
        <v>169</v>
      </c>
      <c r="AA126" s="47">
        <f t="shared" si="354"/>
        <v>166</v>
      </c>
      <c r="AB126" s="49">
        <f t="shared" si="354"/>
        <v>32755.285</v>
      </c>
      <c r="AC126" s="47">
        <f t="shared" si="354"/>
        <v>10996</v>
      </c>
      <c r="AD126" s="47">
        <f t="shared" si="354"/>
        <v>208</v>
      </c>
      <c r="AE126" s="47">
        <f t="shared" si="354"/>
        <v>11204</v>
      </c>
      <c r="AF126" s="47">
        <f t="shared" si="354"/>
        <v>16282</v>
      </c>
      <c r="AG126" s="47">
        <f t="shared" si="354"/>
        <v>378</v>
      </c>
      <c r="AH126" s="47">
        <f t="shared" si="354"/>
        <v>16660</v>
      </c>
      <c r="AI126" s="47">
        <f t="shared" si="354"/>
        <v>27864</v>
      </c>
      <c r="AJ126" s="49">
        <f t="shared" si="335"/>
        <v>197.320994</v>
      </c>
      <c r="AK126" s="46">
        <f>SUM(AK120:AK125)</f>
        <v>53273</v>
      </c>
      <c r="AL126" s="50">
        <f t="shared" si="337"/>
        <v>0.5230416909</v>
      </c>
      <c r="AM126" s="51">
        <v>1.5</v>
      </c>
      <c r="AN126" s="50">
        <f t="shared" si="339"/>
        <v>0.5671145893</v>
      </c>
      <c r="AO126" s="52">
        <f t="shared" si="340"/>
        <v>0.8506718839</v>
      </c>
      <c r="AP126" s="51">
        <f>SUM(AP120:AP125)</f>
        <v>1077.915</v>
      </c>
      <c r="AQ126" s="51">
        <f>AP126/AA126</f>
        <v>6.493463853</v>
      </c>
      <c r="AR126" s="47">
        <f t="shared" si="342"/>
        <v>167.8554217</v>
      </c>
    </row>
    <row r="127" ht="15.75" customHeight="1">
      <c r="A127" s="21"/>
      <c r="B127" s="38">
        <v>14.0</v>
      </c>
      <c r="C127" s="38" t="s">
        <v>27</v>
      </c>
      <c r="D127" s="39">
        <v>23.0</v>
      </c>
      <c r="E127" s="40">
        <f>IFERROR(__xludf.DUMMYFUNCTION("COUNT(IMPORTRANGE(""https://docs.google.com/spreadsheets/d/1LsL4JuXvBtfJ-TVi4NFml9lV_pmd61b789A_nbO-QrA/edit"",""5!d2:d31""))"),23.0)</f>
        <v>23</v>
      </c>
      <c r="F127" s="45">
        <f>IFERROR(__xludf.DUMMYFUNCTION("SUM(IMPORTRANGE(""https://docs.google.com/spreadsheets/d/1LsL4JuXvBtfJ-TVi4NFml9lV_pmd61b789A_nbO-QrA/edit"",""5!Q2:Q31""))"),4292.667999999999)</f>
        <v>4292.668</v>
      </c>
      <c r="G127" s="40">
        <f>IFERROR(__xludf.DUMMYFUNCTION("IMPORTRANGE(""https://docs.google.com/spreadsheets/d/1LsL4JuXvBtfJ-TVi4NFml9lV_pmd61b789A_nbO-QrA/edit"",""5!e38"")"),1622.0)</f>
        <v>1622</v>
      </c>
      <c r="H127" s="40">
        <f>IFERROR(__xludf.DUMMYFUNCTION("IMPORTRANGE(""https://docs.google.com/spreadsheets/d/1LsL4JuXvBtfJ-TVi4NFml9lV_pmd61b789A_nbO-QrA/edit"",""5!e39"")"),0.0)</f>
        <v>0</v>
      </c>
      <c r="I127" s="40">
        <f t="shared" si="315"/>
        <v>1622</v>
      </c>
      <c r="J127" s="40">
        <f>IFERROR(__xludf.DUMMYFUNCTION("IMPORTRANGE(""https://docs.google.com/spreadsheets/d/1LsL4JuXvBtfJ-TVi4NFml9lV_pmd61b789A_nbO-QrA/edit"",""5!e42"")"),2145.0)</f>
        <v>2145</v>
      </c>
      <c r="K127" s="40">
        <f>IFERROR(__xludf.DUMMYFUNCTION("IMPORTRANGE(""https://docs.google.com/spreadsheets/d/1LsL4JuXvBtfJ-TVi4NFml9lV_pmd61b789A_nbO-QrA/edit"",""5!e43"")"),33.0)</f>
        <v>33</v>
      </c>
      <c r="L127" s="40">
        <f t="shared" si="345"/>
        <v>2178</v>
      </c>
      <c r="M127" s="40">
        <f t="shared" si="317"/>
        <v>3800</v>
      </c>
      <c r="N127" s="41">
        <f t="shared" si="318"/>
        <v>186.6377391</v>
      </c>
      <c r="O127" s="38">
        <v>8101.0</v>
      </c>
      <c r="P127" s="42">
        <f t="shared" si="319"/>
        <v>0.4690778916</v>
      </c>
      <c r="Q127" s="43">
        <v>1.5</v>
      </c>
      <c r="R127" s="42">
        <f t="shared" si="320"/>
        <v>0.5901535673</v>
      </c>
      <c r="S127" s="44">
        <f t="shared" si="321"/>
        <v>0.8852303509</v>
      </c>
      <c r="T127" s="43">
        <f>F127/19.985</f>
        <v>214.7944959</v>
      </c>
      <c r="U127" s="43">
        <f t="shared" si="322"/>
        <v>9.338891125</v>
      </c>
      <c r="V127" s="40">
        <f t="shared" si="323"/>
        <v>165.2173913</v>
      </c>
      <c r="X127" s="59" t="s">
        <v>44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6"/>
    </row>
    <row r="128" ht="15.75" customHeight="1">
      <c r="A128" s="21"/>
      <c r="B128" s="38">
        <v>15.0</v>
      </c>
      <c r="C128" s="38" t="s">
        <v>40</v>
      </c>
      <c r="D128" s="39">
        <v>23.0</v>
      </c>
      <c r="E128" s="40">
        <f>IFERROR(__xludf.DUMMYFUNCTION("COUNT(IMPORTRANGE(""https://docs.google.com/spreadsheets/d/1Krav0MVlY0vbUNsFRDnb_kR72_tyuGnWBYbGjNZrl18/edit"",""5!d2:d31""))"),22.0)</f>
        <v>22</v>
      </c>
      <c r="F128" s="45">
        <f>IFERROR(__xludf.DUMMYFUNCTION("SUM(IMPORTRANGE(""https://docs.google.com/spreadsheets/d/1Krav0MVlY0vbUNsFRDnb_kR72_tyuGnWBYbGjNZrl18/edit"",""5!Q2:Q31""))"),4380.222000000001)</f>
        <v>4380.222</v>
      </c>
      <c r="G128" s="40">
        <f>IFERROR(__xludf.DUMMYFUNCTION("IMPORTRANGE(""https://docs.google.com/spreadsheets/d/1Krav0MVlY0vbUNsFRDnb_kR72_tyuGnWBYbGjNZrl18/edit"",""5!e38"")"),2236.0)</f>
        <v>2236</v>
      </c>
      <c r="H128" s="40">
        <f>IFERROR(__xludf.DUMMYFUNCTION("IMPORTRANGE(""https://docs.google.com/spreadsheets/d/1Krav0MVlY0vbUNsFRDnb_kR72_tyuGnWBYbGjNZrl18/edit"",""5!e39"")"),0.0)</f>
        <v>0</v>
      </c>
      <c r="I128" s="40">
        <f t="shared" si="315"/>
        <v>2236</v>
      </c>
      <c r="J128" s="40">
        <f>IFERROR(__xludf.DUMMYFUNCTION("IMPORTRANGE(""https://docs.google.com/spreadsheets/d/1Krav0MVlY0vbUNsFRDnb_kR72_tyuGnWBYbGjNZrl18/edit"",""5!e42"")"),2705.0)</f>
        <v>2705</v>
      </c>
      <c r="K128" s="40">
        <f>IFERROR(__xludf.DUMMYFUNCTION("IMPORTRANGE(""https://docs.google.com/spreadsheets/d/1Krav0MVlY0vbUNsFRDnb_kR72_tyuGnWBYbGjNZrl18/edit"",""5!e43"")"),0.0)</f>
        <v>0</v>
      </c>
      <c r="L128" s="40">
        <f t="shared" si="345"/>
        <v>2705</v>
      </c>
      <c r="M128" s="40">
        <f t="shared" si="317"/>
        <v>4941</v>
      </c>
      <c r="N128" s="41">
        <f t="shared" si="318"/>
        <v>199.101</v>
      </c>
      <c r="O128" s="38">
        <v>8239.0</v>
      </c>
      <c r="P128" s="42">
        <f t="shared" si="319"/>
        <v>0.5997087025</v>
      </c>
      <c r="Q128" s="43">
        <v>1.5</v>
      </c>
      <c r="R128" s="42">
        <f t="shared" si="320"/>
        <v>0.7520166786</v>
      </c>
      <c r="S128" s="44">
        <f t="shared" si="321"/>
        <v>1.128025018</v>
      </c>
      <c r="T128" s="43">
        <f>F128/28.443</f>
        <v>154</v>
      </c>
      <c r="U128" s="43">
        <f t="shared" si="322"/>
        <v>7</v>
      </c>
      <c r="V128" s="40">
        <f t="shared" si="323"/>
        <v>224.5909091</v>
      </c>
      <c r="X128" s="14" t="s">
        <v>2</v>
      </c>
      <c r="Y128" s="14" t="s">
        <v>3</v>
      </c>
      <c r="Z128" s="14" t="s">
        <v>4</v>
      </c>
      <c r="AA128" s="14" t="s">
        <v>5</v>
      </c>
      <c r="AB128" s="15" t="s">
        <v>6</v>
      </c>
      <c r="AC128" s="14" t="s">
        <v>7</v>
      </c>
      <c r="AD128" s="14" t="s">
        <v>8</v>
      </c>
      <c r="AE128" s="14" t="s">
        <v>9</v>
      </c>
      <c r="AF128" s="14" t="s">
        <v>10</v>
      </c>
      <c r="AG128" s="14" t="s">
        <v>11</v>
      </c>
      <c r="AH128" s="14" t="s">
        <v>12</v>
      </c>
      <c r="AI128" s="14" t="s">
        <v>13</v>
      </c>
      <c r="AJ128" s="15" t="s">
        <v>14</v>
      </c>
      <c r="AK128" s="14" t="s">
        <v>15</v>
      </c>
      <c r="AL128" s="14" t="s">
        <v>16</v>
      </c>
      <c r="AM128" s="16" t="s">
        <v>17</v>
      </c>
      <c r="AN128" s="17" t="s">
        <v>18</v>
      </c>
      <c r="AO128" s="18" t="s">
        <v>19</v>
      </c>
      <c r="AP128" s="19" t="s">
        <v>20</v>
      </c>
      <c r="AQ128" s="19" t="s">
        <v>21</v>
      </c>
      <c r="AR128" s="20" t="s">
        <v>22</v>
      </c>
    </row>
    <row r="129" ht="15.75" customHeight="1">
      <c r="A129" s="21"/>
      <c r="B129" s="38">
        <v>16.0</v>
      </c>
      <c r="C129" s="38" t="s">
        <v>42</v>
      </c>
      <c r="D129" s="39">
        <v>24.0</v>
      </c>
      <c r="E129" s="40">
        <f>IFERROR(__xludf.DUMMYFUNCTION("COUNT(IMPORTRANGE(""https://docs.google.com/spreadsheets/d/1uXtm-E8PG0CetlFmSpTX3RK0LNEMnpR-mxbET9AGD6w/edit"",""5!d2:d34""))"),24.0)</f>
        <v>24</v>
      </c>
      <c r="F129" s="45">
        <f>IFERROR(__xludf.DUMMYFUNCTION("SUM(IMPORTRANGE(""https://docs.google.com/spreadsheets/d/1uXtm-E8PG0CetlFmSpTX3RK0LNEMnpR-mxbET9AGD6w/edit"",""5!Q2:Q34""))"),4647.896999999999)</f>
        <v>4647.897</v>
      </c>
      <c r="G129" s="40">
        <f>IFERROR(__xludf.DUMMYFUNCTION("IMPORTRANGE(""https://docs.google.com/spreadsheets/d/1uXtm-E8PG0CetlFmSpTX3RK0LNEMnpR-mxbET9AGD6w/edit"",""5!e41"")"),2086.0)</f>
        <v>2086</v>
      </c>
      <c r="H129" s="40">
        <f>IFERROR(__xludf.DUMMYFUNCTION("IMPORTRANGE(""https://docs.google.com/spreadsheets/d/1uXtm-E8PG0CetlFmSpTX3RK0LNEMnpR-mxbET9AGD6w/edit"",""5!e42"")"),96.0)</f>
        <v>96</v>
      </c>
      <c r="I129" s="40">
        <f t="shared" si="315"/>
        <v>2182</v>
      </c>
      <c r="J129" s="40">
        <f>IFERROR(__xludf.DUMMYFUNCTION("IMPORTRANGE(""https://docs.google.com/spreadsheets/d/1uXtm-E8PG0CetlFmSpTX3RK0LNEMnpR-mxbET9AGD6w/edit"",""5!e45"")"),3101.0)</f>
        <v>3101</v>
      </c>
      <c r="K129" s="40">
        <f>IFERROR(__xludf.DUMMYFUNCTION("IMPORTRANGE(""https://docs.google.com/spreadsheets/d/1uXtm-E8PG0CetlFmSpTX3RK0LNEMnpR-mxbET9AGD6w/edit"",""5!e46"")"),62.0)</f>
        <v>62</v>
      </c>
      <c r="L129" s="40">
        <f t="shared" si="345"/>
        <v>3163</v>
      </c>
      <c r="M129" s="40">
        <f t="shared" si="317"/>
        <v>5345</v>
      </c>
      <c r="N129" s="41">
        <f t="shared" si="318"/>
        <v>193.662375</v>
      </c>
      <c r="O129" s="38">
        <v>9877.0</v>
      </c>
      <c r="P129" s="42">
        <f t="shared" si="319"/>
        <v>0.5411562215</v>
      </c>
      <c r="Q129" s="43">
        <v>1.5</v>
      </c>
      <c r="R129" s="42">
        <f t="shared" si="320"/>
        <v>0.7666549696</v>
      </c>
      <c r="S129" s="44">
        <f t="shared" si="321"/>
        <v>1.149982454</v>
      </c>
      <c r="T129" s="43">
        <f>F129/26.155</f>
        <v>177.7058689</v>
      </c>
      <c r="U129" s="43">
        <f t="shared" si="322"/>
        <v>7.404411202</v>
      </c>
      <c r="V129" s="40">
        <f t="shared" si="323"/>
        <v>222.7083333</v>
      </c>
      <c r="X129" s="31">
        <v>1.0</v>
      </c>
      <c r="Y129" s="31" t="s">
        <v>26</v>
      </c>
      <c r="Z129" s="31">
        <f t="shared" ref="Z129:AI129" si="355">SUM(D114)</f>
        <v>15</v>
      </c>
      <c r="AA129" s="32">
        <f t="shared" si="355"/>
        <v>15</v>
      </c>
      <c r="AB129" s="34">
        <f t="shared" si="355"/>
        <v>2883.459</v>
      </c>
      <c r="AC129" s="32">
        <f t="shared" si="355"/>
        <v>1436</v>
      </c>
      <c r="AD129" s="32">
        <f t="shared" si="355"/>
        <v>0</v>
      </c>
      <c r="AE129" s="32">
        <f t="shared" si="355"/>
        <v>1436</v>
      </c>
      <c r="AF129" s="32">
        <f t="shared" si="355"/>
        <v>1574</v>
      </c>
      <c r="AG129" s="32">
        <f t="shared" si="355"/>
        <v>0</v>
      </c>
      <c r="AH129" s="32">
        <f t="shared" si="355"/>
        <v>1574</v>
      </c>
      <c r="AI129" s="32">
        <f t="shared" si="355"/>
        <v>3010</v>
      </c>
      <c r="AJ129" s="34">
        <f t="shared" ref="AJ129:AJ135" si="358">AB129/AA129</f>
        <v>192.2306</v>
      </c>
      <c r="AK129" s="31">
        <f>SUM(O114)</f>
        <v>5161</v>
      </c>
      <c r="AL129" s="35">
        <f t="shared" ref="AL129:AL135" si="359">AI129/AK129</f>
        <v>0.5832203061</v>
      </c>
      <c r="AM129" s="36">
        <f>SUM(Q114)</f>
        <v>1.5</v>
      </c>
      <c r="AN129" s="35">
        <f t="shared" ref="AN129:AN135" si="360">AO129/AM129</f>
        <v>0.6959234262</v>
      </c>
      <c r="AO129" s="37">
        <f t="shared" ref="AO129:AO135" si="361">AI129/AB129</f>
        <v>1.043885139</v>
      </c>
      <c r="AP129" s="36">
        <f t="shared" ref="AP129:AQ129" si="356">SUM(T114)</f>
        <v>200.0318418</v>
      </c>
      <c r="AQ129" s="36">
        <f t="shared" si="356"/>
        <v>13.33545612</v>
      </c>
      <c r="AR129" s="32">
        <f t="shared" ref="AR129:AR135" si="363">AI129/AA129</f>
        <v>200.6666667</v>
      </c>
    </row>
    <row r="130" ht="15.75" customHeight="1">
      <c r="A130" s="21"/>
      <c r="B130" s="38">
        <v>17.0</v>
      </c>
      <c r="C130" s="38" t="s">
        <v>29</v>
      </c>
      <c r="D130" s="39">
        <v>23.0</v>
      </c>
      <c r="E130" s="40">
        <f>IFERROR(__xludf.DUMMYFUNCTION("COUNT(IMPORTRANGE(""https://docs.google.com/spreadsheets/d/12xcKI0lSnAsjEsxfm9K8Qx0B_89Gzsh816mowItkQao/edit"",""5!d2:d31""))"),20.0)</f>
        <v>20</v>
      </c>
      <c r="F130" s="45">
        <f>IFERROR(__xludf.DUMMYFUNCTION("SUM(IMPORTRANGE(""https://docs.google.com/spreadsheets/d/12xcKI0lSnAsjEsxfm9K8Qx0B_89Gzsh816mowItkQao/edit"",""5!Q2:Q31""))"),4009.852000000001)</f>
        <v>4009.852</v>
      </c>
      <c r="G130" s="40">
        <f>IFERROR(__xludf.DUMMYFUNCTION("IMPORTRANGE(""https://docs.google.com/spreadsheets/d/12xcKI0lSnAsjEsxfm9K8Qx0B_89Gzsh816mowItkQao/edit"",""5!e38"")"),1532.0)</f>
        <v>1532</v>
      </c>
      <c r="H130" s="40">
        <f>IFERROR(__xludf.DUMMYFUNCTION("IMPORTRANGE(""https://docs.google.com/spreadsheets/d/12xcKI0lSnAsjEsxfm9K8Qx0B_89Gzsh816mowItkQao/edit"",""5!e39"")"),0.0)</f>
        <v>0</v>
      </c>
      <c r="I130" s="40">
        <f t="shared" si="315"/>
        <v>1532</v>
      </c>
      <c r="J130" s="40">
        <f>IFERROR(__xludf.DUMMYFUNCTION("IMPORTRANGE(""https://docs.google.com/spreadsheets/d/12xcKI0lSnAsjEsxfm9K8Qx0B_89Gzsh816mowItkQao/edit"",""5!e42"")"),2440.0)</f>
        <v>2440</v>
      </c>
      <c r="K130" s="40">
        <f>IFERROR(__xludf.DUMMYFUNCTION("IMPORTRANGE(""https://docs.google.com/spreadsheets/d/12xcKI0lSnAsjEsxfm9K8Qx0B_89Gzsh816mowItkQao/edit"",""5!e43"")"),0.0)</f>
        <v>0</v>
      </c>
      <c r="L130" s="40">
        <f t="shared" si="345"/>
        <v>2440</v>
      </c>
      <c r="M130" s="40">
        <f t="shared" si="317"/>
        <v>3972</v>
      </c>
      <c r="N130" s="41">
        <f t="shared" si="318"/>
        <v>200.4926</v>
      </c>
      <c r="O130" s="38">
        <v>9201.0</v>
      </c>
      <c r="P130" s="42">
        <f t="shared" si="319"/>
        <v>0.4316922074</v>
      </c>
      <c r="Q130" s="43">
        <v>1.5</v>
      </c>
      <c r="R130" s="42">
        <f t="shared" si="320"/>
        <v>0.6603735001</v>
      </c>
      <c r="S130" s="44">
        <f t="shared" si="321"/>
        <v>0.9905602501</v>
      </c>
      <c r="T130" s="43">
        <f>F130/26.038</f>
        <v>154</v>
      </c>
      <c r="U130" s="43">
        <f t="shared" si="322"/>
        <v>7.7</v>
      </c>
      <c r="V130" s="40">
        <f t="shared" si="323"/>
        <v>198.6</v>
      </c>
      <c r="X130" s="31">
        <v>2.0</v>
      </c>
      <c r="Y130" s="31" t="s">
        <v>32</v>
      </c>
      <c r="Z130" s="31">
        <f t="shared" ref="Z130:AI130" si="357">SUM(D117)</f>
        <v>32</v>
      </c>
      <c r="AA130" s="32">
        <f t="shared" si="357"/>
        <v>30</v>
      </c>
      <c r="AB130" s="33">
        <f t="shared" si="357"/>
        <v>6021.36</v>
      </c>
      <c r="AC130" s="31">
        <f t="shared" si="357"/>
        <v>2646</v>
      </c>
      <c r="AD130" s="31">
        <f t="shared" si="357"/>
        <v>125</v>
      </c>
      <c r="AE130" s="32">
        <f t="shared" si="357"/>
        <v>2771</v>
      </c>
      <c r="AF130" s="31">
        <f t="shared" si="357"/>
        <v>3814</v>
      </c>
      <c r="AG130" s="31">
        <f t="shared" si="357"/>
        <v>163</v>
      </c>
      <c r="AH130" s="32">
        <f t="shared" si="357"/>
        <v>3977</v>
      </c>
      <c r="AI130" s="32">
        <f t="shared" si="357"/>
        <v>6748</v>
      </c>
      <c r="AJ130" s="34">
        <f t="shared" si="358"/>
        <v>200.712</v>
      </c>
      <c r="AK130" s="31">
        <f>SUM(O117)</f>
        <v>13817</v>
      </c>
      <c r="AL130" s="35">
        <f t="shared" si="359"/>
        <v>0.4883838749</v>
      </c>
      <c r="AM130" s="36">
        <f>SUM(Q117)</f>
        <v>1.5</v>
      </c>
      <c r="AN130" s="35">
        <f t="shared" si="360"/>
        <v>0.7471180376</v>
      </c>
      <c r="AO130" s="37">
        <f t="shared" si="361"/>
        <v>1.120677056</v>
      </c>
      <c r="AP130" s="36">
        <f t="shared" ref="AP130:AQ130" si="362">SUM(T117)</f>
        <v>240</v>
      </c>
      <c r="AQ130" s="36">
        <f t="shared" si="362"/>
        <v>8</v>
      </c>
      <c r="AR130" s="32">
        <f t="shared" si="363"/>
        <v>224.9333333</v>
      </c>
    </row>
    <row r="131" ht="15.75" customHeight="1">
      <c r="A131" s="21"/>
      <c r="B131" s="38">
        <v>18.0</v>
      </c>
      <c r="C131" s="38" t="s">
        <v>31</v>
      </c>
      <c r="D131" s="39">
        <v>11.0</v>
      </c>
      <c r="E131" s="40">
        <f>IFERROR(__xludf.DUMMYFUNCTION("COUNT(IMPORTRANGE(""https://docs.google.com/spreadsheets/d/1fgCFOFzOla4Qim6_-zG-lbYhLCItqv_kZiAHoErRgcM/edit"",""5!d2:d16""))"),10.0)</f>
        <v>10</v>
      </c>
      <c r="F131" s="41">
        <f>IFERROR(__xludf.DUMMYFUNCTION("SUM(IMPORTRANGE(""https://docs.google.com/spreadsheets/d/1fgCFOFzOla4Qim6_-zG-lbYhLCItqv_kZiAHoErRgcM/edit"",""5!Q2:Q16""))"),1912.4600000000005)</f>
        <v>1912.46</v>
      </c>
      <c r="G131" s="40">
        <f>IFERROR(__xludf.DUMMYFUNCTION("IMPORTRANGE(""https://docs.google.com/spreadsheets/d/1fgCFOFzOla4Qim6_-zG-lbYhLCItqv_kZiAHoErRgcM/edit"",""5!e23"")"),401.0)</f>
        <v>401</v>
      </c>
      <c r="H131" s="40">
        <f>IFERROR(__xludf.DUMMYFUNCTION("IMPORTRANGE(""https://docs.google.com/spreadsheets/d/1fgCFOFzOla4Qim6_-zG-lbYhLCItqv_kZiAHoErRgcM/edit"",""5!e24"")"),0.0)</f>
        <v>0</v>
      </c>
      <c r="I131" s="40">
        <f t="shared" si="315"/>
        <v>401</v>
      </c>
      <c r="J131" s="40">
        <f>IFERROR(__xludf.DUMMYFUNCTION("IMPORTRANGE(""https://docs.google.com/spreadsheets/d/1fgCFOFzOla4Qim6_-zG-lbYhLCItqv_kZiAHoErRgcM/edit"",""5!e27"")"),582.0)</f>
        <v>582</v>
      </c>
      <c r="K131" s="40">
        <f>IFERROR(__xludf.DUMMYFUNCTION("IMPORTRANGE(""https://docs.google.com/spreadsheets/d/1fgCFOFzOla4Qim6_-zG-lbYhLCItqv_kZiAHoErRgcM/edit"",""5!e28"")"),0.0)</f>
        <v>0</v>
      </c>
      <c r="L131" s="40">
        <f t="shared" si="345"/>
        <v>582</v>
      </c>
      <c r="M131" s="40">
        <f t="shared" si="317"/>
        <v>983</v>
      </c>
      <c r="N131" s="41">
        <f t="shared" si="318"/>
        <v>191.246</v>
      </c>
      <c r="O131" s="38">
        <v>2717.0</v>
      </c>
      <c r="P131" s="42">
        <f t="shared" si="319"/>
        <v>0.3617960986</v>
      </c>
      <c r="Q131" s="43">
        <v>1.5</v>
      </c>
      <c r="R131" s="42">
        <f t="shared" si="320"/>
        <v>0.3426651189</v>
      </c>
      <c r="S131" s="44">
        <f t="shared" si="321"/>
        <v>0.5139976784</v>
      </c>
      <c r="T131" s="43">
        <f>F131/43.465</f>
        <v>44</v>
      </c>
      <c r="U131" s="43">
        <f t="shared" si="322"/>
        <v>4.4</v>
      </c>
      <c r="V131" s="40">
        <f t="shared" si="323"/>
        <v>98.3</v>
      </c>
      <c r="X131" s="31">
        <v>3.0</v>
      </c>
      <c r="Y131" s="31" t="s">
        <v>36</v>
      </c>
      <c r="Z131" s="31">
        <f t="shared" ref="Z131:AI131" si="364">SUM(D122)</f>
        <v>24</v>
      </c>
      <c r="AA131" s="32">
        <f t="shared" si="364"/>
        <v>24</v>
      </c>
      <c r="AB131" s="33">
        <f t="shared" si="364"/>
        <v>4595.538</v>
      </c>
      <c r="AC131" s="32">
        <f t="shared" si="364"/>
        <v>753</v>
      </c>
      <c r="AD131" s="32">
        <f t="shared" si="364"/>
        <v>0</v>
      </c>
      <c r="AE131" s="32">
        <f t="shared" si="364"/>
        <v>753</v>
      </c>
      <c r="AF131" s="32">
        <f t="shared" si="364"/>
        <v>1518</v>
      </c>
      <c r="AG131" s="32">
        <f t="shared" si="364"/>
        <v>18</v>
      </c>
      <c r="AH131" s="32">
        <f t="shared" si="364"/>
        <v>1536</v>
      </c>
      <c r="AI131" s="32">
        <f t="shared" si="364"/>
        <v>2289</v>
      </c>
      <c r="AJ131" s="34">
        <f t="shared" si="358"/>
        <v>191.48075</v>
      </c>
      <c r="AK131" s="31">
        <f t="shared" ref="AK131:AK134" si="368">SUM(O122)</f>
        <v>4796</v>
      </c>
      <c r="AL131" s="35">
        <f t="shared" si="359"/>
        <v>0.4772727273</v>
      </c>
      <c r="AM131" s="36">
        <f t="shared" ref="AM131:AM134" si="369">SUM(Q122)</f>
        <v>1.5</v>
      </c>
      <c r="AN131" s="35">
        <f t="shared" si="360"/>
        <v>0.3320612298</v>
      </c>
      <c r="AO131" s="37">
        <f t="shared" si="361"/>
        <v>0.4980918447</v>
      </c>
      <c r="AP131" s="36">
        <f t="shared" ref="AP131:AQ131" si="365">SUM(T122)</f>
        <v>122.8293687</v>
      </c>
      <c r="AQ131" s="36">
        <f t="shared" si="365"/>
        <v>5.117890362</v>
      </c>
      <c r="AR131" s="32">
        <f t="shared" si="363"/>
        <v>95.375</v>
      </c>
    </row>
    <row r="132" ht="15.75" customHeight="1">
      <c r="A132" s="21"/>
      <c r="B132" s="60" t="s">
        <v>33</v>
      </c>
      <c r="C132" s="60">
        <v>18.0</v>
      </c>
      <c r="D132" s="60">
        <f t="shared" ref="D132:M132" si="366">SUM(D114:D131)</f>
        <v>447</v>
      </c>
      <c r="E132" s="61">
        <f t="shared" si="366"/>
        <v>432</v>
      </c>
      <c r="F132" s="62">
        <f t="shared" si="366"/>
        <v>84668.37</v>
      </c>
      <c r="G132" s="61">
        <f t="shared" si="366"/>
        <v>24969</v>
      </c>
      <c r="H132" s="61">
        <f t="shared" si="366"/>
        <v>652</v>
      </c>
      <c r="I132" s="61">
        <f t="shared" si="366"/>
        <v>25621</v>
      </c>
      <c r="J132" s="61">
        <f t="shared" si="366"/>
        <v>38077</v>
      </c>
      <c r="K132" s="61">
        <f t="shared" si="366"/>
        <v>843</v>
      </c>
      <c r="L132" s="61">
        <f t="shared" si="366"/>
        <v>38920</v>
      </c>
      <c r="M132" s="61">
        <f t="shared" si="366"/>
        <v>64541</v>
      </c>
      <c r="N132" s="62">
        <f t="shared" si="318"/>
        <v>195.9915972</v>
      </c>
      <c r="O132" s="60">
        <f>SUM(O114:O131)</f>
        <v>126399</v>
      </c>
      <c r="P132" s="63">
        <f t="shared" si="319"/>
        <v>0.5106132169</v>
      </c>
      <c r="Q132" s="64">
        <v>1.5</v>
      </c>
      <c r="R132" s="63">
        <f t="shared" si="320"/>
        <v>0.5081866266</v>
      </c>
      <c r="S132" s="65">
        <f t="shared" si="321"/>
        <v>0.76227994</v>
      </c>
      <c r="T132" s="64">
        <f>SUM(T114:T131)</f>
        <v>3123.850326</v>
      </c>
      <c r="U132" s="64">
        <f t="shared" si="322"/>
        <v>7.231135013</v>
      </c>
      <c r="V132" s="61">
        <f t="shared" si="323"/>
        <v>149.400463</v>
      </c>
      <c r="X132" s="31">
        <v>4.0</v>
      </c>
      <c r="Y132" s="31" t="s">
        <v>37</v>
      </c>
      <c r="Z132" s="31">
        <f t="shared" ref="Z132:AI132" si="367">SUM(D123)</f>
        <v>23</v>
      </c>
      <c r="AA132" s="32">
        <f t="shared" si="367"/>
        <v>22</v>
      </c>
      <c r="AB132" s="33">
        <f t="shared" si="367"/>
        <v>4311.186</v>
      </c>
      <c r="AC132" s="32">
        <f t="shared" si="367"/>
        <v>1011</v>
      </c>
      <c r="AD132" s="32">
        <f t="shared" si="367"/>
        <v>0</v>
      </c>
      <c r="AE132" s="32">
        <f t="shared" si="367"/>
        <v>1011</v>
      </c>
      <c r="AF132" s="32">
        <f t="shared" si="367"/>
        <v>1875</v>
      </c>
      <c r="AG132" s="32">
        <f t="shared" si="367"/>
        <v>89</v>
      </c>
      <c r="AH132" s="32">
        <f t="shared" si="367"/>
        <v>1964</v>
      </c>
      <c r="AI132" s="32">
        <f t="shared" si="367"/>
        <v>2975</v>
      </c>
      <c r="AJ132" s="34">
        <f t="shared" si="358"/>
        <v>195.963</v>
      </c>
      <c r="AK132" s="31">
        <f t="shared" si="368"/>
        <v>5887</v>
      </c>
      <c r="AL132" s="35">
        <f t="shared" si="359"/>
        <v>0.5053507729</v>
      </c>
      <c r="AM132" s="36">
        <f t="shared" si="369"/>
        <v>1.5</v>
      </c>
      <c r="AN132" s="35">
        <f t="shared" si="360"/>
        <v>0.4600435549</v>
      </c>
      <c r="AO132" s="37">
        <f t="shared" si="361"/>
        <v>0.6900653324</v>
      </c>
      <c r="AP132" s="36">
        <f t="shared" ref="AP132:AQ132" si="370">SUM(T123)</f>
        <v>173.8942401</v>
      </c>
      <c r="AQ132" s="36">
        <f t="shared" si="370"/>
        <v>7.90428364</v>
      </c>
      <c r="AR132" s="32">
        <f t="shared" si="363"/>
        <v>135.2272727</v>
      </c>
    </row>
    <row r="133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X133" s="31">
        <v>5.0</v>
      </c>
      <c r="Y133" s="31" t="s">
        <v>39</v>
      </c>
      <c r="Z133" s="31">
        <f t="shared" ref="Z133:AI133" si="371">SUM(D124)</f>
        <v>21</v>
      </c>
      <c r="AA133" s="32">
        <f t="shared" si="371"/>
        <v>21</v>
      </c>
      <c r="AB133" s="33">
        <f t="shared" si="371"/>
        <v>3933.186</v>
      </c>
      <c r="AC133" s="32">
        <f t="shared" si="371"/>
        <v>864</v>
      </c>
      <c r="AD133" s="32">
        <f t="shared" si="371"/>
        <v>0</v>
      </c>
      <c r="AE133" s="32">
        <f t="shared" si="371"/>
        <v>864</v>
      </c>
      <c r="AF133" s="32">
        <f t="shared" si="371"/>
        <v>1596</v>
      </c>
      <c r="AG133" s="32">
        <f t="shared" si="371"/>
        <v>0</v>
      </c>
      <c r="AH133" s="32">
        <f t="shared" si="371"/>
        <v>1596</v>
      </c>
      <c r="AI133" s="32">
        <f t="shared" si="371"/>
        <v>2460</v>
      </c>
      <c r="AJ133" s="34">
        <f t="shared" si="358"/>
        <v>187.2945714</v>
      </c>
      <c r="AK133" s="31">
        <f t="shared" si="368"/>
        <v>3569</v>
      </c>
      <c r="AL133" s="35">
        <f t="shared" si="359"/>
        <v>0.6892687027</v>
      </c>
      <c r="AM133" s="36">
        <f t="shared" si="369"/>
        <v>1.5</v>
      </c>
      <c r="AN133" s="35">
        <f t="shared" si="360"/>
        <v>0.4169647711</v>
      </c>
      <c r="AO133" s="37">
        <f t="shared" si="361"/>
        <v>0.6254471566</v>
      </c>
      <c r="AP133" s="36">
        <f t="shared" ref="AP133:AQ133" si="372">SUM(T124)</f>
        <v>183.2542515</v>
      </c>
      <c r="AQ133" s="36">
        <f t="shared" si="372"/>
        <v>8.726392929</v>
      </c>
      <c r="AR133" s="32">
        <f t="shared" si="363"/>
        <v>117.1428571</v>
      </c>
    </row>
    <row r="134" ht="15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X134" s="31">
        <v>6.0</v>
      </c>
      <c r="Y134" s="31" t="s">
        <v>41</v>
      </c>
      <c r="Z134" s="31">
        <f t="shared" ref="Z134:AI134" si="373">SUM(D125)</f>
        <v>19</v>
      </c>
      <c r="AA134" s="32">
        <f t="shared" si="373"/>
        <v>19</v>
      </c>
      <c r="AB134" s="33">
        <f t="shared" si="373"/>
        <v>3812.136</v>
      </c>
      <c r="AC134" s="32">
        <f t="shared" si="373"/>
        <v>698</v>
      </c>
      <c r="AD134" s="32">
        <f t="shared" si="373"/>
        <v>87</v>
      </c>
      <c r="AE134" s="32">
        <f t="shared" si="373"/>
        <v>785</v>
      </c>
      <c r="AF134" s="32">
        <f t="shared" si="373"/>
        <v>1251</v>
      </c>
      <c r="AG134" s="32">
        <f t="shared" si="373"/>
        <v>0</v>
      </c>
      <c r="AH134" s="32">
        <f t="shared" si="373"/>
        <v>1251</v>
      </c>
      <c r="AI134" s="32">
        <f t="shared" si="373"/>
        <v>2036</v>
      </c>
      <c r="AJ134" s="34">
        <f t="shared" si="358"/>
        <v>200.6387368</v>
      </c>
      <c r="AK134" s="31">
        <f t="shared" si="368"/>
        <v>3801</v>
      </c>
      <c r="AL134" s="35">
        <f t="shared" si="359"/>
        <v>0.5356485135</v>
      </c>
      <c r="AM134" s="36">
        <f t="shared" si="369"/>
        <v>1.5</v>
      </c>
      <c r="AN134" s="35">
        <f t="shared" si="360"/>
        <v>0.3560558525</v>
      </c>
      <c r="AO134" s="37">
        <f t="shared" si="361"/>
        <v>0.5340837788</v>
      </c>
      <c r="AP134" s="36">
        <f t="shared" ref="AP134:AQ134" si="374">SUM(T125)</f>
        <v>128.6666667</v>
      </c>
      <c r="AQ134" s="36">
        <f t="shared" si="374"/>
        <v>6.771929825</v>
      </c>
      <c r="AR134" s="32">
        <f t="shared" si="363"/>
        <v>107.1578947</v>
      </c>
    </row>
    <row r="135" ht="15.75" customHeight="1">
      <c r="A135" s="1" t="s">
        <v>45</v>
      </c>
      <c r="D135" s="2"/>
      <c r="X135" s="46" t="s">
        <v>33</v>
      </c>
      <c r="Y135" s="46">
        <v>6.0</v>
      </c>
      <c r="Z135" s="46">
        <f t="shared" ref="Z135:AI135" si="375">SUM(Z129:Z134)</f>
        <v>134</v>
      </c>
      <c r="AA135" s="47">
        <f t="shared" si="375"/>
        <v>131</v>
      </c>
      <c r="AB135" s="49">
        <f t="shared" si="375"/>
        <v>25556.865</v>
      </c>
      <c r="AC135" s="47">
        <f t="shared" si="375"/>
        <v>7408</v>
      </c>
      <c r="AD135" s="47">
        <f t="shared" si="375"/>
        <v>212</v>
      </c>
      <c r="AE135" s="47">
        <f t="shared" si="375"/>
        <v>7620</v>
      </c>
      <c r="AF135" s="47">
        <f t="shared" si="375"/>
        <v>11628</v>
      </c>
      <c r="AG135" s="47">
        <f t="shared" si="375"/>
        <v>270</v>
      </c>
      <c r="AH135" s="47">
        <f t="shared" si="375"/>
        <v>11898</v>
      </c>
      <c r="AI135" s="47">
        <f t="shared" si="375"/>
        <v>19518</v>
      </c>
      <c r="AJ135" s="49">
        <f t="shared" si="358"/>
        <v>195.0905725</v>
      </c>
      <c r="AK135" s="46">
        <f>SUM(AK129:AK134)</f>
        <v>37031</v>
      </c>
      <c r="AL135" s="50">
        <f t="shared" si="359"/>
        <v>0.5270719127</v>
      </c>
      <c r="AM135" s="51">
        <v>1.5</v>
      </c>
      <c r="AN135" s="50">
        <f t="shared" si="360"/>
        <v>0.5091391295</v>
      </c>
      <c r="AO135" s="52">
        <f t="shared" si="361"/>
        <v>0.7637086943</v>
      </c>
      <c r="AP135" s="51">
        <f>SUM(AP129:AP134)</f>
        <v>1048.676369</v>
      </c>
      <c r="AQ135" s="51">
        <f>AP135/AA135</f>
        <v>8.00516312</v>
      </c>
      <c r="AR135" s="47">
        <f t="shared" si="363"/>
        <v>148.9923664</v>
      </c>
    </row>
    <row r="136" ht="15.75" customHeight="1">
      <c r="A136" s="1" t="s">
        <v>45</v>
      </c>
      <c r="D136" s="2"/>
      <c r="X136" s="66" t="s">
        <v>1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6"/>
    </row>
    <row r="137" ht="15.75" customHeight="1">
      <c r="A137" s="7">
        <v>46209.0</v>
      </c>
      <c r="B137" s="8" t="s">
        <v>2</v>
      </c>
      <c r="C137" s="8" t="s">
        <v>3</v>
      </c>
      <c r="D137" s="8" t="s">
        <v>4</v>
      </c>
      <c r="E137" s="8" t="s">
        <v>5</v>
      </c>
      <c r="F137" s="9" t="s">
        <v>6</v>
      </c>
      <c r="G137" s="8" t="s">
        <v>7</v>
      </c>
      <c r="H137" s="8" t="s">
        <v>8</v>
      </c>
      <c r="I137" s="8" t="s">
        <v>9</v>
      </c>
      <c r="J137" s="8" t="s">
        <v>10</v>
      </c>
      <c r="K137" s="8" t="s">
        <v>11</v>
      </c>
      <c r="L137" s="8" t="s">
        <v>12</v>
      </c>
      <c r="M137" s="8" t="s">
        <v>13</v>
      </c>
      <c r="N137" s="9" t="s">
        <v>14</v>
      </c>
      <c r="O137" s="8" t="s">
        <v>15</v>
      </c>
      <c r="P137" s="8" t="s">
        <v>16</v>
      </c>
      <c r="Q137" s="8" t="s">
        <v>17</v>
      </c>
      <c r="R137" s="8" t="s">
        <v>18</v>
      </c>
      <c r="S137" s="11" t="s">
        <v>19</v>
      </c>
      <c r="T137" s="12" t="s">
        <v>20</v>
      </c>
      <c r="U137" s="12" t="s">
        <v>21</v>
      </c>
      <c r="V137" s="13" t="s">
        <v>22</v>
      </c>
      <c r="X137" s="14" t="s">
        <v>2</v>
      </c>
      <c r="Y137" s="14" t="s">
        <v>3</v>
      </c>
      <c r="Z137" s="14" t="s">
        <v>4</v>
      </c>
      <c r="AA137" s="14" t="s">
        <v>5</v>
      </c>
      <c r="AB137" s="15" t="s">
        <v>6</v>
      </c>
      <c r="AC137" s="14" t="s">
        <v>7</v>
      </c>
      <c r="AD137" s="14" t="s">
        <v>8</v>
      </c>
      <c r="AE137" s="14" t="s">
        <v>9</v>
      </c>
      <c r="AF137" s="14" t="s">
        <v>10</v>
      </c>
      <c r="AG137" s="14" t="s">
        <v>11</v>
      </c>
      <c r="AH137" s="14" t="s">
        <v>12</v>
      </c>
      <c r="AI137" s="14" t="s">
        <v>13</v>
      </c>
      <c r="AJ137" s="15" t="s">
        <v>14</v>
      </c>
      <c r="AK137" s="14" t="s">
        <v>15</v>
      </c>
      <c r="AL137" s="14" t="s">
        <v>16</v>
      </c>
      <c r="AM137" s="16" t="s">
        <v>17</v>
      </c>
      <c r="AN137" s="17" t="s">
        <v>18</v>
      </c>
      <c r="AO137" s="18" t="s">
        <v>19</v>
      </c>
      <c r="AP137" s="19" t="s">
        <v>20</v>
      </c>
      <c r="AQ137" s="19" t="s">
        <v>21</v>
      </c>
      <c r="AR137" s="20" t="s">
        <v>22</v>
      </c>
    </row>
    <row r="138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X138" s="22">
        <v>1.0</v>
      </c>
      <c r="Y138" s="22" t="s">
        <v>23</v>
      </c>
      <c r="Z138" s="22">
        <f t="shared" ref="Z138:AI138" si="376">SUM(D146)</f>
        <v>35</v>
      </c>
      <c r="AA138" s="23">
        <f t="shared" si="376"/>
        <v>33</v>
      </c>
      <c r="AB138" s="24">
        <f t="shared" si="376"/>
        <v>6511.82</v>
      </c>
      <c r="AC138" s="23">
        <f t="shared" si="376"/>
        <v>1693</v>
      </c>
      <c r="AD138" s="23">
        <f t="shared" si="376"/>
        <v>0</v>
      </c>
      <c r="AE138" s="23">
        <f t="shared" si="376"/>
        <v>1693</v>
      </c>
      <c r="AF138" s="23">
        <f t="shared" si="376"/>
        <v>2847</v>
      </c>
      <c r="AG138" s="23">
        <f t="shared" si="376"/>
        <v>0</v>
      </c>
      <c r="AH138" s="23">
        <f t="shared" si="376"/>
        <v>2847</v>
      </c>
      <c r="AI138" s="23">
        <f t="shared" si="376"/>
        <v>4540</v>
      </c>
      <c r="AJ138" s="25">
        <f t="shared" ref="AJ138:AJ140" si="379">AB138/AA138</f>
        <v>197.3278788</v>
      </c>
      <c r="AK138" s="22">
        <f>SUM(O146)</f>
        <v>6853</v>
      </c>
      <c r="AL138" s="26">
        <f t="shared" ref="AL138:AL144" si="380">AI138/AK138</f>
        <v>0.6624835838</v>
      </c>
      <c r="AM138" s="27">
        <f t="shared" ref="AM138:AM140" si="381">SUM(Q146)</f>
        <v>1.5</v>
      </c>
      <c r="AN138" s="26">
        <f t="shared" ref="AN138:AN144" si="382">AO138/AM138</f>
        <v>0.4647958123</v>
      </c>
      <c r="AO138" s="28">
        <f t="shared" ref="AO138:AO144" si="383">AI138/AB138</f>
        <v>0.6971937185</v>
      </c>
      <c r="AP138" s="27">
        <f t="shared" ref="AP138:AQ138" si="377">SUM(T146)</f>
        <v>193</v>
      </c>
      <c r="AQ138" s="27">
        <f t="shared" si="377"/>
        <v>5.848484848</v>
      </c>
      <c r="AR138" s="23">
        <f t="shared" ref="AR138:AR144" si="385">AI138/AA138</f>
        <v>137.5757576</v>
      </c>
    </row>
    <row r="139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X139" s="22">
        <v>2.0</v>
      </c>
      <c r="Y139" s="22" t="s">
        <v>24</v>
      </c>
      <c r="Z139" s="22">
        <f t="shared" ref="Z139:AI139" si="378">SUM(D147)</f>
        <v>44</v>
      </c>
      <c r="AA139" s="23">
        <f t="shared" si="378"/>
        <v>43</v>
      </c>
      <c r="AB139" s="24">
        <f t="shared" si="378"/>
        <v>8239.643</v>
      </c>
      <c r="AC139" s="23">
        <f t="shared" si="378"/>
        <v>1013</v>
      </c>
      <c r="AD139" s="23">
        <f t="shared" si="378"/>
        <v>17</v>
      </c>
      <c r="AE139" s="23">
        <f t="shared" si="378"/>
        <v>1030</v>
      </c>
      <c r="AF139" s="23">
        <f t="shared" si="378"/>
        <v>1267</v>
      </c>
      <c r="AG139" s="23">
        <f t="shared" si="378"/>
        <v>0</v>
      </c>
      <c r="AH139" s="23">
        <f t="shared" si="378"/>
        <v>1267</v>
      </c>
      <c r="AI139" s="23">
        <f t="shared" si="378"/>
        <v>2297</v>
      </c>
      <c r="AJ139" s="25">
        <f t="shared" si="379"/>
        <v>191.6196047</v>
      </c>
      <c r="AK139" s="22">
        <v>1580.0</v>
      </c>
      <c r="AL139" s="29">
        <f t="shared" si="380"/>
        <v>1.453797468</v>
      </c>
      <c r="AM139" s="27">
        <f t="shared" si="381"/>
        <v>1.5</v>
      </c>
      <c r="AN139" s="26">
        <f t="shared" si="382"/>
        <v>0.1858494759</v>
      </c>
      <c r="AO139" s="28">
        <f t="shared" si="383"/>
        <v>0.2787742139</v>
      </c>
      <c r="AP139" s="27">
        <f t="shared" ref="AP139:AQ139" si="384">SUM(T147)</f>
        <v>307.3920164</v>
      </c>
      <c r="AQ139" s="27">
        <f t="shared" si="384"/>
        <v>7.148651545</v>
      </c>
      <c r="AR139" s="23">
        <f t="shared" si="385"/>
        <v>53.41860465</v>
      </c>
    </row>
    <row r="140" ht="15.75" customHeight="1">
      <c r="A140" s="21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X140" s="31">
        <v>3.0</v>
      </c>
      <c r="Y140" s="31" t="s">
        <v>25</v>
      </c>
      <c r="Z140" s="31">
        <f t="shared" ref="Z140:AI140" si="386">SUM(D148)</f>
        <v>32</v>
      </c>
      <c r="AA140" s="32">
        <f t="shared" si="386"/>
        <v>30</v>
      </c>
      <c r="AB140" s="33">
        <f t="shared" si="386"/>
        <v>5695.992</v>
      </c>
      <c r="AC140" s="32">
        <f t="shared" si="386"/>
        <v>1810</v>
      </c>
      <c r="AD140" s="32">
        <f t="shared" si="386"/>
        <v>399</v>
      </c>
      <c r="AE140" s="32">
        <f t="shared" si="386"/>
        <v>2209</v>
      </c>
      <c r="AF140" s="32">
        <f t="shared" si="386"/>
        <v>2914</v>
      </c>
      <c r="AG140" s="32">
        <f t="shared" si="386"/>
        <v>483</v>
      </c>
      <c r="AH140" s="32">
        <f t="shared" si="386"/>
        <v>3397</v>
      </c>
      <c r="AI140" s="32">
        <f t="shared" si="386"/>
        <v>5606</v>
      </c>
      <c r="AJ140" s="34">
        <f t="shared" si="379"/>
        <v>189.8664</v>
      </c>
      <c r="AK140" s="31">
        <f>SUM(O148)</f>
        <v>6622</v>
      </c>
      <c r="AL140" s="35">
        <f t="shared" si="380"/>
        <v>0.8465720326</v>
      </c>
      <c r="AM140" s="36">
        <f t="shared" si="381"/>
        <v>1.5</v>
      </c>
      <c r="AN140" s="35">
        <f t="shared" si="382"/>
        <v>0.6561338803</v>
      </c>
      <c r="AO140" s="37">
        <f t="shared" si="383"/>
        <v>0.9842008205</v>
      </c>
      <c r="AP140" s="36">
        <f t="shared" ref="AP140:AQ140" si="387">SUM(T148)</f>
        <v>238.9258389</v>
      </c>
      <c r="AQ140" s="36">
        <f t="shared" si="387"/>
        <v>7.964194631</v>
      </c>
      <c r="AR140" s="32">
        <f t="shared" si="385"/>
        <v>186.8666667</v>
      </c>
    </row>
    <row r="141" ht="15.75" customHeight="1">
      <c r="A141" s="21"/>
      <c r="B141" s="38">
        <v>1.0</v>
      </c>
      <c r="C141" s="38" t="s">
        <v>26</v>
      </c>
      <c r="D141" s="39">
        <v>20.0</v>
      </c>
      <c r="E141" s="40">
        <f>IFERROR(__xludf.DUMMYFUNCTION("COUNT(IMPORTRANGE(""https://docs.google.com/spreadsheets/d/1z0o91thOT38lgejTE_Bd2p3v_9VCDdQRkUsMIVqpQCk/edit"",""6!d2:d21""))"),20.0)</f>
        <v>20</v>
      </c>
      <c r="F141" s="41">
        <f>IFERROR(__xludf.DUMMYFUNCTION("SUM(IMPORTRANGE(""https://docs.google.com/spreadsheets/d/1z0o91thOT38lgejTE_Bd2p3v_9VCDdQRkUsMIVqpQCk/edit"",""6!Q2:Q21""))"),3719.6820000000002)</f>
        <v>3719.682</v>
      </c>
      <c r="G141" s="40">
        <f>IFERROR(__xludf.DUMMYFUNCTION("IMPORTRANGE(""https://docs.google.com/spreadsheets/d/1z0o91thOT38lgejTE_Bd2p3v_9VCDdQRkUsMIVqpQCk/edit"",""6!e28"")"),2043.0)</f>
        <v>2043</v>
      </c>
      <c r="H141" s="40">
        <f>IFERROR(__xludf.DUMMYFUNCTION("IMPORTRANGE(""https://docs.google.com/spreadsheets/d/1z0o91thOT38lgejTE_Bd2p3v_9VCDdQRkUsMIVqpQCk/edit"",""6!e29"")"),0.0)</f>
        <v>0</v>
      </c>
      <c r="I141" s="40">
        <f t="shared" ref="I141:I158" si="390">SUM(G141:H141)</f>
        <v>2043</v>
      </c>
      <c r="J141" s="40">
        <f>IFERROR(__xludf.DUMMYFUNCTION("IMPORTRANGE(""https://docs.google.com/spreadsheets/d/1z0o91thOT38lgejTE_Bd2p3v_9VCDdQRkUsMIVqpQCk/edit"",""6!e32"")"),2437.0)</f>
        <v>2437</v>
      </c>
      <c r="K141" s="40">
        <f>IFERROR(__xludf.DUMMYFUNCTION("IMPORTRANGE(""https://docs.google.com/spreadsheets/d/1z0o91thOT38lgejTE_Bd2p3v_9VCDdQRkUsMIVqpQCk/edit"",""6!e33"")"),82.0)</f>
        <v>82</v>
      </c>
      <c r="L141" s="40">
        <f t="shared" ref="L141:L147" si="391">SUM(J141:K141)</f>
        <v>2519</v>
      </c>
      <c r="M141" s="40">
        <f t="shared" ref="M141:M158" si="392">SUM(I141+L141)</f>
        <v>4562</v>
      </c>
      <c r="N141" s="41">
        <f t="shared" ref="N141:N159" si="393">F141/E141</f>
        <v>185.9841</v>
      </c>
      <c r="O141" s="38">
        <v>5161.0</v>
      </c>
      <c r="P141" s="42">
        <f t="shared" ref="P141:P159" si="394">M141/O141</f>
        <v>0.8839372215</v>
      </c>
      <c r="Q141" s="43">
        <v>1.5</v>
      </c>
      <c r="R141" s="42">
        <f t="shared" ref="R141:R159" si="395">S141/Q141</f>
        <v>0.8176326184</v>
      </c>
      <c r="S141" s="44">
        <f t="shared" ref="S141:S159" si="396">M141/F141</f>
        <v>1.226448928</v>
      </c>
      <c r="T141" s="43">
        <f>F141/14.415</f>
        <v>258.0424558</v>
      </c>
      <c r="U141" s="43">
        <f t="shared" ref="U141:U159" si="397">T141/E141</f>
        <v>12.90212279</v>
      </c>
      <c r="V141" s="40">
        <f t="shared" ref="V141:V159" si="398">M141/E141</f>
        <v>228.1</v>
      </c>
      <c r="X141" s="22">
        <v>4.0</v>
      </c>
      <c r="Y141" s="22" t="s">
        <v>27</v>
      </c>
      <c r="Z141" s="22">
        <f t="shared" ref="Z141:AK141" si="388">SUM(D154)</f>
        <v>30</v>
      </c>
      <c r="AA141" s="23">
        <f t="shared" si="388"/>
        <v>30</v>
      </c>
      <c r="AB141" s="24">
        <f t="shared" si="388"/>
        <v>5325.865</v>
      </c>
      <c r="AC141" s="23">
        <f t="shared" si="388"/>
        <v>1509</v>
      </c>
      <c r="AD141" s="23">
        <f t="shared" si="388"/>
        <v>88</v>
      </c>
      <c r="AE141" s="23">
        <f t="shared" si="388"/>
        <v>1597</v>
      </c>
      <c r="AF141" s="23">
        <f t="shared" si="388"/>
        <v>2567</v>
      </c>
      <c r="AG141" s="23">
        <f t="shared" si="388"/>
        <v>106</v>
      </c>
      <c r="AH141" s="23">
        <f t="shared" si="388"/>
        <v>2673</v>
      </c>
      <c r="AI141" s="23">
        <f t="shared" si="388"/>
        <v>4270</v>
      </c>
      <c r="AJ141" s="25">
        <f t="shared" si="388"/>
        <v>177.5288333</v>
      </c>
      <c r="AK141" s="22">
        <f t="shared" si="388"/>
        <v>8101</v>
      </c>
      <c r="AL141" s="26">
        <f t="shared" si="380"/>
        <v>0.5270954203</v>
      </c>
      <c r="AM141" s="27">
        <f>SUM(Q154)</f>
        <v>1.5</v>
      </c>
      <c r="AN141" s="26">
        <f t="shared" si="382"/>
        <v>0.5344984649</v>
      </c>
      <c r="AO141" s="28">
        <f t="shared" si="383"/>
        <v>0.8017476973</v>
      </c>
      <c r="AP141" s="27">
        <f t="shared" ref="AP141:AQ141" si="389">SUM(T154)</f>
        <v>266.4931198</v>
      </c>
      <c r="AQ141" s="27">
        <f t="shared" si="389"/>
        <v>8.883103995</v>
      </c>
      <c r="AR141" s="23">
        <f t="shared" si="385"/>
        <v>142.3333333</v>
      </c>
    </row>
    <row r="142" ht="15.75" customHeight="1">
      <c r="A142" s="21"/>
      <c r="B142" s="38">
        <v>2.0</v>
      </c>
      <c r="C142" s="38" t="s">
        <v>28</v>
      </c>
      <c r="D142" s="39">
        <v>33.0</v>
      </c>
      <c r="E142" s="40">
        <f>IFERROR(__xludf.DUMMYFUNCTION("COUNT(IMPORTRANGE(""https://docs.google.com/spreadsheets/d/10a85iNN0y9GF6ngQfF1JXGAzFk-T7ywH4-TZtQcOTaE/edit"",""6!d2:d34""))"),32.0)</f>
        <v>32</v>
      </c>
      <c r="F142" s="41">
        <f>IFERROR(__xludf.DUMMYFUNCTION("SUM(IMPORTRANGE(""https://docs.google.com/spreadsheets/d/10a85iNN0y9GF6ngQfF1JXGAzFk-T7ywH4-TZtQcOTaE/edit"",""6!Q2:Q34""))"),6374.348000000002)</f>
        <v>6374.348</v>
      </c>
      <c r="G142" s="40">
        <f>IFERROR(__xludf.DUMMYFUNCTION("IMPORTRANGE(""https://docs.google.com/spreadsheets/d/10a85iNN0y9GF6ngQfF1JXGAzFk-T7ywH4-TZtQcOTaE/edit"",""6!e41"")"),1908.0)</f>
        <v>1908</v>
      </c>
      <c r="H142" s="40">
        <f>IFERROR(__xludf.DUMMYFUNCTION("IMPORTRANGE(""https://docs.google.com/spreadsheets/d/10a85iNN0y9GF6ngQfF1JXGAzFk-T7ywH4-TZtQcOTaE/edit"",""6!e42"")"),260.0)</f>
        <v>260</v>
      </c>
      <c r="I142" s="40">
        <f t="shared" si="390"/>
        <v>2168</v>
      </c>
      <c r="J142" s="40">
        <f>IFERROR(__xludf.DUMMYFUNCTION("IMPORTRANGE(""https://docs.google.com/spreadsheets/d/10a85iNN0y9GF6ngQfF1JXGAzFk-T7ywH4-TZtQcOTaE/edit"",""6!e45"")"),2186.0)</f>
        <v>2186</v>
      </c>
      <c r="K142" s="40">
        <f>IFERROR(__xludf.DUMMYFUNCTION("IMPORTRANGE(""https://docs.google.com/spreadsheets/d/10a85iNN0y9GF6ngQfF1JXGAzFk-T7ywH4-TZtQcOTaE/edit"",""6!e46"")"),533.0)</f>
        <v>533</v>
      </c>
      <c r="L142" s="40">
        <f t="shared" si="391"/>
        <v>2719</v>
      </c>
      <c r="M142" s="40">
        <f t="shared" si="392"/>
        <v>4887</v>
      </c>
      <c r="N142" s="41">
        <f t="shared" si="393"/>
        <v>199.198375</v>
      </c>
      <c r="O142" s="38">
        <v>7315.0</v>
      </c>
      <c r="P142" s="42">
        <f t="shared" si="394"/>
        <v>0.6680792891</v>
      </c>
      <c r="Q142" s="43">
        <v>1.5</v>
      </c>
      <c r="R142" s="42">
        <f t="shared" si="395"/>
        <v>0.5111110972</v>
      </c>
      <c r="S142" s="44">
        <f t="shared" si="396"/>
        <v>0.7666666457</v>
      </c>
      <c r="T142" s="43">
        <f>F142/30.897</f>
        <v>206.3096093</v>
      </c>
      <c r="U142" s="43">
        <f t="shared" si="397"/>
        <v>6.447175292</v>
      </c>
      <c r="V142" s="40">
        <f t="shared" si="398"/>
        <v>152.71875</v>
      </c>
      <c r="X142" s="22">
        <v>5.0</v>
      </c>
      <c r="Y142" s="22" t="s">
        <v>29</v>
      </c>
      <c r="Z142" s="22">
        <f t="shared" ref="Z142:AI142" si="399">SUM(D157)</f>
        <v>30</v>
      </c>
      <c r="AA142" s="23">
        <f t="shared" si="399"/>
        <v>28</v>
      </c>
      <c r="AB142" s="24">
        <f t="shared" si="399"/>
        <v>5546.094</v>
      </c>
      <c r="AC142" s="23">
        <f t="shared" si="399"/>
        <v>2452</v>
      </c>
      <c r="AD142" s="23">
        <f t="shared" si="399"/>
        <v>0</v>
      </c>
      <c r="AE142" s="23">
        <f t="shared" si="399"/>
        <v>2452</v>
      </c>
      <c r="AF142" s="23">
        <f t="shared" si="399"/>
        <v>3688</v>
      </c>
      <c r="AG142" s="23">
        <f t="shared" si="399"/>
        <v>0</v>
      </c>
      <c r="AH142" s="23">
        <f t="shared" si="399"/>
        <v>3688</v>
      </c>
      <c r="AI142" s="23">
        <f t="shared" si="399"/>
        <v>6140</v>
      </c>
      <c r="AJ142" s="25">
        <f t="shared" ref="AJ142:AJ144" si="402">AB142/AA142</f>
        <v>198.0747857</v>
      </c>
      <c r="AK142" s="22">
        <f t="shared" ref="AK142:AK143" si="403">SUM(O157)</f>
        <v>9201</v>
      </c>
      <c r="AL142" s="26">
        <f t="shared" si="380"/>
        <v>0.6673187697</v>
      </c>
      <c r="AM142" s="27">
        <f t="shared" ref="AM142:AM143" si="404">SUM(Q157)</f>
        <v>1.5</v>
      </c>
      <c r="AN142" s="26">
        <f t="shared" si="382"/>
        <v>0.7380569701</v>
      </c>
      <c r="AO142" s="28">
        <f t="shared" si="383"/>
        <v>1.107085455</v>
      </c>
      <c r="AP142" s="27">
        <f t="shared" ref="AP142:AQ142" si="400">SUM(T157)</f>
        <v>213</v>
      </c>
      <c r="AQ142" s="27">
        <f t="shared" si="400"/>
        <v>7.607142857</v>
      </c>
      <c r="AR142" s="23">
        <f t="shared" si="385"/>
        <v>219.2857143</v>
      </c>
    </row>
    <row r="143" ht="15.75" customHeight="1">
      <c r="A143" s="21"/>
      <c r="B143" s="38">
        <v>3.0</v>
      </c>
      <c r="C143" s="38" t="s">
        <v>30</v>
      </c>
      <c r="D143" s="39">
        <v>60.0</v>
      </c>
      <c r="E143" s="40">
        <f>IFERROR(__xludf.DUMMYFUNCTION("COUNT(IMPORTRANGE(""https://docs.google.com/spreadsheets/d/1WojVzHhpzodJL1e5UDHeu3A3u5MTSZwvxHu0BrwvL9w/edit"",""6!d2:d61""))"),59.0)</f>
        <v>59</v>
      </c>
      <c r="F143" s="45">
        <f>IFERROR(__xludf.DUMMYFUNCTION("SUM(IMPORTRANGE(""https://docs.google.com/spreadsheets/d/1WojVzHhpzodJL1e5UDHeu3A3u5MTSZwvxHu0BrwvL9w/edit"",""6!Q2:Q61""))"),11485.963999999993)</f>
        <v>11485.964</v>
      </c>
      <c r="G143" s="40">
        <f>IFERROR(__xludf.DUMMYFUNCTION("IMPORTRANGE(""https://docs.google.com/spreadsheets/d/1WojVzHhpzodJL1e5UDHeu3A3u5MTSZwvxHu0BrwvL9w/edit"",""6!e68"")"),3255.0)</f>
        <v>3255</v>
      </c>
      <c r="H143" s="40">
        <f>IFERROR(__xludf.DUMMYFUNCTION("IMPORTRANGE(""https://docs.google.com/spreadsheets/d/1WojVzHhpzodJL1e5UDHeu3A3u5MTSZwvxHu0BrwvL9w/edit"",""6!e69"")"),0.0)</f>
        <v>0</v>
      </c>
      <c r="I143" s="40">
        <f t="shared" si="390"/>
        <v>3255</v>
      </c>
      <c r="J143" s="40">
        <f>IFERROR(__xludf.DUMMYFUNCTION("IMPORTRANGE(""https://docs.google.com/spreadsheets/d/1WojVzHhpzodJL1e5UDHeu3A3u5MTSZwvxHu0BrwvL9w/edit"",""6!e72"")"),4873.0)</f>
        <v>4873</v>
      </c>
      <c r="K143" s="40">
        <f>IFERROR(__xludf.DUMMYFUNCTION("IMPORTRANGE(""https://docs.google.com/spreadsheets/d/1WojVzHhpzodJL1e5UDHeu3A3u5MTSZwvxHu0BrwvL9w/edit"",""6!e73"")"),0.0)</f>
        <v>0</v>
      </c>
      <c r="L143" s="40">
        <f t="shared" si="391"/>
        <v>4873</v>
      </c>
      <c r="M143" s="40">
        <f t="shared" si="392"/>
        <v>8128</v>
      </c>
      <c r="N143" s="41">
        <f t="shared" si="393"/>
        <v>194.6773559</v>
      </c>
      <c r="O143" s="38">
        <v>11164.0</v>
      </c>
      <c r="P143" s="42">
        <f t="shared" si="394"/>
        <v>0.7280544608</v>
      </c>
      <c r="Q143" s="43">
        <v>1.5</v>
      </c>
      <c r="R143" s="42">
        <f t="shared" si="395"/>
        <v>0.4717642043</v>
      </c>
      <c r="S143" s="44">
        <f t="shared" si="396"/>
        <v>0.7076463064</v>
      </c>
      <c r="T143" s="43">
        <f>F143/29.603</f>
        <v>388</v>
      </c>
      <c r="U143" s="43">
        <f t="shared" si="397"/>
        <v>6.576271186</v>
      </c>
      <c r="V143" s="40">
        <f t="shared" si="398"/>
        <v>137.7627119</v>
      </c>
      <c r="X143" s="22">
        <v>6.0</v>
      </c>
      <c r="Y143" s="22" t="s">
        <v>31</v>
      </c>
      <c r="Z143" s="22">
        <f t="shared" ref="Z143:AI143" si="401">SUM(D158)</f>
        <v>15</v>
      </c>
      <c r="AA143" s="23">
        <f t="shared" si="401"/>
        <v>15</v>
      </c>
      <c r="AB143" s="25">
        <f t="shared" si="401"/>
        <v>2868.69</v>
      </c>
      <c r="AC143" s="23">
        <f t="shared" si="401"/>
        <v>892</v>
      </c>
      <c r="AD143" s="23">
        <f t="shared" si="401"/>
        <v>0</v>
      </c>
      <c r="AE143" s="23">
        <f t="shared" si="401"/>
        <v>892</v>
      </c>
      <c r="AF143" s="23">
        <f t="shared" si="401"/>
        <v>946</v>
      </c>
      <c r="AG143" s="23">
        <f t="shared" si="401"/>
        <v>0</v>
      </c>
      <c r="AH143" s="23">
        <f t="shared" si="401"/>
        <v>946</v>
      </c>
      <c r="AI143" s="23">
        <f t="shared" si="401"/>
        <v>1838</v>
      </c>
      <c r="AJ143" s="25">
        <f t="shared" si="402"/>
        <v>191.246</v>
      </c>
      <c r="AK143" s="22">
        <f t="shared" si="403"/>
        <v>2717</v>
      </c>
      <c r="AL143" s="26">
        <f t="shared" si="380"/>
        <v>0.6764814133</v>
      </c>
      <c r="AM143" s="27">
        <f t="shared" si="404"/>
        <v>1.5</v>
      </c>
      <c r="AN143" s="26">
        <f t="shared" si="382"/>
        <v>0.4271403788</v>
      </c>
      <c r="AO143" s="28">
        <f t="shared" si="383"/>
        <v>0.6407105682</v>
      </c>
      <c r="AP143" s="27">
        <f t="shared" ref="AP143:AQ143" si="405">SUM(T158)</f>
        <v>66</v>
      </c>
      <c r="AQ143" s="27">
        <f t="shared" si="405"/>
        <v>4.4</v>
      </c>
      <c r="AR143" s="23">
        <f t="shared" si="385"/>
        <v>122.5333333</v>
      </c>
    </row>
    <row r="144" ht="15.75" customHeight="1">
      <c r="A144" s="21"/>
      <c r="B144" s="38">
        <v>4.0</v>
      </c>
      <c r="C144" s="38" t="s">
        <v>32</v>
      </c>
      <c r="D144" s="39">
        <v>42.0</v>
      </c>
      <c r="E144" s="40">
        <f>IFERROR(__xludf.DUMMYFUNCTION("COUNT(IMPORTRANGE(""https://docs.google.com/spreadsheets/d/1vmCj5YcMSPHj1m64syDndQ6cqVL3yolcU03Y8KHmvdc/edit"",""6!d2:d43""))"),42.0)</f>
        <v>42</v>
      </c>
      <c r="F144" s="45">
        <f>IFERROR(__xludf.DUMMYFUNCTION("SUM(IMPORTRANGE(""https://docs.google.com/spreadsheets/d/1vmCj5YcMSPHj1m64syDndQ6cqVL3yolcU03Y8KHmvdc/edit"",""6!Q2:Q43""))"),8354.63699999999)</f>
        <v>8354.637</v>
      </c>
      <c r="G144" s="38">
        <f>IFERROR(__xludf.DUMMYFUNCTION("IMPORTRANGE(""https://docs.google.com/spreadsheets/d/1vmCj5YcMSPHj1m64syDndQ6cqVL3yolcU03Y8KHmvdc/edit"",""6!e50"")"),4300.0)</f>
        <v>4300</v>
      </c>
      <c r="H144" s="38">
        <f>IFERROR(__xludf.DUMMYFUNCTION("IMPORTRANGE(""https://docs.google.com/spreadsheets/d/1vmCj5YcMSPHj1m64syDndQ6cqVL3yolcU03Y8KHmvdc/edit"",""6!e51"")"),60.0)</f>
        <v>60</v>
      </c>
      <c r="I144" s="40">
        <f t="shared" si="390"/>
        <v>4360</v>
      </c>
      <c r="J144" s="38">
        <f>IFERROR(__xludf.DUMMYFUNCTION("IMPORTRANGE(""https://docs.google.com/spreadsheets/d/1vmCj5YcMSPHj1m64syDndQ6cqVL3yolcU03Y8KHmvdc/edit"",""6!e54"")"),4988.0)</f>
        <v>4988</v>
      </c>
      <c r="K144" s="38">
        <f>IFERROR(__xludf.DUMMYFUNCTION("IMPORTRANGE(""https://docs.google.com/spreadsheets/d/1vmCj5YcMSPHj1m64syDndQ6cqVL3yolcU03Y8KHmvdc/edit"",""6!e55"")"),70.0)</f>
        <v>70</v>
      </c>
      <c r="L144" s="40">
        <f t="shared" si="391"/>
        <v>5058</v>
      </c>
      <c r="M144" s="40">
        <f t="shared" si="392"/>
        <v>9418</v>
      </c>
      <c r="N144" s="41">
        <f t="shared" si="393"/>
        <v>198.9199286</v>
      </c>
      <c r="O144" s="38">
        <v>13817.0</v>
      </c>
      <c r="P144" s="42">
        <f t="shared" si="394"/>
        <v>0.6816240863</v>
      </c>
      <c r="Q144" s="43">
        <v>1.5</v>
      </c>
      <c r="R144" s="42">
        <f t="shared" si="395"/>
        <v>0.7515187873</v>
      </c>
      <c r="S144" s="44">
        <f t="shared" si="396"/>
        <v>1.127278181</v>
      </c>
      <c r="T144" s="43">
        <f>F144/25.089</f>
        <v>333</v>
      </c>
      <c r="U144" s="43">
        <f t="shared" si="397"/>
        <v>7.928571429</v>
      </c>
      <c r="V144" s="40">
        <f t="shared" si="398"/>
        <v>224.2380952</v>
      </c>
      <c r="X144" s="46" t="s">
        <v>33</v>
      </c>
      <c r="Y144" s="46">
        <v>6.0</v>
      </c>
      <c r="Z144" s="46">
        <f t="shared" ref="Z144:AI144" si="406">SUM(Z138:Z143)</f>
        <v>186</v>
      </c>
      <c r="AA144" s="47">
        <f t="shared" si="406"/>
        <v>179</v>
      </c>
      <c r="AB144" s="48">
        <f t="shared" si="406"/>
        <v>34188.104</v>
      </c>
      <c r="AC144" s="47">
        <f t="shared" si="406"/>
        <v>9369</v>
      </c>
      <c r="AD144" s="47">
        <f t="shared" si="406"/>
        <v>504</v>
      </c>
      <c r="AE144" s="47">
        <f t="shared" si="406"/>
        <v>9873</v>
      </c>
      <c r="AF144" s="47">
        <f t="shared" si="406"/>
        <v>14229</v>
      </c>
      <c r="AG144" s="47">
        <f t="shared" si="406"/>
        <v>589</v>
      </c>
      <c r="AH144" s="47">
        <f t="shared" si="406"/>
        <v>14818</v>
      </c>
      <c r="AI144" s="47">
        <f t="shared" si="406"/>
        <v>24691</v>
      </c>
      <c r="AJ144" s="49">
        <f t="shared" si="402"/>
        <v>190.9949944</v>
      </c>
      <c r="AK144" s="46">
        <f>SUM(AK138:AK143)</f>
        <v>35074</v>
      </c>
      <c r="AL144" s="50">
        <f t="shared" si="380"/>
        <v>0.7039687518</v>
      </c>
      <c r="AM144" s="51">
        <v>1.5</v>
      </c>
      <c r="AN144" s="50">
        <f t="shared" si="382"/>
        <v>0.4814735168</v>
      </c>
      <c r="AO144" s="52">
        <f t="shared" si="383"/>
        <v>0.7222102752</v>
      </c>
      <c r="AP144" s="51">
        <f>SUM(AP138:AP143)</f>
        <v>1284.810975</v>
      </c>
      <c r="AQ144" s="51">
        <f>AP144/AA144</f>
        <v>7.177714945</v>
      </c>
      <c r="AR144" s="47">
        <f t="shared" si="385"/>
        <v>137.9385475</v>
      </c>
    </row>
    <row r="145" ht="15.75" customHeight="1">
      <c r="A145" s="21"/>
      <c r="B145" s="38">
        <v>5.0</v>
      </c>
      <c r="C145" s="38" t="s">
        <v>34</v>
      </c>
      <c r="D145" s="39">
        <v>40.0</v>
      </c>
      <c r="E145" s="40">
        <f>IFERROR(__xludf.DUMMYFUNCTION("COUNT(IMPORTRANGE(""https://docs.google.com/spreadsheets/d/14_Y-fpuq1wcec3DlT_1PBYekOC0YblQMrWVfO12YO3k/edit"",""6!d2:d41""))"),37.0)</f>
        <v>37</v>
      </c>
      <c r="F145" s="45">
        <f>IFERROR(__xludf.DUMMYFUNCTION("SUM(IMPORTRANGE(""https://docs.google.com/spreadsheets/d/14_Y-fpuq1wcec3DlT_1PBYekOC0YblQMrWVfO12YO3k/edit"",""6!Q2:Q41""))"),7015.179000000002)</f>
        <v>7015.179</v>
      </c>
      <c r="G145" s="40">
        <f>IFERROR(__xludf.DUMMYFUNCTION("IMPORTRANGE(""https://docs.google.com/spreadsheets/d/14_Y-fpuq1wcec3DlT_1PBYekOC0YblQMrWVfO12YO3k/edit"",""6!e48"")"),2484.0)</f>
        <v>2484</v>
      </c>
      <c r="H145" s="40">
        <f>IFERROR(__xludf.DUMMYFUNCTION("IMPORTRANGE(""https://docs.google.com/spreadsheets/d/14_Y-fpuq1wcec3DlT_1PBYekOC0YblQMrWVfO12YO3k/edit"",""6!e49"")"),0.0)</f>
        <v>0</v>
      </c>
      <c r="I145" s="40">
        <f t="shared" si="390"/>
        <v>2484</v>
      </c>
      <c r="J145" s="40">
        <f>IFERROR(__xludf.DUMMYFUNCTION("IMPORTRANGE(""https://docs.google.com/spreadsheets/d/14_Y-fpuq1wcec3DlT_1PBYekOC0YblQMrWVfO12YO3k/edit"",""6!e52"")"),3486.0)</f>
        <v>3486</v>
      </c>
      <c r="K145" s="40">
        <f>IFERROR(__xludf.DUMMYFUNCTION("IMPORTRANGE(""https://docs.google.com/spreadsheets/d/14_Y-fpuq1wcec3DlT_1PBYekOC0YblQMrWVfO12YO3k/edit"",""6!e53"")"),0.0)</f>
        <v>0</v>
      </c>
      <c r="L145" s="40">
        <f t="shared" si="391"/>
        <v>3486</v>
      </c>
      <c r="M145" s="40">
        <f t="shared" si="392"/>
        <v>5970</v>
      </c>
      <c r="N145" s="41">
        <f t="shared" si="393"/>
        <v>189.5994324</v>
      </c>
      <c r="O145" s="38">
        <v>9354.0</v>
      </c>
      <c r="P145" s="42">
        <f t="shared" si="394"/>
        <v>0.6382296344</v>
      </c>
      <c r="Q145" s="43">
        <v>1.5</v>
      </c>
      <c r="R145" s="42">
        <f t="shared" si="395"/>
        <v>0.5673411897</v>
      </c>
      <c r="S145" s="44">
        <f t="shared" si="396"/>
        <v>0.8510117846</v>
      </c>
      <c r="T145" s="43">
        <f>F145/30.713</f>
        <v>228.4107381</v>
      </c>
      <c r="U145" s="43">
        <f t="shared" si="397"/>
        <v>6.173263193</v>
      </c>
      <c r="V145" s="40">
        <f t="shared" si="398"/>
        <v>161.3513514</v>
      </c>
      <c r="X145" s="53" t="s">
        <v>35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6"/>
    </row>
    <row r="146" ht="15.75" customHeight="1">
      <c r="A146" s="21"/>
      <c r="B146" s="38">
        <v>6.0</v>
      </c>
      <c r="C146" s="38" t="s">
        <v>23</v>
      </c>
      <c r="D146" s="39">
        <v>35.0</v>
      </c>
      <c r="E146" s="40">
        <f>IFERROR(__xludf.DUMMYFUNCTION("COUNT(IMPORTRANGE(""https://docs.google.com/spreadsheets/d/1lJqjdj05V4LOXuBOiTdE65GV4ZITyx1cMLcDdcuoUnE/edit"",""6!d2:d36""))"),33.0)</f>
        <v>33</v>
      </c>
      <c r="F146" s="45">
        <f>IFERROR(__xludf.DUMMYFUNCTION("SUM(IMPORTRANGE(""https://docs.google.com/spreadsheets/d/1lJqjdj05V4LOXuBOiTdE65GV4ZITyx1cMLcDdcuoUnE/edit"",""6!Q2:Q36""))"),6511.819999999996)</f>
        <v>6511.82</v>
      </c>
      <c r="G146" s="40">
        <f>IFERROR(__xludf.DUMMYFUNCTION("IMPORTRANGE(""https://docs.google.com/spreadsheets/d/1lJqjdj05V4LOXuBOiTdE65GV4ZITyx1cMLcDdcuoUnE/edit"",""6!e43"")"),1693.0)</f>
        <v>1693</v>
      </c>
      <c r="H146" s="40">
        <f>IFERROR(__xludf.DUMMYFUNCTION("IMPORTRANGE(""https://docs.google.com/spreadsheets/d/1lJqjdj05V4LOXuBOiTdE65GV4ZITyx1cMLcDdcuoUnE/edit"",""6!e44"")"),0.0)</f>
        <v>0</v>
      </c>
      <c r="I146" s="40">
        <f t="shared" si="390"/>
        <v>1693</v>
      </c>
      <c r="J146" s="40">
        <f>IFERROR(__xludf.DUMMYFUNCTION("IMPORTRANGE(""https://docs.google.com/spreadsheets/d/1lJqjdj05V4LOXuBOiTdE65GV4ZITyx1cMLcDdcuoUnE/edit"",""6!e47"")"),2847.0)</f>
        <v>2847</v>
      </c>
      <c r="K146" s="40">
        <f>IFERROR(__xludf.DUMMYFUNCTION("IMPORTRANGE(""https://docs.google.com/spreadsheets/d/1lJqjdj05V4LOXuBOiTdE65GV4ZITyx1cMLcDdcuoUnE/edit"",""6!e48"")"),0.0)</f>
        <v>0</v>
      </c>
      <c r="L146" s="40">
        <f t="shared" si="391"/>
        <v>2847</v>
      </c>
      <c r="M146" s="40">
        <f t="shared" si="392"/>
        <v>4540</v>
      </c>
      <c r="N146" s="41">
        <f t="shared" si="393"/>
        <v>197.3278788</v>
      </c>
      <c r="O146" s="38">
        <v>6853.0</v>
      </c>
      <c r="P146" s="42">
        <f t="shared" si="394"/>
        <v>0.6624835838</v>
      </c>
      <c r="Q146" s="43">
        <v>1.5</v>
      </c>
      <c r="R146" s="42">
        <f t="shared" si="395"/>
        <v>0.4647958123</v>
      </c>
      <c r="S146" s="44">
        <f t="shared" si="396"/>
        <v>0.6971937185</v>
      </c>
      <c r="T146" s="43">
        <f>F146/33.74</f>
        <v>193</v>
      </c>
      <c r="U146" s="43">
        <f t="shared" si="397"/>
        <v>5.848484848</v>
      </c>
      <c r="V146" s="40">
        <f t="shared" si="398"/>
        <v>137.5757576</v>
      </c>
      <c r="X146" s="14" t="s">
        <v>2</v>
      </c>
      <c r="Y146" s="14" t="s">
        <v>3</v>
      </c>
      <c r="Z146" s="14" t="s">
        <v>4</v>
      </c>
      <c r="AA146" s="14" t="s">
        <v>5</v>
      </c>
      <c r="AB146" s="15" t="s">
        <v>6</v>
      </c>
      <c r="AC146" s="14" t="s">
        <v>7</v>
      </c>
      <c r="AD146" s="14" t="s">
        <v>8</v>
      </c>
      <c r="AE146" s="14" t="s">
        <v>9</v>
      </c>
      <c r="AF146" s="14" t="s">
        <v>10</v>
      </c>
      <c r="AG146" s="14" t="s">
        <v>11</v>
      </c>
      <c r="AH146" s="14" t="s">
        <v>12</v>
      </c>
      <c r="AI146" s="14" t="s">
        <v>13</v>
      </c>
      <c r="AJ146" s="15" t="s">
        <v>14</v>
      </c>
      <c r="AK146" s="14" t="s">
        <v>15</v>
      </c>
      <c r="AL146" s="14" t="s">
        <v>16</v>
      </c>
      <c r="AM146" s="16" t="s">
        <v>17</v>
      </c>
      <c r="AN146" s="17" t="s">
        <v>18</v>
      </c>
      <c r="AO146" s="18" t="s">
        <v>19</v>
      </c>
      <c r="AP146" s="19" t="s">
        <v>20</v>
      </c>
      <c r="AQ146" s="19" t="s">
        <v>21</v>
      </c>
      <c r="AR146" s="20" t="s">
        <v>22</v>
      </c>
    </row>
    <row r="147" ht="15.75" customHeight="1">
      <c r="A147" s="21"/>
      <c r="B147" s="38">
        <v>7.0</v>
      </c>
      <c r="C147" s="38" t="s">
        <v>24</v>
      </c>
      <c r="D147" s="39">
        <v>44.0</v>
      </c>
      <c r="E147" s="54">
        <f>IFERROR(__xludf.DUMMYFUNCTION("COUNT(IMPORTRANGE(""https://docs.google.com/spreadsheets/d/1_7EEO26q9Yq-XhNFiy7I6Zh4Yg6uGjTs9y0UqNvPKcQ/edit"",""6!d2:d45""))"),43.0)</f>
        <v>43</v>
      </c>
      <c r="F147" s="55">
        <f>IFERROR(__xludf.DUMMYFUNCTION("SUM(IMPORTRANGE(""https://docs.google.com/spreadsheets/d/1_7EEO26q9Yq-XhNFiy7I6Zh4Yg6uGjTs9y0UqNvPKcQ/edit"",""6!Q2:Q45""))"),8239.642999999995)</f>
        <v>8239.643</v>
      </c>
      <c r="G147" s="54">
        <f>IFERROR(__xludf.DUMMYFUNCTION("IMPORTRANGE(""https://docs.google.com/spreadsheets/d/1_7EEO26q9Yq-XhNFiy7I6Zh4Yg6uGjTs9y0UqNvPKcQ/edit"",""6!e53"")"),1013.0)</f>
        <v>1013</v>
      </c>
      <c r="H147" s="54">
        <f>IFERROR(__xludf.DUMMYFUNCTION("IMPORTRANGE(""https://docs.google.com/spreadsheets/d/1_7EEO26q9Yq-XhNFiy7I6Zh4Yg6uGjTs9y0UqNvPKcQ/edit"",""6!e54"")"),17.0)</f>
        <v>17</v>
      </c>
      <c r="I147" s="54">
        <f t="shared" si="390"/>
        <v>1030</v>
      </c>
      <c r="J147" s="54">
        <f>IFERROR(__xludf.DUMMYFUNCTION("IMPORTRANGE(""https://docs.google.com/spreadsheets/d/1_7EEO26q9Yq-XhNFiy7I6Zh4Yg6uGjTs9y0UqNvPKcQ/edit"",""6!e57"")"),1267.0)</f>
        <v>1267</v>
      </c>
      <c r="K147" s="54">
        <f>IFERROR(__xludf.DUMMYFUNCTION("IMPORTRANGE(""https://docs.google.com/spreadsheets/d/1_7EEO26q9Yq-XhNFiy7I6Zh4Yg6uGjTs9y0UqNvPKcQ/edit"",""6!e58"")"),0.0)</f>
        <v>0</v>
      </c>
      <c r="L147" s="40">
        <f t="shared" si="391"/>
        <v>1267</v>
      </c>
      <c r="M147" s="40">
        <f t="shared" si="392"/>
        <v>2297</v>
      </c>
      <c r="N147" s="41">
        <f t="shared" si="393"/>
        <v>191.6196047</v>
      </c>
      <c r="O147" s="38">
        <v>1580.0</v>
      </c>
      <c r="P147" s="56">
        <f t="shared" si="394"/>
        <v>1.453797468</v>
      </c>
      <c r="Q147" s="43">
        <v>1.5</v>
      </c>
      <c r="R147" s="42">
        <f t="shared" si="395"/>
        <v>0.1858494759</v>
      </c>
      <c r="S147" s="44">
        <f t="shared" si="396"/>
        <v>0.2787742139</v>
      </c>
      <c r="T147" s="43">
        <f>F147/26.805</f>
        <v>307.3920164</v>
      </c>
      <c r="U147" s="43">
        <f t="shared" si="397"/>
        <v>7.148651545</v>
      </c>
      <c r="V147" s="40">
        <f t="shared" si="398"/>
        <v>53.41860465</v>
      </c>
      <c r="X147" s="22">
        <v>1.0</v>
      </c>
      <c r="Y147" s="22" t="s">
        <v>28</v>
      </c>
      <c r="Z147" s="22">
        <f t="shared" ref="Z147:AI147" si="407">SUM(D142)</f>
        <v>33</v>
      </c>
      <c r="AA147" s="23">
        <f t="shared" si="407"/>
        <v>32</v>
      </c>
      <c r="AB147" s="25">
        <f t="shared" si="407"/>
        <v>6374.348</v>
      </c>
      <c r="AC147" s="23">
        <f t="shared" si="407"/>
        <v>1908</v>
      </c>
      <c r="AD147" s="23">
        <f t="shared" si="407"/>
        <v>260</v>
      </c>
      <c r="AE147" s="23">
        <f t="shared" si="407"/>
        <v>2168</v>
      </c>
      <c r="AF147" s="23">
        <f t="shared" si="407"/>
        <v>2186</v>
      </c>
      <c r="AG147" s="23">
        <f t="shared" si="407"/>
        <v>533</v>
      </c>
      <c r="AH147" s="23">
        <f t="shared" si="407"/>
        <v>2719</v>
      </c>
      <c r="AI147" s="23">
        <f t="shared" si="407"/>
        <v>4887</v>
      </c>
      <c r="AJ147" s="25">
        <f t="shared" ref="AJ147:AJ153" si="410">AB147/AA147</f>
        <v>199.198375</v>
      </c>
      <c r="AK147" s="22">
        <f t="shared" ref="AK147:AK148" si="411">SUM(O142)</f>
        <v>7315</v>
      </c>
      <c r="AL147" s="26">
        <f t="shared" ref="AL147:AL153" si="412">AI147/AK147</f>
        <v>0.6680792891</v>
      </c>
      <c r="AM147" s="27">
        <f t="shared" ref="AM147:AM148" si="413">SUM(Q142)</f>
        <v>1.5</v>
      </c>
      <c r="AN147" s="26">
        <f t="shared" ref="AN147:AN153" si="414">AO147/AM147</f>
        <v>0.5111110972</v>
      </c>
      <c r="AO147" s="28">
        <f t="shared" ref="AO147:AO153" si="415">AI147/AB147</f>
        <v>0.7666666457</v>
      </c>
      <c r="AP147" s="27">
        <f t="shared" ref="AP147:AQ147" si="408">SUM(T142)</f>
        <v>206.3096093</v>
      </c>
      <c r="AQ147" s="27">
        <f t="shared" si="408"/>
        <v>6.447175292</v>
      </c>
      <c r="AR147" s="23">
        <f t="shared" ref="AR147:AR153" si="417">AI147/AA147</f>
        <v>152.71875</v>
      </c>
    </row>
    <row r="148" ht="15.75" customHeight="1">
      <c r="A148" s="21"/>
      <c r="B148" s="38">
        <v>8.0</v>
      </c>
      <c r="C148" s="38" t="s">
        <v>25</v>
      </c>
      <c r="D148" s="57">
        <v>32.0</v>
      </c>
      <c r="E148" s="40">
        <f>IFERROR(__xludf.DUMMYFUNCTION("COUNT(IMPORTRANGE(""https://docs.google.com/spreadsheets/d/1vLOLpiE-XsbnCnwWPcoi87PlUSXfqIAAQn3kvqHfO6s/edit"",""6!d2:D33""))"),30.0)</f>
        <v>30</v>
      </c>
      <c r="F148" s="45">
        <f>IFERROR(__xludf.DUMMYFUNCTION("SUM(IMPORTRANGE(""https://docs.google.com/spreadsheets/d/1vLOLpiE-XsbnCnwWPcoi87PlUSXfqIAAQn3kvqHfO6s/edit"",""6!Q2:Q33""))"),5695.992000000002)</f>
        <v>5695.992</v>
      </c>
      <c r="G148" s="40">
        <f>IFERROR(__xludf.DUMMYFUNCTION("IMPORTRANGE(""https://docs.google.com/spreadsheets/d/1vLOLpiE-XsbnCnwWPcoi87PlUSXfqIAAQn3kvqHfO6s/edit"",""6!e40"")"),1810.0)</f>
        <v>1810</v>
      </c>
      <c r="H148" s="40">
        <f>IFERROR(__xludf.DUMMYFUNCTION("IMPORTRANGE(""https://docs.google.com/spreadsheets/d/1vLOLpiE-XsbnCnwWPcoi87PlUSXfqIAAQn3kvqHfO6s/edit"",""6!e41"")"),399.0)</f>
        <v>399</v>
      </c>
      <c r="I148" s="40">
        <f t="shared" si="390"/>
        <v>2209</v>
      </c>
      <c r="J148" s="40">
        <f>IFERROR(__xludf.DUMMYFUNCTION("IMPORTRANGE(""https://docs.google.com/spreadsheets/d/1vLOLpiE-XsbnCnwWPcoi87PlUSXfqIAAQn3kvqHfO6s/edit"",""6!e44"")"),2914.0)</f>
        <v>2914</v>
      </c>
      <c r="K148" s="40">
        <f>IFERROR(__xludf.DUMMYFUNCTION("IMPORTRANGE(""https://docs.google.com/spreadsheets/d/1vLOLpiE-XsbnCnwWPcoi87PlUSXfqIAAQn3kvqHfO6s/edit"",""6!e45"")"),483.0)</f>
        <v>483</v>
      </c>
      <c r="L148" s="40">
        <f>J148+K148</f>
        <v>3397</v>
      </c>
      <c r="M148" s="40">
        <f t="shared" si="392"/>
        <v>5606</v>
      </c>
      <c r="N148" s="41">
        <f t="shared" si="393"/>
        <v>189.8664</v>
      </c>
      <c r="O148" s="38">
        <v>6622.0</v>
      </c>
      <c r="P148" s="42">
        <f t="shared" si="394"/>
        <v>0.8465720326</v>
      </c>
      <c r="Q148" s="43">
        <v>1.5</v>
      </c>
      <c r="R148" s="42">
        <f t="shared" si="395"/>
        <v>0.6561338803</v>
      </c>
      <c r="S148" s="44">
        <f t="shared" si="396"/>
        <v>0.9842008205</v>
      </c>
      <c r="T148" s="43">
        <f>F148/23.84</f>
        <v>238.9258389</v>
      </c>
      <c r="U148" s="43">
        <f t="shared" si="397"/>
        <v>7.964194631</v>
      </c>
      <c r="V148" s="40">
        <f t="shared" si="398"/>
        <v>186.8666667</v>
      </c>
      <c r="X148" s="31">
        <v>2.0</v>
      </c>
      <c r="Y148" s="31" t="s">
        <v>30</v>
      </c>
      <c r="Z148" s="31">
        <f t="shared" ref="Z148:AI148" si="409">SUM(D143)</f>
        <v>60</v>
      </c>
      <c r="AA148" s="32">
        <f t="shared" si="409"/>
        <v>59</v>
      </c>
      <c r="AB148" s="33">
        <f t="shared" si="409"/>
        <v>11485.964</v>
      </c>
      <c r="AC148" s="32">
        <f t="shared" si="409"/>
        <v>3255</v>
      </c>
      <c r="AD148" s="32">
        <f t="shared" si="409"/>
        <v>0</v>
      </c>
      <c r="AE148" s="32">
        <f t="shared" si="409"/>
        <v>3255</v>
      </c>
      <c r="AF148" s="32">
        <f t="shared" si="409"/>
        <v>4873</v>
      </c>
      <c r="AG148" s="32">
        <f t="shared" si="409"/>
        <v>0</v>
      </c>
      <c r="AH148" s="32">
        <f t="shared" si="409"/>
        <v>4873</v>
      </c>
      <c r="AI148" s="32">
        <f t="shared" si="409"/>
        <v>8128</v>
      </c>
      <c r="AJ148" s="34">
        <f t="shared" si="410"/>
        <v>194.6773559</v>
      </c>
      <c r="AK148" s="31">
        <f t="shared" si="411"/>
        <v>11164</v>
      </c>
      <c r="AL148" s="35">
        <f t="shared" si="412"/>
        <v>0.7280544608</v>
      </c>
      <c r="AM148" s="36">
        <f t="shared" si="413"/>
        <v>1.5</v>
      </c>
      <c r="AN148" s="35">
        <f t="shared" si="414"/>
        <v>0.4717642043</v>
      </c>
      <c r="AO148" s="37">
        <f t="shared" si="415"/>
        <v>0.7076463064</v>
      </c>
      <c r="AP148" s="36">
        <f t="shared" ref="AP148:AQ148" si="416">SUM(T143)</f>
        <v>388</v>
      </c>
      <c r="AQ148" s="36">
        <f t="shared" si="416"/>
        <v>6.576271186</v>
      </c>
      <c r="AR148" s="32">
        <f t="shared" si="417"/>
        <v>137.7627119</v>
      </c>
    </row>
    <row r="149" ht="15.75" customHeight="1">
      <c r="A149" s="21"/>
      <c r="B149" s="38">
        <v>9.0</v>
      </c>
      <c r="C149" s="38" t="s">
        <v>36</v>
      </c>
      <c r="D149" s="57">
        <v>24.0</v>
      </c>
      <c r="E149" s="40">
        <f>IFERROR(__xludf.DUMMYFUNCTION("COUNT(IMPORTRANGE(""https://docs.google.com/spreadsheets/d/1WJJVq25XDtGjt-J2JPxeKs3jIvDZtkIREC0lFPXwf74/edit"",""6!d2:d31""))"),24.0)</f>
        <v>24</v>
      </c>
      <c r="F149" s="45">
        <f>IFERROR(__xludf.DUMMYFUNCTION("SUM(IMPORTRANGE(""https://docs.google.com/spreadsheets/d/1WJJVq25XDtGjt-J2JPxeKs3jIvDZtkIREC0lFPXwf74/edit"",""6!Q2:Q31""))"),4745.193999999999)</f>
        <v>4745.194</v>
      </c>
      <c r="G149" s="40">
        <f>IFERROR(__xludf.DUMMYFUNCTION("IMPORTRANGE(""https://docs.google.com/spreadsheets/d/1WJJVq25XDtGjt-J2JPxeKs3jIvDZtkIREC0lFPXwf74/edit"",""6!e38"")"),1135.0)</f>
        <v>1135</v>
      </c>
      <c r="H149" s="40">
        <f>IFERROR(__xludf.DUMMYFUNCTION("IMPORTRANGE(""https://docs.google.com/spreadsheets/d/1WJJVq25XDtGjt-J2JPxeKs3jIvDZtkIREC0lFPXwf74/edit"",""6!e39"")"),0.0)</f>
        <v>0</v>
      </c>
      <c r="I149" s="40">
        <f t="shared" si="390"/>
        <v>1135</v>
      </c>
      <c r="J149" s="40">
        <f>IFERROR(__xludf.DUMMYFUNCTION("IMPORTRANGE(""https://docs.google.com/spreadsheets/d/1WJJVq25XDtGjt-J2JPxeKs3jIvDZtkIREC0lFPXwf74/edit"",""6!e42"")"),2055.0)</f>
        <v>2055</v>
      </c>
      <c r="K149" s="40">
        <f>IFERROR(__xludf.DUMMYFUNCTION("IMPORTRANGE(""https://docs.google.com/spreadsheets/d/1WJJVq25XDtGjt-J2JPxeKs3jIvDZtkIREC0lFPXwf74/edit"",""6!e43"")"),0.0)</f>
        <v>0</v>
      </c>
      <c r="L149" s="40">
        <f t="shared" ref="L149:L158" si="420">SUM(J149:K149)</f>
        <v>2055</v>
      </c>
      <c r="M149" s="40">
        <f t="shared" si="392"/>
        <v>3190</v>
      </c>
      <c r="N149" s="41">
        <f t="shared" si="393"/>
        <v>197.7164167</v>
      </c>
      <c r="O149" s="38">
        <v>4796.0</v>
      </c>
      <c r="P149" s="42">
        <f t="shared" si="394"/>
        <v>0.6651376147</v>
      </c>
      <c r="Q149" s="43">
        <v>1.5</v>
      </c>
      <c r="R149" s="42">
        <f t="shared" si="395"/>
        <v>0.4481727547</v>
      </c>
      <c r="S149" s="44">
        <f t="shared" si="396"/>
        <v>0.6722591321</v>
      </c>
      <c r="T149" s="43">
        <f>F149/37.414</f>
        <v>126.8293687</v>
      </c>
      <c r="U149" s="43">
        <f t="shared" si="397"/>
        <v>5.284557029</v>
      </c>
      <c r="V149" s="40">
        <f t="shared" si="398"/>
        <v>132.9166667</v>
      </c>
      <c r="X149" s="22">
        <v>3.0</v>
      </c>
      <c r="Y149" s="22" t="s">
        <v>34</v>
      </c>
      <c r="Z149" s="22">
        <f t="shared" ref="Z149:AI149" si="418">SUM(D145)</f>
        <v>40</v>
      </c>
      <c r="AA149" s="23">
        <f t="shared" si="418"/>
        <v>37</v>
      </c>
      <c r="AB149" s="24">
        <f t="shared" si="418"/>
        <v>7015.179</v>
      </c>
      <c r="AC149" s="23">
        <f t="shared" si="418"/>
        <v>2484</v>
      </c>
      <c r="AD149" s="23">
        <f t="shared" si="418"/>
        <v>0</v>
      </c>
      <c r="AE149" s="23">
        <f t="shared" si="418"/>
        <v>2484</v>
      </c>
      <c r="AF149" s="23">
        <f t="shared" si="418"/>
        <v>3486</v>
      </c>
      <c r="AG149" s="23">
        <f t="shared" si="418"/>
        <v>0</v>
      </c>
      <c r="AH149" s="23">
        <f t="shared" si="418"/>
        <v>3486</v>
      </c>
      <c r="AI149" s="23">
        <f t="shared" si="418"/>
        <v>5970</v>
      </c>
      <c r="AJ149" s="25">
        <f t="shared" si="410"/>
        <v>189.5994324</v>
      </c>
      <c r="AK149" s="22">
        <f>SUM(O145)</f>
        <v>9354</v>
      </c>
      <c r="AL149" s="26">
        <f t="shared" si="412"/>
        <v>0.6382296344</v>
      </c>
      <c r="AM149" s="27">
        <f>SUM(Q145)</f>
        <v>1.5</v>
      </c>
      <c r="AN149" s="26">
        <f t="shared" si="414"/>
        <v>0.5673411897</v>
      </c>
      <c r="AO149" s="28">
        <f t="shared" si="415"/>
        <v>0.8510117846</v>
      </c>
      <c r="AP149" s="27">
        <f t="shared" ref="AP149:AQ149" si="419">SUM(T145)</f>
        <v>228.4107381</v>
      </c>
      <c r="AQ149" s="27">
        <f t="shared" si="419"/>
        <v>6.173263193</v>
      </c>
      <c r="AR149" s="23">
        <f t="shared" si="417"/>
        <v>161.3513514</v>
      </c>
    </row>
    <row r="150" ht="15.75" customHeight="1">
      <c r="A150" s="21"/>
      <c r="B150" s="38">
        <v>10.0</v>
      </c>
      <c r="C150" s="38" t="s">
        <v>37</v>
      </c>
      <c r="D150" s="39">
        <v>30.0</v>
      </c>
      <c r="E150" s="40">
        <f>IFERROR(__xludf.DUMMYFUNCTION("COUNT(IMPORTRANGE(""https://docs.google.com/spreadsheets/d/1rJyYfywRpWJW0zvDJHLOJtqUQqffoCGaqTVxxTDgV0k/edit"",""6!d2:d31""))"),28.0)</f>
        <v>28</v>
      </c>
      <c r="F150" s="45">
        <f>IFERROR(__xludf.DUMMYFUNCTION("SUM(IMPORTRANGE(""https://docs.google.com/spreadsheets/d/1rJyYfywRpWJW0zvDJHLOJtqUQqffoCGaqTVxxTDgV0k/edit"",""6!Q2:Q31""))"),5402.0340000000015)</f>
        <v>5402.034</v>
      </c>
      <c r="G150" s="40">
        <f>IFERROR(__xludf.DUMMYFUNCTION("(IMPORTRANGE(""https://docs.google.com/spreadsheets/d/1rJyYfywRpWJW0zvDJHLOJtqUQqffoCGaqTVxxTDgV0k/edit"",""6!e38""))"),1735.0)</f>
        <v>1735</v>
      </c>
      <c r="H150" s="40">
        <f>IFERROR(__xludf.DUMMYFUNCTION("(IMPORTRANGE(""https://docs.google.com/spreadsheets/d/1rJyYfywRpWJW0zvDJHLOJtqUQqffoCGaqTVxxTDgV0k/edit"",""6!e39""))"),0.0)</f>
        <v>0</v>
      </c>
      <c r="I150" s="40">
        <f t="shared" si="390"/>
        <v>1735</v>
      </c>
      <c r="J150" s="40">
        <f>IFERROR(__xludf.DUMMYFUNCTION("(IMPORTRANGE(""https://docs.google.com/spreadsheets/d/1rJyYfywRpWJW0zvDJHLOJtqUQqffoCGaqTVxxTDgV0k/edit"",""6!e42""))"),2520.0)</f>
        <v>2520</v>
      </c>
      <c r="K150" s="40">
        <f>IFERROR(__xludf.DUMMYFUNCTION("(IMPORTRANGE(""https://docs.google.com/spreadsheets/d/1rJyYfywRpWJW0zvDJHLOJtqUQqffoCGaqTVxxTDgV0k/edit"",""6!e43""))"),60.0)</f>
        <v>60</v>
      </c>
      <c r="L150" s="40">
        <f t="shared" si="420"/>
        <v>2580</v>
      </c>
      <c r="M150" s="40">
        <f t="shared" si="392"/>
        <v>4315</v>
      </c>
      <c r="N150" s="41">
        <f t="shared" si="393"/>
        <v>192.9297857</v>
      </c>
      <c r="O150" s="38">
        <v>5887.0</v>
      </c>
      <c r="P150" s="42">
        <f t="shared" si="394"/>
        <v>0.7329709529</v>
      </c>
      <c r="Q150" s="43">
        <v>1.5</v>
      </c>
      <c r="R150" s="42">
        <f t="shared" si="395"/>
        <v>0.5325154686</v>
      </c>
      <c r="S150" s="44">
        <f t="shared" si="396"/>
        <v>0.7987732028</v>
      </c>
      <c r="T150" s="43">
        <f>F150/24.792</f>
        <v>217.8942401</v>
      </c>
      <c r="U150" s="43">
        <f t="shared" si="397"/>
        <v>7.781937146</v>
      </c>
      <c r="V150" s="40">
        <f t="shared" si="398"/>
        <v>154.1071429</v>
      </c>
      <c r="X150" s="31">
        <v>4.0</v>
      </c>
      <c r="Y150" s="31" t="s">
        <v>38</v>
      </c>
      <c r="Z150" s="31">
        <f t="shared" ref="Z150:AI150" si="421">SUM(D153)</f>
        <v>30</v>
      </c>
      <c r="AA150" s="32">
        <f t="shared" si="421"/>
        <v>29</v>
      </c>
      <c r="AB150" s="33">
        <f t="shared" si="421"/>
        <v>6140.576</v>
      </c>
      <c r="AC150" s="32">
        <f t="shared" si="421"/>
        <v>1713</v>
      </c>
      <c r="AD150" s="32">
        <f t="shared" si="421"/>
        <v>202</v>
      </c>
      <c r="AE150" s="32">
        <f t="shared" si="421"/>
        <v>1915</v>
      </c>
      <c r="AF150" s="32">
        <f t="shared" si="421"/>
        <v>2531</v>
      </c>
      <c r="AG150" s="32">
        <f t="shared" si="421"/>
        <v>0</v>
      </c>
      <c r="AH150" s="32">
        <f t="shared" si="421"/>
        <v>2531</v>
      </c>
      <c r="AI150" s="32">
        <f t="shared" si="421"/>
        <v>4446</v>
      </c>
      <c r="AJ150" s="34">
        <f t="shared" si="410"/>
        <v>211.744</v>
      </c>
      <c r="AK150" s="31">
        <v>7324.0</v>
      </c>
      <c r="AL150" s="35">
        <f t="shared" si="412"/>
        <v>0.6070453304</v>
      </c>
      <c r="AM150" s="36">
        <f>SUM(Q153)</f>
        <v>1.5</v>
      </c>
      <c r="AN150" s="35">
        <f t="shared" si="414"/>
        <v>0.4826908746</v>
      </c>
      <c r="AO150" s="37">
        <f t="shared" si="415"/>
        <v>0.7240363119</v>
      </c>
      <c r="AP150" s="36">
        <f t="shared" ref="AP150:AQ150" si="422">SUM(T153)</f>
        <v>149.0250212</v>
      </c>
      <c r="AQ150" s="36">
        <f t="shared" si="422"/>
        <v>5.138793836</v>
      </c>
      <c r="AR150" s="32">
        <f t="shared" si="417"/>
        <v>153.3103448</v>
      </c>
    </row>
    <row r="151" ht="15.75" customHeight="1">
      <c r="A151" s="21"/>
      <c r="B151" s="38">
        <v>12.0</v>
      </c>
      <c r="C151" s="38" t="s">
        <v>39</v>
      </c>
      <c r="D151" s="39">
        <v>28.0</v>
      </c>
      <c r="E151" s="40">
        <f>IFERROR(__xludf.DUMMYFUNCTION("COUNT(IMPORTRANGE(""https://docs.google.com/spreadsheets/d/1uaTn2DZCfr7O1PvovOd0wElzVz8kpl_iPfnrkNPp0Is/edit"",""6!d2:d29""))"),28.0)</f>
        <v>28</v>
      </c>
      <c r="F151" s="45">
        <f>IFERROR(__xludf.DUMMYFUNCTION("SUM(IMPORTRANGE(""https://docs.google.com/spreadsheets/d/1uaTn2DZCfr7O1PvovOd0wElzVz8kpl_iPfnrkNPp0Is/edit"",""6!Q2:Q29""))"),5480.341000000001)</f>
        <v>5480.341</v>
      </c>
      <c r="G151" s="40">
        <f>IFERROR(__xludf.DUMMYFUNCTION("IMPORTRANGE(""https://docs.google.com/spreadsheets/d/1uaTn2DZCfr7O1PvovOd0wElzVz8kpl_iPfnrkNPp0Is/edit"",""6!e36"")"),1203.0)</f>
        <v>1203</v>
      </c>
      <c r="H151" s="40">
        <f>IFERROR(__xludf.DUMMYFUNCTION("(IMPORTRANGE(""https://docs.google.com/spreadsheets/d/1uaTn2DZCfr7O1PvovOd0wElzVz8kpl_iPfnrkNPp0Is/edit"",""6!e37""))"),48.0)</f>
        <v>48</v>
      </c>
      <c r="I151" s="40">
        <f t="shared" si="390"/>
        <v>1251</v>
      </c>
      <c r="J151" s="40">
        <f>IFERROR(__xludf.DUMMYFUNCTION("IMPORTRANGE(""https://docs.google.com/spreadsheets/d/1uaTn2DZCfr7O1PvovOd0wElzVz8kpl_iPfnrkNPp0Is/edit"",""6!e40"")"),1918.0)</f>
        <v>1918</v>
      </c>
      <c r="K151" s="40">
        <f>IFERROR(__xludf.DUMMYFUNCTION("IMPORTRANGE(""https://docs.google.com/spreadsheets/d/1uaTn2DZCfr7O1PvovOd0wElzVz8kpl_iPfnrkNPp0Is/edit"",""6!e41"")"),0.0)</f>
        <v>0</v>
      </c>
      <c r="L151" s="40">
        <f t="shared" si="420"/>
        <v>1918</v>
      </c>
      <c r="M151" s="40">
        <f t="shared" si="392"/>
        <v>3169</v>
      </c>
      <c r="N151" s="41">
        <f t="shared" si="393"/>
        <v>195.7264643</v>
      </c>
      <c r="O151" s="38">
        <v>3569.0</v>
      </c>
      <c r="P151" s="42">
        <f t="shared" si="394"/>
        <v>0.8879237882</v>
      </c>
      <c r="Q151" s="43">
        <v>1.5</v>
      </c>
      <c r="R151" s="42">
        <f t="shared" si="395"/>
        <v>0.3854991262</v>
      </c>
      <c r="S151" s="44">
        <f t="shared" si="396"/>
        <v>0.5782486893</v>
      </c>
      <c r="T151" s="43">
        <f>F151/21.463</f>
        <v>255.339002</v>
      </c>
      <c r="U151" s="43">
        <f t="shared" si="397"/>
        <v>9.119250072</v>
      </c>
      <c r="V151" s="40">
        <f t="shared" si="398"/>
        <v>113.1785714</v>
      </c>
      <c r="X151" s="31">
        <v>5.0</v>
      </c>
      <c r="Y151" s="31" t="s">
        <v>40</v>
      </c>
      <c r="Z151" s="31">
        <f t="shared" ref="Z151:AI151" si="423">SUM(D155)</f>
        <v>30</v>
      </c>
      <c r="AA151" s="32">
        <f t="shared" si="423"/>
        <v>29</v>
      </c>
      <c r="AB151" s="33">
        <f t="shared" si="423"/>
        <v>5773.929</v>
      </c>
      <c r="AC151" s="32">
        <f t="shared" si="423"/>
        <v>3153</v>
      </c>
      <c r="AD151" s="32">
        <f t="shared" si="423"/>
        <v>0</v>
      </c>
      <c r="AE151" s="32">
        <f t="shared" si="423"/>
        <v>3153</v>
      </c>
      <c r="AF151" s="32">
        <f t="shared" si="423"/>
        <v>3728</v>
      </c>
      <c r="AG151" s="32">
        <f t="shared" si="423"/>
        <v>0</v>
      </c>
      <c r="AH151" s="32">
        <f t="shared" si="423"/>
        <v>3728</v>
      </c>
      <c r="AI151" s="32">
        <f t="shared" si="423"/>
        <v>6881</v>
      </c>
      <c r="AJ151" s="34">
        <f t="shared" si="410"/>
        <v>199.101</v>
      </c>
      <c r="AK151" s="31">
        <f t="shared" ref="AK151:AK152" si="426">SUM(O155)</f>
        <v>8239</v>
      </c>
      <c r="AL151" s="35">
        <f t="shared" si="412"/>
        <v>0.8351741716</v>
      </c>
      <c r="AM151" s="36">
        <f t="shared" ref="AM151:AM152" si="427">SUM(Q155)</f>
        <v>1.5</v>
      </c>
      <c r="AN151" s="35">
        <f t="shared" si="414"/>
        <v>0.7944907763</v>
      </c>
      <c r="AO151" s="37">
        <f t="shared" si="415"/>
        <v>1.191736164</v>
      </c>
      <c r="AP151" s="36">
        <f t="shared" ref="AP151:AQ151" si="424">SUM(T155)</f>
        <v>203</v>
      </c>
      <c r="AQ151" s="36">
        <f t="shared" si="424"/>
        <v>7</v>
      </c>
      <c r="AR151" s="32">
        <f t="shared" si="417"/>
        <v>237.2758621</v>
      </c>
    </row>
    <row r="152" ht="15.75" customHeight="1">
      <c r="A152" s="21"/>
      <c r="B152" s="38">
        <v>12.0</v>
      </c>
      <c r="C152" s="38" t="s">
        <v>41</v>
      </c>
      <c r="D152" s="39">
        <v>24.0</v>
      </c>
      <c r="E152" s="40">
        <f>IFERROR(__xludf.DUMMYFUNCTION("COUNT(IMPORTRANGE(""https://docs.google.com/spreadsheets/d/1oYscvfOJW7GMkxt8QcupWuzb3ohaYePd3Mt2V2ufHok/edit"",""6!d2:d25""))"),23.0)</f>
        <v>23</v>
      </c>
      <c r="F152" s="45">
        <f>IFERROR(__xludf.DUMMYFUNCTION("SUM(IMPORTRANGE(""https://docs.google.com/spreadsheets/d/1oYscvfOJW7GMkxt8QcupWuzb3ohaYePd3Mt2V2ufHok/edit"",""6!Q2:Q25""))"),4585.756)</f>
        <v>4585.756</v>
      </c>
      <c r="G152" s="40">
        <f>IFERROR(__xludf.DUMMYFUNCTION("IMPORTRANGE(""https://docs.google.com/spreadsheets/d/1oYscvfOJW7GMkxt8QcupWuzb3ohaYePd3Mt2V2ufHok/edit"",""6!e32"")"),1092.0)</f>
        <v>1092</v>
      </c>
      <c r="H152" s="40">
        <f>IFERROR(__xludf.DUMMYFUNCTION("IMPORTRANGE(""https://docs.google.com/spreadsheets/d/1oYscvfOJW7GMkxt8QcupWuzb3ohaYePd3Mt2V2ufHok/edit"",""6!e33"")"),65.0)</f>
        <v>65</v>
      </c>
      <c r="I152" s="40">
        <f t="shared" si="390"/>
        <v>1157</v>
      </c>
      <c r="J152" s="40">
        <f>IFERROR(__xludf.DUMMYFUNCTION("IMPORTRANGE(""https://docs.google.com/spreadsheets/d/1oYscvfOJW7GMkxt8QcupWuzb3ohaYePd3Mt2V2ufHok/edit"",""6!e36"")"),1693.0)</f>
        <v>1693</v>
      </c>
      <c r="K152" s="40">
        <f>IFERROR(__xludf.DUMMYFUNCTION("IMPORTRANGE(""https://docs.google.com/spreadsheets/d/1oYscvfOJW7GMkxt8QcupWuzb3ohaYePd3Mt2V2ufHok/edit"",""6!e37"")"),23.0)</f>
        <v>23</v>
      </c>
      <c r="L152" s="40">
        <f t="shared" si="420"/>
        <v>1716</v>
      </c>
      <c r="M152" s="40">
        <f t="shared" si="392"/>
        <v>2873</v>
      </c>
      <c r="N152" s="41">
        <f t="shared" si="393"/>
        <v>199.3806957</v>
      </c>
      <c r="O152" s="38">
        <v>3801.0</v>
      </c>
      <c r="P152" s="42">
        <f t="shared" si="394"/>
        <v>0.7558537227</v>
      </c>
      <c r="Q152" s="43">
        <v>1.5</v>
      </c>
      <c r="R152" s="42">
        <f t="shared" si="395"/>
        <v>0.4176701363</v>
      </c>
      <c r="S152" s="44">
        <f t="shared" si="396"/>
        <v>0.6265052044</v>
      </c>
      <c r="T152" s="43">
        <f>F152/29.628</f>
        <v>154.7777778</v>
      </c>
      <c r="U152" s="43">
        <f t="shared" si="397"/>
        <v>6.729468599</v>
      </c>
      <c r="V152" s="40">
        <f t="shared" si="398"/>
        <v>124.9130435</v>
      </c>
      <c r="X152" s="22">
        <v>6.0</v>
      </c>
      <c r="Y152" s="22" t="s">
        <v>42</v>
      </c>
      <c r="Z152" s="22">
        <f t="shared" ref="Z152:AI152" si="425">SUM(D156)</f>
        <v>33</v>
      </c>
      <c r="AA152" s="23">
        <f t="shared" si="425"/>
        <v>33</v>
      </c>
      <c r="AB152" s="24">
        <f t="shared" si="425"/>
        <v>6466.44</v>
      </c>
      <c r="AC152" s="23">
        <f t="shared" si="425"/>
        <v>2839</v>
      </c>
      <c r="AD152" s="23">
        <f t="shared" si="425"/>
        <v>0</v>
      </c>
      <c r="AE152" s="23">
        <f t="shared" si="425"/>
        <v>2839</v>
      </c>
      <c r="AF152" s="23">
        <f t="shared" si="425"/>
        <v>4353</v>
      </c>
      <c r="AG152" s="23">
        <f t="shared" si="425"/>
        <v>0</v>
      </c>
      <c r="AH152" s="23">
        <f t="shared" si="425"/>
        <v>4353</v>
      </c>
      <c r="AI152" s="23">
        <f t="shared" si="425"/>
        <v>7192</v>
      </c>
      <c r="AJ152" s="25">
        <f t="shared" si="410"/>
        <v>195.9527273</v>
      </c>
      <c r="AK152" s="22">
        <f t="shared" si="426"/>
        <v>9877</v>
      </c>
      <c r="AL152" s="26">
        <f t="shared" si="412"/>
        <v>0.7281563228</v>
      </c>
      <c r="AM152" s="27">
        <f t="shared" si="427"/>
        <v>1.5</v>
      </c>
      <c r="AN152" s="26">
        <f t="shared" si="414"/>
        <v>0.7414692886</v>
      </c>
      <c r="AO152" s="28">
        <f t="shared" si="415"/>
        <v>1.112203933</v>
      </c>
      <c r="AP152" s="27">
        <f t="shared" ref="AP152:AQ152" si="428">SUM(T156)</f>
        <v>247.2353279</v>
      </c>
      <c r="AQ152" s="27">
        <f t="shared" si="428"/>
        <v>7.491979632</v>
      </c>
      <c r="AR152" s="23">
        <f t="shared" si="417"/>
        <v>217.9393939</v>
      </c>
    </row>
    <row r="153" ht="15.75" customHeight="1">
      <c r="A153" s="21"/>
      <c r="B153" s="38">
        <v>13.0</v>
      </c>
      <c r="C153" s="38" t="s">
        <v>43</v>
      </c>
      <c r="D153" s="39">
        <v>30.0</v>
      </c>
      <c r="E153" s="40">
        <f>IFERROR(__xludf.DUMMYFUNCTION("COUNT(IMPORTRANGE(""https://docs.google.com/spreadsheets/d/1AxBmuQEdOYAeRnZ4C8vO6kuTNp7X_SGhpLXuY0n4ln4/edit"",""6!d2:d31""))"),29.0)</f>
        <v>29</v>
      </c>
      <c r="F153" s="45">
        <f>IFERROR(__xludf.DUMMYFUNCTION("SUM(IMPORTRANGE(""https://docs.google.com/spreadsheets/d/1AxBmuQEdOYAeRnZ4C8vO6kuTNp7X_SGhpLXuY0n4ln4/edit"",""6!Q2:Q31""))"),6140.575999999998)</f>
        <v>6140.576</v>
      </c>
      <c r="G153" s="40">
        <f>IFERROR(__xludf.DUMMYFUNCTION("IMPORTRANGE(""https://docs.google.com/spreadsheets/d/1AxBmuQEdOYAeRnZ4C8vO6kuTNp7X_SGhpLXuY0n4ln4/edit"",""6!e38"")"),1713.0)</f>
        <v>1713</v>
      </c>
      <c r="H153" s="40">
        <f>IFERROR(__xludf.DUMMYFUNCTION("IMPORTRANGE(""https://docs.google.com/spreadsheets/d/1AxBmuQEdOYAeRnZ4C8vO6kuTNp7X_SGhpLXuY0n4ln4/edit"",""6!e39"")"),202.0)</f>
        <v>202</v>
      </c>
      <c r="I153" s="40">
        <f t="shared" si="390"/>
        <v>1915</v>
      </c>
      <c r="J153" s="40">
        <f>IFERROR(__xludf.DUMMYFUNCTION("IMPORTRANGE(""https://docs.google.com/spreadsheets/d/1AxBmuQEdOYAeRnZ4C8vO6kuTNp7X_SGhpLXuY0n4ln4/edit"",""6!e42"")"),2531.0)</f>
        <v>2531</v>
      </c>
      <c r="K153" s="40">
        <f>IFERROR(__xludf.DUMMYFUNCTION("IMPORTRANGE(""https://docs.google.com/spreadsheets/d/1AxBmuQEdOYAeRnZ4C8vO6kuTNp7X_SGhpLXuY0n4ln4/edit"",""6!e43"")"),0.0)</f>
        <v>0</v>
      </c>
      <c r="L153" s="40">
        <f t="shared" si="420"/>
        <v>2531</v>
      </c>
      <c r="M153" s="40">
        <f t="shared" si="392"/>
        <v>4446</v>
      </c>
      <c r="N153" s="41">
        <f t="shared" si="393"/>
        <v>211.744</v>
      </c>
      <c r="O153" s="38">
        <v>8345.0</v>
      </c>
      <c r="P153" s="42">
        <f t="shared" si="394"/>
        <v>0.5327741162</v>
      </c>
      <c r="Q153" s="43">
        <v>1.5</v>
      </c>
      <c r="R153" s="42">
        <f t="shared" si="395"/>
        <v>0.4826908746</v>
      </c>
      <c r="S153" s="44">
        <f t="shared" si="396"/>
        <v>0.7240363119</v>
      </c>
      <c r="T153" s="43">
        <f>F153/41.205</f>
        <v>149.0250212</v>
      </c>
      <c r="U153" s="43">
        <f t="shared" si="397"/>
        <v>5.138793836</v>
      </c>
      <c r="V153" s="40">
        <f t="shared" si="398"/>
        <v>153.3103448</v>
      </c>
      <c r="X153" s="46" t="s">
        <v>33</v>
      </c>
      <c r="Y153" s="46">
        <v>6.0</v>
      </c>
      <c r="Z153" s="46">
        <f t="shared" ref="Z153:AI153" si="429">SUM(Z147:Z152)</f>
        <v>226</v>
      </c>
      <c r="AA153" s="47">
        <f t="shared" si="429"/>
        <v>219</v>
      </c>
      <c r="AB153" s="49">
        <f t="shared" si="429"/>
        <v>43256.436</v>
      </c>
      <c r="AC153" s="47">
        <f t="shared" si="429"/>
        <v>15352</v>
      </c>
      <c r="AD153" s="47">
        <f t="shared" si="429"/>
        <v>462</v>
      </c>
      <c r="AE153" s="47">
        <f t="shared" si="429"/>
        <v>15814</v>
      </c>
      <c r="AF153" s="47">
        <f t="shared" si="429"/>
        <v>21157</v>
      </c>
      <c r="AG153" s="47">
        <f t="shared" si="429"/>
        <v>533</v>
      </c>
      <c r="AH153" s="47">
        <f t="shared" si="429"/>
        <v>21690</v>
      </c>
      <c r="AI153" s="47">
        <f t="shared" si="429"/>
        <v>37504</v>
      </c>
      <c r="AJ153" s="49">
        <f t="shared" si="410"/>
        <v>197.5179726</v>
      </c>
      <c r="AK153" s="46">
        <f>SUM(AK147:AK152)</f>
        <v>53273</v>
      </c>
      <c r="AL153" s="50">
        <f t="shared" si="412"/>
        <v>0.7039963959</v>
      </c>
      <c r="AM153" s="51">
        <v>1.5</v>
      </c>
      <c r="AN153" s="50">
        <f t="shared" si="414"/>
        <v>0.5780103258</v>
      </c>
      <c r="AO153" s="52">
        <f t="shared" si="415"/>
        <v>0.8670154887</v>
      </c>
      <c r="AP153" s="51">
        <f>SUM(AP147:AP152)</f>
        <v>1421.980697</v>
      </c>
      <c r="AQ153" s="51">
        <f>AP153/AA153</f>
        <v>6.493062541</v>
      </c>
      <c r="AR153" s="47">
        <f t="shared" si="417"/>
        <v>171.2511416</v>
      </c>
    </row>
    <row r="154" ht="15.75" customHeight="1">
      <c r="A154" s="21"/>
      <c r="B154" s="38">
        <v>14.0</v>
      </c>
      <c r="C154" s="38" t="s">
        <v>27</v>
      </c>
      <c r="D154" s="39">
        <v>30.0</v>
      </c>
      <c r="E154" s="40">
        <f>IFERROR(__xludf.DUMMYFUNCTION("COUNT(IMPORTRANGE(""https://docs.google.com/spreadsheets/d/1LsL4JuXvBtfJ-TVi4NFml9lV_pmd61b789A_nbO-QrA/edit"",""6!d2:d31""))"),30.0)</f>
        <v>30</v>
      </c>
      <c r="F154" s="45">
        <f>IFERROR(__xludf.DUMMYFUNCTION("SUM(IMPORTRANGE(""https://docs.google.com/spreadsheets/d/1LsL4JuXvBtfJ-TVi4NFml9lV_pmd61b789A_nbO-QrA/edit"",""6!Q2:Q31""))"),5325.865000000001)</f>
        <v>5325.865</v>
      </c>
      <c r="G154" s="40">
        <f>IFERROR(__xludf.DUMMYFUNCTION("IMPORTRANGE(""https://docs.google.com/spreadsheets/d/1LsL4JuXvBtfJ-TVi4NFml9lV_pmd61b789A_nbO-QrA/edit"",""6!e38"")"),1509.0)</f>
        <v>1509</v>
      </c>
      <c r="H154" s="40">
        <f>IFERROR(__xludf.DUMMYFUNCTION("IMPORTRANGE(""https://docs.google.com/spreadsheets/d/1LsL4JuXvBtfJ-TVi4NFml9lV_pmd61b789A_nbO-QrA/edit"",""6!e39"")"),88.0)</f>
        <v>88</v>
      </c>
      <c r="I154" s="40">
        <f t="shared" si="390"/>
        <v>1597</v>
      </c>
      <c r="J154" s="40">
        <f>IFERROR(__xludf.DUMMYFUNCTION("IMPORTRANGE(""https://docs.google.com/spreadsheets/d/1LsL4JuXvBtfJ-TVi4NFml9lV_pmd61b789A_nbO-QrA/edit"",""6!e42"")"),2567.0)</f>
        <v>2567</v>
      </c>
      <c r="K154" s="40">
        <f>IFERROR(__xludf.DUMMYFUNCTION("IMPORTRANGE(""https://docs.google.com/spreadsheets/d/1LsL4JuXvBtfJ-TVi4NFml9lV_pmd61b789A_nbO-QrA/edit"",""6!e43"")"),106.0)</f>
        <v>106</v>
      </c>
      <c r="L154" s="40">
        <f t="shared" si="420"/>
        <v>2673</v>
      </c>
      <c r="M154" s="40">
        <f t="shared" si="392"/>
        <v>4270</v>
      </c>
      <c r="N154" s="41">
        <f t="shared" si="393"/>
        <v>177.5288333</v>
      </c>
      <c r="O154" s="38">
        <v>8101.0</v>
      </c>
      <c r="P154" s="42">
        <f t="shared" si="394"/>
        <v>0.5270954203</v>
      </c>
      <c r="Q154" s="43">
        <v>1.5</v>
      </c>
      <c r="R154" s="42">
        <f t="shared" si="395"/>
        <v>0.5344984649</v>
      </c>
      <c r="S154" s="44">
        <f t="shared" si="396"/>
        <v>0.8017476973</v>
      </c>
      <c r="T154" s="43">
        <f>F154/19.985</f>
        <v>266.4931198</v>
      </c>
      <c r="U154" s="43">
        <f t="shared" si="397"/>
        <v>8.883103995</v>
      </c>
      <c r="V154" s="40">
        <f t="shared" si="398"/>
        <v>142.3333333</v>
      </c>
      <c r="X154" s="59" t="s">
        <v>44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6"/>
    </row>
    <row r="155" ht="15.75" customHeight="1">
      <c r="A155" s="21"/>
      <c r="B155" s="38">
        <v>15.0</v>
      </c>
      <c r="C155" s="38" t="s">
        <v>40</v>
      </c>
      <c r="D155" s="39">
        <v>30.0</v>
      </c>
      <c r="E155" s="40">
        <f>IFERROR(__xludf.DUMMYFUNCTION("COUNT(IMPORTRANGE(""https://docs.google.com/spreadsheets/d/1Krav0MVlY0vbUNsFRDnb_kR72_tyuGnWBYbGjNZrl18/edit"",""6!d2:d31""))"),29.0)</f>
        <v>29</v>
      </c>
      <c r="F155" s="45">
        <f>IFERROR(__xludf.DUMMYFUNCTION("SUM(IMPORTRANGE(""https://docs.google.com/spreadsheets/d/1Krav0MVlY0vbUNsFRDnb_kR72_tyuGnWBYbGjNZrl18/edit"",""6!Q2:Q31""))"),5773.928999999998)</f>
        <v>5773.929</v>
      </c>
      <c r="G155" s="40">
        <f>IFERROR(__xludf.DUMMYFUNCTION("IMPORTRANGE(""https://docs.google.com/spreadsheets/d/1Krav0MVlY0vbUNsFRDnb_kR72_tyuGnWBYbGjNZrl18/edit"",""6!e38"")"),3153.0)</f>
        <v>3153</v>
      </c>
      <c r="H155" s="40">
        <f>IFERROR(__xludf.DUMMYFUNCTION("IMPORTRANGE(""https://docs.google.com/spreadsheets/d/1Krav0MVlY0vbUNsFRDnb_kR72_tyuGnWBYbGjNZrl18/edit"",""6!e39"")"),0.0)</f>
        <v>0</v>
      </c>
      <c r="I155" s="40">
        <f t="shared" si="390"/>
        <v>3153</v>
      </c>
      <c r="J155" s="40">
        <f>IFERROR(__xludf.DUMMYFUNCTION("IMPORTRANGE(""https://docs.google.com/spreadsheets/d/1Krav0MVlY0vbUNsFRDnb_kR72_tyuGnWBYbGjNZrl18/edit"",""6!e42"")"),3728.0)</f>
        <v>3728</v>
      </c>
      <c r="K155" s="40">
        <f>IFERROR(__xludf.DUMMYFUNCTION("IMPORTRANGE(""https://docs.google.com/spreadsheets/d/1Krav0MVlY0vbUNsFRDnb_kR72_tyuGnWBYbGjNZrl18/edit"",""6!e43"")"),0.0)</f>
        <v>0</v>
      </c>
      <c r="L155" s="40">
        <f t="shared" si="420"/>
        <v>3728</v>
      </c>
      <c r="M155" s="40">
        <f t="shared" si="392"/>
        <v>6881</v>
      </c>
      <c r="N155" s="41">
        <f t="shared" si="393"/>
        <v>199.101</v>
      </c>
      <c r="O155" s="38">
        <v>8239.0</v>
      </c>
      <c r="P155" s="42">
        <f t="shared" si="394"/>
        <v>0.8351741716</v>
      </c>
      <c r="Q155" s="43">
        <v>1.5</v>
      </c>
      <c r="R155" s="42">
        <f t="shared" si="395"/>
        <v>0.7944907763</v>
      </c>
      <c r="S155" s="44">
        <f t="shared" si="396"/>
        <v>1.191736164</v>
      </c>
      <c r="T155" s="43">
        <f>F155/28.443</f>
        <v>203</v>
      </c>
      <c r="U155" s="43">
        <f t="shared" si="397"/>
        <v>7</v>
      </c>
      <c r="V155" s="40">
        <f t="shared" si="398"/>
        <v>237.2758621</v>
      </c>
      <c r="X155" s="14" t="s">
        <v>2</v>
      </c>
      <c r="Y155" s="14" t="s">
        <v>3</v>
      </c>
      <c r="Z155" s="14" t="s">
        <v>4</v>
      </c>
      <c r="AA155" s="14" t="s">
        <v>5</v>
      </c>
      <c r="AB155" s="15" t="s">
        <v>6</v>
      </c>
      <c r="AC155" s="14" t="s">
        <v>7</v>
      </c>
      <c r="AD155" s="14" t="s">
        <v>8</v>
      </c>
      <c r="AE155" s="14" t="s">
        <v>9</v>
      </c>
      <c r="AF155" s="14" t="s">
        <v>10</v>
      </c>
      <c r="AG155" s="14" t="s">
        <v>11</v>
      </c>
      <c r="AH155" s="14" t="s">
        <v>12</v>
      </c>
      <c r="AI155" s="14" t="s">
        <v>13</v>
      </c>
      <c r="AJ155" s="15" t="s">
        <v>14</v>
      </c>
      <c r="AK155" s="14" t="s">
        <v>15</v>
      </c>
      <c r="AL155" s="14" t="s">
        <v>16</v>
      </c>
      <c r="AM155" s="16" t="s">
        <v>17</v>
      </c>
      <c r="AN155" s="17" t="s">
        <v>18</v>
      </c>
      <c r="AO155" s="18" t="s">
        <v>19</v>
      </c>
      <c r="AP155" s="19" t="s">
        <v>20</v>
      </c>
      <c r="AQ155" s="19" t="s">
        <v>21</v>
      </c>
      <c r="AR155" s="20" t="s">
        <v>22</v>
      </c>
    </row>
    <row r="156" ht="15.75" customHeight="1">
      <c r="A156" s="21"/>
      <c r="B156" s="38">
        <v>16.0</v>
      </c>
      <c r="C156" s="38" t="s">
        <v>42</v>
      </c>
      <c r="D156" s="39">
        <v>33.0</v>
      </c>
      <c r="E156" s="40">
        <f>IFERROR(__xludf.DUMMYFUNCTION("COUNT(IMPORTRANGE(""https://docs.google.com/spreadsheets/d/1uXtm-E8PG0CetlFmSpTX3RK0LNEMnpR-mxbET9AGD6w/edit"",""6!d2:d34""))"),33.0)</f>
        <v>33</v>
      </c>
      <c r="F156" s="45">
        <f>IFERROR(__xludf.DUMMYFUNCTION("SUM(IMPORTRANGE(""https://docs.google.com/spreadsheets/d/1uXtm-E8PG0CetlFmSpTX3RK0LNEMnpR-mxbET9AGD6w/edit"",""6!Q2:Q34""))"),6466.439999999999)</f>
        <v>6466.44</v>
      </c>
      <c r="G156" s="40">
        <f>IFERROR(__xludf.DUMMYFUNCTION("IMPORTRANGE(""https://docs.google.com/spreadsheets/d/1uXtm-E8PG0CetlFmSpTX3RK0LNEMnpR-mxbET9AGD6w/edit"",""6!e41"")"),2839.0)</f>
        <v>2839</v>
      </c>
      <c r="H156" s="40">
        <f>IFERROR(__xludf.DUMMYFUNCTION("IMPORTRANGE(""https://docs.google.com/spreadsheets/d/1uXtm-E8PG0CetlFmSpTX3RK0LNEMnpR-mxbET9AGD6w/edit"",""6!e42"")"),0.0)</f>
        <v>0</v>
      </c>
      <c r="I156" s="40">
        <f t="shared" si="390"/>
        <v>2839</v>
      </c>
      <c r="J156" s="40">
        <f>IFERROR(__xludf.DUMMYFUNCTION("IMPORTRANGE(""https://docs.google.com/spreadsheets/d/1uXtm-E8PG0CetlFmSpTX3RK0LNEMnpR-mxbET9AGD6w/edit"",""6!e45"")"),4353.0)</f>
        <v>4353</v>
      </c>
      <c r="K156" s="40">
        <f>IFERROR(__xludf.DUMMYFUNCTION("IMPORTRANGE(""https://docs.google.com/spreadsheets/d/1uXtm-E8PG0CetlFmSpTX3RK0LNEMnpR-mxbET9AGD6w/edit"",""6!e46"")"),0.0)</f>
        <v>0</v>
      </c>
      <c r="L156" s="40">
        <f t="shared" si="420"/>
        <v>4353</v>
      </c>
      <c r="M156" s="40">
        <f t="shared" si="392"/>
        <v>7192</v>
      </c>
      <c r="N156" s="41">
        <f t="shared" si="393"/>
        <v>195.9527273</v>
      </c>
      <c r="O156" s="38">
        <v>9877.0</v>
      </c>
      <c r="P156" s="42">
        <f t="shared" si="394"/>
        <v>0.7281563228</v>
      </c>
      <c r="Q156" s="43">
        <v>1.5</v>
      </c>
      <c r="R156" s="42">
        <f t="shared" si="395"/>
        <v>0.7414692886</v>
      </c>
      <c r="S156" s="44">
        <f t="shared" si="396"/>
        <v>1.112203933</v>
      </c>
      <c r="T156" s="43">
        <f>F156/26.155</f>
        <v>247.2353279</v>
      </c>
      <c r="U156" s="43">
        <f t="shared" si="397"/>
        <v>7.491979632</v>
      </c>
      <c r="V156" s="40">
        <f t="shared" si="398"/>
        <v>217.9393939</v>
      </c>
      <c r="X156" s="31">
        <v>1.0</v>
      </c>
      <c r="Y156" s="31" t="s">
        <v>26</v>
      </c>
      <c r="Z156" s="31">
        <f t="shared" ref="Z156:AI156" si="430">SUM(D141)</f>
        <v>20</v>
      </c>
      <c r="AA156" s="32">
        <f t="shared" si="430"/>
        <v>20</v>
      </c>
      <c r="AB156" s="34">
        <f t="shared" si="430"/>
        <v>3719.682</v>
      </c>
      <c r="AC156" s="32">
        <f t="shared" si="430"/>
        <v>2043</v>
      </c>
      <c r="AD156" s="32">
        <f t="shared" si="430"/>
        <v>0</v>
      </c>
      <c r="AE156" s="32">
        <f t="shared" si="430"/>
        <v>2043</v>
      </c>
      <c r="AF156" s="32">
        <f t="shared" si="430"/>
        <v>2437</v>
      </c>
      <c r="AG156" s="32">
        <f t="shared" si="430"/>
        <v>82</v>
      </c>
      <c r="AH156" s="32">
        <f t="shared" si="430"/>
        <v>2519</v>
      </c>
      <c r="AI156" s="32">
        <f t="shared" si="430"/>
        <v>4562</v>
      </c>
      <c r="AJ156" s="34">
        <f t="shared" ref="AJ156:AJ162" si="433">AB156/AA156</f>
        <v>185.9841</v>
      </c>
      <c r="AK156" s="31">
        <f>SUM(O141)</f>
        <v>5161</v>
      </c>
      <c r="AL156" s="35">
        <f t="shared" ref="AL156:AL162" si="434">AI156/AK156</f>
        <v>0.8839372215</v>
      </c>
      <c r="AM156" s="36">
        <f>SUM(Q141)</f>
        <v>1.5</v>
      </c>
      <c r="AN156" s="35">
        <f t="shared" ref="AN156:AN162" si="435">AO156/AM156</f>
        <v>0.8176326184</v>
      </c>
      <c r="AO156" s="37">
        <f t="shared" ref="AO156:AO162" si="436">AI156/AB156</f>
        <v>1.226448928</v>
      </c>
      <c r="AP156" s="36">
        <f t="shared" ref="AP156:AQ156" si="431">SUM(T141)</f>
        <v>258.0424558</v>
      </c>
      <c r="AQ156" s="36">
        <f t="shared" si="431"/>
        <v>12.90212279</v>
      </c>
      <c r="AR156" s="32">
        <f t="shared" ref="AR156:AR162" si="438">AI156/AA156</f>
        <v>228.1</v>
      </c>
    </row>
    <row r="157" ht="15.75" customHeight="1">
      <c r="A157" s="21"/>
      <c r="B157" s="38">
        <v>17.0</v>
      </c>
      <c r="C157" s="38" t="s">
        <v>29</v>
      </c>
      <c r="D157" s="39">
        <v>30.0</v>
      </c>
      <c r="E157" s="40">
        <f>IFERROR(__xludf.DUMMYFUNCTION("COUNT(IMPORTRANGE(""https://docs.google.com/spreadsheets/d/12xcKI0lSnAsjEsxfm9K8Qx0B_89Gzsh816mowItkQao/edit"",""6!d2:d31""))"),28.0)</f>
        <v>28</v>
      </c>
      <c r="F157" s="45">
        <f>IFERROR(__xludf.DUMMYFUNCTION("SUM(IMPORTRANGE(""https://docs.google.com/spreadsheets/d/12xcKI0lSnAsjEsxfm9K8Qx0B_89Gzsh816mowItkQao/edit"",""6!Q2:Q31""))"),5546.094000000002)</f>
        <v>5546.094</v>
      </c>
      <c r="G157" s="40">
        <f>IFERROR(__xludf.DUMMYFUNCTION("IMPORTRANGE(""https://docs.google.com/spreadsheets/d/12xcKI0lSnAsjEsxfm9K8Qx0B_89Gzsh816mowItkQao/edit"",""6!e38"")"),2452.0)</f>
        <v>2452</v>
      </c>
      <c r="H157" s="40">
        <f>IFERROR(__xludf.DUMMYFUNCTION("IMPORTRANGE(""https://docs.google.com/spreadsheets/d/12xcKI0lSnAsjEsxfm9K8Qx0B_89Gzsh816mowItkQao/edit"",""6!e39"")"),0.0)</f>
        <v>0</v>
      </c>
      <c r="I157" s="40">
        <f t="shared" si="390"/>
        <v>2452</v>
      </c>
      <c r="J157" s="40">
        <f>IFERROR(__xludf.DUMMYFUNCTION("IMPORTRANGE(""https://docs.google.com/spreadsheets/d/12xcKI0lSnAsjEsxfm9K8Qx0B_89Gzsh816mowItkQao/edit"",""6!e42"")"),3688.0)</f>
        <v>3688</v>
      </c>
      <c r="K157" s="40">
        <f>IFERROR(__xludf.DUMMYFUNCTION("IMPORTRANGE(""https://docs.google.com/spreadsheets/d/12xcKI0lSnAsjEsxfm9K8Qx0B_89Gzsh816mowItkQao/edit"",""6!e43"")"),0.0)</f>
        <v>0</v>
      </c>
      <c r="L157" s="40">
        <f t="shared" si="420"/>
        <v>3688</v>
      </c>
      <c r="M157" s="40">
        <f t="shared" si="392"/>
        <v>6140</v>
      </c>
      <c r="N157" s="41">
        <f t="shared" si="393"/>
        <v>198.0747857</v>
      </c>
      <c r="O157" s="38">
        <v>9201.0</v>
      </c>
      <c r="P157" s="42">
        <f t="shared" si="394"/>
        <v>0.6673187697</v>
      </c>
      <c r="Q157" s="43">
        <v>1.5</v>
      </c>
      <c r="R157" s="42">
        <f t="shared" si="395"/>
        <v>0.7380569701</v>
      </c>
      <c r="S157" s="44">
        <f t="shared" si="396"/>
        <v>1.107085455</v>
      </c>
      <c r="T157" s="43">
        <f>F157/26.038</f>
        <v>213</v>
      </c>
      <c r="U157" s="43">
        <f t="shared" si="397"/>
        <v>7.607142857</v>
      </c>
      <c r="V157" s="40">
        <f t="shared" si="398"/>
        <v>219.2857143</v>
      </c>
      <c r="X157" s="31">
        <v>2.0</v>
      </c>
      <c r="Y157" s="31" t="s">
        <v>32</v>
      </c>
      <c r="Z157" s="31">
        <f t="shared" ref="Z157:AI157" si="432">SUM(D144)</f>
        <v>42</v>
      </c>
      <c r="AA157" s="32">
        <f t="shared" si="432"/>
        <v>42</v>
      </c>
      <c r="AB157" s="33">
        <f t="shared" si="432"/>
        <v>8354.637</v>
      </c>
      <c r="AC157" s="31">
        <f t="shared" si="432"/>
        <v>4300</v>
      </c>
      <c r="AD157" s="31">
        <f t="shared" si="432"/>
        <v>60</v>
      </c>
      <c r="AE157" s="32">
        <f t="shared" si="432"/>
        <v>4360</v>
      </c>
      <c r="AF157" s="31">
        <f t="shared" si="432"/>
        <v>4988</v>
      </c>
      <c r="AG157" s="31">
        <f t="shared" si="432"/>
        <v>70</v>
      </c>
      <c r="AH157" s="32">
        <f t="shared" si="432"/>
        <v>5058</v>
      </c>
      <c r="AI157" s="32">
        <f t="shared" si="432"/>
        <v>9418</v>
      </c>
      <c r="AJ157" s="34">
        <f t="shared" si="433"/>
        <v>198.9199286</v>
      </c>
      <c r="AK157" s="31">
        <f>SUM(O144)</f>
        <v>13817</v>
      </c>
      <c r="AL157" s="35">
        <f t="shared" si="434"/>
        <v>0.6816240863</v>
      </c>
      <c r="AM157" s="36">
        <f>SUM(Q144)</f>
        <v>1.5</v>
      </c>
      <c r="AN157" s="35">
        <f t="shared" si="435"/>
        <v>0.7515187873</v>
      </c>
      <c r="AO157" s="37">
        <f t="shared" si="436"/>
        <v>1.127278181</v>
      </c>
      <c r="AP157" s="36">
        <f t="shared" ref="AP157:AQ157" si="437">SUM(T144)</f>
        <v>333</v>
      </c>
      <c r="AQ157" s="36">
        <f t="shared" si="437"/>
        <v>7.928571429</v>
      </c>
      <c r="AR157" s="32">
        <f t="shared" si="438"/>
        <v>224.2380952</v>
      </c>
    </row>
    <row r="158" ht="15.75" customHeight="1">
      <c r="A158" s="21"/>
      <c r="B158" s="38">
        <v>18.0</v>
      </c>
      <c r="C158" s="38" t="s">
        <v>31</v>
      </c>
      <c r="D158" s="39">
        <v>15.0</v>
      </c>
      <c r="E158" s="40">
        <f>IFERROR(__xludf.DUMMYFUNCTION("COUNT(IMPORTRANGE(""https://docs.google.com/spreadsheets/d/1fgCFOFzOla4Qim6_-zG-lbYhLCItqv_kZiAHoErRgcM/edit"",""6!d2:d16""))"),15.0)</f>
        <v>15</v>
      </c>
      <c r="F158" s="41">
        <f>IFERROR(__xludf.DUMMYFUNCTION("SUM(IMPORTRANGE(""https://docs.google.com/spreadsheets/d/1fgCFOFzOla4Qim6_-zG-lbYhLCItqv_kZiAHoErRgcM/edit"",""6!Q2:Q16""))"),2868.6899999999996)</f>
        <v>2868.69</v>
      </c>
      <c r="G158" s="40">
        <f>IFERROR(__xludf.DUMMYFUNCTION("IMPORTRANGE(""https://docs.google.com/spreadsheets/d/1fgCFOFzOla4Qim6_-zG-lbYhLCItqv_kZiAHoErRgcM/edit"",""6!e23"")"),892.0)</f>
        <v>892</v>
      </c>
      <c r="H158" s="40">
        <f>IFERROR(__xludf.DUMMYFUNCTION("IMPORTRANGE(""https://docs.google.com/spreadsheets/d/1fgCFOFzOla4Qim6_-zG-lbYhLCItqv_kZiAHoErRgcM/edit"",""6!e24"")"),0.0)</f>
        <v>0</v>
      </c>
      <c r="I158" s="40">
        <f t="shared" si="390"/>
        <v>892</v>
      </c>
      <c r="J158" s="40">
        <f>IFERROR(__xludf.DUMMYFUNCTION("IMPORTRANGE(""https://docs.google.com/spreadsheets/d/1fgCFOFzOla4Qim6_-zG-lbYhLCItqv_kZiAHoErRgcM/edit"",""6!e27"")"),946.0)</f>
        <v>946</v>
      </c>
      <c r="K158" s="40">
        <f>IFERROR(__xludf.DUMMYFUNCTION("IMPORTRANGE(""https://docs.google.com/spreadsheets/d/1fgCFOFzOla4Qim6_-zG-lbYhLCItqv_kZiAHoErRgcM/edit"",""7!e28"")"),0.0)</f>
        <v>0</v>
      </c>
      <c r="L158" s="40">
        <f t="shared" si="420"/>
        <v>946</v>
      </c>
      <c r="M158" s="40">
        <f t="shared" si="392"/>
        <v>1838</v>
      </c>
      <c r="N158" s="41">
        <f t="shared" si="393"/>
        <v>191.246</v>
      </c>
      <c r="O158" s="38">
        <v>2717.0</v>
      </c>
      <c r="P158" s="42">
        <f t="shared" si="394"/>
        <v>0.6764814133</v>
      </c>
      <c r="Q158" s="43">
        <v>1.5</v>
      </c>
      <c r="R158" s="42">
        <f t="shared" si="395"/>
        <v>0.4271403788</v>
      </c>
      <c r="S158" s="44">
        <f t="shared" si="396"/>
        <v>0.6407105682</v>
      </c>
      <c r="T158" s="43">
        <f>F158/43.465</f>
        <v>66</v>
      </c>
      <c r="U158" s="43">
        <f t="shared" si="397"/>
        <v>4.4</v>
      </c>
      <c r="V158" s="40">
        <f t="shared" si="398"/>
        <v>122.5333333</v>
      </c>
      <c r="X158" s="31">
        <v>3.0</v>
      </c>
      <c r="Y158" s="31" t="s">
        <v>36</v>
      </c>
      <c r="Z158" s="31">
        <f t="shared" ref="Z158:AI158" si="439">SUM(D149)</f>
        <v>24</v>
      </c>
      <c r="AA158" s="32">
        <f t="shared" si="439"/>
        <v>24</v>
      </c>
      <c r="AB158" s="33">
        <f t="shared" si="439"/>
        <v>4745.194</v>
      </c>
      <c r="AC158" s="32">
        <f t="shared" si="439"/>
        <v>1135</v>
      </c>
      <c r="AD158" s="32">
        <f t="shared" si="439"/>
        <v>0</v>
      </c>
      <c r="AE158" s="32">
        <f t="shared" si="439"/>
        <v>1135</v>
      </c>
      <c r="AF158" s="32">
        <f t="shared" si="439"/>
        <v>2055</v>
      </c>
      <c r="AG158" s="32">
        <f t="shared" si="439"/>
        <v>0</v>
      </c>
      <c r="AH158" s="32">
        <f t="shared" si="439"/>
        <v>2055</v>
      </c>
      <c r="AI158" s="32">
        <f t="shared" si="439"/>
        <v>3190</v>
      </c>
      <c r="AJ158" s="34">
        <f t="shared" si="433"/>
        <v>197.7164167</v>
      </c>
      <c r="AK158" s="31">
        <f t="shared" ref="AK158:AK161" si="443">SUM(O149)</f>
        <v>4796</v>
      </c>
      <c r="AL158" s="35">
        <f t="shared" si="434"/>
        <v>0.6651376147</v>
      </c>
      <c r="AM158" s="36">
        <f t="shared" ref="AM158:AM161" si="444">SUM(Q149)</f>
        <v>1.5</v>
      </c>
      <c r="AN158" s="35">
        <f t="shared" si="435"/>
        <v>0.4481727547</v>
      </c>
      <c r="AO158" s="37">
        <f t="shared" si="436"/>
        <v>0.6722591321</v>
      </c>
      <c r="AP158" s="36">
        <f t="shared" ref="AP158:AQ158" si="440">SUM(T149)</f>
        <v>126.8293687</v>
      </c>
      <c r="AQ158" s="36">
        <f t="shared" si="440"/>
        <v>5.284557029</v>
      </c>
      <c r="AR158" s="32">
        <f t="shared" si="438"/>
        <v>132.9166667</v>
      </c>
    </row>
    <row r="159" ht="15.75" customHeight="1">
      <c r="A159" s="21"/>
      <c r="B159" s="60" t="s">
        <v>33</v>
      </c>
      <c r="C159" s="60">
        <v>18.0</v>
      </c>
      <c r="D159" s="60">
        <f t="shared" ref="D159:M159" si="441">SUM(D141:D158)</f>
        <v>580</v>
      </c>
      <c r="E159" s="61">
        <f t="shared" si="441"/>
        <v>563</v>
      </c>
      <c r="F159" s="62">
        <f t="shared" si="441"/>
        <v>109732.184</v>
      </c>
      <c r="G159" s="61">
        <f t="shared" si="441"/>
        <v>36229</v>
      </c>
      <c r="H159" s="61">
        <f t="shared" si="441"/>
        <v>1139</v>
      </c>
      <c r="I159" s="61">
        <f t="shared" si="441"/>
        <v>37368</v>
      </c>
      <c r="J159" s="61">
        <f t="shared" si="441"/>
        <v>50997</v>
      </c>
      <c r="K159" s="61">
        <f t="shared" si="441"/>
        <v>1357</v>
      </c>
      <c r="L159" s="61">
        <f t="shared" si="441"/>
        <v>52354</v>
      </c>
      <c r="M159" s="61">
        <f t="shared" si="441"/>
        <v>89722</v>
      </c>
      <c r="N159" s="62">
        <f t="shared" si="393"/>
        <v>194.9061883</v>
      </c>
      <c r="O159" s="60">
        <f>SUM(O141:O158)</f>
        <v>126399</v>
      </c>
      <c r="P159" s="63">
        <f t="shared" si="394"/>
        <v>0.7098315651</v>
      </c>
      <c r="Q159" s="64">
        <v>1.5</v>
      </c>
      <c r="R159" s="63">
        <f t="shared" si="395"/>
        <v>0.5450968393</v>
      </c>
      <c r="S159" s="65">
        <f t="shared" si="396"/>
        <v>0.8176452589</v>
      </c>
      <c r="T159" s="64">
        <f>SUM(T141:T158)</f>
        <v>4052.674516</v>
      </c>
      <c r="U159" s="64">
        <f t="shared" si="397"/>
        <v>7.198356156</v>
      </c>
      <c r="V159" s="61">
        <f t="shared" si="398"/>
        <v>159.3641208</v>
      </c>
      <c r="X159" s="31">
        <v>4.0</v>
      </c>
      <c r="Y159" s="31" t="s">
        <v>37</v>
      </c>
      <c r="Z159" s="31">
        <f t="shared" ref="Z159:AI159" si="442">SUM(D150)</f>
        <v>30</v>
      </c>
      <c r="AA159" s="32">
        <f t="shared" si="442"/>
        <v>28</v>
      </c>
      <c r="AB159" s="33">
        <f t="shared" si="442"/>
        <v>5402.034</v>
      </c>
      <c r="AC159" s="32">
        <f t="shared" si="442"/>
        <v>1735</v>
      </c>
      <c r="AD159" s="32">
        <f t="shared" si="442"/>
        <v>0</v>
      </c>
      <c r="AE159" s="32">
        <f t="shared" si="442"/>
        <v>1735</v>
      </c>
      <c r="AF159" s="32">
        <f t="shared" si="442"/>
        <v>2520</v>
      </c>
      <c r="AG159" s="32">
        <f t="shared" si="442"/>
        <v>60</v>
      </c>
      <c r="AH159" s="32">
        <f t="shared" si="442"/>
        <v>2580</v>
      </c>
      <c r="AI159" s="32">
        <f t="shared" si="442"/>
        <v>4315</v>
      </c>
      <c r="AJ159" s="34">
        <f t="shared" si="433"/>
        <v>192.9297857</v>
      </c>
      <c r="AK159" s="31">
        <f t="shared" si="443"/>
        <v>5887</v>
      </c>
      <c r="AL159" s="35">
        <f t="shared" si="434"/>
        <v>0.7329709529</v>
      </c>
      <c r="AM159" s="36">
        <f t="shared" si="444"/>
        <v>1.5</v>
      </c>
      <c r="AN159" s="35">
        <f t="shared" si="435"/>
        <v>0.5325154686</v>
      </c>
      <c r="AO159" s="37">
        <f t="shared" si="436"/>
        <v>0.7987732028</v>
      </c>
      <c r="AP159" s="36">
        <f t="shared" ref="AP159:AQ159" si="445">SUM(T150)</f>
        <v>217.8942401</v>
      </c>
      <c r="AQ159" s="36">
        <f t="shared" si="445"/>
        <v>7.781937146</v>
      </c>
      <c r="AR159" s="32">
        <f t="shared" si="438"/>
        <v>154.1071429</v>
      </c>
    </row>
    <row r="160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X160" s="31">
        <v>5.0</v>
      </c>
      <c r="Y160" s="31" t="s">
        <v>39</v>
      </c>
      <c r="Z160" s="31">
        <f t="shared" ref="Z160:AI160" si="446">SUM(D151)</f>
        <v>28</v>
      </c>
      <c r="AA160" s="32">
        <f t="shared" si="446"/>
        <v>28</v>
      </c>
      <c r="AB160" s="33">
        <f t="shared" si="446"/>
        <v>5480.341</v>
      </c>
      <c r="AC160" s="32">
        <f t="shared" si="446"/>
        <v>1203</v>
      </c>
      <c r="AD160" s="32">
        <f t="shared" si="446"/>
        <v>48</v>
      </c>
      <c r="AE160" s="32">
        <f t="shared" si="446"/>
        <v>1251</v>
      </c>
      <c r="AF160" s="32">
        <f t="shared" si="446"/>
        <v>1918</v>
      </c>
      <c r="AG160" s="32">
        <f t="shared" si="446"/>
        <v>0</v>
      </c>
      <c r="AH160" s="32">
        <f t="shared" si="446"/>
        <v>1918</v>
      </c>
      <c r="AI160" s="32">
        <f t="shared" si="446"/>
        <v>3169</v>
      </c>
      <c r="AJ160" s="34">
        <f t="shared" si="433"/>
        <v>195.7264643</v>
      </c>
      <c r="AK160" s="31">
        <f t="shared" si="443"/>
        <v>3569</v>
      </c>
      <c r="AL160" s="35">
        <f t="shared" si="434"/>
        <v>0.8879237882</v>
      </c>
      <c r="AM160" s="36">
        <f t="shared" si="444"/>
        <v>1.5</v>
      </c>
      <c r="AN160" s="35">
        <f t="shared" si="435"/>
        <v>0.3854991262</v>
      </c>
      <c r="AO160" s="37">
        <f t="shared" si="436"/>
        <v>0.5782486893</v>
      </c>
      <c r="AP160" s="36">
        <f t="shared" ref="AP160:AQ160" si="447">SUM(T151)</f>
        <v>255.339002</v>
      </c>
      <c r="AQ160" s="36">
        <f t="shared" si="447"/>
        <v>9.119250072</v>
      </c>
      <c r="AR160" s="32">
        <f t="shared" si="438"/>
        <v>113.1785714</v>
      </c>
    </row>
    <row r="161" ht="15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X161" s="31">
        <v>6.0</v>
      </c>
      <c r="Y161" s="31" t="s">
        <v>41</v>
      </c>
      <c r="Z161" s="31">
        <f t="shared" ref="Z161:AI161" si="448">SUM(D152)</f>
        <v>24</v>
      </c>
      <c r="AA161" s="32">
        <f t="shared" si="448"/>
        <v>23</v>
      </c>
      <c r="AB161" s="33">
        <f t="shared" si="448"/>
        <v>4585.756</v>
      </c>
      <c r="AC161" s="32">
        <f t="shared" si="448"/>
        <v>1092</v>
      </c>
      <c r="AD161" s="32">
        <f t="shared" si="448"/>
        <v>65</v>
      </c>
      <c r="AE161" s="32">
        <f t="shared" si="448"/>
        <v>1157</v>
      </c>
      <c r="AF161" s="32">
        <f t="shared" si="448"/>
        <v>1693</v>
      </c>
      <c r="AG161" s="32">
        <f t="shared" si="448"/>
        <v>23</v>
      </c>
      <c r="AH161" s="32">
        <f t="shared" si="448"/>
        <v>1716</v>
      </c>
      <c r="AI161" s="32">
        <f t="shared" si="448"/>
        <v>2873</v>
      </c>
      <c r="AJ161" s="34">
        <f t="shared" si="433"/>
        <v>199.3806957</v>
      </c>
      <c r="AK161" s="31">
        <f t="shared" si="443"/>
        <v>3801</v>
      </c>
      <c r="AL161" s="35">
        <f t="shared" si="434"/>
        <v>0.7558537227</v>
      </c>
      <c r="AM161" s="36">
        <f t="shared" si="444"/>
        <v>1.5</v>
      </c>
      <c r="AN161" s="35">
        <f t="shared" si="435"/>
        <v>0.4176701363</v>
      </c>
      <c r="AO161" s="37">
        <f t="shared" si="436"/>
        <v>0.6265052044</v>
      </c>
      <c r="AP161" s="36">
        <f t="shared" ref="AP161:AQ161" si="449">SUM(T152)</f>
        <v>154.7777778</v>
      </c>
      <c r="AQ161" s="36">
        <f t="shared" si="449"/>
        <v>6.729468599</v>
      </c>
      <c r="AR161" s="32">
        <f t="shared" si="438"/>
        <v>124.9130435</v>
      </c>
    </row>
    <row r="162" ht="15.75" customHeight="1">
      <c r="A162" s="1" t="s">
        <v>45</v>
      </c>
      <c r="D162" s="2"/>
      <c r="X162" s="46" t="s">
        <v>33</v>
      </c>
      <c r="Y162" s="46">
        <v>6.0</v>
      </c>
      <c r="Z162" s="46">
        <f t="shared" ref="Z162:AI162" si="450">SUM(Z156:Z161)</f>
        <v>168</v>
      </c>
      <c r="AA162" s="47">
        <f t="shared" si="450"/>
        <v>165</v>
      </c>
      <c r="AB162" s="49">
        <f t="shared" si="450"/>
        <v>32287.644</v>
      </c>
      <c r="AC162" s="47">
        <f t="shared" si="450"/>
        <v>11508</v>
      </c>
      <c r="AD162" s="47">
        <f t="shared" si="450"/>
        <v>173</v>
      </c>
      <c r="AE162" s="47">
        <f t="shared" si="450"/>
        <v>11681</v>
      </c>
      <c r="AF162" s="47">
        <f t="shared" si="450"/>
        <v>15611</v>
      </c>
      <c r="AG162" s="47">
        <f t="shared" si="450"/>
        <v>235</v>
      </c>
      <c r="AH162" s="47">
        <f t="shared" si="450"/>
        <v>15846</v>
      </c>
      <c r="AI162" s="47">
        <f t="shared" si="450"/>
        <v>27527</v>
      </c>
      <c r="AJ162" s="49">
        <f t="shared" si="433"/>
        <v>195.6826909</v>
      </c>
      <c r="AK162" s="46">
        <f>SUM(AK156:AK161)</f>
        <v>37031</v>
      </c>
      <c r="AL162" s="50">
        <f t="shared" si="434"/>
        <v>0.7433501661</v>
      </c>
      <c r="AM162" s="51">
        <v>1.5</v>
      </c>
      <c r="AN162" s="50">
        <f t="shared" si="435"/>
        <v>0.5683701584</v>
      </c>
      <c r="AO162" s="52">
        <f t="shared" si="436"/>
        <v>0.8525552375</v>
      </c>
      <c r="AP162" s="51">
        <f>SUM(AP156:AP161)</f>
        <v>1345.882844</v>
      </c>
      <c r="AQ162" s="51">
        <f>AP162/AA162</f>
        <v>8.156865723</v>
      </c>
      <c r="AR162" s="47">
        <f t="shared" si="438"/>
        <v>166.830303</v>
      </c>
    </row>
    <row r="163" ht="15.75" customHeight="1">
      <c r="A163" s="1" t="s">
        <v>45</v>
      </c>
      <c r="D163" s="2"/>
      <c r="X163" s="66" t="s">
        <v>1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6"/>
    </row>
    <row r="164" ht="15.75" customHeight="1">
      <c r="A164" s="7">
        <v>46210.0</v>
      </c>
      <c r="B164" s="8" t="s">
        <v>2</v>
      </c>
      <c r="C164" s="8" t="s">
        <v>3</v>
      </c>
      <c r="D164" s="8" t="s">
        <v>4</v>
      </c>
      <c r="E164" s="8" t="s">
        <v>5</v>
      </c>
      <c r="F164" s="9" t="s">
        <v>6</v>
      </c>
      <c r="G164" s="8" t="s">
        <v>7</v>
      </c>
      <c r="H164" s="8" t="s">
        <v>8</v>
      </c>
      <c r="I164" s="8" t="s">
        <v>9</v>
      </c>
      <c r="J164" s="8" t="s">
        <v>10</v>
      </c>
      <c r="K164" s="8" t="s">
        <v>11</v>
      </c>
      <c r="L164" s="8" t="s">
        <v>12</v>
      </c>
      <c r="M164" s="8" t="s">
        <v>13</v>
      </c>
      <c r="N164" s="9" t="s">
        <v>14</v>
      </c>
      <c r="O164" s="8" t="s">
        <v>15</v>
      </c>
      <c r="P164" s="8" t="s">
        <v>16</v>
      </c>
      <c r="Q164" s="8" t="s">
        <v>17</v>
      </c>
      <c r="R164" s="8" t="s">
        <v>18</v>
      </c>
      <c r="S164" s="11" t="s">
        <v>19</v>
      </c>
      <c r="T164" s="12" t="s">
        <v>20</v>
      </c>
      <c r="U164" s="12" t="s">
        <v>21</v>
      </c>
      <c r="V164" s="13" t="s">
        <v>22</v>
      </c>
      <c r="X164" s="14" t="s">
        <v>2</v>
      </c>
      <c r="Y164" s="14" t="s">
        <v>3</v>
      </c>
      <c r="Z164" s="14" t="s">
        <v>4</v>
      </c>
      <c r="AA164" s="14" t="s">
        <v>5</v>
      </c>
      <c r="AB164" s="15" t="s">
        <v>6</v>
      </c>
      <c r="AC164" s="14" t="s">
        <v>7</v>
      </c>
      <c r="AD164" s="14" t="s">
        <v>8</v>
      </c>
      <c r="AE164" s="14" t="s">
        <v>9</v>
      </c>
      <c r="AF164" s="14" t="s">
        <v>10</v>
      </c>
      <c r="AG164" s="14" t="s">
        <v>11</v>
      </c>
      <c r="AH164" s="14" t="s">
        <v>12</v>
      </c>
      <c r="AI164" s="14" t="s">
        <v>13</v>
      </c>
      <c r="AJ164" s="15" t="s">
        <v>14</v>
      </c>
      <c r="AK164" s="14" t="s">
        <v>15</v>
      </c>
      <c r="AL164" s="14" t="s">
        <v>16</v>
      </c>
      <c r="AM164" s="16" t="s">
        <v>17</v>
      </c>
      <c r="AN164" s="17" t="s">
        <v>18</v>
      </c>
      <c r="AO164" s="18" t="s">
        <v>19</v>
      </c>
      <c r="AP164" s="19" t="s">
        <v>20</v>
      </c>
      <c r="AQ164" s="19" t="s">
        <v>21</v>
      </c>
      <c r="AR164" s="20" t="s">
        <v>22</v>
      </c>
    </row>
    <row r="165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X165" s="22">
        <v>1.0</v>
      </c>
      <c r="Y165" s="22" t="s">
        <v>23</v>
      </c>
      <c r="Z165" s="22">
        <f t="shared" ref="Z165:AI165" si="451">SUM(D173)</f>
        <v>35</v>
      </c>
      <c r="AA165" s="23">
        <f t="shared" si="451"/>
        <v>34</v>
      </c>
      <c r="AB165" s="24">
        <f t="shared" si="451"/>
        <v>6714.26</v>
      </c>
      <c r="AC165" s="23">
        <f t="shared" si="451"/>
        <v>1795</v>
      </c>
      <c r="AD165" s="23">
        <f t="shared" si="451"/>
        <v>0</v>
      </c>
      <c r="AE165" s="23">
        <f t="shared" si="451"/>
        <v>1795</v>
      </c>
      <c r="AF165" s="23">
        <f t="shared" si="451"/>
        <v>2979</v>
      </c>
      <c r="AG165" s="23">
        <f t="shared" si="451"/>
        <v>0</v>
      </c>
      <c r="AH165" s="23">
        <f t="shared" si="451"/>
        <v>2979</v>
      </c>
      <c r="AI165" s="23">
        <f t="shared" si="451"/>
        <v>4774</v>
      </c>
      <c r="AJ165" s="25">
        <f t="shared" ref="AJ165:AJ167" si="454">AB165/AA165</f>
        <v>197.4782353</v>
      </c>
      <c r="AK165" s="22">
        <f>SUM(O173)</f>
        <v>6853</v>
      </c>
      <c r="AL165" s="26">
        <f t="shared" ref="AL165:AL171" si="455">AI165/AK165</f>
        <v>0.6966292135</v>
      </c>
      <c r="AM165" s="27">
        <f t="shared" ref="AM165:AM167" si="456">SUM(Q173)</f>
        <v>1.5</v>
      </c>
      <c r="AN165" s="26">
        <f t="shared" ref="AN165:AN171" si="457">AO165/AM165</f>
        <v>0.4740159998</v>
      </c>
      <c r="AO165" s="28">
        <f t="shared" ref="AO165:AO171" si="458">AI165/AB165</f>
        <v>0.7110239997</v>
      </c>
      <c r="AP165" s="27">
        <f t="shared" ref="AP165:AQ165" si="452">SUM(T173)</f>
        <v>199</v>
      </c>
      <c r="AQ165" s="27">
        <f t="shared" si="452"/>
        <v>5.852941176</v>
      </c>
      <c r="AR165" s="23">
        <f t="shared" ref="AR165:AR171" si="460">AI165/AA165</f>
        <v>140.4117647</v>
      </c>
    </row>
    <row r="166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X166" s="22">
        <v>2.0</v>
      </c>
      <c r="Y166" s="22" t="s">
        <v>24</v>
      </c>
      <c r="Z166" s="22">
        <f t="shared" ref="Z166:AI166" si="453">SUM(D174)</f>
        <v>44</v>
      </c>
      <c r="AA166" s="23">
        <f t="shared" si="453"/>
        <v>43</v>
      </c>
      <c r="AB166" s="24">
        <f t="shared" si="453"/>
        <v>8477.952</v>
      </c>
      <c r="AC166" s="23">
        <f t="shared" si="453"/>
        <v>1117</v>
      </c>
      <c r="AD166" s="23">
        <f t="shared" si="453"/>
        <v>0</v>
      </c>
      <c r="AE166" s="23">
        <f t="shared" si="453"/>
        <v>1117</v>
      </c>
      <c r="AF166" s="23">
        <f t="shared" si="453"/>
        <v>1631</v>
      </c>
      <c r="AG166" s="23">
        <f t="shared" si="453"/>
        <v>5</v>
      </c>
      <c r="AH166" s="23">
        <f t="shared" si="453"/>
        <v>1636</v>
      </c>
      <c r="AI166" s="23">
        <f t="shared" si="453"/>
        <v>2753</v>
      </c>
      <c r="AJ166" s="25">
        <f t="shared" si="454"/>
        <v>197.1616744</v>
      </c>
      <c r="AK166" s="22">
        <v>1580.0</v>
      </c>
      <c r="AL166" s="29">
        <f t="shared" si="455"/>
        <v>1.742405063</v>
      </c>
      <c r="AM166" s="27">
        <f t="shared" si="456"/>
        <v>1.5</v>
      </c>
      <c r="AN166" s="26">
        <f t="shared" si="457"/>
        <v>0.2164831003</v>
      </c>
      <c r="AO166" s="28">
        <f t="shared" si="458"/>
        <v>0.3247246505</v>
      </c>
      <c r="AP166" s="27">
        <f t="shared" ref="AP166:AQ166" si="459">SUM(T174)</f>
        <v>316.2824846</v>
      </c>
      <c r="AQ166" s="27">
        <f t="shared" si="459"/>
        <v>7.355406619</v>
      </c>
      <c r="AR166" s="23">
        <f t="shared" si="460"/>
        <v>64.02325581</v>
      </c>
    </row>
    <row r="167" ht="15.75" customHeight="1">
      <c r="A167" s="21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X167" s="31">
        <v>3.0</v>
      </c>
      <c r="Y167" s="31" t="s">
        <v>25</v>
      </c>
      <c r="Z167" s="31">
        <f t="shared" ref="Z167:AI167" si="461">SUM(D175)</f>
        <v>32</v>
      </c>
      <c r="AA167" s="32">
        <f t="shared" si="461"/>
        <v>31</v>
      </c>
      <c r="AB167" s="33">
        <f t="shared" si="461"/>
        <v>6020.484</v>
      </c>
      <c r="AC167" s="32">
        <f t="shared" si="461"/>
        <v>2078</v>
      </c>
      <c r="AD167" s="32">
        <f t="shared" si="461"/>
        <v>414</v>
      </c>
      <c r="AE167" s="32">
        <f t="shared" si="461"/>
        <v>2492</v>
      </c>
      <c r="AF167" s="32">
        <f t="shared" si="461"/>
        <v>2865</v>
      </c>
      <c r="AG167" s="32">
        <f t="shared" si="461"/>
        <v>420</v>
      </c>
      <c r="AH167" s="32">
        <f t="shared" si="461"/>
        <v>3285</v>
      </c>
      <c r="AI167" s="32">
        <f t="shared" si="461"/>
        <v>5777</v>
      </c>
      <c r="AJ167" s="34">
        <f t="shared" si="454"/>
        <v>194.2091613</v>
      </c>
      <c r="AK167" s="31">
        <f>SUM(O175)</f>
        <v>6622</v>
      </c>
      <c r="AL167" s="35">
        <f t="shared" si="455"/>
        <v>0.8723950468</v>
      </c>
      <c r="AM167" s="36">
        <f t="shared" si="456"/>
        <v>1.5</v>
      </c>
      <c r="AN167" s="35">
        <f t="shared" si="457"/>
        <v>0.6397049362</v>
      </c>
      <c r="AO167" s="37">
        <f t="shared" si="458"/>
        <v>0.9595574044</v>
      </c>
      <c r="AP167" s="36">
        <f t="shared" ref="AP167:AQ167" si="462">SUM(T175)</f>
        <v>252.5370805</v>
      </c>
      <c r="AQ167" s="36">
        <f t="shared" si="462"/>
        <v>8.146357437</v>
      </c>
      <c r="AR167" s="32">
        <f t="shared" si="460"/>
        <v>186.3548387</v>
      </c>
    </row>
    <row r="168" ht="15.75" customHeight="1">
      <c r="A168" s="21"/>
      <c r="B168" s="38">
        <v>1.0</v>
      </c>
      <c r="C168" s="38" t="s">
        <v>26</v>
      </c>
      <c r="D168" s="39">
        <v>20.0</v>
      </c>
      <c r="E168" s="40">
        <f>IFERROR(__xludf.DUMMYFUNCTION("COUNT(IMPORTRANGE(""https://docs.google.com/spreadsheets/d/1z0o91thOT38lgejTE_Bd2p3v_9VCDdQRkUsMIVqpQCk/edit"",""7!d2:d21""))"),20.0)</f>
        <v>20</v>
      </c>
      <c r="F168" s="41">
        <f>IFERROR(__xludf.DUMMYFUNCTION("SUM(IMPORTRANGE(""https://docs.google.com/spreadsheets/d/1z0o91thOT38lgejTE_Bd2p3v_9VCDdQRkUsMIVqpQCk/edit"",""7!Q2:Q21""))"),3748.512)</f>
        <v>3748.512</v>
      </c>
      <c r="G168" s="40">
        <f>IFERROR(__xludf.DUMMYFUNCTION("IMPORTRANGE(""https://docs.google.com/spreadsheets/d/1z0o91thOT38lgejTE_Bd2p3v_9VCDdQRkUsMIVqpQCk/edit"",""7!e28"")"),1947.0)</f>
        <v>1947</v>
      </c>
      <c r="H168" s="40">
        <f>IFERROR(__xludf.DUMMYFUNCTION("IMPORTRANGE(""https://docs.google.com/spreadsheets/d/1z0o91thOT38lgejTE_Bd2p3v_9VCDdQRkUsMIVqpQCk/edit"",""7!e29"")"),0.0)</f>
        <v>0</v>
      </c>
      <c r="I168" s="40">
        <f t="shared" ref="I168:I185" si="465">SUM(G168:H168)</f>
        <v>1947</v>
      </c>
      <c r="J168" s="40">
        <f>IFERROR(__xludf.DUMMYFUNCTION("IMPORTRANGE(""https://docs.google.com/spreadsheets/d/1z0o91thOT38lgejTE_Bd2p3v_9VCDdQRkUsMIVqpQCk/edit"",""7!e32"")"),2481.0)</f>
        <v>2481</v>
      </c>
      <c r="K168" s="40">
        <f>IFERROR(__xludf.DUMMYFUNCTION("IMPORTRANGE(""https://docs.google.com/spreadsheets/d/1z0o91thOT38lgejTE_Bd2p3v_9VCDdQRkUsMIVqpQCk/edit"",""7!e33"")"),50.0)</f>
        <v>50</v>
      </c>
      <c r="L168" s="40">
        <f t="shared" ref="L168:L174" si="466">SUM(J168:K168)</f>
        <v>2531</v>
      </c>
      <c r="M168" s="40">
        <f t="shared" ref="M168:M185" si="467">SUM(I168+L168)</f>
        <v>4478</v>
      </c>
      <c r="N168" s="41">
        <f t="shared" ref="N168:N186" si="468">F168/E168</f>
        <v>187.4256</v>
      </c>
      <c r="O168" s="38">
        <v>5161.0</v>
      </c>
      <c r="P168" s="42">
        <f t="shared" ref="P168:P186" si="469">M168/O168</f>
        <v>0.8676613059</v>
      </c>
      <c r="Q168" s="43">
        <v>1.5</v>
      </c>
      <c r="R168" s="42">
        <f t="shared" ref="R168:R186" si="470">S168/Q168</f>
        <v>0.7964049024</v>
      </c>
      <c r="S168" s="44">
        <f t="shared" ref="S168:S186" si="471">M168/F168</f>
        <v>1.194607354</v>
      </c>
      <c r="T168" s="43">
        <f>F168/14.415</f>
        <v>260.0424558</v>
      </c>
      <c r="U168" s="43">
        <f t="shared" ref="U168:U186" si="472">T168/E168</f>
        <v>13.00212279</v>
      </c>
      <c r="V168" s="40">
        <f t="shared" ref="V168:V186" si="473">M168/E168</f>
        <v>223.9</v>
      </c>
      <c r="X168" s="22">
        <v>4.0</v>
      </c>
      <c r="Y168" s="22" t="s">
        <v>27</v>
      </c>
      <c r="Z168" s="22">
        <f t="shared" ref="Z168:AK168" si="463">SUM(D181)</f>
        <v>30</v>
      </c>
      <c r="AA168" s="23">
        <f t="shared" si="463"/>
        <v>29</v>
      </c>
      <c r="AB168" s="24">
        <f t="shared" si="463"/>
        <v>5311.903</v>
      </c>
      <c r="AC168" s="23">
        <f t="shared" si="463"/>
        <v>1963</v>
      </c>
      <c r="AD168" s="23">
        <f t="shared" si="463"/>
        <v>212</v>
      </c>
      <c r="AE168" s="23">
        <f t="shared" si="463"/>
        <v>2175</v>
      </c>
      <c r="AF168" s="23">
        <f t="shared" si="463"/>
        <v>2570</v>
      </c>
      <c r="AG168" s="23">
        <f t="shared" si="463"/>
        <v>112</v>
      </c>
      <c r="AH168" s="23">
        <f t="shared" si="463"/>
        <v>2682</v>
      </c>
      <c r="AI168" s="23">
        <f t="shared" si="463"/>
        <v>4857</v>
      </c>
      <c r="AJ168" s="25">
        <f t="shared" si="463"/>
        <v>183.169069</v>
      </c>
      <c r="AK168" s="22">
        <f t="shared" si="463"/>
        <v>8101</v>
      </c>
      <c r="AL168" s="26">
        <f t="shared" si="455"/>
        <v>0.5995556104</v>
      </c>
      <c r="AM168" s="27">
        <f>SUM(Q181)</f>
        <v>1.5</v>
      </c>
      <c r="AN168" s="26">
        <f t="shared" si="457"/>
        <v>0.6095743842</v>
      </c>
      <c r="AO168" s="28">
        <f t="shared" si="458"/>
        <v>0.9143615763</v>
      </c>
      <c r="AP168" s="27">
        <f t="shared" ref="AP168:AQ168" si="464">SUM(T181)</f>
        <v>265.7944959</v>
      </c>
      <c r="AQ168" s="27">
        <f t="shared" si="464"/>
        <v>9.165327444</v>
      </c>
      <c r="AR168" s="23">
        <f t="shared" si="460"/>
        <v>167.4827586</v>
      </c>
    </row>
    <row r="169" ht="15.75" customHeight="1">
      <c r="A169" s="21"/>
      <c r="B169" s="38">
        <v>2.0</v>
      </c>
      <c r="C169" s="38" t="s">
        <v>28</v>
      </c>
      <c r="D169" s="39">
        <v>33.0</v>
      </c>
      <c r="E169" s="40">
        <f>IFERROR(__xludf.DUMMYFUNCTION("COUNT(IMPORTRANGE(""https://docs.google.com/spreadsheets/d/10a85iNN0y9GF6ngQfF1JXGAzFk-T7ywH4-TZtQcOTaE/edit"",""7!d2:d34""))"),33.0)</f>
        <v>33</v>
      </c>
      <c r="F169" s="41">
        <f>IFERROR(__xludf.DUMMYFUNCTION("SUM(IMPORTRANGE(""https://docs.google.com/spreadsheets/d/10a85iNN0y9GF6ngQfF1JXGAzFk-T7ywH4-TZtQcOTaE/edit"",""7!Q2:Q34""))"),6186.613000000001)</f>
        <v>6186.613</v>
      </c>
      <c r="G169" s="40">
        <f>IFERROR(__xludf.DUMMYFUNCTION("IMPORTRANGE(""https://docs.google.com/spreadsheets/d/10a85iNN0y9GF6ngQfF1JXGAzFk-T7ywH4-TZtQcOTaE/edit"",""7!e41"")"),1988.0)</f>
        <v>1988</v>
      </c>
      <c r="H169" s="40">
        <f>IFERROR(__xludf.DUMMYFUNCTION("IMPORTRANGE(""https://docs.google.com/spreadsheets/d/10a85iNN0y9GF6ngQfF1JXGAzFk-T7ywH4-TZtQcOTaE/edit"",""7!e42"")"),120.0)</f>
        <v>120</v>
      </c>
      <c r="I169" s="40">
        <f t="shared" si="465"/>
        <v>2108</v>
      </c>
      <c r="J169" s="40">
        <f>IFERROR(__xludf.DUMMYFUNCTION("IMPORTRANGE(""https://docs.google.com/spreadsheets/d/10a85iNN0y9GF6ngQfF1JXGAzFk-T7ywH4-TZtQcOTaE/edit"",""7!e45"")"),2175.0)</f>
        <v>2175</v>
      </c>
      <c r="K169" s="40">
        <f>IFERROR(__xludf.DUMMYFUNCTION("IMPORTRANGE(""https://docs.google.com/spreadsheets/d/10a85iNN0y9GF6ngQfF1JXGAzFk-T7ywH4-TZtQcOTaE/edit"",""7!e46"")"),179.0)</f>
        <v>179</v>
      </c>
      <c r="L169" s="40">
        <f t="shared" si="466"/>
        <v>2354</v>
      </c>
      <c r="M169" s="40">
        <f t="shared" si="467"/>
        <v>4462</v>
      </c>
      <c r="N169" s="41">
        <f t="shared" si="468"/>
        <v>187.4731212</v>
      </c>
      <c r="O169" s="38">
        <v>7315.0</v>
      </c>
      <c r="P169" s="42">
        <f t="shared" si="469"/>
        <v>0.6099794942</v>
      </c>
      <c r="Q169" s="43">
        <v>1.5</v>
      </c>
      <c r="R169" s="42">
        <f t="shared" si="470"/>
        <v>0.4808231365</v>
      </c>
      <c r="S169" s="44">
        <f t="shared" si="471"/>
        <v>0.7212347047</v>
      </c>
      <c r="T169" s="43">
        <f>F169/30.897</f>
        <v>200.2334531</v>
      </c>
      <c r="U169" s="43">
        <f t="shared" si="472"/>
        <v>6.067680397</v>
      </c>
      <c r="V169" s="40">
        <f t="shared" si="473"/>
        <v>135.2121212</v>
      </c>
      <c r="X169" s="22">
        <v>5.0</v>
      </c>
      <c r="Y169" s="22" t="s">
        <v>29</v>
      </c>
      <c r="Z169" s="22">
        <f t="shared" ref="Z169:AI169" si="474">SUM(D184)</f>
        <v>30</v>
      </c>
      <c r="AA169" s="23">
        <f t="shared" si="474"/>
        <v>29</v>
      </c>
      <c r="AB169" s="24">
        <f t="shared" si="474"/>
        <v>5780.436</v>
      </c>
      <c r="AC169" s="23">
        <f t="shared" si="474"/>
        <v>2548</v>
      </c>
      <c r="AD169" s="23">
        <f t="shared" si="474"/>
        <v>0</v>
      </c>
      <c r="AE169" s="23">
        <f t="shared" si="474"/>
        <v>2548</v>
      </c>
      <c r="AF169" s="23">
        <f t="shared" si="474"/>
        <v>3713</v>
      </c>
      <c r="AG169" s="23">
        <f t="shared" si="474"/>
        <v>0</v>
      </c>
      <c r="AH169" s="23">
        <f t="shared" si="474"/>
        <v>3713</v>
      </c>
      <c r="AI169" s="23">
        <f t="shared" si="474"/>
        <v>6261</v>
      </c>
      <c r="AJ169" s="25">
        <f t="shared" ref="AJ169:AJ171" si="477">AB169/AA169</f>
        <v>199.3253793</v>
      </c>
      <c r="AK169" s="22">
        <f t="shared" ref="AK169:AK170" si="478">SUM(O184)</f>
        <v>9201</v>
      </c>
      <c r="AL169" s="26">
        <f t="shared" si="455"/>
        <v>0.6804695142</v>
      </c>
      <c r="AM169" s="27">
        <f t="shared" ref="AM169:AM170" si="479">SUM(Q184)</f>
        <v>1.5</v>
      </c>
      <c r="AN169" s="26">
        <f t="shared" si="457"/>
        <v>0.7220908596</v>
      </c>
      <c r="AO169" s="28">
        <f t="shared" si="458"/>
        <v>1.083136289</v>
      </c>
      <c r="AP169" s="27">
        <f t="shared" ref="AP169:AQ169" si="475">SUM(T184)</f>
        <v>222</v>
      </c>
      <c r="AQ169" s="27">
        <f t="shared" si="475"/>
        <v>7.655172414</v>
      </c>
      <c r="AR169" s="23">
        <f t="shared" si="460"/>
        <v>215.8965517</v>
      </c>
    </row>
    <row r="170" ht="15.75" customHeight="1">
      <c r="A170" s="21"/>
      <c r="B170" s="38">
        <v>3.0</v>
      </c>
      <c r="C170" s="38" t="s">
        <v>30</v>
      </c>
      <c r="D170" s="39">
        <v>60.0</v>
      </c>
      <c r="E170" s="40">
        <f>IFERROR(__xludf.DUMMYFUNCTION("COUNT(IMPORTRANGE(""https://docs.google.com/spreadsheets/d/1WojVzHhpzodJL1e5UDHeu3A3u5MTSZwvxHu0BrwvL9w/edit"",""7!d2:d61""))"),59.0)</f>
        <v>59</v>
      </c>
      <c r="F170" s="45">
        <f>IFERROR(__xludf.DUMMYFUNCTION("SUM(IMPORTRANGE(""https://docs.google.com/spreadsheets/d/1WojVzHhpzodJL1e5UDHeu3A3u5MTSZwvxHu0BrwvL9w/edit"",""7!Q2:Q61""))"),11249.139999999992)</f>
        <v>11249.14</v>
      </c>
      <c r="G170" s="40">
        <f>IFERROR(__xludf.DUMMYFUNCTION("IMPORTRANGE(""https://docs.google.com/spreadsheets/d/1WojVzHhpzodJL1e5UDHeu3A3u5MTSZwvxHu0BrwvL9w/edit"",""7!e68"")"),2732.0)</f>
        <v>2732</v>
      </c>
      <c r="H170" s="40">
        <f>IFERROR(__xludf.DUMMYFUNCTION("IMPORTRANGE(""https://docs.google.com/spreadsheets/d/1WojVzHhpzodJL1e5UDHeu3A3u5MTSZwvxHu0BrwvL9w/edit"",""7!e69"")"),91.0)</f>
        <v>91</v>
      </c>
      <c r="I170" s="40">
        <f t="shared" si="465"/>
        <v>2823</v>
      </c>
      <c r="J170" s="40">
        <f>IFERROR(__xludf.DUMMYFUNCTION("IMPORTRANGE(""https://docs.google.com/spreadsheets/d/1WojVzHhpzodJL1e5UDHeu3A3u5MTSZwvxHu0BrwvL9w/edit"",""7!e72"")"),4736.0)</f>
        <v>4736</v>
      </c>
      <c r="K170" s="40">
        <f>IFERROR(__xludf.DUMMYFUNCTION("IMPORTRANGE(""https://docs.google.com/spreadsheets/d/1WojVzHhpzodJL1e5UDHeu3A3u5MTSZwvxHu0BrwvL9w/edit"",""7!e73"")"),0.0)</f>
        <v>0</v>
      </c>
      <c r="L170" s="40">
        <f t="shared" si="466"/>
        <v>4736</v>
      </c>
      <c r="M170" s="40">
        <f t="shared" si="467"/>
        <v>7559</v>
      </c>
      <c r="N170" s="41">
        <f t="shared" si="468"/>
        <v>190.6633898</v>
      </c>
      <c r="O170" s="38">
        <v>11164.0</v>
      </c>
      <c r="P170" s="42">
        <f t="shared" si="469"/>
        <v>0.6770870656</v>
      </c>
      <c r="Q170" s="43">
        <v>1.5</v>
      </c>
      <c r="R170" s="42">
        <f t="shared" si="470"/>
        <v>0.4479749859</v>
      </c>
      <c r="S170" s="44">
        <f t="shared" si="471"/>
        <v>0.6719624789</v>
      </c>
      <c r="T170" s="43">
        <f>F170/29.603</f>
        <v>380</v>
      </c>
      <c r="U170" s="43">
        <f t="shared" si="472"/>
        <v>6.440677966</v>
      </c>
      <c r="V170" s="40">
        <f t="shared" si="473"/>
        <v>128.1186441</v>
      </c>
      <c r="X170" s="22">
        <v>6.0</v>
      </c>
      <c r="Y170" s="22" t="s">
        <v>31</v>
      </c>
      <c r="Z170" s="22">
        <f t="shared" ref="Z170:AI170" si="476">SUM(D185)</f>
        <v>15</v>
      </c>
      <c r="AA170" s="23">
        <f t="shared" si="476"/>
        <v>14</v>
      </c>
      <c r="AB170" s="25">
        <f t="shared" si="476"/>
        <v>2868.69</v>
      </c>
      <c r="AC170" s="23">
        <f t="shared" si="476"/>
        <v>784</v>
      </c>
      <c r="AD170" s="23">
        <f t="shared" si="476"/>
        <v>67</v>
      </c>
      <c r="AE170" s="23">
        <f t="shared" si="476"/>
        <v>851</v>
      </c>
      <c r="AF170" s="23">
        <f t="shared" si="476"/>
        <v>1146</v>
      </c>
      <c r="AG170" s="23">
        <f t="shared" si="476"/>
        <v>0</v>
      </c>
      <c r="AH170" s="23">
        <f t="shared" si="476"/>
        <v>1146</v>
      </c>
      <c r="AI170" s="23">
        <f t="shared" si="476"/>
        <v>1997</v>
      </c>
      <c r="AJ170" s="25">
        <f t="shared" si="477"/>
        <v>204.9064286</v>
      </c>
      <c r="AK170" s="22">
        <f t="shared" si="478"/>
        <v>2717</v>
      </c>
      <c r="AL170" s="26">
        <f t="shared" si="455"/>
        <v>0.7350018403</v>
      </c>
      <c r="AM170" s="27">
        <f t="shared" si="479"/>
        <v>1.5</v>
      </c>
      <c r="AN170" s="26">
        <f t="shared" si="457"/>
        <v>0.4640910427</v>
      </c>
      <c r="AO170" s="28">
        <f t="shared" si="458"/>
        <v>0.6961365641</v>
      </c>
      <c r="AP170" s="27">
        <f t="shared" ref="AP170:AQ170" si="480">SUM(T185)</f>
        <v>66</v>
      </c>
      <c r="AQ170" s="27">
        <f t="shared" si="480"/>
        <v>4.714285714</v>
      </c>
      <c r="AR170" s="23">
        <f t="shared" si="460"/>
        <v>142.6428571</v>
      </c>
    </row>
    <row r="171" ht="15.75" customHeight="1">
      <c r="A171" s="21"/>
      <c r="B171" s="38">
        <v>4.0</v>
      </c>
      <c r="C171" s="38" t="s">
        <v>32</v>
      </c>
      <c r="D171" s="39">
        <v>42.0</v>
      </c>
      <c r="E171" s="40">
        <f>IFERROR(__xludf.DUMMYFUNCTION("COUNT(IMPORTRANGE(""https://docs.google.com/spreadsheets/d/1vmCj5YcMSPHj1m64syDndQ6cqVL3yolcU03Y8KHmvdc/edit"",""7!d2:d43""))"),42.0)</f>
        <v>42</v>
      </c>
      <c r="F171" s="45">
        <f>IFERROR(__xludf.DUMMYFUNCTION("SUM(IMPORTRANGE(""https://docs.google.com/spreadsheets/d/1vmCj5YcMSPHj1m64syDndQ6cqVL3yolcU03Y8KHmvdc/edit"",""7!Q2:Q43""))"),8215.572999999991)</f>
        <v>8215.573</v>
      </c>
      <c r="G171" s="38">
        <f>IFERROR(__xludf.DUMMYFUNCTION("IMPORTRANGE(""https://docs.google.com/spreadsheets/d/1vmCj5YcMSPHj1m64syDndQ6cqVL3yolcU03Y8KHmvdc/edit"",""7!e50"")"),4401.0)</f>
        <v>4401</v>
      </c>
      <c r="H171" s="38">
        <f>IFERROR(__xludf.DUMMYFUNCTION("IMPORTRANGE(""https://docs.google.com/spreadsheets/d/1vmCj5YcMSPHj1m64syDndQ6cqVL3yolcU03Y8KHmvdc/edit"",""7!e51"")"),97.0)</f>
        <v>97</v>
      </c>
      <c r="I171" s="40">
        <f t="shared" si="465"/>
        <v>4498</v>
      </c>
      <c r="J171" s="38">
        <f>IFERROR(__xludf.DUMMYFUNCTION("IMPORTRANGE(""https://docs.google.com/spreadsheets/d/1vmCj5YcMSPHj1m64syDndQ6cqVL3yolcU03Y8KHmvdc/edit"",""7!e54"")"),5341.0)</f>
        <v>5341</v>
      </c>
      <c r="K171" s="38">
        <f>IFERROR(__xludf.DUMMYFUNCTION("IMPORTRANGE(""https://docs.google.com/spreadsheets/d/1vmCj5YcMSPHj1m64syDndQ6cqVL3yolcU03Y8KHmvdc/edit"",""7!e55"")"),60.0)</f>
        <v>60</v>
      </c>
      <c r="L171" s="40">
        <f t="shared" si="466"/>
        <v>5401</v>
      </c>
      <c r="M171" s="40">
        <f t="shared" si="467"/>
        <v>9899</v>
      </c>
      <c r="N171" s="41">
        <f t="shared" si="468"/>
        <v>195.608881</v>
      </c>
      <c r="O171" s="38">
        <v>13817.0</v>
      </c>
      <c r="P171" s="42">
        <f t="shared" si="469"/>
        <v>0.7164362742</v>
      </c>
      <c r="Q171" s="43">
        <v>1.5</v>
      </c>
      <c r="R171" s="42">
        <f t="shared" si="470"/>
        <v>0.8032712184</v>
      </c>
      <c r="S171" s="44">
        <f t="shared" si="471"/>
        <v>1.204906828</v>
      </c>
      <c r="T171" s="43">
        <f>F171/25.089</f>
        <v>327.4571725</v>
      </c>
      <c r="U171" s="43">
        <f t="shared" si="472"/>
        <v>7.796599344</v>
      </c>
      <c r="V171" s="40">
        <f t="shared" si="473"/>
        <v>235.6904762</v>
      </c>
      <c r="X171" s="46" t="s">
        <v>33</v>
      </c>
      <c r="Y171" s="46">
        <v>6.0</v>
      </c>
      <c r="Z171" s="46">
        <f t="shared" ref="Z171:AI171" si="481">SUM(Z165:Z170)</f>
        <v>186</v>
      </c>
      <c r="AA171" s="47">
        <f t="shared" si="481"/>
        <v>180</v>
      </c>
      <c r="AB171" s="48">
        <f t="shared" si="481"/>
        <v>35173.725</v>
      </c>
      <c r="AC171" s="47">
        <f t="shared" si="481"/>
        <v>10285</v>
      </c>
      <c r="AD171" s="47">
        <f t="shared" si="481"/>
        <v>693</v>
      </c>
      <c r="AE171" s="47">
        <f t="shared" si="481"/>
        <v>10978</v>
      </c>
      <c r="AF171" s="47">
        <f t="shared" si="481"/>
        <v>14904</v>
      </c>
      <c r="AG171" s="47">
        <f t="shared" si="481"/>
        <v>537</v>
      </c>
      <c r="AH171" s="47">
        <f t="shared" si="481"/>
        <v>15441</v>
      </c>
      <c r="AI171" s="47">
        <f t="shared" si="481"/>
        <v>26419</v>
      </c>
      <c r="AJ171" s="49">
        <f t="shared" si="477"/>
        <v>195.4095833</v>
      </c>
      <c r="AK171" s="46">
        <f>SUM(AK165:AK170)</f>
        <v>35074</v>
      </c>
      <c r="AL171" s="50">
        <f t="shared" si="455"/>
        <v>0.7532360153</v>
      </c>
      <c r="AM171" s="51">
        <v>1.5</v>
      </c>
      <c r="AN171" s="50">
        <f t="shared" si="457"/>
        <v>0.5007336205</v>
      </c>
      <c r="AO171" s="52">
        <f t="shared" si="458"/>
        <v>0.7511004308</v>
      </c>
      <c r="AP171" s="51">
        <f>SUM(AP165:AP170)</f>
        <v>1321.614061</v>
      </c>
      <c r="AQ171" s="51">
        <f>AP171/AA171</f>
        <v>7.342300339</v>
      </c>
      <c r="AR171" s="47">
        <f t="shared" si="460"/>
        <v>146.7722222</v>
      </c>
    </row>
    <row r="172" ht="15.75" customHeight="1">
      <c r="A172" s="21"/>
      <c r="B172" s="38">
        <v>5.0</v>
      </c>
      <c r="C172" s="38" t="s">
        <v>34</v>
      </c>
      <c r="D172" s="39">
        <v>40.0</v>
      </c>
      <c r="E172" s="40">
        <f>IFERROR(__xludf.DUMMYFUNCTION("COUNT(IMPORTRANGE(""https://docs.google.com/spreadsheets/d/14_Y-fpuq1wcec3DlT_1PBYekOC0YblQMrWVfO12YO3k/edit"",""7!d2:d41""))"),38.0)</f>
        <v>38</v>
      </c>
      <c r="F172" s="45">
        <f>IFERROR(__xludf.DUMMYFUNCTION("SUM(IMPORTRANGE(""https://docs.google.com/spreadsheets/d/14_Y-fpuq1wcec3DlT_1PBYekOC0YblQMrWVfO12YO3k/edit"",""7!Q2:Q41""))"),7355.343000000001)</f>
        <v>7355.343</v>
      </c>
      <c r="G172" s="40">
        <f>IFERROR(__xludf.DUMMYFUNCTION("IMPORTRANGE(""https://docs.google.com/spreadsheets/d/14_Y-fpuq1wcec3DlT_1PBYekOC0YblQMrWVfO12YO3k/edit"",""7!e48"")"),2659.0)</f>
        <v>2659</v>
      </c>
      <c r="H172" s="40">
        <f>IFERROR(__xludf.DUMMYFUNCTION("IMPORTRANGE(""https://docs.google.com/spreadsheets/d/14_Y-fpuq1wcec3DlT_1PBYekOC0YblQMrWVfO12YO3k/edit"",""7!e49"")"),0.0)</f>
        <v>0</v>
      </c>
      <c r="I172" s="40">
        <f t="shared" si="465"/>
        <v>2659</v>
      </c>
      <c r="J172" s="40">
        <f>IFERROR(__xludf.DUMMYFUNCTION("IMPORTRANGE(""https://docs.google.com/spreadsheets/d/14_Y-fpuq1wcec3DlT_1PBYekOC0YblQMrWVfO12YO3k/edit"",""7!e52"")"),2886.0)</f>
        <v>2886</v>
      </c>
      <c r="K172" s="40">
        <f>IFERROR(__xludf.DUMMYFUNCTION("IMPORTRANGE(""https://docs.google.com/spreadsheets/d/14_Y-fpuq1wcec3DlT_1PBYekOC0YblQMrWVfO12YO3k/edit"",""7!e53"")"),0.0)</f>
        <v>0</v>
      </c>
      <c r="L172" s="40">
        <f t="shared" si="466"/>
        <v>2886</v>
      </c>
      <c r="M172" s="40">
        <f t="shared" si="467"/>
        <v>5545</v>
      </c>
      <c r="N172" s="41">
        <f t="shared" si="468"/>
        <v>193.5616579</v>
      </c>
      <c r="O172" s="38">
        <v>9354.0</v>
      </c>
      <c r="P172" s="42">
        <f t="shared" si="469"/>
        <v>0.5927945264</v>
      </c>
      <c r="Q172" s="43">
        <v>1.5</v>
      </c>
      <c r="R172" s="42">
        <f t="shared" si="470"/>
        <v>0.5025824991</v>
      </c>
      <c r="S172" s="44">
        <f t="shared" si="471"/>
        <v>0.7538737486</v>
      </c>
      <c r="T172" s="43">
        <f>F172/30.713</f>
        <v>239.4863087</v>
      </c>
      <c r="U172" s="43">
        <f t="shared" si="472"/>
        <v>6.302271282</v>
      </c>
      <c r="V172" s="40">
        <f t="shared" si="473"/>
        <v>145.9210526</v>
      </c>
      <c r="X172" s="53" t="s">
        <v>35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6"/>
    </row>
    <row r="173" ht="15.75" customHeight="1">
      <c r="A173" s="21"/>
      <c r="B173" s="38">
        <v>6.0</v>
      </c>
      <c r="C173" s="38" t="s">
        <v>23</v>
      </c>
      <c r="D173" s="39">
        <v>35.0</v>
      </c>
      <c r="E173" s="40">
        <f>IFERROR(__xludf.DUMMYFUNCTION("COUNT(IMPORTRANGE(""https://docs.google.com/spreadsheets/d/1lJqjdj05V4LOXuBOiTdE65GV4ZITyx1cMLcDdcuoUnE/edit"",""7!d2:d36""))"),34.0)</f>
        <v>34</v>
      </c>
      <c r="F173" s="45">
        <f>IFERROR(__xludf.DUMMYFUNCTION("SUM(IMPORTRANGE(""https://docs.google.com/spreadsheets/d/1lJqjdj05V4LOXuBOiTdE65GV4ZITyx1cMLcDdcuoUnE/edit"",""7!Q2:Q36""))"),6714.259999999996)</f>
        <v>6714.26</v>
      </c>
      <c r="G173" s="40">
        <f>IFERROR(__xludf.DUMMYFUNCTION("IMPORTRANGE(""https://docs.google.com/spreadsheets/d/1lJqjdj05V4LOXuBOiTdE65GV4ZITyx1cMLcDdcuoUnE/edit"",""7!e43"")"),1795.0)</f>
        <v>1795</v>
      </c>
      <c r="H173" s="40">
        <f>IFERROR(__xludf.DUMMYFUNCTION("IMPORTRANGE(""https://docs.google.com/spreadsheets/d/1lJqjdj05V4LOXuBOiTdE65GV4ZITyx1cMLcDdcuoUnE/edit"",""7!e44"")"),0.0)</f>
        <v>0</v>
      </c>
      <c r="I173" s="40">
        <f t="shared" si="465"/>
        <v>1795</v>
      </c>
      <c r="J173" s="40">
        <f>IFERROR(__xludf.DUMMYFUNCTION("IMPORTRANGE(""https://docs.google.com/spreadsheets/d/1lJqjdj05V4LOXuBOiTdE65GV4ZITyx1cMLcDdcuoUnE/edit"",""7!e47"")"),2979.0)</f>
        <v>2979</v>
      </c>
      <c r="K173" s="40">
        <f>IFERROR(__xludf.DUMMYFUNCTION("IMPORTRANGE(""https://docs.google.com/spreadsheets/d/1lJqjdj05V4LOXuBOiTdE65GV4ZITyx1cMLcDdcuoUnE/edit"",""7!e48"")"),0.0)</f>
        <v>0</v>
      </c>
      <c r="L173" s="40">
        <f t="shared" si="466"/>
        <v>2979</v>
      </c>
      <c r="M173" s="40">
        <f t="shared" si="467"/>
        <v>4774</v>
      </c>
      <c r="N173" s="41">
        <f t="shared" si="468"/>
        <v>197.4782353</v>
      </c>
      <c r="O173" s="38">
        <v>6853.0</v>
      </c>
      <c r="P173" s="42">
        <f t="shared" si="469"/>
        <v>0.6966292135</v>
      </c>
      <c r="Q173" s="43">
        <v>1.5</v>
      </c>
      <c r="R173" s="42">
        <f t="shared" si="470"/>
        <v>0.4740159998</v>
      </c>
      <c r="S173" s="44">
        <f t="shared" si="471"/>
        <v>0.7110239997</v>
      </c>
      <c r="T173" s="43">
        <f>F173/33.74</f>
        <v>199</v>
      </c>
      <c r="U173" s="43">
        <f t="shared" si="472"/>
        <v>5.852941176</v>
      </c>
      <c r="V173" s="40">
        <f t="shared" si="473"/>
        <v>140.4117647</v>
      </c>
      <c r="X173" s="14" t="s">
        <v>2</v>
      </c>
      <c r="Y173" s="14" t="s">
        <v>3</v>
      </c>
      <c r="Z173" s="14" t="s">
        <v>4</v>
      </c>
      <c r="AA173" s="14" t="s">
        <v>5</v>
      </c>
      <c r="AB173" s="15" t="s">
        <v>6</v>
      </c>
      <c r="AC173" s="14" t="s">
        <v>7</v>
      </c>
      <c r="AD173" s="14" t="s">
        <v>8</v>
      </c>
      <c r="AE173" s="14" t="s">
        <v>9</v>
      </c>
      <c r="AF173" s="14" t="s">
        <v>10</v>
      </c>
      <c r="AG173" s="14" t="s">
        <v>11</v>
      </c>
      <c r="AH173" s="14" t="s">
        <v>12</v>
      </c>
      <c r="AI173" s="14" t="s">
        <v>13</v>
      </c>
      <c r="AJ173" s="15" t="s">
        <v>14</v>
      </c>
      <c r="AK173" s="14" t="s">
        <v>15</v>
      </c>
      <c r="AL173" s="14" t="s">
        <v>16</v>
      </c>
      <c r="AM173" s="16" t="s">
        <v>17</v>
      </c>
      <c r="AN173" s="17" t="s">
        <v>18</v>
      </c>
      <c r="AO173" s="18" t="s">
        <v>19</v>
      </c>
      <c r="AP173" s="19" t="s">
        <v>20</v>
      </c>
      <c r="AQ173" s="19" t="s">
        <v>21</v>
      </c>
      <c r="AR173" s="20" t="s">
        <v>22</v>
      </c>
    </row>
    <row r="174" ht="15.75" customHeight="1">
      <c r="A174" s="21"/>
      <c r="B174" s="38">
        <v>7.0</v>
      </c>
      <c r="C174" s="38" t="s">
        <v>24</v>
      </c>
      <c r="D174" s="39">
        <v>44.0</v>
      </c>
      <c r="E174" s="54">
        <f>IFERROR(__xludf.DUMMYFUNCTION("COUNT(IMPORTRANGE(""https://docs.google.com/spreadsheets/d/1_7EEO26q9Yq-XhNFiy7I6Zh4Yg6uGjTs9y0UqNvPKcQ/edit"",""7!d2:d45""))"),43.0)</f>
        <v>43</v>
      </c>
      <c r="F174" s="55">
        <f>IFERROR(__xludf.DUMMYFUNCTION("SUM(IMPORTRANGE(""https://docs.google.com/spreadsheets/d/1_7EEO26q9Yq-XhNFiy7I6Zh4Yg6uGjTs9y0UqNvPKcQ/edit"",""7!Q2:Q45""))"),8477.951999999994)</f>
        <v>8477.952</v>
      </c>
      <c r="G174" s="54">
        <f>IFERROR(__xludf.DUMMYFUNCTION("IMPORTRANGE(""https://docs.google.com/spreadsheets/d/1_7EEO26q9Yq-XhNFiy7I6Zh4Yg6uGjTs9y0UqNvPKcQ/edit"",""7!e53"")"),1117.0)</f>
        <v>1117</v>
      </c>
      <c r="H174" s="54">
        <f>IFERROR(__xludf.DUMMYFUNCTION("IMPORTRANGE(""https://docs.google.com/spreadsheets/d/1_7EEO26q9Yq-XhNFiy7I6Zh4Yg6uGjTs9y0UqNvPKcQ/edit"",""7!e54"")"),0.0)</f>
        <v>0</v>
      </c>
      <c r="I174" s="54">
        <f t="shared" si="465"/>
        <v>1117</v>
      </c>
      <c r="J174" s="54">
        <f>IFERROR(__xludf.DUMMYFUNCTION("IMPORTRANGE(""https://docs.google.com/spreadsheets/d/1_7EEO26q9Yq-XhNFiy7I6Zh4Yg6uGjTs9y0UqNvPKcQ/edit"",""7!e57"")"),1631.0)</f>
        <v>1631</v>
      </c>
      <c r="K174" s="54">
        <f>IFERROR(__xludf.DUMMYFUNCTION("IMPORTRANGE(""https://docs.google.com/spreadsheets/d/1_7EEO26q9Yq-XhNFiy7I6Zh4Yg6uGjTs9y0UqNvPKcQ/edit"",""7!e58"")"),5.0)</f>
        <v>5</v>
      </c>
      <c r="L174" s="40">
        <f t="shared" si="466"/>
        <v>1636</v>
      </c>
      <c r="M174" s="40">
        <f t="shared" si="467"/>
        <v>2753</v>
      </c>
      <c r="N174" s="41">
        <f t="shared" si="468"/>
        <v>197.1616744</v>
      </c>
      <c r="O174" s="38">
        <v>1580.0</v>
      </c>
      <c r="P174" s="56">
        <f t="shared" si="469"/>
        <v>1.742405063</v>
      </c>
      <c r="Q174" s="43">
        <v>1.5</v>
      </c>
      <c r="R174" s="42">
        <f t="shared" si="470"/>
        <v>0.2164831003</v>
      </c>
      <c r="S174" s="44">
        <f t="shared" si="471"/>
        <v>0.3247246505</v>
      </c>
      <c r="T174" s="43">
        <f>F174/26.805</f>
        <v>316.2824846</v>
      </c>
      <c r="U174" s="43">
        <f t="shared" si="472"/>
        <v>7.355406619</v>
      </c>
      <c r="V174" s="40">
        <f t="shared" si="473"/>
        <v>64.02325581</v>
      </c>
      <c r="X174" s="22">
        <v>1.0</v>
      </c>
      <c r="Y174" s="22" t="s">
        <v>28</v>
      </c>
      <c r="Z174" s="22">
        <f t="shared" ref="Z174:AI174" si="482">SUM(D169)</f>
        <v>33</v>
      </c>
      <c r="AA174" s="23">
        <f t="shared" si="482"/>
        <v>33</v>
      </c>
      <c r="AB174" s="25">
        <f t="shared" si="482"/>
        <v>6186.613</v>
      </c>
      <c r="AC174" s="23">
        <f t="shared" si="482"/>
        <v>1988</v>
      </c>
      <c r="AD174" s="23">
        <f t="shared" si="482"/>
        <v>120</v>
      </c>
      <c r="AE174" s="23">
        <f t="shared" si="482"/>
        <v>2108</v>
      </c>
      <c r="AF174" s="23">
        <f t="shared" si="482"/>
        <v>2175</v>
      </c>
      <c r="AG174" s="23">
        <f t="shared" si="482"/>
        <v>179</v>
      </c>
      <c r="AH174" s="23">
        <f t="shared" si="482"/>
        <v>2354</v>
      </c>
      <c r="AI174" s="23">
        <f t="shared" si="482"/>
        <v>4462</v>
      </c>
      <c r="AJ174" s="25">
        <f t="shared" ref="AJ174:AJ180" si="485">AB174/AA174</f>
        <v>187.4731212</v>
      </c>
      <c r="AK174" s="22">
        <f t="shared" ref="AK174:AK175" si="486">SUM(O169)</f>
        <v>7315</v>
      </c>
      <c r="AL174" s="26">
        <f t="shared" ref="AL174:AL180" si="487">AI174/AK174</f>
        <v>0.6099794942</v>
      </c>
      <c r="AM174" s="27">
        <f t="shared" ref="AM174:AM175" si="488">SUM(Q169)</f>
        <v>1.5</v>
      </c>
      <c r="AN174" s="26">
        <f t="shared" ref="AN174:AN180" si="489">AO174/AM174</f>
        <v>0.4808231365</v>
      </c>
      <c r="AO174" s="28">
        <f t="shared" ref="AO174:AO180" si="490">AI174/AB174</f>
        <v>0.7212347047</v>
      </c>
      <c r="AP174" s="27">
        <f t="shared" ref="AP174:AQ174" si="483">SUM(T169)</f>
        <v>200.2334531</v>
      </c>
      <c r="AQ174" s="27">
        <f t="shared" si="483"/>
        <v>6.067680397</v>
      </c>
      <c r="AR174" s="23">
        <f t="shared" ref="AR174:AR180" si="492">AI174/AA174</f>
        <v>135.2121212</v>
      </c>
    </row>
    <row r="175" ht="15.75" customHeight="1">
      <c r="A175" s="21"/>
      <c r="B175" s="38">
        <v>8.0</v>
      </c>
      <c r="C175" s="38" t="s">
        <v>25</v>
      </c>
      <c r="D175" s="57">
        <v>32.0</v>
      </c>
      <c r="E175" s="40">
        <f>IFERROR(__xludf.DUMMYFUNCTION("COUNT(IMPORTRANGE(""https://docs.google.com/spreadsheets/d/1vLOLpiE-XsbnCnwWPcoi87PlUSXfqIAAQn3kvqHfO6s/edit"",""7!d2:D33""))"),31.0)</f>
        <v>31</v>
      </c>
      <c r="F175" s="45">
        <f>IFERROR(__xludf.DUMMYFUNCTION("SUM(IMPORTRANGE(""https://docs.google.com/spreadsheets/d/1vLOLpiE-XsbnCnwWPcoi87PlUSXfqIAAQn3kvqHfO6s/edit"",""7!Q2:Q33""))"),6020.484000000002)</f>
        <v>6020.484</v>
      </c>
      <c r="G175" s="40">
        <f>IFERROR(__xludf.DUMMYFUNCTION("IMPORTRANGE(""https://docs.google.com/spreadsheets/d/1vLOLpiE-XsbnCnwWPcoi87PlUSXfqIAAQn3kvqHfO6s/edit"",""7!e40"")"),2078.0)</f>
        <v>2078</v>
      </c>
      <c r="H175" s="40">
        <f>IFERROR(__xludf.DUMMYFUNCTION("IMPORTRANGE(""https://docs.google.com/spreadsheets/d/1vLOLpiE-XsbnCnwWPcoi87PlUSXfqIAAQn3kvqHfO6s/edit"",""7!e41"")"),414.0)</f>
        <v>414</v>
      </c>
      <c r="I175" s="40">
        <f t="shared" si="465"/>
        <v>2492</v>
      </c>
      <c r="J175" s="40">
        <f>IFERROR(__xludf.DUMMYFUNCTION("IMPORTRANGE(""https://docs.google.com/spreadsheets/d/1vLOLpiE-XsbnCnwWPcoi87PlUSXfqIAAQn3kvqHfO6s/edit"",""7!e44"")"),2865.0)</f>
        <v>2865</v>
      </c>
      <c r="K175" s="40">
        <f>IFERROR(__xludf.DUMMYFUNCTION("IMPORTRANGE(""https://docs.google.com/spreadsheets/d/1vLOLpiE-XsbnCnwWPcoi87PlUSXfqIAAQn3kvqHfO6s/edit"",""7!e45"")"),420.0)</f>
        <v>420</v>
      </c>
      <c r="L175" s="40">
        <f>J175+K175</f>
        <v>3285</v>
      </c>
      <c r="M175" s="40">
        <f t="shared" si="467"/>
        <v>5777</v>
      </c>
      <c r="N175" s="41">
        <f t="shared" si="468"/>
        <v>194.2091613</v>
      </c>
      <c r="O175" s="38">
        <v>6622.0</v>
      </c>
      <c r="P175" s="42">
        <f t="shared" si="469"/>
        <v>0.8723950468</v>
      </c>
      <c r="Q175" s="43">
        <v>1.5</v>
      </c>
      <c r="R175" s="42">
        <f t="shared" si="470"/>
        <v>0.6397049362</v>
      </c>
      <c r="S175" s="44">
        <f t="shared" si="471"/>
        <v>0.9595574044</v>
      </c>
      <c r="T175" s="43">
        <f>F175/23.84</f>
        <v>252.5370805</v>
      </c>
      <c r="U175" s="43">
        <f t="shared" si="472"/>
        <v>8.146357437</v>
      </c>
      <c r="V175" s="40">
        <f t="shared" si="473"/>
        <v>186.3548387</v>
      </c>
      <c r="X175" s="31">
        <v>2.0</v>
      </c>
      <c r="Y175" s="31" t="s">
        <v>30</v>
      </c>
      <c r="Z175" s="31">
        <f t="shared" ref="Z175:AI175" si="484">SUM(D170)</f>
        <v>60</v>
      </c>
      <c r="AA175" s="32">
        <f t="shared" si="484"/>
        <v>59</v>
      </c>
      <c r="AB175" s="33">
        <f t="shared" si="484"/>
        <v>11249.14</v>
      </c>
      <c r="AC175" s="32">
        <f t="shared" si="484"/>
        <v>2732</v>
      </c>
      <c r="AD175" s="32">
        <f t="shared" si="484"/>
        <v>91</v>
      </c>
      <c r="AE175" s="32">
        <f t="shared" si="484"/>
        <v>2823</v>
      </c>
      <c r="AF175" s="32">
        <f t="shared" si="484"/>
        <v>4736</v>
      </c>
      <c r="AG175" s="32">
        <f t="shared" si="484"/>
        <v>0</v>
      </c>
      <c r="AH175" s="32">
        <f t="shared" si="484"/>
        <v>4736</v>
      </c>
      <c r="AI175" s="32">
        <f t="shared" si="484"/>
        <v>7559</v>
      </c>
      <c r="AJ175" s="34">
        <f t="shared" si="485"/>
        <v>190.6633898</v>
      </c>
      <c r="AK175" s="31">
        <f t="shared" si="486"/>
        <v>11164</v>
      </c>
      <c r="AL175" s="35">
        <f t="shared" si="487"/>
        <v>0.6770870656</v>
      </c>
      <c r="AM175" s="36">
        <f t="shared" si="488"/>
        <v>1.5</v>
      </c>
      <c r="AN175" s="35">
        <f t="shared" si="489"/>
        <v>0.4479749859</v>
      </c>
      <c r="AO175" s="37">
        <f t="shared" si="490"/>
        <v>0.6719624789</v>
      </c>
      <c r="AP175" s="36">
        <f t="shared" ref="AP175:AQ175" si="491">SUM(T170)</f>
        <v>380</v>
      </c>
      <c r="AQ175" s="36">
        <f t="shared" si="491"/>
        <v>6.440677966</v>
      </c>
      <c r="AR175" s="32">
        <f t="shared" si="492"/>
        <v>128.1186441</v>
      </c>
    </row>
    <row r="176" ht="15.75" customHeight="1">
      <c r="A176" s="21"/>
      <c r="B176" s="38">
        <v>9.0</v>
      </c>
      <c r="C176" s="38" t="s">
        <v>36</v>
      </c>
      <c r="D176" s="57">
        <v>24.0</v>
      </c>
      <c r="E176" s="40">
        <f>IFERROR(__xludf.DUMMYFUNCTION("COUNT(IMPORTRANGE(""https://docs.google.com/spreadsheets/d/1WJJVq25XDtGjt-J2JPxeKs3jIvDZtkIREC0lFPXwf74/edit"",""7!d2:d31""))"),24.0)</f>
        <v>24</v>
      </c>
      <c r="F176" s="45">
        <f>IFERROR(__xludf.DUMMYFUNCTION("SUM(IMPORTRANGE(""https://docs.google.com/spreadsheets/d/1WJJVq25XDtGjt-J2JPxeKs3jIvDZtkIREC0lFPXwf74/edit"",""7!Q2:Q31""))"),4745.193999999998)</f>
        <v>4745.194</v>
      </c>
      <c r="G176" s="40">
        <f>IFERROR(__xludf.DUMMYFUNCTION("IMPORTRANGE(""https://docs.google.com/spreadsheets/d/1WJJVq25XDtGjt-J2JPxeKs3jIvDZtkIREC0lFPXwf74/edit"",""7!e38"")"),1342.0)</f>
        <v>1342</v>
      </c>
      <c r="H176" s="40">
        <f>IFERROR(__xludf.DUMMYFUNCTION("IMPORTRANGE(""https://docs.google.com/spreadsheets/d/1WJJVq25XDtGjt-J2JPxeKs3jIvDZtkIREC0lFPXwf74/edit"",""7!e39"")"),0.0)</f>
        <v>0</v>
      </c>
      <c r="I176" s="40">
        <f t="shared" si="465"/>
        <v>1342</v>
      </c>
      <c r="J176" s="40">
        <f>IFERROR(__xludf.DUMMYFUNCTION("IMPORTRANGE(""https://docs.google.com/spreadsheets/d/1WJJVq25XDtGjt-J2JPxeKs3jIvDZtkIREC0lFPXwf74/edit"",""7!e42"")"),2181.0)</f>
        <v>2181</v>
      </c>
      <c r="K176" s="40">
        <f>IFERROR(__xludf.DUMMYFUNCTION("IMPORTRANGE(""https://docs.google.com/spreadsheets/d/1WJJVq25XDtGjt-J2JPxeKs3jIvDZtkIREC0lFPXwf74/edit"",""7!e43"")"),0.0)</f>
        <v>0</v>
      </c>
      <c r="L176" s="40">
        <f t="shared" ref="L176:L185" si="495">SUM(J176:K176)</f>
        <v>2181</v>
      </c>
      <c r="M176" s="40">
        <f t="shared" si="467"/>
        <v>3523</v>
      </c>
      <c r="N176" s="41">
        <f t="shared" si="468"/>
        <v>197.7164167</v>
      </c>
      <c r="O176" s="38">
        <v>4796.0</v>
      </c>
      <c r="P176" s="42">
        <f t="shared" si="469"/>
        <v>0.7345704754</v>
      </c>
      <c r="Q176" s="43">
        <v>1.5</v>
      </c>
      <c r="R176" s="42">
        <f t="shared" si="470"/>
        <v>0.4949569326</v>
      </c>
      <c r="S176" s="44">
        <f t="shared" si="471"/>
        <v>0.7424353988</v>
      </c>
      <c r="T176" s="43">
        <f>F176/37.414</f>
        <v>126.8293687</v>
      </c>
      <c r="U176" s="43">
        <f t="shared" si="472"/>
        <v>5.284557029</v>
      </c>
      <c r="V176" s="40">
        <f t="shared" si="473"/>
        <v>146.7916667</v>
      </c>
      <c r="X176" s="22">
        <v>3.0</v>
      </c>
      <c r="Y176" s="22" t="s">
        <v>34</v>
      </c>
      <c r="Z176" s="22">
        <f t="shared" ref="Z176:AI176" si="493">SUM(D172)</f>
        <v>40</v>
      </c>
      <c r="AA176" s="23">
        <f t="shared" si="493"/>
        <v>38</v>
      </c>
      <c r="AB176" s="24">
        <f t="shared" si="493"/>
        <v>7355.343</v>
      </c>
      <c r="AC176" s="23">
        <f t="shared" si="493"/>
        <v>2659</v>
      </c>
      <c r="AD176" s="23">
        <f t="shared" si="493"/>
        <v>0</v>
      </c>
      <c r="AE176" s="23">
        <f t="shared" si="493"/>
        <v>2659</v>
      </c>
      <c r="AF176" s="23">
        <f t="shared" si="493"/>
        <v>2886</v>
      </c>
      <c r="AG176" s="23">
        <f t="shared" si="493"/>
        <v>0</v>
      </c>
      <c r="AH176" s="23">
        <f t="shared" si="493"/>
        <v>2886</v>
      </c>
      <c r="AI176" s="23">
        <f t="shared" si="493"/>
        <v>5545</v>
      </c>
      <c r="AJ176" s="25">
        <f t="shared" si="485"/>
        <v>193.5616579</v>
      </c>
      <c r="AK176" s="22">
        <f>SUM(O172)</f>
        <v>9354</v>
      </c>
      <c r="AL176" s="26">
        <f t="shared" si="487"/>
        <v>0.5927945264</v>
      </c>
      <c r="AM176" s="27">
        <f>SUM(Q172)</f>
        <v>1.5</v>
      </c>
      <c r="AN176" s="26">
        <f t="shared" si="489"/>
        <v>0.5025824991</v>
      </c>
      <c r="AO176" s="28">
        <f t="shared" si="490"/>
        <v>0.7538737486</v>
      </c>
      <c r="AP176" s="27">
        <f t="shared" ref="AP176:AQ176" si="494">SUM(T172)</f>
        <v>239.4863087</v>
      </c>
      <c r="AQ176" s="27">
        <f t="shared" si="494"/>
        <v>6.302271282</v>
      </c>
      <c r="AR176" s="23">
        <f t="shared" si="492"/>
        <v>145.9210526</v>
      </c>
    </row>
    <row r="177" ht="15.75" customHeight="1">
      <c r="A177" s="21"/>
      <c r="B177" s="38">
        <v>10.0</v>
      </c>
      <c r="C177" s="38" t="s">
        <v>37</v>
      </c>
      <c r="D177" s="39">
        <v>30.0</v>
      </c>
      <c r="E177" s="40">
        <f>IFERROR(__xludf.DUMMYFUNCTION("COUNT(IMPORTRANGE(""https://docs.google.com/spreadsheets/d/1rJyYfywRpWJW0zvDJHLOJtqUQqffoCGaqTVxxTDgV0k/edit"",""7!d2:d31""))"),29.0)</f>
        <v>29</v>
      </c>
      <c r="F177" s="45">
        <f>IFERROR(__xludf.DUMMYFUNCTION("SUM(IMPORTRANGE(""https://docs.google.com/spreadsheets/d/1rJyYfywRpWJW0zvDJHLOJtqUQqffoCGaqTVxxTDgV0k/edit"",""7!Q2:Q31""))"),5622.99)</f>
        <v>5622.99</v>
      </c>
      <c r="G177" s="40">
        <f>IFERROR(__xludf.DUMMYFUNCTION("(IMPORTRANGE(""https://docs.google.com/spreadsheets/d/1rJyYfywRpWJW0zvDJHLOJtqUQqffoCGaqTVxxTDgV0k/edit"",""7!e38""))"),2006.0)</f>
        <v>2006</v>
      </c>
      <c r="H177" s="40">
        <f>IFERROR(__xludf.DUMMYFUNCTION("(IMPORTRANGE(""https://docs.google.com/spreadsheets/d/1rJyYfywRpWJW0zvDJHLOJtqUQqffoCGaqTVxxTDgV0k/edit"",""7!e39""))"),50.0)</f>
        <v>50</v>
      </c>
      <c r="I177" s="40">
        <f t="shared" si="465"/>
        <v>2056</v>
      </c>
      <c r="J177" s="40">
        <f>IFERROR(__xludf.DUMMYFUNCTION("(IMPORTRANGE(""https://docs.google.com/spreadsheets/d/1rJyYfywRpWJW0zvDJHLOJtqUQqffoCGaqTVxxTDgV0k/edit"",""7!e42""))"),2554.0)</f>
        <v>2554</v>
      </c>
      <c r="K177" s="40">
        <f>IFERROR(__xludf.DUMMYFUNCTION("(IMPORTRANGE(""https://docs.google.com/spreadsheets/d/1rJyYfywRpWJW0zvDJHLOJtqUQqffoCGaqTVxxTDgV0k/edit"",""7!e43""))"),108.0)</f>
        <v>108</v>
      </c>
      <c r="L177" s="40">
        <f t="shared" si="495"/>
        <v>2662</v>
      </c>
      <c r="M177" s="40">
        <f t="shared" si="467"/>
        <v>4718</v>
      </c>
      <c r="N177" s="41">
        <f t="shared" si="468"/>
        <v>193.8962069</v>
      </c>
      <c r="O177" s="38">
        <v>5887.0</v>
      </c>
      <c r="P177" s="42">
        <f t="shared" si="469"/>
        <v>0.8014268728</v>
      </c>
      <c r="Q177" s="43">
        <v>1.5</v>
      </c>
      <c r="R177" s="42">
        <f t="shared" si="470"/>
        <v>0.559370252</v>
      </c>
      <c r="S177" s="44">
        <f t="shared" si="471"/>
        <v>0.839055378</v>
      </c>
      <c r="T177" s="43">
        <f>F177/24.792</f>
        <v>226.8066312</v>
      </c>
      <c r="U177" s="43">
        <f t="shared" si="472"/>
        <v>7.820918316</v>
      </c>
      <c r="V177" s="40">
        <f t="shared" si="473"/>
        <v>162.6896552</v>
      </c>
      <c r="X177" s="31">
        <v>4.0</v>
      </c>
      <c r="Y177" s="31" t="s">
        <v>38</v>
      </c>
      <c r="Z177" s="31">
        <f t="shared" ref="Z177:AI177" si="496">SUM(D180)</f>
        <v>30</v>
      </c>
      <c r="AA177" s="32">
        <f t="shared" si="496"/>
        <v>29</v>
      </c>
      <c r="AB177" s="33">
        <f t="shared" si="496"/>
        <v>6043.234</v>
      </c>
      <c r="AC177" s="32">
        <f t="shared" si="496"/>
        <v>1813</v>
      </c>
      <c r="AD177" s="32">
        <f t="shared" si="496"/>
        <v>180</v>
      </c>
      <c r="AE177" s="32">
        <f t="shared" si="496"/>
        <v>1993</v>
      </c>
      <c r="AF177" s="32">
        <f t="shared" si="496"/>
        <v>2290</v>
      </c>
      <c r="AG177" s="32">
        <f t="shared" si="496"/>
        <v>70</v>
      </c>
      <c r="AH177" s="32">
        <f t="shared" si="496"/>
        <v>2360</v>
      </c>
      <c r="AI177" s="32">
        <f t="shared" si="496"/>
        <v>4353</v>
      </c>
      <c r="AJ177" s="34">
        <f t="shared" si="485"/>
        <v>208.3873793</v>
      </c>
      <c r="AK177" s="31">
        <v>7324.0</v>
      </c>
      <c r="AL177" s="35">
        <f t="shared" si="487"/>
        <v>0.5943473512</v>
      </c>
      <c r="AM177" s="36">
        <f>SUM(Q180)</f>
        <v>1.5</v>
      </c>
      <c r="AN177" s="35">
        <f t="shared" si="489"/>
        <v>0.480206459</v>
      </c>
      <c r="AO177" s="37">
        <f t="shared" si="490"/>
        <v>0.7203096885</v>
      </c>
      <c r="AP177" s="36">
        <f t="shared" ref="AP177:AQ177" si="497">SUM(T180)</f>
        <v>146.662638</v>
      </c>
      <c r="AQ177" s="36">
        <f t="shared" si="497"/>
        <v>5.057332346</v>
      </c>
      <c r="AR177" s="32">
        <f t="shared" si="492"/>
        <v>150.1034483</v>
      </c>
    </row>
    <row r="178" ht="15.75" customHeight="1">
      <c r="A178" s="21"/>
      <c r="B178" s="38">
        <v>12.0</v>
      </c>
      <c r="C178" s="38" t="s">
        <v>39</v>
      </c>
      <c r="D178" s="39">
        <v>28.0</v>
      </c>
      <c r="E178" s="40">
        <f>IFERROR(__xludf.DUMMYFUNCTION("COUNT(IMPORTRANGE(""https://docs.google.com/spreadsheets/d/1uaTn2DZCfr7O1PvovOd0wElzVz8kpl_iPfnrkNPp0Is/edit"",""7!d2:d29""))"),28.0)</f>
        <v>28</v>
      </c>
      <c r="F178" s="45">
        <f>IFERROR(__xludf.DUMMYFUNCTION("SUM(IMPORTRANGE(""https://docs.google.com/spreadsheets/d/1uaTn2DZCfr7O1PvovOd0wElzVz8kpl_iPfnrkNPp0Is/edit"",""7!Q2:Q29""))"),5501.804)</f>
        <v>5501.804</v>
      </c>
      <c r="G178" s="40">
        <f>IFERROR(__xludf.DUMMYFUNCTION("IMPORTRANGE(""https://docs.google.com/spreadsheets/d/1uaTn2DZCfr7O1PvovOd0wElzVz8kpl_iPfnrkNPp0Is/edit"",""7!e36"")"),1166.0)</f>
        <v>1166</v>
      </c>
      <c r="H178" s="40">
        <f>IFERROR(__xludf.DUMMYFUNCTION("(IMPORTRANGE(""https://docs.google.com/spreadsheets/d/1uaTn2DZCfr7O1PvovOd0wElzVz8kpl_iPfnrkNPp0Is/edit"",""7!e37""))"),50.0)</f>
        <v>50</v>
      </c>
      <c r="I178" s="40">
        <f t="shared" si="465"/>
        <v>1216</v>
      </c>
      <c r="J178" s="40">
        <f>IFERROR(__xludf.DUMMYFUNCTION("IMPORTRANGE(""https://docs.google.com/spreadsheets/d/1uaTn2DZCfr7O1PvovOd0wElzVz8kpl_iPfnrkNPp0Is/edit"",""7!e40"")"),1968.0)</f>
        <v>1968</v>
      </c>
      <c r="K178" s="40">
        <f>IFERROR(__xludf.DUMMYFUNCTION("IMPORTRANGE(""https://docs.google.com/spreadsheets/d/1uaTn2DZCfr7O1PvovOd0wElzVz8kpl_iPfnrkNPp0Is/edit"",""7!e41"")"),0.0)</f>
        <v>0</v>
      </c>
      <c r="L178" s="40">
        <f t="shared" si="495"/>
        <v>1968</v>
      </c>
      <c r="M178" s="40">
        <f t="shared" si="467"/>
        <v>3184</v>
      </c>
      <c r="N178" s="41">
        <f t="shared" si="468"/>
        <v>196.493</v>
      </c>
      <c r="O178" s="38">
        <v>3569.0</v>
      </c>
      <c r="P178" s="42">
        <f t="shared" si="469"/>
        <v>0.8921266461</v>
      </c>
      <c r="Q178" s="43">
        <v>1.5</v>
      </c>
      <c r="R178" s="42">
        <f t="shared" si="470"/>
        <v>0.3858128473</v>
      </c>
      <c r="S178" s="44">
        <f t="shared" si="471"/>
        <v>0.578719271</v>
      </c>
      <c r="T178" s="43">
        <f>F178/21.463</f>
        <v>256.339002</v>
      </c>
      <c r="U178" s="43">
        <f t="shared" si="472"/>
        <v>9.154964357</v>
      </c>
      <c r="V178" s="40">
        <f t="shared" si="473"/>
        <v>113.7142857</v>
      </c>
      <c r="X178" s="31">
        <v>5.0</v>
      </c>
      <c r="Y178" s="31" t="s">
        <v>40</v>
      </c>
      <c r="Z178" s="31">
        <f t="shared" ref="Z178:AI178" si="498">SUM(D182)</f>
        <v>30</v>
      </c>
      <c r="AA178" s="32">
        <f t="shared" si="498"/>
        <v>29</v>
      </c>
      <c r="AB178" s="33">
        <f t="shared" si="498"/>
        <v>5660.157</v>
      </c>
      <c r="AC178" s="32">
        <f t="shared" si="498"/>
        <v>3191</v>
      </c>
      <c r="AD178" s="32">
        <f t="shared" si="498"/>
        <v>0</v>
      </c>
      <c r="AE178" s="32">
        <f t="shared" si="498"/>
        <v>3191</v>
      </c>
      <c r="AF178" s="32">
        <f t="shared" si="498"/>
        <v>3638</v>
      </c>
      <c r="AG178" s="32">
        <f t="shared" si="498"/>
        <v>0</v>
      </c>
      <c r="AH178" s="32">
        <f t="shared" si="498"/>
        <v>3638</v>
      </c>
      <c r="AI178" s="32">
        <f t="shared" si="498"/>
        <v>6829</v>
      </c>
      <c r="AJ178" s="34">
        <f t="shared" si="485"/>
        <v>195.1778276</v>
      </c>
      <c r="AK178" s="31">
        <f t="shared" ref="AK178:AK179" si="501">SUM(O182)</f>
        <v>8239</v>
      </c>
      <c r="AL178" s="35">
        <f t="shared" si="487"/>
        <v>0.8288627261</v>
      </c>
      <c r="AM178" s="36">
        <f t="shared" ref="AM178:AM179" si="502">SUM(Q182)</f>
        <v>1.5</v>
      </c>
      <c r="AN178" s="35">
        <f t="shared" si="489"/>
        <v>0.8043357572</v>
      </c>
      <c r="AO178" s="37">
        <f t="shared" si="490"/>
        <v>1.206503636</v>
      </c>
      <c r="AP178" s="36">
        <f t="shared" ref="AP178:AQ178" si="499">SUM(T182)</f>
        <v>199</v>
      </c>
      <c r="AQ178" s="36">
        <f t="shared" si="499"/>
        <v>6.862068966</v>
      </c>
      <c r="AR178" s="32">
        <f t="shared" si="492"/>
        <v>235.4827586</v>
      </c>
    </row>
    <row r="179" ht="15.75" customHeight="1">
      <c r="A179" s="21"/>
      <c r="B179" s="38">
        <v>12.0</v>
      </c>
      <c r="C179" s="38" t="s">
        <v>41</v>
      </c>
      <c r="D179" s="39">
        <v>24.0</v>
      </c>
      <c r="E179" s="40">
        <f>IFERROR(__xludf.DUMMYFUNCTION("COUNT(IMPORTRANGE(""https://docs.google.com/spreadsheets/d/1oYscvfOJW7GMkxt8QcupWuzb3ohaYePd3Mt2V2ufHok/edit"",""7!d2:d25""))"),23.0)</f>
        <v>23</v>
      </c>
      <c r="F179" s="45">
        <f>IFERROR(__xludf.DUMMYFUNCTION("SUM(IMPORTRANGE(""https://docs.google.com/spreadsheets/d/1oYscvfOJW7GMkxt8QcupWuzb3ohaYePd3Mt2V2ufHok/edit"",""7!Q2:Q25""))"),4585.756)</f>
        <v>4585.756</v>
      </c>
      <c r="G179" s="40">
        <f>IFERROR(__xludf.DUMMYFUNCTION("IMPORTRANGE(""https://docs.google.com/spreadsheets/d/1oYscvfOJW7GMkxt8QcupWuzb3ohaYePd3Mt2V2ufHok/edit"",""7!e32"")"),1072.0)</f>
        <v>1072</v>
      </c>
      <c r="H179" s="40">
        <f>IFERROR(__xludf.DUMMYFUNCTION("IMPORTRANGE(""https://docs.google.com/spreadsheets/d/1oYscvfOJW7GMkxt8QcupWuzb3ohaYePd3Mt2V2ufHok/edit"",""7!e33"")"),96.0)</f>
        <v>96</v>
      </c>
      <c r="I179" s="40">
        <f t="shared" si="465"/>
        <v>1168</v>
      </c>
      <c r="J179" s="40">
        <f>IFERROR(__xludf.DUMMYFUNCTION("IMPORTRANGE(""https://docs.google.com/spreadsheets/d/1oYscvfOJW7GMkxt8QcupWuzb3ohaYePd3Mt2V2ufHok/edit"",""7!e36"")"),1577.0)</f>
        <v>1577</v>
      </c>
      <c r="K179" s="40">
        <f>IFERROR(__xludf.DUMMYFUNCTION("IMPORTRANGE(""https://docs.google.com/spreadsheets/d/1oYscvfOJW7GMkxt8QcupWuzb3ohaYePd3Mt2V2ufHok/edit"",""7!e37"")"),102.0)</f>
        <v>102</v>
      </c>
      <c r="L179" s="40">
        <f t="shared" si="495"/>
        <v>1679</v>
      </c>
      <c r="M179" s="40">
        <f t="shared" si="467"/>
        <v>2847</v>
      </c>
      <c r="N179" s="41">
        <f t="shared" si="468"/>
        <v>199.3806957</v>
      </c>
      <c r="O179" s="38">
        <v>3801.0</v>
      </c>
      <c r="P179" s="42">
        <f t="shared" si="469"/>
        <v>0.7490134175</v>
      </c>
      <c r="Q179" s="43">
        <v>1.5</v>
      </c>
      <c r="R179" s="42">
        <f t="shared" si="470"/>
        <v>0.413890316</v>
      </c>
      <c r="S179" s="44">
        <f t="shared" si="471"/>
        <v>0.620835474</v>
      </c>
      <c r="T179" s="43">
        <f>F179/29.628</f>
        <v>154.7777778</v>
      </c>
      <c r="U179" s="43">
        <f t="shared" si="472"/>
        <v>6.729468599</v>
      </c>
      <c r="V179" s="40">
        <f t="shared" si="473"/>
        <v>123.7826087</v>
      </c>
      <c r="X179" s="22">
        <v>6.0</v>
      </c>
      <c r="Y179" s="22" t="s">
        <v>42</v>
      </c>
      <c r="Z179" s="22">
        <f t="shared" ref="Z179:AI179" si="500">SUM(D183)</f>
        <v>33</v>
      </c>
      <c r="AA179" s="23">
        <f t="shared" si="500"/>
        <v>33</v>
      </c>
      <c r="AB179" s="24">
        <f t="shared" si="500"/>
        <v>6397.206</v>
      </c>
      <c r="AC179" s="23">
        <f t="shared" si="500"/>
        <v>2669</v>
      </c>
      <c r="AD179" s="23">
        <f t="shared" si="500"/>
        <v>187</v>
      </c>
      <c r="AE179" s="23">
        <f t="shared" si="500"/>
        <v>2856</v>
      </c>
      <c r="AF179" s="23">
        <f t="shared" si="500"/>
        <v>4237</v>
      </c>
      <c r="AG179" s="23">
        <f t="shared" si="500"/>
        <v>211</v>
      </c>
      <c r="AH179" s="23">
        <f t="shared" si="500"/>
        <v>4448</v>
      </c>
      <c r="AI179" s="23">
        <f t="shared" si="500"/>
        <v>7304</v>
      </c>
      <c r="AJ179" s="25">
        <f t="shared" si="485"/>
        <v>193.8547273</v>
      </c>
      <c r="AK179" s="22">
        <f t="shared" si="501"/>
        <v>9877</v>
      </c>
      <c r="AL179" s="26">
        <f t="shared" si="487"/>
        <v>0.7394957983</v>
      </c>
      <c r="AM179" s="27">
        <f t="shared" si="502"/>
        <v>1.5</v>
      </c>
      <c r="AN179" s="26">
        <f t="shared" si="489"/>
        <v>0.7611656297</v>
      </c>
      <c r="AO179" s="28">
        <f t="shared" si="490"/>
        <v>1.141748445</v>
      </c>
      <c r="AP179" s="27">
        <f t="shared" ref="AP179:AQ179" si="503">SUM(T183)</f>
        <v>244.5882623</v>
      </c>
      <c r="AQ179" s="27">
        <f t="shared" si="503"/>
        <v>7.411765524</v>
      </c>
      <c r="AR179" s="23">
        <f t="shared" si="492"/>
        <v>221.3333333</v>
      </c>
    </row>
    <row r="180" ht="15.75" customHeight="1">
      <c r="A180" s="21"/>
      <c r="B180" s="38">
        <v>13.0</v>
      </c>
      <c r="C180" s="38" t="s">
        <v>43</v>
      </c>
      <c r="D180" s="39">
        <v>30.0</v>
      </c>
      <c r="E180" s="40">
        <f>IFERROR(__xludf.DUMMYFUNCTION("COUNT(IMPORTRANGE(""https://docs.google.com/spreadsheets/d/1AxBmuQEdOYAeRnZ4C8vO6kuTNp7X_SGhpLXuY0n4ln4/edit"",""7!d2:d31""))"),29.0)</f>
        <v>29</v>
      </c>
      <c r="F180" s="45">
        <f>IFERROR(__xludf.DUMMYFUNCTION("SUM(IMPORTRANGE(""https://docs.google.com/spreadsheets/d/1AxBmuQEdOYAeRnZ4C8vO6kuTNp7X_SGhpLXuY0n4ln4/edit"",""7!Q2:Q31""))"),6043.233999999998)</f>
        <v>6043.234</v>
      </c>
      <c r="G180" s="40">
        <f>IFERROR(__xludf.DUMMYFUNCTION("IMPORTRANGE(""https://docs.google.com/spreadsheets/d/1AxBmuQEdOYAeRnZ4C8vO6kuTNp7X_SGhpLXuY0n4ln4/edit"",""7!e38"")"),1813.0)</f>
        <v>1813</v>
      </c>
      <c r="H180" s="40">
        <f>IFERROR(__xludf.DUMMYFUNCTION("IMPORTRANGE(""https://docs.google.com/spreadsheets/d/1AxBmuQEdOYAeRnZ4C8vO6kuTNp7X_SGhpLXuY0n4ln4/edit"",""7!e39"")"),180.0)</f>
        <v>180</v>
      </c>
      <c r="I180" s="40">
        <f t="shared" si="465"/>
        <v>1993</v>
      </c>
      <c r="J180" s="40">
        <f>IFERROR(__xludf.DUMMYFUNCTION("IMPORTRANGE(""https://docs.google.com/spreadsheets/d/1AxBmuQEdOYAeRnZ4C8vO6kuTNp7X_SGhpLXuY0n4ln4/edit"",""7!e42"")"),2290.0)</f>
        <v>2290</v>
      </c>
      <c r="K180" s="40">
        <f>IFERROR(__xludf.DUMMYFUNCTION("IMPORTRANGE(""https://docs.google.com/spreadsheets/d/1AxBmuQEdOYAeRnZ4C8vO6kuTNp7X_SGhpLXuY0n4ln4/edit"",""7!e43"")"),70.0)</f>
        <v>70</v>
      </c>
      <c r="L180" s="40">
        <f t="shared" si="495"/>
        <v>2360</v>
      </c>
      <c r="M180" s="40">
        <f t="shared" si="467"/>
        <v>4353</v>
      </c>
      <c r="N180" s="41">
        <f t="shared" si="468"/>
        <v>208.3873793</v>
      </c>
      <c r="O180" s="38">
        <v>8345.0</v>
      </c>
      <c r="P180" s="42">
        <f t="shared" si="469"/>
        <v>0.5216297184</v>
      </c>
      <c r="Q180" s="43">
        <v>1.5</v>
      </c>
      <c r="R180" s="42">
        <f t="shared" si="470"/>
        <v>0.480206459</v>
      </c>
      <c r="S180" s="44">
        <f t="shared" si="471"/>
        <v>0.7203096885</v>
      </c>
      <c r="T180" s="43">
        <f>F180/41.205</f>
        <v>146.662638</v>
      </c>
      <c r="U180" s="43">
        <f t="shared" si="472"/>
        <v>5.057332346</v>
      </c>
      <c r="V180" s="40">
        <f t="shared" si="473"/>
        <v>150.1034483</v>
      </c>
      <c r="X180" s="46" t="s">
        <v>33</v>
      </c>
      <c r="Y180" s="46">
        <v>6.0</v>
      </c>
      <c r="Z180" s="46">
        <f t="shared" ref="Z180:AI180" si="504">SUM(Z174:Z179)</f>
        <v>226</v>
      </c>
      <c r="AA180" s="47">
        <f t="shared" si="504"/>
        <v>221</v>
      </c>
      <c r="AB180" s="49">
        <f t="shared" si="504"/>
        <v>42891.693</v>
      </c>
      <c r="AC180" s="47">
        <f t="shared" si="504"/>
        <v>15052</v>
      </c>
      <c r="AD180" s="47">
        <f t="shared" si="504"/>
        <v>578</v>
      </c>
      <c r="AE180" s="47">
        <f t="shared" si="504"/>
        <v>15630</v>
      </c>
      <c r="AF180" s="47">
        <f t="shared" si="504"/>
        <v>19962</v>
      </c>
      <c r="AG180" s="47">
        <f t="shared" si="504"/>
        <v>460</v>
      </c>
      <c r="AH180" s="47">
        <f t="shared" si="504"/>
        <v>20422</v>
      </c>
      <c r="AI180" s="47">
        <f t="shared" si="504"/>
        <v>36052</v>
      </c>
      <c r="AJ180" s="49">
        <f t="shared" si="485"/>
        <v>194.0800588</v>
      </c>
      <c r="AK180" s="46">
        <f>SUM(AK174:AK179)</f>
        <v>53273</v>
      </c>
      <c r="AL180" s="50">
        <f t="shared" si="487"/>
        <v>0.6767405628</v>
      </c>
      <c r="AM180" s="51">
        <v>1.5</v>
      </c>
      <c r="AN180" s="50">
        <f t="shared" si="489"/>
        <v>0.5603571458</v>
      </c>
      <c r="AO180" s="52">
        <f t="shared" si="490"/>
        <v>0.8405357187</v>
      </c>
      <c r="AP180" s="51">
        <f>SUM(AP174:AP179)</f>
        <v>1409.970662</v>
      </c>
      <c r="AQ180" s="51">
        <f>AP180/AA180</f>
        <v>6.379957747</v>
      </c>
      <c r="AR180" s="47">
        <f t="shared" si="492"/>
        <v>163.1312217</v>
      </c>
    </row>
    <row r="181" ht="15.75" customHeight="1">
      <c r="A181" s="21"/>
      <c r="B181" s="38">
        <v>14.0</v>
      </c>
      <c r="C181" s="38" t="s">
        <v>27</v>
      </c>
      <c r="D181" s="39">
        <v>30.0</v>
      </c>
      <c r="E181" s="40">
        <f>IFERROR(__xludf.DUMMYFUNCTION("COUNT(IMPORTRANGE(""https://docs.google.com/spreadsheets/d/1LsL4JuXvBtfJ-TVi4NFml9lV_pmd61b789A_nbO-QrA/edit"",""7!d2:d31""))"),29.0)</f>
        <v>29</v>
      </c>
      <c r="F181" s="45">
        <f>IFERROR(__xludf.DUMMYFUNCTION("SUM(IMPORTRANGE(""https://docs.google.com/spreadsheets/d/1LsL4JuXvBtfJ-TVi4NFml9lV_pmd61b789A_nbO-QrA/edit"",""7!Q2:Q31""))"),5311.902999999998)</f>
        <v>5311.903</v>
      </c>
      <c r="G181" s="40">
        <f>IFERROR(__xludf.DUMMYFUNCTION("IMPORTRANGE(""https://docs.google.com/spreadsheets/d/1LsL4JuXvBtfJ-TVi4NFml9lV_pmd61b789A_nbO-QrA/edit"",""7!e38"")"),1963.0)</f>
        <v>1963</v>
      </c>
      <c r="H181" s="40">
        <f>IFERROR(__xludf.DUMMYFUNCTION("IMPORTRANGE(""https://docs.google.com/spreadsheets/d/1LsL4JuXvBtfJ-TVi4NFml9lV_pmd61b789A_nbO-QrA/edit"",""7!e39"")"),212.0)</f>
        <v>212</v>
      </c>
      <c r="I181" s="40">
        <f t="shared" si="465"/>
        <v>2175</v>
      </c>
      <c r="J181" s="40">
        <f>IFERROR(__xludf.DUMMYFUNCTION("IMPORTRANGE(""https://docs.google.com/spreadsheets/d/1LsL4JuXvBtfJ-TVi4NFml9lV_pmd61b789A_nbO-QrA/edit"",""7!e42"")"),2570.0)</f>
        <v>2570</v>
      </c>
      <c r="K181" s="40">
        <f>IFERROR(__xludf.DUMMYFUNCTION("IMPORTRANGE(""https://docs.google.com/spreadsheets/d/1LsL4JuXvBtfJ-TVi4NFml9lV_pmd61b789A_nbO-QrA/edit"",""7!e43"")"),112.0)</f>
        <v>112</v>
      </c>
      <c r="L181" s="40">
        <f t="shared" si="495"/>
        <v>2682</v>
      </c>
      <c r="M181" s="40">
        <f t="shared" si="467"/>
        <v>4857</v>
      </c>
      <c r="N181" s="41">
        <f t="shared" si="468"/>
        <v>183.169069</v>
      </c>
      <c r="O181" s="38">
        <v>8101.0</v>
      </c>
      <c r="P181" s="42">
        <f t="shared" si="469"/>
        <v>0.5995556104</v>
      </c>
      <c r="Q181" s="43">
        <v>1.5</v>
      </c>
      <c r="R181" s="42">
        <f t="shared" si="470"/>
        <v>0.6095743842</v>
      </c>
      <c r="S181" s="44">
        <f t="shared" si="471"/>
        <v>0.9143615763</v>
      </c>
      <c r="T181" s="43">
        <f>F181/19.985</f>
        <v>265.7944959</v>
      </c>
      <c r="U181" s="43">
        <f t="shared" si="472"/>
        <v>9.165327444</v>
      </c>
      <c r="V181" s="40">
        <f t="shared" si="473"/>
        <v>167.4827586</v>
      </c>
      <c r="X181" s="59" t="s">
        <v>44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6"/>
    </row>
    <row r="182" ht="15.75" customHeight="1">
      <c r="A182" s="21"/>
      <c r="B182" s="38">
        <v>15.0</v>
      </c>
      <c r="C182" s="38" t="s">
        <v>40</v>
      </c>
      <c r="D182" s="39">
        <v>30.0</v>
      </c>
      <c r="E182" s="40">
        <f>IFERROR(__xludf.DUMMYFUNCTION("COUNT(IMPORTRANGE(""https://docs.google.com/spreadsheets/d/1Krav0MVlY0vbUNsFRDnb_kR72_tyuGnWBYbGjNZrl18/edit"",""7!d2:d31""))"),29.0)</f>
        <v>29</v>
      </c>
      <c r="F182" s="45">
        <f>IFERROR(__xludf.DUMMYFUNCTION("SUM(IMPORTRANGE(""https://docs.google.com/spreadsheets/d/1Krav0MVlY0vbUNsFRDnb_kR72_tyuGnWBYbGjNZrl18/edit"",""7!Q2:Q31""))"),5660.156999999999)</f>
        <v>5660.157</v>
      </c>
      <c r="G182" s="40">
        <f>IFERROR(__xludf.DUMMYFUNCTION("IMPORTRANGE(""https://docs.google.com/spreadsheets/d/1Krav0MVlY0vbUNsFRDnb_kR72_tyuGnWBYbGjNZrl18/edit"",""7!e38"")"),3191.0)</f>
        <v>3191</v>
      </c>
      <c r="H182" s="40">
        <f>IFERROR(__xludf.DUMMYFUNCTION("IMPORTRANGE(""https://docs.google.com/spreadsheets/d/1Krav0MVlY0vbUNsFRDnb_kR72_tyuGnWBYbGjNZrl18/edit"",""7!e39"")"),0.0)</f>
        <v>0</v>
      </c>
      <c r="I182" s="40">
        <f t="shared" si="465"/>
        <v>3191</v>
      </c>
      <c r="J182" s="40">
        <f>IFERROR(__xludf.DUMMYFUNCTION("IMPORTRANGE(""https://docs.google.com/spreadsheets/d/1Krav0MVlY0vbUNsFRDnb_kR72_tyuGnWBYbGjNZrl18/edit"",""7!e42"")"),3638.0)</f>
        <v>3638</v>
      </c>
      <c r="K182" s="40">
        <f>IFERROR(__xludf.DUMMYFUNCTION("IMPORTRANGE(""https://docs.google.com/spreadsheets/d/1Krav0MVlY0vbUNsFRDnb_kR72_tyuGnWBYbGjNZrl18/edit"",""7!e43"")"),0.0)</f>
        <v>0</v>
      </c>
      <c r="L182" s="40">
        <f t="shared" si="495"/>
        <v>3638</v>
      </c>
      <c r="M182" s="40">
        <f t="shared" si="467"/>
        <v>6829</v>
      </c>
      <c r="N182" s="41">
        <f t="shared" si="468"/>
        <v>195.1778276</v>
      </c>
      <c r="O182" s="38">
        <v>8239.0</v>
      </c>
      <c r="P182" s="42">
        <f t="shared" si="469"/>
        <v>0.8288627261</v>
      </c>
      <c r="Q182" s="43">
        <v>1.5</v>
      </c>
      <c r="R182" s="42">
        <f t="shared" si="470"/>
        <v>0.8043357572</v>
      </c>
      <c r="S182" s="44">
        <f t="shared" si="471"/>
        <v>1.206503636</v>
      </c>
      <c r="T182" s="43">
        <f>F182/28.443</f>
        <v>199</v>
      </c>
      <c r="U182" s="43">
        <f t="shared" si="472"/>
        <v>6.862068966</v>
      </c>
      <c r="V182" s="40">
        <f t="shared" si="473"/>
        <v>235.4827586</v>
      </c>
      <c r="X182" s="14" t="s">
        <v>2</v>
      </c>
      <c r="Y182" s="14" t="s">
        <v>3</v>
      </c>
      <c r="Z182" s="14" t="s">
        <v>4</v>
      </c>
      <c r="AA182" s="14" t="s">
        <v>5</v>
      </c>
      <c r="AB182" s="15" t="s">
        <v>6</v>
      </c>
      <c r="AC182" s="14" t="s">
        <v>7</v>
      </c>
      <c r="AD182" s="14" t="s">
        <v>8</v>
      </c>
      <c r="AE182" s="14" t="s">
        <v>9</v>
      </c>
      <c r="AF182" s="14" t="s">
        <v>10</v>
      </c>
      <c r="AG182" s="14" t="s">
        <v>11</v>
      </c>
      <c r="AH182" s="14" t="s">
        <v>12</v>
      </c>
      <c r="AI182" s="14" t="s">
        <v>13</v>
      </c>
      <c r="AJ182" s="15" t="s">
        <v>14</v>
      </c>
      <c r="AK182" s="14" t="s">
        <v>15</v>
      </c>
      <c r="AL182" s="14" t="s">
        <v>16</v>
      </c>
      <c r="AM182" s="16" t="s">
        <v>17</v>
      </c>
      <c r="AN182" s="17" t="s">
        <v>18</v>
      </c>
      <c r="AO182" s="18" t="s">
        <v>19</v>
      </c>
      <c r="AP182" s="19" t="s">
        <v>20</v>
      </c>
      <c r="AQ182" s="19" t="s">
        <v>21</v>
      </c>
      <c r="AR182" s="20" t="s">
        <v>22</v>
      </c>
    </row>
    <row r="183" ht="15.75" customHeight="1">
      <c r="A183" s="21"/>
      <c r="B183" s="38">
        <v>16.0</v>
      </c>
      <c r="C183" s="38" t="s">
        <v>42</v>
      </c>
      <c r="D183" s="39">
        <v>33.0</v>
      </c>
      <c r="E183" s="40">
        <f>IFERROR(__xludf.DUMMYFUNCTION("COUNT(IMPORTRANGE(""https://docs.google.com/spreadsheets/d/1uXtm-E8PG0CetlFmSpTX3RK0LNEMnpR-mxbET9AGD6w/edit"",""7!d2:d34""))"),33.0)</f>
        <v>33</v>
      </c>
      <c r="F183" s="45">
        <f>IFERROR(__xludf.DUMMYFUNCTION("SUM(IMPORTRANGE(""https://docs.google.com/spreadsheets/d/1uXtm-E8PG0CetlFmSpTX3RK0LNEMnpR-mxbET9AGD6w/edit"",""7!Q2:Q34""))"),6397.205999999997)</f>
        <v>6397.206</v>
      </c>
      <c r="G183" s="40">
        <f>IFERROR(__xludf.DUMMYFUNCTION("IMPORTRANGE(""https://docs.google.com/spreadsheets/d/1uXtm-E8PG0CetlFmSpTX3RK0LNEMnpR-mxbET9AGD6w/edit"",""7!e41"")"),2669.0)</f>
        <v>2669</v>
      </c>
      <c r="H183" s="40">
        <f>IFERROR(__xludf.DUMMYFUNCTION("IMPORTRANGE(""https://docs.google.com/spreadsheets/d/1uXtm-E8PG0CetlFmSpTX3RK0LNEMnpR-mxbET9AGD6w/edit"",""7!e42"")"),187.0)</f>
        <v>187</v>
      </c>
      <c r="I183" s="40">
        <f t="shared" si="465"/>
        <v>2856</v>
      </c>
      <c r="J183" s="40">
        <f>IFERROR(__xludf.DUMMYFUNCTION("IMPORTRANGE(""https://docs.google.com/spreadsheets/d/1uXtm-E8PG0CetlFmSpTX3RK0LNEMnpR-mxbET9AGD6w/edit"",""7!e45"")"),4237.0)</f>
        <v>4237</v>
      </c>
      <c r="K183" s="40">
        <f>IFERROR(__xludf.DUMMYFUNCTION("IMPORTRANGE(""https://docs.google.com/spreadsheets/d/1uXtm-E8PG0CetlFmSpTX3RK0LNEMnpR-mxbET9AGD6w/edit"",""7!e46"")"),211.0)</f>
        <v>211</v>
      </c>
      <c r="L183" s="40">
        <f t="shared" si="495"/>
        <v>4448</v>
      </c>
      <c r="M183" s="40">
        <f t="shared" si="467"/>
        <v>7304</v>
      </c>
      <c r="N183" s="41">
        <f t="shared" si="468"/>
        <v>193.8547273</v>
      </c>
      <c r="O183" s="38">
        <v>9877.0</v>
      </c>
      <c r="P183" s="42">
        <f t="shared" si="469"/>
        <v>0.7394957983</v>
      </c>
      <c r="Q183" s="43">
        <v>1.5</v>
      </c>
      <c r="R183" s="42">
        <f t="shared" si="470"/>
        <v>0.7611656297</v>
      </c>
      <c r="S183" s="44">
        <f t="shared" si="471"/>
        <v>1.141748445</v>
      </c>
      <c r="T183" s="43">
        <f>F183/26.155</f>
        <v>244.5882623</v>
      </c>
      <c r="U183" s="43">
        <f t="shared" si="472"/>
        <v>7.411765524</v>
      </c>
      <c r="V183" s="40">
        <f t="shared" si="473"/>
        <v>221.3333333</v>
      </c>
      <c r="X183" s="31">
        <v>1.0</v>
      </c>
      <c r="Y183" s="31" t="s">
        <v>26</v>
      </c>
      <c r="Z183" s="31">
        <f t="shared" ref="Z183:AI183" si="505">SUM(D168)</f>
        <v>20</v>
      </c>
      <c r="AA183" s="32">
        <f t="shared" si="505"/>
        <v>20</v>
      </c>
      <c r="AB183" s="34">
        <f t="shared" si="505"/>
        <v>3748.512</v>
      </c>
      <c r="AC183" s="32">
        <f t="shared" si="505"/>
        <v>1947</v>
      </c>
      <c r="AD183" s="32">
        <f t="shared" si="505"/>
        <v>0</v>
      </c>
      <c r="AE183" s="32">
        <f t="shared" si="505"/>
        <v>1947</v>
      </c>
      <c r="AF183" s="32">
        <f t="shared" si="505"/>
        <v>2481</v>
      </c>
      <c r="AG183" s="32">
        <f t="shared" si="505"/>
        <v>50</v>
      </c>
      <c r="AH183" s="32">
        <f t="shared" si="505"/>
        <v>2531</v>
      </c>
      <c r="AI183" s="32">
        <f t="shared" si="505"/>
        <v>4478</v>
      </c>
      <c r="AJ183" s="34">
        <f t="shared" ref="AJ183:AJ189" si="508">AB183/AA183</f>
        <v>187.4256</v>
      </c>
      <c r="AK183" s="31">
        <f>SUM(O168)</f>
        <v>5161</v>
      </c>
      <c r="AL183" s="35">
        <f t="shared" ref="AL183:AL189" si="509">AI183/AK183</f>
        <v>0.8676613059</v>
      </c>
      <c r="AM183" s="36">
        <f>SUM(Q168)</f>
        <v>1.5</v>
      </c>
      <c r="AN183" s="35">
        <f t="shared" ref="AN183:AN189" si="510">AO183/AM183</f>
        <v>0.7964049024</v>
      </c>
      <c r="AO183" s="37">
        <f t="shared" ref="AO183:AO189" si="511">AI183/AB183</f>
        <v>1.194607354</v>
      </c>
      <c r="AP183" s="36">
        <f t="shared" ref="AP183:AQ183" si="506">SUM(T168)</f>
        <v>260.0424558</v>
      </c>
      <c r="AQ183" s="36">
        <f t="shared" si="506"/>
        <v>13.00212279</v>
      </c>
      <c r="AR183" s="32">
        <f t="shared" ref="AR183:AR189" si="513">AI183/AA183</f>
        <v>223.9</v>
      </c>
    </row>
    <row r="184" ht="15.75" customHeight="1">
      <c r="A184" s="21"/>
      <c r="B184" s="38">
        <v>17.0</v>
      </c>
      <c r="C184" s="38" t="s">
        <v>29</v>
      </c>
      <c r="D184" s="39">
        <v>30.0</v>
      </c>
      <c r="E184" s="40">
        <f>IFERROR(__xludf.DUMMYFUNCTION("COUNT(IMPORTRANGE(""https://docs.google.com/spreadsheets/d/12xcKI0lSnAsjEsxfm9K8Qx0B_89Gzsh816mowItkQao/edit"",""7!d2:d31""))"),29.0)</f>
        <v>29</v>
      </c>
      <c r="F184" s="45">
        <f>IFERROR(__xludf.DUMMYFUNCTION("SUM(IMPORTRANGE(""https://docs.google.com/spreadsheets/d/12xcKI0lSnAsjEsxfm9K8Qx0B_89Gzsh816mowItkQao/edit"",""7!Q2:Q31""))"),5780.4360000000015)</f>
        <v>5780.436</v>
      </c>
      <c r="G184" s="40">
        <f>IFERROR(__xludf.DUMMYFUNCTION("IMPORTRANGE(""https://docs.google.com/spreadsheets/d/12xcKI0lSnAsjEsxfm9K8Qx0B_89Gzsh816mowItkQao/edit"",""7!e38"")"),2548.0)</f>
        <v>2548</v>
      </c>
      <c r="H184" s="40">
        <f>IFERROR(__xludf.DUMMYFUNCTION("IMPORTRANGE(""https://docs.google.com/spreadsheets/d/12xcKI0lSnAsjEsxfm9K8Qx0B_89Gzsh816mowItkQao/edit"",""7!e39"")"),0.0)</f>
        <v>0</v>
      </c>
      <c r="I184" s="40">
        <f t="shared" si="465"/>
        <v>2548</v>
      </c>
      <c r="J184" s="40">
        <f>IFERROR(__xludf.DUMMYFUNCTION("IMPORTRANGE(""https://docs.google.com/spreadsheets/d/12xcKI0lSnAsjEsxfm9K8Qx0B_89Gzsh816mowItkQao/edit"",""7!e42"")"),3713.0)</f>
        <v>3713</v>
      </c>
      <c r="K184" s="40">
        <f>IFERROR(__xludf.DUMMYFUNCTION("IMPORTRANGE(""https://docs.google.com/spreadsheets/d/12xcKI0lSnAsjEsxfm9K8Qx0B_89Gzsh816mowItkQao/edit"",""7!e43"")"),0.0)</f>
        <v>0</v>
      </c>
      <c r="L184" s="40">
        <f t="shared" si="495"/>
        <v>3713</v>
      </c>
      <c r="M184" s="40">
        <f t="shared" si="467"/>
        <v>6261</v>
      </c>
      <c r="N184" s="41">
        <f t="shared" si="468"/>
        <v>199.3253793</v>
      </c>
      <c r="O184" s="38">
        <v>9201.0</v>
      </c>
      <c r="P184" s="42">
        <f t="shared" si="469"/>
        <v>0.6804695142</v>
      </c>
      <c r="Q184" s="43">
        <v>1.5</v>
      </c>
      <c r="R184" s="42">
        <f t="shared" si="470"/>
        <v>0.7220908596</v>
      </c>
      <c r="S184" s="44">
        <f t="shared" si="471"/>
        <v>1.083136289</v>
      </c>
      <c r="T184" s="43">
        <f>F184/26.038</f>
        <v>222</v>
      </c>
      <c r="U184" s="43">
        <f t="shared" si="472"/>
        <v>7.655172414</v>
      </c>
      <c r="V184" s="40">
        <f t="shared" si="473"/>
        <v>215.8965517</v>
      </c>
      <c r="X184" s="31">
        <v>2.0</v>
      </c>
      <c r="Y184" s="31" t="s">
        <v>32</v>
      </c>
      <c r="Z184" s="31">
        <f t="shared" ref="Z184:AI184" si="507">SUM(D171)</f>
        <v>42</v>
      </c>
      <c r="AA184" s="32">
        <f t="shared" si="507"/>
        <v>42</v>
      </c>
      <c r="AB184" s="33">
        <f t="shared" si="507"/>
        <v>8215.573</v>
      </c>
      <c r="AC184" s="31">
        <f t="shared" si="507"/>
        <v>4401</v>
      </c>
      <c r="AD184" s="31">
        <f t="shared" si="507"/>
        <v>97</v>
      </c>
      <c r="AE184" s="32">
        <f t="shared" si="507"/>
        <v>4498</v>
      </c>
      <c r="AF184" s="31">
        <f t="shared" si="507"/>
        <v>5341</v>
      </c>
      <c r="AG184" s="31">
        <f t="shared" si="507"/>
        <v>60</v>
      </c>
      <c r="AH184" s="32">
        <f t="shared" si="507"/>
        <v>5401</v>
      </c>
      <c r="AI184" s="32">
        <f t="shared" si="507"/>
        <v>9899</v>
      </c>
      <c r="AJ184" s="34">
        <f t="shared" si="508"/>
        <v>195.608881</v>
      </c>
      <c r="AK184" s="31">
        <f>SUM(O171)</f>
        <v>13817</v>
      </c>
      <c r="AL184" s="35">
        <f t="shared" si="509"/>
        <v>0.7164362742</v>
      </c>
      <c r="AM184" s="36">
        <f>SUM(Q171)</f>
        <v>1.5</v>
      </c>
      <c r="AN184" s="35">
        <f t="shared" si="510"/>
        <v>0.8032712184</v>
      </c>
      <c r="AO184" s="37">
        <f t="shared" si="511"/>
        <v>1.204906828</v>
      </c>
      <c r="AP184" s="36">
        <f t="shared" ref="AP184:AQ184" si="512">SUM(T171)</f>
        <v>327.4571725</v>
      </c>
      <c r="AQ184" s="36">
        <f t="shared" si="512"/>
        <v>7.796599344</v>
      </c>
      <c r="AR184" s="32">
        <f t="shared" si="513"/>
        <v>235.6904762</v>
      </c>
    </row>
    <row r="185" ht="15.75" customHeight="1">
      <c r="A185" s="21"/>
      <c r="B185" s="38">
        <v>18.0</v>
      </c>
      <c r="C185" s="38" t="s">
        <v>31</v>
      </c>
      <c r="D185" s="39">
        <v>15.0</v>
      </c>
      <c r="E185" s="40">
        <f>IFERROR(__xludf.DUMMYFUNCTION("COUNT(IMPORTRANGE(""https://docs.google.com/spreadsheets/d/1fgCFOFzOla4Qim6_-zG-lbYhLCItqv_kZiAHoErRgcM/edit"",""7!d2:d16""))"),14.0)</f>
        <v>14</v>
      </c>
      <c r="F185" s="41">
        <f>IFERROR(__xludf.DUMMYFUNCTION("SUM(IMPORTRANGE(""https://docs.google.com/spreadsheets/d/1fgCFOFzOla4Qim6_-zG-lbYhLCItqv_kZiAHoErRgcM/edit"",""7!Q2:Q16""))"),2868.69)</f>
        <v>2868.69</v>
      </c>
      <c r="G185" s="40">
        <f>IFERROR(__xludf.DUMMYFUNCTION("IMPORTRANGE(""https://docs.google.com/spreadsheets/d/1fgCFOFzOla4Qim6_-zG-lbYhLCItqv_kZiAHoErRgcM/edit"",""7!e23"")"),784.0)</f>
        <v>784</v>
      </c>
      <c r="H185" s="40">
        <f>IFERROR(__xludf.DUMMYFUNCTION("IMPORTRANGE(""https://docs.google.com/spreadsheets/d/1fgCFOFzOla4Qim6_-zG-lbYhLCItqv_kZiAHoErRgcM/edit"",""7!e24"")"),67.0)</f>
        <v>67</v>
      </c>
      <c r="I185" s="40">
        <f t="shared" si="465"/>
        <v>851</v>
      </c>
      <c r="J185" s="40">
        <f>IFERROR(__xludf.DUMMYFUNCTION("IMPORTRANGE(""https://docs.google.com/spreadsheets/d/1fgCFOFzOla4Qim6_-zG-lbYhLCItqv_kZiAHoErRgcM/edit"",""7!e27"")"),1146.0)</f>
        <v>1146</v>
      </c>
      <c r="K185" s="40">
        <f>IFERROR(__xludf.DUMMYFUNCTION("IMPORTRANGE(""https://docs.google.com/spreadsheets/d/1fgCFOFzOla4Qim6_-zG-lbYhLCItqv_kZiAHoErRgcM/edit"",""7!e28"")"),0.0)</f>
        <v>0</v>
      </c>
      <c r="L185" s="40">
        <f t="shared" si="495"/>
        <v>1146</v>
      </c>
      <c r="M185" s="40">
        <f t="shared" si="467"/>
        <v>1997</v>
      </c>
      <c r="N185" s="41">
        <f t="shared" si="468"/>
        <v>204.9064286</v>
      </c>
      <c r="O185" s="38">
        <v>2717.0</v>
      </c>
      <c r="P185" s="42">
        <f t="shared" si="469"/>
        <v>0.7350018403</v>
      </c>
      <c r="Q185" s="43">
        <v>1.5</v>
      </c>
      <c r="R185" s="42">
        <f t="shared" si="470"/>
        <v>0.4640910427</v>
      </c>
      <c r="S185" s="44">
        <f t="shared" si="471"/>
        <v>0.6961365641</v>
      </c>
      <c r="T185" s="43">
        <f>F185/43.465</f>
        <v>66</v>
      </c>
      <c r="U185" s="43">
        <f t="shared" si="472"/>
        <v>4.714285714</v>
      </c>
      <c r="V185" s="40">
        <f t="shared" si="473"/>
        <v>142.6428571</v>
      </c>
      <c r="X185" s="31">
        <v>3.0</v>
      </c>
      <c r="Y185" s="31" t="s">
        <v>36</v>
      </c>
      <c r="Z185" s="31">
        <f t="shared" ref="Z185:AI185" si="514">SUM(D176)</f>
        <v>24</v>
      </c>
      <c r="AA185" s="32">
        <f t="shared" si="514"/>
        <v>24</v>
      </c>
      <c r="AB185" s="33">
        <f t="shared" si="514"/>
        <v>4745.194</v>
      </c>
      <c r="AC185" s="32">
        <f t="shared" si="514"/>
        <v>1342</v>
      </c>
      <c r="AD185" s="32">
        <f t="shared" si="514"/>
        <v>0</v>
      </c>
      <c r="AE185" s="32">
        <f t="shared" si="514"/>
        <v>1342</v>
      </c>
      <c r="AF185" s="32">
        <f t="shared" si="514"/>
        <v>2181</v>
      </c>
      <c r="AG185" s="32">
        <f t="shared" si="514"/>
        <v>0</v>
      </c>
      <c r="AH185" s="32">
        <f t="shared" si="514"/>
        <v>2181</v>
      </c>
      <c r="AI185" s="32">
        <f t="shared" si="514"/>
        <v>3523</v>
      </c>
      <c r="AJ185" s="34">
        <f t="shared" si="508"/>
        <v>197.7164167</v>
      </c>
      <c r="AK185" s="31">
        <f t="shared" ref="AK185:AK188" si="518">SUM(O176)</f>
        <v>4796</v>
      </c>
      <c r="AL185" s="35">
        <f t="shared" si="509"/>
        <v>0.7345704754</v>
      </c>
      <c r="AM185" s="36">
        <f t="shared" ref="AM185:AM188" si="519">SUM(Q176)</f>
        <v>1.5</v>
      </c>
      <c r="AN185" s="35">
        <f t="shared" si="510"/>
        <v>0.4949569326</v>
      </c>
      <c r="AO185" s="37">
        <f t="shared" si="511"/>
        <v>0.7424353988</v>
      </c>
      <c r="AP185" s="36">
        <f t="shared" ref="AP185:AQ185" si="515">SUM(T176)</f>
        <v>126.8293687</v>
      </c>
      <c r="AQ185" s="36">
        <f t="shared" si="515"/>
        <v>5.284557029</v>
      </c>
      <c r="AR185" s="32">
        <f t="shared" si="513"/>
        <v>146.7916667</v>
      </c>
    </row>
    <row r="186" ht="15.75" customHeight="1">
      <c r="A186" s="21"/>
      <c r="B186" s="60" t="s">
        <v>33</v>
      </c>
      <c r="C186" s="60">
        <v>18.0</v>
      </c>
      <c r="D186" s="60">
        <f t="shared" ref="D186:M186" si="516">SUM(D168:D185)</f>
        <v>580</v>
      </c>
      <c r="E186" s="61">
        <f t="shared" si="516"/>
        <v>567</v>
      </c>
      <c r="F186" s="62">
        <f t="shared" si="516"/>
        <v>110485.247</v>
      </c>
      <c r="G186" s="61">
        <f t="shared" si="516"/>
        <v>37271</v>
      </c>
      <c r="H186" s="61">
        <f t="shared" si="516"/>
        <v>1564</v>
      </c>
      <c r="I186" s="61">
        <f t="shared" si="516"/>
        <v>38835</v>
      </c>
      <c r="J186" s="61">
        <f t="shared" si="516"/>
        <v>50968</v>
      </c>
      <c r="K186" s="61">
        <f t="shared" si="516"/>
        <v>1317</v>
      </c>
      <c r="L186" s="61">
        <f t="shared" si="516"/>
        <v>52285</v>
      </c>
      <c r="M186" s="61">
        <f t="shared" si="516"/>
        <v>91120</v>
      </c>
      <c r="N186" s="62">
        <f t="shared" si="468"/>
        <v>194.8593422</v>
      </c>
      <c r="O186" s="60">
        <f>SUM(O168:O185)</f>
        <v>126399</v>
      </c>
      <c r="P186" s="63">
        <f t="shared" si="469"/>
        <v>0.7208917792</v>
      </c>
      <c r="Q186" s="64">
        <v>1.5</v>
      </c>
      <c r="R186" s="63">
        <f t="shared" si="470"/>
        <v>0.5498169965</v>
      </c>
      <c r="S186" s="65">
        <f t="shared" si="471"/>
        <v>0.8247254948</v>
      </c>
      <c r="T186" s="64">
        <f>SUM(T168:T185)</f>
        <v>4083.837131</v>
      </c>
      <c r="U186" s="64">
        <f t="shared" si="472"/>
        <v>7.202534623</v>
      </c>
      <c r="V186" s="61">
        <f t="shared" si="473"/>
        <v>160.7054674</v>
      </c>
      <c r="X186" s="31">
        <v>4.0</v>
      </c>
      <c r="Y186" s="31" t="s">
        <v>37</v>
      </c>
      <c r="Z186" s="31">
        <f t="shared" ref="Z186:AI186" si="517">SUM(D177)</f>
        <v>30</v>
      </c>
      <c r="AA186" s="32">
        <f t="shared" si="517"/>
        <v>29</v>
      </c>
      <c r="AB186" s="33">
        <f t="shared" si="517"/>
        <v>5622.99</v>
      </c>
      <c r="AC186" s="32">
        <f t="shared" si="517"/>
        <v>2006</v>
      </c>
      <c r="AD186" s="32">
        <f t="shared" si="517"/>
        <v>50</v>
      </c>
      <c r="AE186" s="32">
        <f t="shared" si="517"/>
        <v>2056</v>
      </c>
      <c r="AF186" s="32">
        <f t="shared" si="517"/>
        <v>2554</v>
      </c>
      <c r="AG186" s="32">
        <f t="shared" si="517"/>
        <v>108</v>
      </c>
      <c r="AH186" s="32">
        <f t="shared" si="517"/>
        <v>2662</v>
      </c>
      <c r="AI186" s="32">
        <f t="shared" si="517"/>
        <v>4718</v>
      </c>
      <c r="AJ186" s="34">
        <f t="shared" si="508"/>
        <v>193.8962069</v>
      </c>
      <c r="AK186" s="31">
        <f t="shared" si="518"/>
        <v>5887</v>
      </c>
      <c r="AL186" s="35">
        <f t="shared" si="509"/>
        <v>0.8014268728</v>
      </c>
      <c r="AM186" s="36">
        <f t="shared" si="519"/>
        <v>1.5</v>
      </c>
      <c r="AN186" s="35">
        <f t="shared" si="510"/>
        <v>0.559370252</v>
      </c>
      <c r="AO186" s="37">
        <f t="shared" si="511"/>
        <v>0.839055378</v>
      </c>
      <c r="AP186" s="36">
        <f t="shared" ref="AP186:AQ186" si="520">SUM(T177)</f>
        <v>226.8066312</v>
      </c>
      <c r="AQ186" s="36">
        <f t="shared" si="520"/>
        <v>7.820918316</v>
      </c>
      <c r="AR186" s="32">
        <f t="shared" si="513"/>
        <v>162.6896552</v>
      </c>
    </row>
    <row r="187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X187" s="31">
        <v>5.0</v>
      </c>
      <c r="Y187" s="31" t="s">
        <v>39</v>
      </c>
      <c r="Z187" s="31">
        <f t="shared" ref="Z187:AI187" si="521">SUM(D178)</f>
        <v>28</v>
      </c>
      <c r="AA187" s="32">
        <f t="shared" si="521"/>
        <v>28</v>
      </c>
      <c r="AB187" s="33">
        <f t="shared" si="521"/>
        <v>5501.804</v>
      </c>
      <c r="AC187" s="32">
        <f t="shared" si="521"/>
        <v>1166</v>
      </c>
      <c r="AD187" s="32">
        <f t="shared" si="521"/>
        <v>50</v>
      </c>
      <c r="AE187" s="32">
        <f t="shared" si="521"/>
        <v>1216</v>
      </c>
      <c r="AF187" s="32">
        <f t="shared" si="521"/>
        <v>1968</v>
      </c>
      <c r="AG187" s="32">
        <f t="shared" si="521"/>
        <v>0</v>
      </c>
      <c r="AH187" s="32">
        <f t="shared" si="521"/>
        <v>1968</v>
      </c>
      <c r="AI187" s="32">
        <f t="shared" si="521"/>
        <v>3184</v>
      </c>
      <c r="AJ187" s="34">
        <f t="shared" si="508"/>
        <v>196.493</v>
      </c>
      <c r="AK187" s="31">
        <f t="shared" si="518"/>
        <v>3569</v>
      </c>
      <c r="AL187" s="35">
        <f t="shared" si="509"/>
        <v>0.8921266461</v>
      </c>
      <c r="AM187" s="36">
        <f t="shared" si="519"/>
        <v>1.5</v>
      </c>
      <c r="AN187" s="35">
        <f t="shared" si="510"/>
        <v>0.3858128473</v>
      </c>
      <c r="AO187" s="37">
        <f t="shared" si="511"/>
        <v>0.578719271</v>
      </c>
      <c r="AP187" s="36">
        <f t="shared" ref="AP187:AQ187" si="522">SUM(T178)</f>
        <v>256.339002</v>
      </c>
      <c r="AQ187" s="36">
        <f t="shared" si="522"/>
        <v>9.154964357</v>
      </c>
      <c r="AR187" s="32">
        <f t="shared" si="513"/>
        <v>113.7142857</v>
      </c>
    </row>
    <row r="188" ht="15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X188" s="31">
        <v>6.0</v>
      </c>
      <c r="Y188" s="31" t="s">
        <v>41</v>
      </c>
      <c r="Z188" s="31">
        <f t="shared" ref="Z188:AI188" si="523">SUM(D179)</f>
        <v>24</v>
      </c>
      <c r="AA188" s="32">
        <f t="shared" si="523"/>
        <v>23</v>
      </c>
      <c r="AB188" s="33">
        <f t="shared" si="523"/>
        <v>4585.756</v>
      </c>
      <c r="AC188" s="32">
        <f t="shared" si="523"/>
        <v>1072</v>
      </c>
      <c r="AD188" s="32">
        <f t="shared" si="523"/>
        <v>96</v>
      </c>
      <c r="AE188" s="32">
        <f t="shared" si="523"/>
        <v>1168</v>
      </c>
      <c r="AF188" s="32">
        <f t="shared" si="523"/>
        <v>1577</v>
      </c>
      <c r="AG188" s="32">
        <f t="shared" si="523"/>
        <v>102</v>
      </c>
      <c r="AH188" s="32">
        <f t="shared" si="523"/>
        <v>1679</v>
      </c>
      <c r="AI188" s="32">
        <f t="shared" si="523"/>
        <v>2847</v>
      </c>
      <c r="AJ188" s="34">
        <f t="shared" si="508"/>
        <v>199.3806957</v>
      </c>
      <c r="AK188" s="31">
        <f t="shared" si="518"/>
        <v>3801</v>
      </c>
      <c r="AL188" s="35">
        <f t="shared" si="509"/>
        <v>0.7490134175</v>
      </c>
      <c r="AM188" s="36">
        <f t="shared" si="519"/>
        <v>1.5</v>
      </c>
      <c r="AN188" s="35">
        <f t="shared" si="510"/>
        <v>0.413890316</v>
      </c>
      <c r="AO188" s="37">
        <f t="shared" si="511"/>
        <v>0.620835474</v>
      </c>
      <c r="AP188" s="36">
        <f t="shared" ref="AP188:AQ188" si="524">SUM(T179)</f>
        <v>154.7777778</v>
      </c>
      <c r="AQ188" s="36">
        <f t="shared" si="524"/>
        <v>6.729468599</v>
      </c>
      <c r="AR188" s="32">
        <f t="shared" si="513"/>
        <v>123.7826087</v>
      </c>
    </row>
    <row r="189" ht="15.75" customHeight="1">
      <c r="A189" s="1" t="s">
        <v>45</v>
      </c>
      <c r="D189" s="2"/>
      <c r="X189" s="46" t="s">
        <v>33</v>
      </c>
      <c r="Y189" s="46">
        <v>6.0</v>
      </c>
      <c r="Z189" s="46">
        <f t="shared" ref="Z189:AI189" si="525">SUM(Z183:Z188)</f>
        <v>168</v>
      </c>
      <c r="AA189" s="47">
        <f t="shared" si="525"/>
        <v>166</v>
      </c>
      <c r="AB189" s="49">
        <f t="shared" si="525"/>
        <v>32419.829</v>
      </c>
      <c r="AC189" s="47">
        <f t="shared" si="525"/>
        <v>11934</v>
      </c>
      <c r="AD189" s="47">
        <f t="shared" si="525"/>
        <v>293</v>
      </c>
      <c r="AE189" s="47">
        <f t="shared" si="525"/>
        <v>12227</v>
      </c>
      <c r="AF189" s="47">
        <f t="shared" si="525"/>
        <v>16102</v>
      </c>
      <c r="AG189" s="47">
        <f t="shared" si="525"/>
        <v>320</v>
      </c>
      <c r="AH189" s="47">
        <f t="shared" si="525"/>
        <v>16422</v>
      </c>
      <c r="AI189" s="47">
        <f t="shared" si="525"/>
        <v>28649</v>
      </c>
      <c r="AJ189" s="49">
        <f t="shared" si="508"/>
        <v>195.3001747</v>
      </c>
      <c r="AK189" s="46">
        <f>SUM(AK183:AK188)</f>
        <v>37031</v>
      </c>
      <c r="AL189" s="50">
        <f t="shared" si="509"/>
        <v>0.7736491048</v>
      </c>
      <c r="AM189" s="51">
        <v>1.5</v>
      </c>
      <c r="AN189" s="50">
        <f t="shared" si="510"/>
        <v>0.5891250485</v>
      </c>
      <c r="AO189" s="52">
        <f t="shared" si="511"/>
        <v>0.8836875728</v>
      </c>
      <c r="AP189" s="51">
        <f>SUM(AP183:AP188)</f>
        <v>1352.252408</v>
      </c>
      <c r="AQ189" s="51">
        <f>AP189/AA189</f>
        <v>8.146098843</v>
      </c>
      <c r="AR189" s="47">
        <f t="shared" si="513"/>
        <v>172.5843373</v>
      </c>
    </row>
    <row r="190" ht="15.75" customHeight="1">
      <c r="A190" s="1" t="s">
        <v>45</v>
      </c>
      <c r="D190" s="2"/>
      <c r="X190" s="66" t="s">
        <v>1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6"/>
    </row>
    <row r="191" ht="15.75" customHeight="1">
      <c r="A191" s="7">
        <v>46211.0</v>
      </c>
      <c r="B191" s="8" t="s">
        <v>2</v>
      </c>
      <c r="C191" s="8" t="s">
        <v>3</v>
      </c>
      <c r="D191" s="8" t="s">
        <v>4</v>
      </c>
      <c r="E191" s="8" t="s">
        <v>5</v>
      </c>
      <c r="F191" s="9" t="s">
        <v>6</v>
      </c>
      <c r="G191" s="8" t="s">
        <v>7</v>
      </c>
      <c r="H191" s="8" t="s">
        <v>8</v>
      </c>
      <c r="I191" s="8" t="s">
        <v>9</v>
      </c>
      <c r="J191" s="8" t="s">
        <v>10</v>
      </c>
      <c r="K191" s="8" t="s">
        <v>11</v>
      </c>
      <c r="L191" s="8" t="s">
        <v>12</v>
      </c>
      <c r="M191" s="8" t="s">
        <v>13</v>
      </c>
      <c r="N191" s="9" t="s">
        <v>14</v>
      </c>
      <c r="O191" s="8" t="s">
        <v>15</v>
      </c>
      <c r="P191" s="8" t="s">
        <v>16</v>
      </c>
      <c r="Q191" s="8" t="s">
        <v>17</v>
      </c>
      <c r="R191" s="8" t="s">
        <v>18</v>
      </c>
      <c r="S191" s="11" t="s">
        <v>19</v>
      </c>
      <c r="T191" s="12" t="s">
        <v>20</v>
      </c>
      <c r="U191" s="12" t="s">
        <v>21</v>
      </c>
      <c r="V191" s="13" t="s">
        <v>22</v>
      </c>
      <c r="X191" s="14" t="s">
        <v>2</v>
      </c>
      <c r="Y191" s="14" t="s">
        <v>3</v>
      </c>
      <c r="Z191" s="14" t="s">
        <v>4</v>
      </c>
      <c r="AA191" s="14" t="s">
        <v>5</v>
      </c>
      <c r="AB191" s="15" t="s">
        <v>6</v>
      </c>
      <c r="AC191" s="14" t="s">
        <v>7</v>
      </c>
      <c r="AD191" s="14" t="s">
        <v>8</v>
      </c>
      <c r="AE191" s="14" t="s">
        <v>9</v>
      </c>
      <c r="AF191" s="14" t="s">
        <v>10</v>
      </c>
      <c r="AG191" s="14" t="s">
        <v>11</v>
      </c>
      <c r="AH191" s="14" t="s">
        <v>12</v>
      </c>
      <c r="AI191" s="14" t="s">
        <v>13</v>
      </c>
      <c r="AJ191" s="15" t="s">
        <v>14</v>
      </c>
      <c r="AK191" s="14" t="s">
        <v>15</v>
      </c>
      <c r="AL191" s="14" t="s">
        <v>16</v>
      </c>
      <c r="AM191" s="16" t="s">
        <v>17</v>
      </c>
      <c r="AN191" s="17" t="s">
        <v>18</v>
      </c>
      <c r="AO191" s="18" t="s">
        <v>19</v>
      </c>
      <c r="AP191" s="19" t="s">
        <v>20</v>
      </c>
      <c r="AQ191" s="19" t="s">
        <v>21</v>
      </c>
      <c r="AR191" s="20" t="s">
        <v>22</v>
      </c>
    </row>
    <row r="19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X192" s="22">
        <v>1.0</v>
      </c>
      <c r="Y192" s="22" t="s">
        <v>23</v>
      </c>
      <c r="Z192" s="22">
        <f t="shared" ref="Z192:AI192" si="526">SUM(D200)</f>
        <v>35</v>
      </c>
      <c r="AA192" s="23">
        <f t="shared" si="526"/>
        <v>34</v>
      </c>
      <c r="AB192" s="24">
        <f t="shared" si="526"/>
        <v>6646.78</v>
      </c>
      <c r="AC192" s="23">
        <f t="shared" si="526"/>
        <v>1755</v>
      </c>
      <c r="AD192" s="23">
        <f t="shared" si="526"/>
        <v>0</v>
      </c>
      <c r="AE192" s="23">
        <f t="shared" si="526"/>
        <v>1755</v>
      </c>
      <c r="AF192" s="23">
        <f t="shared" si="526"/>
        <v>2818</v>
      </c>
      <c r="AG192" s="23">
        <f t="shared" si="526"/>
        <v>101</v>
      </c>
      <c r="AH192" s="23">
        <f t="shared" si="526"/>
        <v>2919</v>
      </c>
      <c r="AI192" s="23">
        <f t="shared" si="526"/>
        <v>4674</v>
      </c>
      <c r="AJ192" s="25">
        <f t="shared" ref="AJ192:AJ194" si="529">AB192/AA192</f>
        <v>195.4935294</v>
      </c>
      <c r="AK192" s="22">
        <f>SUM(O200)</f>
        <v>6853</v>
      </c>
      <c r="AL192" s="26">
        <f t="shared" ref="AL192:AL198" si="530">AI192/AK192</f>
        <v>0.6820370641</v>
      </c>
      <c r="AM192" s="27">
        <f t="shared" ref="AM192:AM194" si="531">SUM(Q200)</f>
        <v>1.5</v>
      </c>
      <c r="AN192" s="26">
        <f t="shared" ref="AN192:AN198" si="532">AO192/AM192</f>
        <v>0.4687984257</v>
      </c>
      <c r="AO192" s="28">
        <f t="shared" ref="AO192:AO198" si="533">AI192/AB192</f>
        <v>0.7031976386</v>
      </c>
      <c r="AP192" s="27">
        <f t="shared" ref="AP192:AQ192" si="527">SUM(T200)</f>
        <v>197</v>
      </c>
      <c r="AQ192" s="27">
        <f t="shared" si="527"/>
        <v>5.794117647</v>
      </c>
      <c r="AR192" s="23">
        <f t="shared" ref="AR192:AR198" si="535">AI192/AA192</f>
        <v>137.4705882</v>
      </c>
    </row>
    <row r="193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X193" s="22">
        <v>2.0</v>
      </c>
      <c r="Y193" s="22" t="s">
        <v>24</v>
      </c>
      <c r="Z193" s="22">
        <f t="shared" ref="Z193:AI193" si="528">SUM(D201)</f>
        <v>44</v>
      </c>
      <c r="AA193" s="23">
        <f t="shared" si="528"/>
        <v>43</v>
      </c>
      <c r="AB193" s="24">
        <f t="shared" si="528"/>
        <v>7404.197</v>
      </c>
      <c r="AC193" s="23">
        <f t="shared" si="528"/>
        <v>964</v>
      </c>
      <c r="AD193" s="23">
        <f t="shared" si="528"/>
        <v>0</v>
      </c>
      <c r="AE193" s="23">
        <f t="shared" si="528"/>
        <v>964</v>
      </c>
      <c r="AF193" s="23">
        <f t="shared" si="528"/>
        <v>1257</v>
      </c>
      <c r="AG193" s="23">
        <f t="shared" si="528"/>
        <v>0</v>
      </c>
      <c r="AH193" s="23">
        <f t="shared" si="528"/>
        <v>1257</v>
      </c>
      <c r="AI193" s="23">
        <f t="shared" si="528"/>
        <v>2221</v>
      </c>
      <c r="AJ193" s="25">
        <f t="shared" si="529"/>
        <v>172.1906279</v>
      </c>
      <c r="AK193" s="22">
        <v>1580.0</v>
      </c>
      <c r="AL193" s="29">
        <f t="shared" si="530"/>
        <v>1.405696203</v>
      </c>
      <c r="AM193" s="27">
        <f t="shared" si="531"/>
        <v>1.5</v>
      </c>
      <c r="AN193" s="26">
        <f t="shared" si="532"/>
        <v>0.1999766709</v>
      </c>
      <c r="AO193" s="28">
        <f t="shared" si="533"/>
        <v>0.2999650063</v>
      </c>
      <c r="AP193" s="27">
        <f t="shared" ref="AP193:AQ193" si="534">SUM(T201)</f>
        <v>276.224473</v>
      </c>
      <c r="AQ193" s="27">
        <f t="shared" si="534"/>
        <v>6.423824955</v>
      </c>
      <c r="AR193" s="23">
        <f t="shared" si="535"/>
        <v>51.65116279</v>
      </c>
    </row>
    <row r="194" ht="15.75" customHeight="1">
      <c r="A194" s="21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X194" s="31">
        <v>3.0</v>
      </c>
      <c r="Y194" s="31" t="s">
        <v>25</v>
      </c>
      <c r="Z194" s="31">
        <f t="shared" ref="Z194:AI194" si="536">SUM(D202)</f>
        <v>32</v>
      </c>
      <c r="AA194" s="32">
        <f t="shared" si="536"/>
        <v>30</v>
      </c>
      <c r="AB194" s="33">
        <f t="shared" si="536"/>
        <v>5949.876</v>
      </c>
      <c r="AC194" s="32">
        <f t="shared" si="536"/>
        <v>2159</v>
      </c>
      <c r="AD194" s="32">
        <f t="shared" si="536"/>
        <v>442</v>
      </c>
      <c r="AE194" s="32">
        <f t="shared" si="536"/>
        <v>2601</v>
      </c>
      <c r="AF194" s="32">
        <f t="shared" si="536"/>
        <v>2841</v>
      </c>
      <c r="AG194" s="32">
        <f t="shared" si="536"/>
        <v>398</v>
      </c>
      <c r="AH194" s="32">
        <f t="shared" si="536"/>
        <v>3239</v>
      </c>
      <c r="AI194" s="32">
        <f t="shared" si="536"/>
        <v>5840</v>
      </c>
      <c r="AJ194" s="34">
        <f t="shared" si="529"/>
        <v>198.3292</v>
      </c>
      <c r="AK194" s="31">
        <f>SUM(O202)</f>
        <v>6622</v>
      </c>
      <c r="AL194" s="35">
        <f t="shared" si="530"/>
        <v>0.8819087889</v>
      </c>
      <c r="AM194" s="36">
        <f t="shared" si="531"/>
        <v>1.5</v>
      </c>
      <c r="AN194" s="35">
        <f t="shared" si="532"/>
        <v>0.6543553737</v>
      </c>
      <c r="AO194" s="37">
        <f t="shared" si="533"/>
        <v>0.9815330605</v>
      </c>
      <c r="AP194" s="36">
        <f t="shared" ref="AP194:AQ194" si="537">SUM(T202)</f>
        <v>249.5753356</v>
      </c>
      <c r="AQ194" s="36">
        <f t="shared" si="537"/>
        <v>8.319177852</v>
      </c>
      <c r="AR194" s="32">
        <f t="shared" si="535"/>
        <v>194.6666667</v>
      </c>
    </row>
    <row r="195" ht="15.75" customHeight="1">
      <c r="A195" s="21"/>
      <c r="B195" s="38">
        <v>1.0</v>
      </c>
      <c r="C195" s="38" t="s">
        <v>26</v>
      </c>
      <c r="D195" s="39">
        <v>20.0</v>
      </c>
      <c r="E195" s="40">
        <f>IFERROR(__xludf.DUMMYFUNCTION("COUNT(IMPORTRANGE(""https://docs.google.com/spreadsheets/d/1z0o91thOT38lgejTE_Bd2p3v_9VCDdQRkUsMIVqpQCk/edit"",""8!d2:d21""))"),20.0)</f>
        <v>20</v>
      </c>
      <c r="F195" s="41">
        <f>IFERROR(__xludf.DUMMYFUNCTION("SUM(IMPORTRANGE(""https://docs.google.com/spreadsheets/d/1z0o91thOT38lgejTE_Bd2p3v_9VCDdQRkUsMIVqpQCk/edit"",""8!Q2:Q21""))"),3892.662)</f>
        <v>3892.662</v>
      </c>
      <c r="G195" s="40">
        <f>IFERROR(__xludf.DUMMYFUNCTION("IMPORTRANGE(""https://docs.google.com/spreadsheets/d/1z0o91thOT38lgejTE_Bd2p3v_9VCDdQRkUsMIVqpQCk/edit"",""8!e28"")"),1815.0)</f>
        <v>1815</v>
      </c>
      <c r="H195" s="40">
        <f>IFERROR(__xludf.DUMMYFUNCTION("IMPORTRANGE(""https://docs.google.com/spreadsheets/d/1z0o91thOT38lgejTE_Bd2p3v_9VCDdQRkUsMIVqpQCk/edit"",""8!e29"")"),0.0)</f>
        <v>0</v>
      </c>
      <c r="I195" s="40">
        <f t="shared" ref="I195:I212" si="540">SUM(G195:H195)</f>
        <v>1815</v>
      </c>
      <c r="J195" s="40">
        <f>IFERROR(__xludf.DUMMYFUNCTION("IMPORTRANGE(""https://docs.google.com/spreadsheets/d/1z0o91thOT38lgejTE_Bd2p3v_9VCDdQRkUsMIVqpQCk/edit"",""8!e32"")"),2642.0)</f>
        <v>2642</v>
      </c>
      <c r="K195" s="40">
        <f>IFERROR(__xludf.DUMMYFUNCTION("IMPORTRANGE(""https://docs.google.com/spreadsheets/d/1z0o91thOT38lgejTE_Bd2p3v_9VCDdQRkUsMIVqpQCk/edit"",""8!e33"")"),0.0)</f>
        <v>0</v>
      </c>
      <c r="L195" s="40">
        <f t="shared" ref="L195:L201" si="541">SUM(J195:K195)</f>
        <v>2642</v>
      </c>
      <c r="M195" s="40">
        <f t="shared" ref="M195:M212" si="542">SUM(I195+L195)</f>
        <v>4457</v>
      </c>
      <c r="N195" s="41">
        <f t="shared" ref="N195:N213" si="543">F195/E195</f>
        <v>194.6331</v>
      </c>
      <c r="O195" s="38">
        <v>5161.0</v>
      </c>
      <c r="P195" s="42">
        <f t="shared" ref="P195:P213" si="544">M195/O195</f>
        <v>0.8635923271</v>
      </c>
      <c r="Q195" s="43">
        <v>1.5</v>
      </c>
      <c r="R195" s="42">
        <f t="shared" ref="R195:R213" si="545">S195/Q195</f>
        <v>0.7633165513</v>
      </c>
      <c r="S195" s="44">
        <f t="shared" ref="S195:S213" si="546">M195/F195</f>
        <v>1.144974827</v>
      </c>
      <c r="T195" s="43">
        <f>F195/14.415</f>
        <v>270.0424558</v>
      </c>
      <c r="U195" s="43">
        <f t="shared" ref="U195:U213" si="547">T195/E195</f>
        <v>13.50212279</v>
      </c>
      <c r="V195" s="40">
        <f t="shared" ref="V195:V213" si="548">M195/E195</f>
        <v>222.85</v>
      </c>
      <c r="X195" s="22">
        <v>4.0</v>
      </c>
      <c r="Y195" s="22" t="s">
        <v>27</v>
      </c>
      <c r="Z195" s="22">
        <f t="shared" ref="Z195:AK195" si="538">SUM(D208)</f>
        <v>30</v>
      </c>
      <c r="AA195" s="23">
        <f t="shared" si="538"/>
        <v>29</v>
      </c>
      <c r="AB195" s="24">
        <f t="shared" si="538"/>
        <v>5245.925</v>
      </c>
      <c r="AC195" s="23">
        <f t="shared" si="538"/>
        <v>1868</v>
      </c>
      <c r="AD195" s="23">
        <f t="shared" si="538"/>
        <v>92</v>
      </c>
      <c r="AE195" s="23">
        <f t="shared" si="538"/>
        <v>1960</v>
      </c>
      <c r="AF195" s="23">
        <f t="shared" si="538"/>
        <v>2874</v>
      </c>
      <c r="AG195" s="23">
        <f t="shared" si="538"/>
        <v>106</v>
      </c>
      <c r="AH195" s="23">
        <f t="shared" si="538"/>
        <v>2980</v>
      </c>
      <c r="AI195" s="23">
        <f t="shared" si="538"/>
        <v>4940</v>
      </c>
      <c r="AJ195" s="25">
        <f t="shared" si="538"/>
        <v>180.8939655</v>
      </c>
      <c r="AK195" s="22">
        <f t="shared" si="538"/>
        <v>8101</v>
      </c>
      <c r="AL195" s="26">
        <f t="shared" si="530"/>
        <v>0.6098012591</v>
      </c>
      <c r="AM195" s="27">
        <f>SUM(Q208)</f>
        <v>1.5</v>
      </c>
      <c r="AN195" s="26">
        <f t="shared" si="532"/>
        <v>0.627788871</v>
      </c>
      <c r="AO195" s="28">
        <f t="shared" si="533"/>
        <v>0.9416833066</v>
      </c>
      <c r="AP195" s="27">
        <f t="shared" ref="AP195:AQ195" si="539">SUM(T208)</f>
        <v>262.4931198</v>
      </c>
      <c r="AQ195" s="27">
        <f t="shared" si="539"/>
        <v>9.051486891</v>
      </c>
      <c r="AR195" s="23">
        <f t="shared" si="535"/>
        <v>170.3448276</v>
      </c>
    </row>
    <row r="196" ht="15.75" customHeight="1">
      <c r="A196" s="21"/>
      <c r="B196" s="38">
        <v>2.0</v>
      </c>
      <c r="C196" s="38" t="s">
        <v>28</v>
      </c>
      <c r="D196" s="39">
        <v>33.0</v>
      </c>
      <c r="E196" s="40">
        <f>IFERROR(__xludf.DUMMYFUNCTION("COUNT(IMPORTRANGE(""https://docs.google.com/spreadsheets/d/10a85iNN0y9GF6ngQfF1JXGAzFk-T7ywH4-TZtQcOTaE/edit"",""8!d2:d34""))"),32.0)</f>
        <v>32</v>
      </c>
      <c r="F196" s="41">
        <f>IFERROR(__xludf.DUMMYFUNCTION("SUM(IMPORTRANGE(""https://docs.google.com/spreadsheets/d/10a85iNN0y9GF6ngQfF1JXGAzFk-T7ywH4-TZtQcOTaE/edit"",""8!Q2:Q34""))"),6281.656999999999)</f>
        <v>6281.657</v>
      </c>
      <c r="G196" s="40">
        <f>IFERROR(__xludf.DUMMYFUNCTION("IMPORTRANGE(""https://docs.google.com/spreadsheets/d/10a85iNN0y9GF6ngQfF1JXGAzFk-T7ywH4-TZtQcOTaE/edit"",""8!e41"")"),1938.0)</f>
        <v>1938</v>
      </c>
      <c r="H196" s="40">
        <f>IFERROR(__xludf.DUMMYFUNCTION("IMPORTRANGE(""https://docs.google.com/spreadsheets/d/10a85iNN0y9GF6ngQfF1JXGAzFk-T7ywH4-TZtQcOTaE/edit"",""8!e42"")"),142.0)</f>
        <v>142</v>
      </c>
      <c r="I196" s="40">
        <f t="shared" si="540"/>
        <v>2080</v>
      </c>
      <c r="J196" s="40">
        <f>IFERROR(__xludf.DUMMYFUNCTION("IMPORTRANGE(""https://docs.google.com/spreadsheets/d/10a85iNN0y9GF6ngQfF1JXGAzFk-T7ywH4-TZtQcOTaE/edit"",""8!e45"")"),2553.0)</f>
        <v>2553</v>
      </c>
      <c r="K196" s="40">
        <f>IFERROR(__xludf.DUMMYFUNCTION("IMPORTRANGE(""https://docs.google.com/spreadsheets/d/10a85iNN0y9GF6ngQfF1JXGAzFk-T7ywH4-TZtQcOTaE/edit"",""8!e46"")"),273.0)</f>
        <v>273</v>
      </c>
      <c r="L196" s="40">
        <f t="shared" si="541"/>
        <v>2826</v>
      </c>
      <c r="M196" s="40">
        <f t="shared" si="542"/>
        <v>4906</v>
      </c>
      <c r="N196" s="41">
        <f t="shared" si="543"/>
        <v>196.3017813</v>
      </c>
      <c r="O196" s="38">
        <v>7315.0</v>
      </c>
      <c r="P196" s="42">
        <f t="shared" si="544"/>
        <v>0.6706766917</v>
      </c>
      <c r="Q196" s="43">
        <v>1.5</v>
      </c>
      <c r="R196" s="42">
        <f t="shared" si="545"/>
        <v>0.5206694136</v>
      </c>
      <c r="S196" s="44">
        <f t="shared" si="546"/>
        <v>0.7810041204</v>
      </c>
      <c r="T196" s="43">
        <f>F196/30.897</f>
        <v>203.3096093</v>
      </c>
      <c r="U196" s="43">
        <f t="shared" si="547"/>
        <v>6.353425292</v>
      </c>
      <c r="V196" s="40">
        <f t="shared" si="548"/>
        <v>153.3125</v>
      </c>
      <c r="X196" s="22">
        <v>5.0</v>
      </c>
      <c r="Y196" s="22" t="s">
        <v>29</v>
      </c>
      <c r="Z196" s="22">
        <f t="shared" ref="Z196:AI196" si="549">SUM(D211)</f>
        <v>30</v>
      </c>
      <c r="AA196" s="23">
        <f t="shared" si="549"/>
        <v>29</v>
      </c>
      <c r="AB196" s="24">
        <f t="shared" si="549"/>
        <v>5832.512</v>
      </c>
      <c r="AC196" s="23">
        <f t="shared" si="549"/>
        <v>2425</v>
      </c>
      <c r="AD196" s="23">
        <f t="shared" si="549"/>
        <v>0</v>
      </c>
      <c r="AE196" s="23">
        <f t="shared" si="549"/>
        <v>2425</v>
      </c>
      <c r="AF196" s="23">
        <f t="shared" si="549"/>
        <v>3165</v>
      </c>
      <c r="AG196" s="23">
        <f t="shared" si="549"/>
        <v>0</v>
      </c>
      <c r="AH196" s="23">
        <f t="shared" si="549"/>
        <v>3165</v>
      </c>
      <c r="AI196" s="23">
        <f t="shared" si="549"/>
        <v>5590</v>
      </c>
      <c r="AJ196" s="25">
        <f t="shared" ref="AJ196:AJ198" si="552">AB196/AA196</f>
        <v>201.1211034</v>
      </c>
      <c r="AK196" s="22">
        <f t="shared" ref="AK196:AK197" si="553">SUM(O211)</f>
        <v>9201</v>
      </c>
      <c r="AL196" s="26">
        <f t="shared" si="530"/>
        <v>0.6075426584</v>
      </c>
      <c r="AM196" s="27">
        <f t="shared" ref="AM196:AM197" si="554">SUM(Q211)</f>
        <v>1.5</v>
      </c>
      <c r="AN196" s="26">
        <f t="shared" si="532"/>
        <v>0.6389471066</v>
      </c>
      <c r="AO196" s="28">
        <f t="shared" si="533"/>
        <v>0.9584206599</v>
      </c>
      <c r="AP196" s="27">
        <f t="shared" ref="AP196:AQ196" si="550">SUM(T211)</f>
        <v>224</v>
      </c>
      <c r="AQ196" s="27">
        <f t="shared" si="550"/>
        <v>7.724137931</v>
      </c>
      <c r="AR196" s="23">
        <f t="shared" si="535"/>
        <v>192.7586207</v>
      </c>
    </row>
    <row r="197" ht="15.75" customHeight="1">
      <c r="A197" s="21"/>
      <c r="B197" s="38">
        <v>3.0</v>
      </c>
      <c r="C197" s="38" t="s">
        <v>30</v>
      </c>
      <c r="D197" s="39">
        <v>60.0</v>
      </c>
      <c r="E197" s="40">
        <f>IFERROR(__xludf.DUMMYFUNCTION("COUNT(IMPORTRANGE(""https://docs.google.com/spreadsheets/d/1WojVzHhpzodJL1e5UDHeu3A3u5MTSZwvxHu0BrwvL9w/edit"",""8!d2:d61""))"),59.0)</f>
        <v>59</v>
      </c>
      <c r="F197" s="45">
        <f>IFERROR(__xludf.DUMMYFUNCTION("SUM(IMPORTRANGE(""https://docs.google.com/spreadsheets/d/1WojVzHhpzodJL1e5UDHeu3A3u5MTSZwvxHu0BrwvL9w/edit"",""8!Q2:Q61""))"),11460.565999999995)</f>
        <v>11460.566</v>
      </c>
      <c r="G197" s="40">
        <f>IFERROR(__xludf.DUMMYFUNCTION("IMPORTRANGE(""https://docs.google.com/spreadsheets/d/1WojVzHhpzodJL1e5UDHeu3A3u5MTSZwvxHu0BrwvL9w/edit"",""8!e68"")"),3207.0)</f>
        <v>3207</v>
      </c>
      <c r="H197" s="40">
        <f>IFERROR(__xludf.DUMMYFUNCTION("IMPORTRANGE(""https://docs.google.com/spreadsheets/d/1WojVzHhpzodJL1e5UDHeu3A3u5MTSZwvxHu0BrwvL9w/edit"",""8!e69"")"),0.0)</f>
        <v>0</v>
      </c>
      <c r="I197" s="40">
        <f t="shared" si="540"/>
        <v>3207</v>
      </c>
      <c r="J197" s="40">
        <f>IFERROR(__xludf.DUMMYFUNCTION("IMPORTRANGE(""https://docs.google.com/spreadsheets/d/1WojVzHhpzodJL1e5UDHeu3A3u5MTSZwvxHu0BrwvL9w/edit"",""8!e72"")"),3259.0)</f>
        <v>3259</v>
      </c>
      <c r="K197" s="40">
        <f>IFERROR(__xludf.DUMMYFUNCTION("IMPORTRANGE(""https://docs.google.com/spreadsheets/d/1WojVzHhpzodJL1e5UDHeu3A3u5MTSZwvxHu0BrwvL9w/edit"",""8!e73"")"),568.0)</f>
        <v>568</v>
      </c>
      <c r="L197" s="40">
        <f t="shared" si="541"/>
        <v>3827</v>
      </c>
      <c r="M197" s="40">
        <f t="shared" si="542"/>
        <v>7034</v>
      </c>
      <c r="N197" s="41">
        <f t="shared" si="543"/>
        <v>194.2468814</v>
      </c>
      <c r="O197" s="38">
        <v>11164.0</v>
      </c>
      <c r="P197" s="42">
        <f t="shared" si="544"/>
        <v>0.6300609101</v>
      </c>
      <c r="Q197" s="43">
        <v>1.5</v>
      </c>
      <c r="R197" s="42">
        <f t="shared" si="545"/>
        <v>0.4091711817</v>
      </c>
      <c r="S197" s="44">
        <f t="shared" si="546"/>
        <v>0.6137567726</v>
      </c>
      <c r="T197" s="43">
        <f>F197/29.603</f>
        <v>387.1420464</v>
      </c>
      <c r="U197" s="43">
        <f t="shared" si="547"/>
        <v>6.5617296</v>
      </c>
      <c r="V197" s="40">
        <f t="shared" si="548"/>
        <v>119.220339</v>
      </c>
      <c r="X197" s="22">
        <v>6.0</v>
      </c>
      <c r="Y197" s="22" t="s">
        <v>31</v>
      </c>
      <c r="Z197" s="22">
        <f t="shared" ref="Z197:AI197" si="551">SUM(D212)</f>
        <v>15</v>
      </c>
      <c r="AA197" s="23">
        <f t="shared" si="551"/>
        <v>15</v>
      </c>
      <c r="AB197" s="25">
        <f t="shared" si="551"/>
        <v>2999.085</v>
      </c>
      <c r="AC197" s="23">
        <f t="shared" si="551"/>
        <v>943</v>
      </c>
      <c r="AD197" s="23">
        <f t="shared" si="551"/>
        <v>47</v>
      </c>
      <c r="AE197" s="23">
        <f t="shared" si="551"/>
        <v>990</v>
      </c>
      <c r="AF197" s="23">
        <f t="shared" si="551"/>
        <v>1071</v>
      </c>
      <c r="AG197" s="23">
        <f t="shared" si="551"/>
        <v>0</v>
      </c>
      <c r="AH197" s="23">
        <f t="shared" si="551"/>
        <v>1071</v>
      </c>
      <c r="AI197" s="23">
        <f t="shared" si="551"/>
        <v>2061</v>
      </c>
      <c r="AJ197" s="25">
        <f t="shared" si="552"/>
        <v>199.939</v>
      </c>
      <c r="AK197" s="22">
        <f t="shared" si="553"/>
        <v>2717</v>
      </c>
      <c r="AL197" s="26">
        <f t="shared" si="530"/>
        <v>0.7585572322</v>
      </c>
      <c r="AM197" s="27">
        <f t="shared" si="554"/>
        <v>1.5</v>
      </c>
      <c r="AN197" s="26">
        <f t="shared" si="532"/>
        <v>0.4581397326</v>
      </c>
      <c r="AO197" s="28">
        <f t="shared" si="533"/>
        <v>0.6872095989</v>
      </c>
      <c r="AP197" s="27">
        <f t="shared" ref="AP197:AQ197" si="555">SUM(T212)</f>
        <v>69</v>
      </c>
      <c r="AQ197" s="27">
        <f t="shared" si="555"/>
        <v>4.6</v>
      </c>
      <c r="AR197" s="23">
        <f t="shared" si="535"/>
        <v>137.4</v>
      </c>
    </row>
    <row r="198" ht="15.75" customHeight="1">
      <c r="A198" s="21"/>
      <c r="B198" s="38">
        <v>4.0</v>
      </c>
      <c r="C198" s="38" t="s">
        <v>32</v>
      </c>
      <c r="D198" s="39">
        <v>42.0</v>
      </c>
      <c r="E198" s="40">
        <f>IFERROR(__xludf.DUMMYFUNCTION("COUNT(IMPORTRANGE(""https://docs.google.com/spreadsheets/d/1vmCj5YcMSPHj1m64syDndQ6cqVL3yolcU03Y8KHmvdc/edit"",""8!d2:d43""))"),42.0)</f>
        <v>42</v>
      </c>
      <c r="F198" s="45">
        <f>IFERROR(__xludf.DUMMYFUNCTION("SUM(IMPORTRANGE(""https://docs.google.com/spreadsheets/d/1vmCj5YcMSPHj1m64syDndQ6cqVL3yolcU03Y8KHmvdc/edit"",""8!Q2:Q43""))"),8338.868999999992)</f>
        <v>8338.869</v>
      </c>
      <c r="G198" s="38">
        <f>IFERROR(__xludf.DUMMYFUNCTION("IMPORTRANGE(""https://docs.google.com/spreadsheets/d/1vmCj5YcMSPHj1m64syDndQ6cqVL3yolcU03Y8KHmvdc/edit"",""8!e50"")"),4406.0)</f>
        <v>4406</v>
      </c>
      <c r="H198" s="38">
        <f>IFERROR(__xludf.DUMMYFUNCTION("IMPORTRANGE(""https://docs.google.com/spreadsheets/d/1vmCj5YcMSPHj1m64syDndQ6cqVL3yolcU03Y8KHmvdc/edit"",""8!e51"")"),57.0)</f>
        <v>57</v>
      </c>
      <c r="I198" s="40">
        <f t="shared" si="540"/>
        <v>4463</v>
      </c>
      <c r="J198" s="38">
        <f>IFERROR(__xludf.DUMMYFUNCTION("IMPORTRANGE(""https://docs.google.com/spreadsheets/d/1vmCj5YcMSPHj1m64syDndQ6cqVL3yolcU03Y8KHmvdc/edit"",""8!e54"")"),4961.0)</f>
        <v>4961</v>
      </c>
      <c r="K198" s="38">
        <f>IFERROR(__xludf.DUMMYFUNCTION("IMPORTRANGE(""https://docs.google.com/spreadsheets/d/1vmCj5YcMSPHj1m64syDndQ6cqVL3yolcU03Y8KHmvdc/edit"",""8!e55"")"),0.0)</f>
        <v>0</v>
      </c>
      <c r="L198" s="40">
        <f t="shared" si="541"/>
        <v>4961</v>
      </c>
      <c r="M198" s="40">
        <f t="shared" si="542"/>
        <v>9424</v>
      </c>
      <c r="N198" s="41">
        <f t="shared" si="543"/>
        <v>198.5445</v>
      </c>
      <c r="O198" s="38">
        <v>13817.0</v>
      </c>
      <c r="P198" s="42">
        <f t="shared" si="544"/>
        <v>0.6820583339</v>
      </c>
      <c r="Q198" s="43">
        <v>1.5</v>
      </c>
      <c r="R198" s="42">
        <f t="shared" si="545"/>
        <v>0.7534195185</v>
      </c>
      <c r="S198" s="44">
        <f t="shared" si="546"/>
        <v>1.130129278</v>
      </c>
      <c r="T198" s="43">
        <f>F198/25.089</f>
        <v>332.3715174</v>
      </c>
      <c r="U198" s="43">
        <f t="shared" si="547"/>
        <v>7.913607557</v>
      </c>
      <c r="V198" s="40">
        <f t="shared" si="548"/>
        <v>224.3809524</v>
      </c>
      <c r="X198" s="46" t="s">
        <v>33</v>
      </c>
      <c r="Y198" s="46">
        <v>6.0</v>
      </c>
      <c r="Z198" s="46">
        <f t="shared" ref="Z198:AI198" si="556">SUM(Z192:Z197)</f>
        <v>186</v>
      </c>
      <c r="AA198" s="47">
        <f t="shared" si="556"/>
        <v>180</v>
      </c>
      <c r="AB198" s="48">
        <f t="shared" si="556"/>
        <v>34078.375</v>
      </c>
      <c r="AC198" s="47">
        <f t="shared" si="556"/>
        <v>10114</v>
      </c>
      <c r="AD198" s="47">
        <f t="shared" si="556"/>
        <v>581</v>
      </c>
      <c r="AE198" s="47">
        <f t="shared" si="556"/>
        <v>10695</v>
      </c>
      <c r="AF198" s="47">
        <f t="shared" si="556"/>
        <v>14026</v>
      </c>
      <c r="AG198" s="47">
        <f t="shared" si="556"/>
        <v>605</v>
      </c>
      <c r="AH198" s="47">
        <f t="shared" si="556"/>
        <v>14631</v>
      </c>
      <c r="AI198" s="47">
        <f t="shared" si="556"/>
        <v>25326</v>
      </c>
      <c r="AJ198" s="49">
        <f t="shared" si="552"/>
        <v>189.3243056</v>
      </c>
      <c r="AK198" s="46">
        <f>SUM(AK192:AK197)</f>
        <v>35074</v>
      </c>
      <c r="AL198" s="50">
        <f t="shared" si="530"/>
        <v>0.7220733307</v>
      </c>
      <c r="AM198" s="51">
        <v>1.5</v>
      </c>
      <c r="AN198" s="50">
        <f t="shared" si="532"/>
        <v>0.495446159</v>
      </c>
      <c r="AO198" s="52">
        <f t="shared" si="533"/>
        <v>0.7431692386</v>
      </c>
      <c r="AP198" s="51">
        <f>SUM(AP192:AP197)</f>
        <v>1278.292928</v>
      </c>
      <c r="AQ198" s="51">
        <f>AP198/AA198</f>
        <v>7.10162738</v>
      </c>
      <c r="AR198" s="47">
        <f t="shared" si="535"/>
        <v>140.7</v>
      </c>
    </row>
    <row r="199" ht="15.75" customHeight="1">
      <c r="A199" s="21"/>
      <c r="B199" s="38">
        <v>5.0</v>
      </c>
      <c r="C199" s="38" t="s">
        <v>34</v>
      </c>
      <c r="D199" s="39">
        <v>40.0</v>
      </c>
      <c r="E199" s="40">
        <f>IFERROR(__xludf.DUMMYFUNCTION("COUNT(IMPORTRANGE(""https://docs.google.com/spreadsheets/d/14_Y-fpuq1wcec3DlT_1PBYekOC0YblQMrWVfO12YO3k/edit"",""8!d2:d41""))"),37.0)</f>
        <v>37</v>
      </c>
      <c r="F199" s="45">
        <f>IFERROR(__xludf.DUMMYFUNCTION("SUM(IMPORTRANGE(""https://docs.google.com/spreadsheets/d/14_Y-fpuq1wcec3DlT_1PBYekOC0YblQMrWVfO12YO3k/edit"",""8!Q2:Q41""))"),7143.444000000003)</f>
        <v>7143.444</v>
      </c>
      <c r="G199" s="40">
        <f>IFERROR(__xludf.DUMMYFUNCTION("IMPORTRANGE(""https://docs.google.com/spreadsheets/d/14_Y-fpuq1wcec3DlT_1PBYekOC0YblQMrWVfO12YO3k/edit"",""8!e48"")"),2343.0)</f>
        <v>2343</v>
      </c>
      <c r="H199" s="40">
        <f>IFERROR(__xludf.DUMMYFUNCTION("IMPORTRANGE(""https://docs.google.com/spreadsheets/d/14_Y-fpuq1wcec3DlT_1PBYekOC0YblQMrWVfO12YO3k/edit"",""8!e49"")"),0.0)</f>
        <v>0</v>
      </c>
      <c r="I199" s="40">
        <f t="shared" si="540"/>
        <v>2343</v>
      </c>
      <c r="J199" s="40">
        <f>IFERROR(__xludf.DUMMYFUNCTION("IMPORTRANGE(""https://docs.google.com/spreadsheets/d/14_Y-fpuq1wcec3DlT_1PBYekOC0YblQMrWVfO12YO3k/edit"",""8!e52"")"),2726.0)</f>
        <v>2726</v>
      </c>
      <c r="K199" s="40">
        <f>IFERROR(__xludf.DUMMYFUNCTION("IMPORTRANGE(""https://docs.google.com/spreadsheets/d/14_Y-fpuq1wcec3DlT_1PBYekOC0YblQMrWVfO12YO3k/edit"",""8!e53"")"),0.0)</f>
        <v>0</v>
      </c>
      <c r="L199" s="40">
        <f t="shared" si="541"/>
        <v>2726</v>
      </c>
      <c r="M199" s="40">
        <f t="shared" si="542"/>
        <v>5069</v>
      </c>
      <c r="N199" s="41">
        <f t="shared" si="543"/>
        <v>193.0660541</v>
      </c>
      <c r="O199" s="38">
        <v>9354.0</v>
      </c>
      <c r="P199" s="42">
        <f t="shared" si="544"/>
        <v>0.5419072055</v>
      </c>
      <c r="Q199" s="43">
        <v>1.5</v>
      </c>
      <c r="R199" s="42">
        <f t="shared" si="545"/>
        <v>0.4730677994</v>
      </c>
      <c r="S199" s="44">
        <f t="shared" si="546"/>
        <v>0.7096016991</v>
      </c>
      <c r="T199" s="43">
        <f>F199/30.713</f>
        <v>232.5869827</v>
      </c>
      <c r="U199" s="43">
        <f t="shared" si="547"/>
        <v>6.286134668</v>
      </c>
      <c r="V199" s="40">
        <f t="shared" si="548"/>
        <v>137</v>
      </c>
      <c r="X199" s="53" t="s">
        <v>35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6"/>
    </row>
    <row r="200" ht="15.75" customHeight="1">
      <c r="A200" s="21"/>
      <c r="B200" s="38">
        <v>6.0</v>
      </c>
      <c r="C200" s="38" t="s">
        <v>23</v>
      </c>
      <c r="D200" s="39">
        <v>35.0</v>
      </c>
      <c r="E200" s="40">
        <f>IFERROR(__xludf.DUMMYFUNCTION("COUNT(IMPORTRANGE(""https://docs.google.com/spreadsheets/d/1lJqjdj05V4LOXuBOiTdE65GV4ZITyx1cMLcDdcuoUnE/edit"",""8!d2:d36""))"),34.0)</f>
        <v>34</v>
      </c>
      <c r="F200" s="45">
        <f>IFERROR(__xludf.DUMMYFUNCTION("SUM(IMPORTRANGE(""https://docs.google.com/spreadsheets/d/1lJqjdj05V4LOXuBOiTdE65GV4ZITyx1cMLcDdcuoUnE/edit"",""8!Q2:Q36""))"),6646.779999999996)</f>
        <v>6646.78</v>
      </c>
      <c r="G200" s="40">
        <f>IFERROR(__xludf.DUMMYFUNCTION("IMPORTRANGE(""https://docs.google.com/spreadsheets/d/1lJqjdj05V4LOXuBOiTdE65GV4ZITyx1cMLcDdcuoUnE/edit"",""8!e43"")"),1755.0)</f>
        <v>1755</v>
      </c>
      <c r="H200" s="40">
        <f>IFERROR(__xludf.DUMMYFUNCTION("IMPORTRANGE(""https://docs.google.com/spreadsheets/d/1lJqjdj05V4LOXuBOiTdE65GV4ZITyx1cMLcDdcuoUnE/edit"",""8!e44"")"),0.0)</f>
        <v>0</v>
      </c>
      <c r="I200" s="40">
        <f t="shared" si="540"/>
        <v>1755</v>
      </c>
      <c r="J200" s="40">
        <f>IFERROR(__xludf.DUMMYFUNCTION("IMPORTRANGE(""https://docs.google.com/spreadsheets/d/1lJqjdj05V4LOXuBOiTdE65GV4ZITyx1cMLcDdcuoUnE/edit"",""8!e47"")"),2818.0)</f>
        <v>2818</v>
      </c>
      <c r="K200" s="40">
        <f>IFERROR(__xludf.DUMMYFUNCTION("IMPORTRANGE(""https://docs.google.com/spreadsheets/d/1lJqjdj05V4LOXuBOiTdE65GV4ZITyx1cMLcDdcuoUnE/edit"",""8!e48"")"),101.0)</f>
        <v>101</v>
      </c>
      <c r="L200" s="40">
        <f t="shared" si="541"/>
        <v>2919</v>
      </c>
      <c r="M200" s="40">
        <f t="shared" si="542"/>
        <v>4674</v>
      </c>
      <c r="N200" s="41">
        <f t="shared" si="543"/>
        <v>195.4935294</v>
      </c>
      <c r="O200" s="38">
        <v>6853.0</v>
      </c>
      <c r="P200" s="42">
        <f t="shared" si="544"/>
        <v>0.6820370641</v>
      </c>
      <c r="Q200" s="43">
        <v>1.5</v>
      </c>
      <c r="R200" s="42">
        <f t="shared" si="545"/>
        <v>0.4687984257</v>
      </c>
      <c r="S200" s="44">
        <f t="shared" si="546"/>
        <v>0.7031976386</v>
      </c>
      <c r="T200" s="43">
        <f>F200/33.74</f>
        <v>197</v>
      </c>
      <c r="U200" s="43">
        <f t="shared" si="547"/>
        <v>5.794117647</v>
      </c>
      <c r="V200" s="40">
        <f t="shared" si="548"/>
        <v>137.4705882</v>
      </c>
      <c r="X200" s="14" t="s">
        <v>2</v>
      </c>
      <c r="Y200" s="14" t="s">
        <v>3</v>
      </c>
      <c r="Z200" s="14" t="s">
        <v>4</v>
      </c>
      <c r="AA200" s="14" t="s">
        <v>5</v>
      </c>
      <c r="AB200" s="15" t="s">
        <v>6</v>
      </c>
      <c r="AC200" s="14" t="s">
        <v>7</v>
      </c>
      <c r="AD200" s="14" t="s">
        <v>8</v>
      </c>
      <c r="AE200" s="14" t="s">
        <v>9</v>
      </c>
      <c r="AF200" s="14" t="s">
        <v>10</v>
      </c>
      <c r="AG200" s="14" t="s">
        <v>11</v>
      </c>
      <c r="AH200" s="14" t="s">
        <v>12</v>
      </c>
      <c r="AI200" s="14" t="s">
        <v>13</v>
      </c>
      <c r="AJ200" s="15" t="s">
        <v>14</v>
      </c>
      <c r="AK200" s="14" t="s">
        <v>15</v>
      </c>
      <c r="AL200" s="14" t="s">
        <v>16</v>
      </c>
      <c r="AM200" s="16" t="s">
        <v>17</v>
      </c>
      <c r="AN200" s="17" t="s">
        <v>18</v>
      </c>
      <c r="AO200" s="18" t="s">
        <v>19</v>
      </c>
      <c r="AP200" s="19" t="s">
        <v>20</v>
      </c>
      <c r="AQ200" s="19" t="s">
        <v>21</v>
      </c>
      <c r="AR200" s="20" t="s">
        <v>22</v>
      </c>
    </row>
    <row r="201" ht="15.75" customHeight="1">
      <c r="A201" s="21"/>
      <c r="B201" s="38">
        <v>7.0</v>
      </c>
      <c r="C201" s="38" t="s">
        <v>24</v>
      </c>
      <c r="D201" s="39">
        <v>44.0</v>
      </c>
      <c r="E201" s="54">
        <f>IFERROR(__xludf.DUMMYFUNCTION("COUNT(IMPORTRANGE(""https://docs.google.com/spreadsheets/d/1_7EEO26q9Yq-XhNFiy7I6Zh4Yg6uGjTs9y0UqNvPKcQ/edit"",""8!d2:d45""))"),43.0)</f>
        <v>43</v>
      </c>
      <c r="F201" s="55">
        <f>IFERROR(__xludf.DUMMYFUNCTION("SUM(IMPORTRANGE(""https://docs.google.com/spreadsheets/d/1_7EEO26q9Yq-XhNFiy7I6Zh4Yg6uGjTs9y0UqNvPKcQ/edit"",""8!Q2:Q45""))"),7404.196999999995)</f>
        <v>7404.197</v>
      </c>
      <c r="G201" s="54">
        <f>IFERROR(__xludf.DUMMYFUNCTION("IMPORTRANGE(""https://docs.google.com/spreadsheets/d/1_7EEO26q9Yq-XhNFiy7I6Zh4Yg6uGjTs9y0UqNvPKcQ/edit"",""8!e53"")"),964.0)</f>
        <v>964</v>
      </c>
      <c r="H201" s="54">
        <f>IFERROR(__xludf.DUMMYFUNCTION("IMPORTRANGE(""https://docs.google.com/spreadsheets/d/1_7EEO26q9Yq-XhNFiy7I6Zh4Yg6uGjTs9y0UqNvPKcQ/edit"",""8!e54"")"),0.0)</f>
        <v>0</v>
      </c>
      <c r="I201" s="54">
        <f t="shared" si="540"/>
        <v>964</v>
      </c>
      <c r="J201" s="54">
        <f>IFERROR(__xludf.DUMMYFUNCTION("IMPORTRANGE(""https://docs.google.com/spreadsheets/d/1_7EEO26q9Yq-XhNFiy7I6Zh4Yg6uGjTs9y0UqNvPKcQ/edit"",""8!e57"")"),1257.0)</f>
        <v>1257</v>
      </c>
      <c r="K201" s="54">
        <f>IFERROR(__xludf.DUMMYFUNCTION("IMPORTRANGE(""https://docs.google.com/spreadsheets/d/1_7EEO26q9Yq-XhNFiy7I6Zh4Yg6uGjTs9y0UqNvPKcQ/edit"",""8!e58"")"),0.0)</f>
        <v>0</v>
      </c>
      <c r="L201" s="40">
        <f t="shared" si="541"/>
        <v>1257</v>
      </c>
      <c r="M201" s="40">
        <f t="shared" si="542"/>
        <v>2221</v>
      </c>
      <c r="N201" s="41">
        <f t="shared" si="543"/>
        <v>172.1906279</v>
      </c>
      <c r="O201" s="38">
        <v>1580.0</v>
      </c>
      <c r="P201" s="56">
        <f t="shared" si="544"/>
        <v>1.405696203</v>
      </c>
      <c r="Q201" s="43">
        <v>1.5</v>
      </c>
      <c r="R201" s="42">
        <f t="shared" si="545"/>
        <v>0.1999766709</v>
      </c>
      <c r="S201" s="44">
        <f t="shared" si="546"/>
        <v>0.2999650063</v>
      </c>
      <c r="T201" s="43">
        <f>F201/26.805</f>
        <v>276.224473</v>
      </c>
      <c r="U201" s="43">
        <f t="shared" si="547"/>
        <v>6.423824955</v>
      </c>
      <c r="V201" s="40">
        <f t="shared" si="548"/>
        <v>51.65116279</v>
      </c>
      <c r="X201" s="22">
        <v>1.0</v>
      </c>
      <c r="Y201" s="22" t="s">
        <v>28</v>
      </c>
      <c r="Z201" s="22">
        <f t="shared" ref="Z201:AI201" si="557">SUM(D196)</f>
        <v>33</v>
      </c>
      <c r="AA201" s="23">
        <f t="shared" si="557"/>
        <v>32</v>
      </c>
      <c r="AB201" s="25">
        <f t="shared" si="557"/>
        <v>6281.657</v>
      </c>
      <c r="AC201" s="23">
        <f t="shared" si="557"/>
        <v>1938</v>
      </c>
      <c r="AD201" s="23">
        <f t="shared" si="557"/>
        <v>142</v>
      </c>
      <c r="AE201" s="23">
        <f t="shared" si="557"/>
        <v>2080</v>
      </c>
      <c r="AF201" s="23">
        <f t="shared" si="557"/>
        <v>2553</v>
      </c>
      <c r="AG201" s="23">
        <f t="shared" si="557"/>
        <v>273</v>
      </c>
      <c r="AH201" s="23">
        <f t="shared" si="557"/>
        <v>2826</v>
      </c>
      <c r="AI201" s="23">
        <f t="shared" si="557"/>
        <v>4906</v>
      </c>
      <c r="AJ201" s="25">
        <f t="shared" ref="AJ201:AJ207" si="560">AB201/AA201</f>
        <v>196.3017813</v>
      </c>
      <c r="AK201" s="22">
        <f t="shared" ref="AK201:AK202" si="561">SUM(O196)</f>
        <v>7315</v>
      </c>
      <c r="AL201" s="26">
        <f t="shared" ref="AL201:AL207" si="562">AI201/AK201</f>
        <v>0.6706766917</v>
      </c>
      <c r="AM201" s="27">
        <f t="shared" ref="AM201:AM202" si="563">SUM(Q196)</f>
        <v>1.5</v>
      </c>
      <c r="AN201" s="26">
        <f t="shared" ref="AN201:AN207" si="564">AO201/AM201</f>
        <v>0.5206694136</v>
      </c>
      <c r="AO201" s="28">
        <f t="shared" ref="AO201:AO207" si="565">AI201/AB201</f>
        <v>0.7810041204</v>
      </c>
      <c r="AP201" s="27">
        <f t="shared" ref="AP201:AQ201" si="558">SUM(T196)</f>
        <v>203.3096093</v>
      </c>
      <c r="AQ201" s="27">
        <f t="shared" si="558"/>
        <v>6.353425292</v>
      </c>
      <c r="AR201" s="23">
        <f t="shared" ref="AR201:AR207" si="567">AI201/AA201</f>
        <v>153.3125</v>
      </c>
    </row>
    <row r="202" ht="15.75" customHeight="1">
      <c r="A202" s="21"/>
      <c r="B202" s="38">
        <v>8.0</v>
      </c>
      <c r="C202" s="38" t="s">
        <v>25</v>
      </c>
      <c r="D202" s="57">
        <v>32.0</v>
      </c>
      <c r="E202" s="40">
        <f>IFERROR(__xludf.DUMMYFUNCTION("COUNT(IMPORTRANGE(""https://docs.google.com/spreadsheets/d/1vLOLpiE-XsbnCnwWPcoi87PlUSXfqIAAQn3kvqHfO6s/edit"",""8!d2:D33""))"),30.0)</f>
        <v>30</v>
      </c>
      <c r="F202" s="45">
        <f>IFERROR(__xludf.DUMMYFUNCTION("SUM(IMPORTRANGE(""https://docs.google.com/spreadsheets/d/1vLOLpiE-XsbnCnwWPcoi87PlUSXfqIAAQn3kvqHfO6s/edit"",""8!Q2:Q33""))"),5949.876000000001)</f>
        <v>5949.876</v>
      </c>
      <c r="G202" s="40">
        <f>IFERROR(__xludf.DUMMYFUNCTION("IMPORTRANGE(""https://docs.google.com/spreadsheets/d/1vLOLpiE-XsbnCnwWPcoi87PlUSXfqIAAQn3kvqHfO6s/edit"",""8!e40"")"),2159.0)</f>
        <v>2159</v>
      </c>
      <c r="H202" s="40">
        <f>IFERROR(__xludf.DUMMYFUNCTION("IMPORTRANGE(""https://docs.google.com/spreadsheets/d/1vLOLpiE-XsbnCnwWPcoi87PlUSXfqIAAQn3kvqHfO6s/edit"",""8!e41"")"),442.0)</f>
        <v>442</v>
      </c>
      <c r="I202" s="40">
        <f t="shared" si="540"/>
        <v>2601</v>
      </c>
      <c r="J202" s="40">
        <f>IFERROR(__xludf.DUMMYFUNCTION("IMPORTRANGE(""https://docs.google.com/spreadsheets/d/1vLOLpiE-XsbnCnwWPcoi87PlUSXfqIAAQn3kvqHfO6s/edit"",""8!e44"")"),2841.0)</f>
        <v>2841</v>
      </c>
      <c r="K202" s="40">
        <f>IFERROR(__xludf.DUMMYFUNCTION("IMPORTRANGE(""https://docs.google.com/spreadsheets/d/1vLOLpiE-XsbnCnwWPcoi87PlUSXfqIAAQn3kvqHfO6s/edit"",""8!e45"")"),398.0)</f>
        <v>398</v>
      </c>
      <c r="L202" s="40">
        <f>J202+K202</f>
        <v>3239</v>
      </c>
      <c r="M202" s="40">
        <f t="shared" si="542"/>
        <v>5840</v>
      </c>
      <c r="N202" s="41">
        <f t="shared" si="543"/>
        <v>198.3292</v>
      </c>
      <c r="O202" s="38">
        <v>6622.0</v>
      </c>
      <c r="P202" s="42">
        <f t="shared" si="544"/>
        <v>0.8819087889</v>
      </c>
      <c r="Q202" s="43">
        <v>1.5</v>
      </c>
      <c r="R202" s="42">
        <f t="shared" si="545"/>
        <v>0.6543553737</v>
      </c>
      <c r="S202" s="44">
        <f t="shared" si="546"/>
        <v>0.9815330605</v>
      </c>
      <c r="T202" s="43">
        <f>F202/23.84</f>
        <v>249.5753356</v>
      </c>
      <c r="U202" s="43">
        <f t="shared" si="547"/>
        <v>8.319177852</v>
      </c>
      <c r="V202" s="40">
        <f t="shared" si="548"/>
        <v>194.6666667</v>
      </c>
      <c r="X202" s="31">
        <v>2.0</v>
      </c>
      <c r="Y202" s="31" t="s">
        <v>30</v>
      </c>
      <c r="Z202" s="31">
        <f t="shared" ref="Z202:AI202" si="559">SUM(D197)</f>
        <v>60</v>
      </c>
      <c r="AA202" s="32">
        <f t="shared" si="559"/>
        <v>59</v>
      </c>
      <c r="AB202" s="33">
        <f t="shared" si="559"/>
        <v>11460.566</v>
      </c>
      <c r="AC202" s="32">
        <f t="shared" si="559"/>
        <v>3207</v>
      </c>
      <c r="AD202" s="32">
        <f t="shared" si="559"/>
        <v>0</v>
      </c>
      <c r="AE202" s="32">
        <f t="shared" si="559"/>
        <v>3207</v>
      </c>
      <c r="AF202" s="32">
        <f t="shared" si="559"/>
        <v>3259</v>
      </c>
      <c r="AG202" s="32">
        <f t="shared" si="559"/>
        <v>568</v>
      </c>
      <c r="AH202" s="32">
        <f t="shared" si="559"/>
        <v>3827</v>
      </c>
      <c r="AI202" s="32">
        <f t="shared" si="559"/>
        <v>7034</v>
      </c>
      <c r="AJ202" s="34">
        <f t="shared" si="560"/>
        <v>194.2468814</v>
      </c>
      <c r="AK202" s="31">
        <f t="shared" si="561"/>
        <v>11164</v>
      </c>
      <c r="AL202" s="35">
        <f t="shared" si="562"/>
        <v>0.6300609101</v>
      </c>
      <c r="AM202" s="36">
        <f t="shared" si="563"/>
        <v>1.5</v>
      </c>
      <c r="AN202" s="35">
        <f t="shared" si="564"/>
        <v>0.4091711817</v>
      </c>
      <c r="AO202" s="37">
        <f t="shared" si="565"/>
        <v>0.6137567726</v>
      </c>
      <c r="AP202" s="36">
        <f t="shared" ref="AP202:AQ202" si="566">SUM(T197)</f>
        <v>387.1420464</v>
      </c>
      <c r="AQ202" s="36">
        <f t="shared" si="566"/>
        <v>6.5617296</v>
      </c>
      <c r="AR202" s="32">
        <f t="shared" si="567"/>
        <v>119.220339</v>
      </c>
    </row>
    <row r="203" ht="15.75" customHeight="1">
      <c r="A203" s="21"/>
      <c r="B203" s="38">
        <v>9.0</v>
      </c>
      <c r="C203" s="38" t="s">
        <v>36</v>
      </c>
      <c r="D203" s="57">
        <v>24.0</v>
      </c>
      <c r="E203" s="40">
        <f>IFERROR(__xludf.DUMMYFUNCTION("COUNT(IMPORTRANGE(""https://docs.google.com/spreadsheets/d/1WJJVq25XDtGjt-J2JPxeKs3jIvDZtkIREC0lFPXwf74/edit"",""8!d2:d31""))"),24.0)</f>
        <v>24</v>
      </c>
      <c r="F203" s="45">
        <f>IFERROR(__xludf.DUMMYFUNCTION("SUM(IMPORTRANGE(""https://docs.google.com/spreadsheets/d/1WJJVq25XDtGjt-J2JPxeKs3jIvDZtkIREC0lFPXwf74/edit"",""8!Q2:Q31""))"),4782.607999999999)</f>
        <v>4782.608</v>
      </c>
      <c r="G203" s="40">
        <f>IFERROR(__xludf.DUMMYFUNCTION("IMPORTRANGE(""https://docs.google.com/spreadsheets/d/1WJJVq25XDtGjt-J2JPxeKs3jIvDZtkIREC0lFPXwf74/edit"",""8!e38"")"),1329.0)</f>
        <v>1329</v>
      </c>
      <c r="H203" s="40">
        <f>IFERROR(__xludf.DUMMYFUNCTION("IMPORTRANGE(""https://docs.google.com/spreadsheets/d/1WJJVq25XDtGjt-J2JPxeKs3jIvDZtkIREC0lFPXwf74/edit"",""8!e39"")"),0.0)</f>
        <v>0</v>
      </c>
      <c r="I203" s="40">
        <f t="shared" si="540"/>
        <v>1329</v>
      </c>
      <c r="J203" s="40">
        <f>IFERROR(__xludf.DUMMYFUNCTION("IMPORTRANGE(""https://docs.google.com/spreadsheets/d/1WJJVq25XDtGjt-J2JPxeKs3jIvDZtkIREC0lFPXwf74/edit"",""8!e42"")"),1964.0)</f>
        <v>1964</v>
      </c>
      <c r="K203" s="40">
        <f>IFERROR(__xludf.DUMMYFUNCTION("IMPORTRANGE(""https://docs.google.com/spreadsheets/d/1WJJVq25XDtGjt-J2JPxeKs3jIvDZtkIREC0lFPXwf74/edit"",""8!e43"")"),0.0)</f>
        <v>0</v>
      </c>
      <c r="L203" s="40">
        <f t="shared" ref="L203:L212" si="570">SUM(J203:K203)</f>
        <v>1964</v>
      </c>
      <c r="M203" s="40">
        <f t="shared" si="542"/>
        <v>3293</v>
      </c>
      <c r="N203" s="41">
        <f t="shared" si="543"/>
        <v>199.2753333</v>
      </c>
      <c r="O203" s="38">
        <v>4796.0</v>
      </c>
      <c r="P203" s="42">
        <f t="shared" si="544"/>
        <v>0.6866138449</v>
      </c>
      <c r="Q203" s="43">
        <v>1.5</v>
      </c>
      <c r="R203" s="42">
        <f t="shared" si="545"/>
        <v>0.4590243092</v>
      </c>
      <c r="S203" s="44">
        <f t="shared" si="546"/>
        <v>0.6885364638</v>
      </c>
      <c r="T203" s="43">
        <f>F203/37.414</f>
        <v>127.8293687</v>
      </c>
      <c r="U203" s="43">
        <f t="shared" si="547"/>
        <v>5.326223695</v>
      </c>
      <c r="V203" s="40">
        <f t="shared" si="548"/>
        <v>137.2083333</v>
      </c>
      <c r="X203" s="22">
        <v>3.0</v>
      </c>
      <c r="Y203" s="22" t="s">
        <v>34</v>
      </c>
      <c r="Z203" s="22">
        <f t="shared" ref="Z203:AI203" si="568">SUM(D199)</f>
        <v>40</v>
      </c>
      <c r="AA203" s="23">
        <f t="shared" si="568"/>
        <v>37</v>
      </c>
      <c r="AB203" s="24">
        <f t="shared" si="568"/>
        <v>7143.444</v>
      </c>
      <c r="AC203" s="23">
        <f t="shared" si="568"/>
        <v>2343</v>
      </c>
      <c r="AD203" s="23">
        <f t="shared" si="568"/>
        <v>0</v>
      </c>
      <c r="AE203" s="23">
        <f t="shared" si="568"/>
        <v>2343</v>
      </c>
      <c r="AF203" s="23">
        <f t="shared" si="568"/>
        <v>2726</v>
      </c>
      <c r="AG203" s="23">
        <f t="shared" si="568"/>
        <v>0</v>
      </c>
      <c r="AH203" s="23">
        <f t="shared" si="568"/>
        <v>2726</v>
      </c>
      <c r="AI203" s="23">
        <f t="shared" si="568"/>
        <v>5069</v>
      </c>
      <c r="AJ203" s="25">
        <f t="shared" si="560"/>
        <v>193.0660541</v>
      </c>
      <c r="AK203" s="22">
        <f>SUM(O199)</f>
        <v>9354</v>
      </c>
      <c r="AL203" s="26">
        <f t="shared" si="562"/>
        <v>0.5419072055</v>
      </c>
      <c r="AM203" s="27">
        <f>SUM(Q199)</f>
        <v>1.5</v>
      </c>
      <c r="AN203" s="26">
        <f t="shared" si="564"/>
        <v>0.4730677994</v>
      </c>
      <c r="AO203" s="28">
        <f t="shared" si="565"/>
        <v>0.7096016991</v>
      </c>
      <c r="AP203" s="27">
        <f t="shared" ref="AP203:AQ203" si="569">SUM(T199)</f>
        <v>232.5869827</v>
      </c>
      <c r="AQ203" s="27">
        <f t="shared" si="569"/>
        <v>6.286134668</v>
      </c>
      <c r="AR203" s="23">
        <f t="shared" si="567"/>
        <v>137</v>
      </c>
    </row>
    <row r="204" ht="15.75" customHeight="1">
      <c r="A204" s="21"/>
      <c r="B204" s="38">
        <v>10.0</v>
      </c>
      <c r="C204" s="38" t="s">
        <v>37</v>
      </c>
      <c r="D204" s="39">
        <v>30.0</v>
      </c>
      <c r="E204" s="40">
        <f>IFERROR(__xludf.DUMMYFUNCTION("COUNT(IMPORTRANGE(""https://docs.google.com/spreadsheets/d/1rJyYfywRpWJW0zvDJHLOJtqUQqffoCGaqTVxxTDgV0k/edit"",""8!d2:d31""))"),28.0)</f>
        <v>28</v>
      </c>
      <c r="F204" s="45">
        <f>IFERROR(__xludf.DUMMYFUNCTION("SUM(IMPORTRANGE(""https://docs.google.com/spreadsheets/d/1rJyYfywRpWJW0zvDJHLOJtqUQqffoCGaqTVxxTDgV0k/edit"",""8!Q2:Q31""))"),5600.369999999999)</f>
        <v>5600.37</v>
      </c>
      <c r="G204" s="40">
        <f>IFERROR(__xludf.DUMMYFUNCTION("(IMPORTRANGE(""https://docs.google.com/spreadsheets/d/1rJyYfywRpWJW0zvDJHLOJtqUQqffoCGaqTVxxTDgV0k/edit"",""8!e38""))"),1899.0)</f>
        <v>1899</v>
      </c>
      <c r="H204" s="40">
        <f>IFERROR(__xludf.DUMMYFUNCTION("(IMPORTRANGE(""https://docs.google.com/spreadsheets/d/1rJyYfywRpWJW0zvDJHLOJtqUQqffoCGaqTVxxTDgV0k/edit"",""8!e39""))"),0.0)</f>
        <v>0</v>
      </c>
      <c r="I204" s="40">
        <f t="shared" si="540"/>
        <v>1899</v>
      </c>
      <c r="J204" s="40">
        <f>IFERROR(__xludf.DUMMYFUNCTION("(IMPORTRANGE(""https://docs.google.com/spreadsheets/d/1rJyYfywRpWJW0zvDJHLOJtqUQqffoCGaqTVxxTDgV0k/edit"",""8!e42""))"),2728.0)</f>
        <v>2728</v>
      </c>
      <c r="K204" s="40">
        <f>IFERROR(__xludf.DUMMYFUNCTION("(IMPORTRANGE(""https://docs.google.com/spreadsheets/d/1rJyYfywRpWJW0zvDJHLOJtqUQqffoCGaqTVxxTDgV0k/edit"",""8!e43""))"),0.0)</f>
        <v>0</v>
      </c>
      <c r="L204" s="40">
        <f t="shared" si="570"/>
        <v>2728</v>
      </c>
      <c r="M204" s="40">
        <f t="shared" si="542"/>
        <v>4627</v>
      </c>
      <c r="N204" s="41">
        <f t="shared" si="543"/>
        <v>200.0132143</v>
      </c>
      <c r="O204" s="38">
        <v>5887.0</v>
      </c>
      <c r="P204" s="42">
        <f t="shared" si="544"/>
        <v>0.7859690844</v>
      </c>
      <c r="Q204" s="43">
        <v>1.5</v>
      </c>
      <c r="R204" s="42">
        <f t="shared" si="545"/>
        <v>0.5507969414</v>
      </c>
      <c r="S204" s="44">
        <f t="shared" si="546"/>
        <v>0.8261954121</v>
      </c>
      <c r="T204" s="43">
        <f>F204/24.792</f>
        <v>225.8942401</v>
      </c>
      <c r="U204" s="43">
        <f t="shared" si="547"/>
        <v>8.067651431</v>
      </c>
      <c r="V204" s="40">
        <f t="shared" si="548"/>
        <v>165.25</v>
      </c>
      <c r="X204" s="31">
        <v>4.0</v>
      </c>
      <c r="Y204" s="31" t="s">
        <v>38</v>
      </c>
      <c r="Z204" s="31">
        <f t="shared" ref="Z204:AI204" si="571">SUM(D207)</f>
        <v>30</v>
      </c>
      <c r="AA204" s="32">
        <f t="shared" si="571"/>
        <v>30</v>
      </c>
      <c r="AB204" s="33">
        <f t="shared" si="571"/>
        <v>5831.023</v>
      </c>
      <c r="AC204" s="32">
        <f t="shared" si="571"/>
        <v>1476</v>
      </c>
      <c r="AD204" s="32">
        <f t="shared" si="571"/>
        <v>67</v>
      </c>
      <c r="AE204" s="32">
        <f t="shared" si="571"/>
        <v>1543</v>
      </c>
      <c r="AF204" s="32">
        <f t="shared" si="571"/>
        <v>2327</v>
      </c>
      <c r="AG204" s="32">
        <f t="shared" si="571"/>
        <v>0</v>
      </c>
      <c r="AH204" s="32">
        <f t="shared" si="571"/>
        <v>2327</v>
      </c>
      <c r="AI204" s="32">
        <f t="shared" si="571"/>
        <v>3870</v>
      </c>
      <c r="AJ204" s="34">
        <f t="shared" si="560"/>
        <v>194.3674333</v>
      </c>
      <c r="AK204" s="31">
        <v>7324.0</v>
      </c>
      <c r="AL204" s="35">
        <f t="shared" si="562"/>
        <v>0.5283997815</v>
      </c>
      <c r="AM204" s="36">
        <f>SUM(Q207)</f>
        <v>1.5</v>
      </c>
      <c r="AN204" s="35">
        <f t="shared" si="564"/>
        <v>0.4424609541</v>
      </c>
      <c r="AO204" s="37">
        <f t="shared" si="565"/>
        <v>0.6636914312</v>
      </c>
      <c r="AP204" s="36">
        <f t="shared" ref="AP204:AQ204" si="572">SUM(T207)</f>
        <v>141.5125106</v>
      </c>
      <c r="AQ204" s="36">
        <f t="shared" si="572"/>
        <v>4.717083687</v>
      </c>
      <c r="AR204" s="32">
        <f t="shared" si="567"/>
        <v>129</v>
      </c>
    </row>
    <row r="205" ht="15.75" customHeight="1">
      <c r="A205" s="21"/>
      <c r="B205" s="38">
        <v>12.0</v>
      </c>
      <c r="C205" s="38" t="s">
        <v>39</v>
      </c>
      <c r="D205" s="39">
        <v>28.0</v>
      </c>
      <c r="E205" s="40">
        <f>IFERROR(__xludf.DUMMYFUNCTION("COUNT(IMPORTRANGE(""https://docs.google.com/spreadsheets/d/1uaTn2DZCfr7O1PvovOd0wElzVz8kpl_iPfnrkNPp0Is/edit"",""8!d2:d29""))"),28.0)</f>
        <v>28</v>
      </c>
      <c r="F205" s="45">
        <f>IFERROR(__xludf.DUMMYFUNCTION("SUM(IMPORTRANGE(""https://docs.google.com/spreadsheets/d/1uaTn2DZCfr7O1PvovOd0wElzVz8kpl_iPfnrkNPp0Is/edit"",""8!Q2:Q29""))"),5597.478)</f>
        <v>5597.478</v>
      </c>
      <c r="G205" s="40">
        <f>IFERROR(__xludf.DUMMYFUNCTION("IMPORTRANGE(""https://docs.google.com/spreadsheets/d/1uaTn2DZCfr7O1PvovOd0wElzVz8kpl_iPfnrkNPp0Is/edit"",""8!e36"")"),1204.0)</f>
        <v>1204</v>
      </c>
      <c r="H205" s="40">
        <f>IFERROR(__xludf.DUMMYFUNCTION("(IMPORTRANGE(""https://docs.google.com/spreadsheets/d/1uaTn2DZCfr7O1PvovOd0wElzVz8kpl_iPfnrkNPp0Is/edit"",""8!e37""))"),0.0)</f>
        <v>0</v>
      </c>
      <c r="I205" s="40">
        <f t="shared" si="540"/>
        <v>1204</v>
      </c>
      <c r="J205" s="40">
        <f>IFERROR(__xludf.DUMMYFUNCTION("IMPORTRANGE(""https://docs.google.com/spreadsheets/d/1uaTn2DZCfr7O1PvovOd0wElzVz8kpl_iPfnrkNPp0Is/edit"",""8!e40"")"),2029.0)</f>
        <v>2029</v>
      </c>
      <c r="K205" s="40">
        <f>IFERROR(__xludf.DUMMYFUNCTION("IMPORTRANGE(""https://docs.google.com/spreadsheets/d/1uaTn2DZCfr7O1PvovOd0wElzVz8kpl_iPfnrkNPp0Is/edit"",""8!e41"")"),0.0)</f>
        <v>0</v>
      </c>
      <c r="L205" s="40">
        <f t="shared" si="570"/>
        <v>2029</v>
      </c>
      <c r="M205" s="40">
        <f t="shared" si="542"/>
        <v>3233</v>
      </c>
      <c r="N205" s="41">
        <f t="shared" si="543"/>
        <v>199.9099286</v>
      </c>
      <c r="O205" s="38">
        <v>3569.0</v>
      </c>
      <c r="P205" s="42">
        <f t="shared" si="544"/>
        <v>0.9058559821</v>
      </c>
      <c r="Q205" s="43">
        <v>1.5</v>
      </c>
      <c r="R205" s="42">
        <f t="shared" si="545"/>
        <v>0.3850543644</v>
      </c>
      <c r="S205" s="44">
        <f t="shared" si="546"/>
        <v>0.5775815465</v>
      </c>
      <c r="T205" s="43">
        <f>F205/21.463</f>
        <v>260.7966268</v>
      </c>
      <c r="U205" s="43">
        <f t="shared" si="547"/>
        <v>9.314165241</v>
      </c>
      <c r="V205" s="40">
        <f t="shared" si="548"/>
        <v>115.4642857</v>
      </c>
      <c r="X205" s="31">
        <v>5.0</v>
      </c>
      <c r="Y205" s="31" t="s">
        <v>40</v>
      </c>
      <c r="Z205" s="31">
        <f t="shared" ref="Z205:AI205" si="573">SUM(D209)</f>
        <v>30</v>
      </c>
      <c r="AA205" s="32">
        <f t="shared" si="573"/>
        <v>28</v>
      </c>
      <c r="AB205" s="33">
        <f t="shared" si="573"/>
        <v>5574.828</v>
      </c>
      <c r="AC205" s="32">
        <f t="shared" si="573"/>
        <v>3180</v>
      </c>
      <c r="AD205" s="32">
        <f t="shared" si="573"/>
        <v>46</v>
      </c>
      <c r="AE205" s="32">
        <f t="shared" si="573"/>
        <v>3226</v>
      </c>
      <c r="AF205" s="32">
        <f t="shared" si="573"/>
        <v>3735</v>
      </c>
      <c r="AG205" s="32">
        <f t="shared" si="573"/>
        <v>25</v>
      </c>
      <c r="AH205" s="32">
        <f t="shared" si="573"/>
        <v>3760</v>
      </c>
      <c r="AI205" s="32">
        <f t="shared" si="573"/>
        <v>6986</v>
      </c>
      <c r="AJ205" s="34">
        <f t="shared" si="560"/>
        <v>199.101</v>
      </c>
      <c r="AK205" s="31">
        <f t="shared" ref="AK205:AK206" si="576">SUM(O209)</f>
        <v>8239</v>
      </c>
      <c r="AL205" s="35">
        <f t="shared" si="562"/>
        <v>0.8479184367</v>
      </c>
      <c r="AM205" s="36">
        <f t="shared" ref="AM205:AM206" si="577">SUM(Q209)</f>
        <v>1.5</v>
      </c>
      <c r="AN205" s="35">
        <f t="shared" si="564"/>
        <v>0.8354218881</v>
      </c>
      <c r="AO205" s="37">
        <f t="shared" si="565"/>
        <v>1.253132832</v>
      </c>
      <c r="AP205" s="36">
        <f t="shared" ref="AP205:AQ205" si="574">SUM(T209)</f>
        <v>196</v>
      </c>
      <c r="AQ205" s="36">
        <f t="shared" si="574"/>
        <v>7</v>
      </c>
      <c r="AR205" s="32">
        <f t="shared" si="567"/>
        <v>249.5</v>
      </c>
    </row>
    <row r="206" ht="15.75" customHeight="1">
      <c r="A206" s="21"/>
      <c r="B206" s="38">
        <v>12.0</v>
      </c>
      <c r="C206" s="38" t="s">
        <v>41</v>
      </c>
      <c r="D206" s="39">
        <v>24.0</v>
      </c>
      <c r="E206" s="40">
        <f>IFERROR(__xludf.DUMMYFUNCTION("COUNT(IMPORTRANGE(""https://docs.google.com/spreadsheets/d/1oYscvfOJW7GMkxt8QcupWuzb3ohaYePd3Mt2V2ufHok/edit"",""8!d2:d25""))"),23.0)</f>
        <v>23</v>
      </c>
      <c r="F206" s="45">
        <f>IFERROR(__xludf.DUMMYFUNCTION("SUM(IMPORTRANGE(""https://docs.google.com/spreadsheets/d/1oYscvfOJW7GMkxt8QcupWuzb3ohaYePd3Mt2V2ufHok/edit"",""8!Q2:Q25""))"),4704.268000000001)</f>
        <v>4704.268</v>
      </c>
      <c r="G206" s="40">
        <f>IFERROR(__xludf.DUMMYFUNCTION("IMPORTRANGE(""https://docs.google.com/spreadsheets/d/1oYscvfOJW7GMkxt8QcupWuzb3ohaYePd3Mt2V2ufHok/edit"",""8!e32"")"),1199.0)</f>
        <v>1199</v>
      </c>
      <c r="H206" s="40">
        <f>IFERROR(__xludf.DUMMYFUNCTION("IMPORTRANGE(""https://docs.google.com/spreadsheets/d/1oYscvfOJW7GMkxt8QcupWuzb3ohaYePd3Mt2V2ufHok/edit"",""8!e33"")"),65.0)</f>
        <v>65</v>
      </c>
      <c r="I206" s="40">
        <f t="shared" si="540"/>
        <v>1264</v>
      </c>
      <c r="J206" s="40">
        <f>IFERROR(__xludf.DUMMYFUNCTION("IMPORTRANGE(""https://docs.google.com/spreadsheets/d/1oYscvfOJW7GMkxt8QcupWuzb3ohaYePd3Mt2V2ufHok/edit"",""8!e36"")"),1702.0)</f>
        <v>1702</v>
      </c>
      <c r="K206" s="40">
        <f>IFERROR(__xludf.DUMMYFUNCTION("IMPORTRANGE(""https://docs.google.com/spreadsheets/d/1oYscvfOJW7GMkxt8QcupWuzb3ohaYePd3Mt2V2ufHok/edit"",""8!e37"")"),0.0)</f>
        <v>0</v>
      </c>
      <c r="L206" s="40">
        <f t="shared" si="570"/>
        <v>1702</v>
      </c>
      <c r="M206" s="40">
        <f t="shared" si="542"/>
        <v>2966</v>
      </c>
      <c r="N206" s="41">
        <f t="shared" si="543"/>
        <v>204.5333913</v>
      </c>
      <c r="O206" s="38">
        <v>3801.0</v>
      </c>
      <c r="P206" s="42">
        <f t="shared" si="544"/>
        <v>0.7803209682</v>
      </c>
      <c r="Q206" s="43">
        <v>1.5</v>
      </c>
      <c r="R206" s="42">
        <f t="shared" si="545"/>
        <v>0.4203275267</v>
      </c>
      <c r="S206" s="44">
        <f t="shared" si="546"/>
        <v>0.63049129</v>
      </c>
      <c r="T206" s="43">
        <f>F206/29.628</f>
        <v>158.7777778</v>
      </c>
      <c r="U206" s="43">
        <f t="shared" si="547"/>
        <v>6.903381643</v>
      </c>
      <c r="V206" s="40">
        <f t="shared" si="548"/>
        <v>128.9565217</v>
      </c>
      <c r="X206" s="22">
        <v>6.0</v>
      </c>
      <c r="Y206" s="22" t="s">
        <v>42</v>
      </c>
      <c r="Z206" s="22">
        <f t="shared" ref="Z206:AI206" si="575">SUM(D210)</f>
        <v>33</v>
      </c>
      <c r="AA206" s="23">
        <f t="shared" si="575"/>
        <v>33</v>
      </c>
      <c r="AB206" s="24">
        <f t="shared" si="575"/>
        <v>6397.206</v>
      </c>
      <c r="AC206" s="23">
        <f t="shared" si="575"/>
        <v>2780</v>
      </c>
      <c r="AD206" s="23">
        <f t="shared" si="575"/>
        <v>185</v>
      </c>
      <c r="AE206" s="23">
        <f t="shared" si="575"/>
        <v>2965</v>
      </c>
      <c r="AF206" s="23">
        <f t="shared" si="575"/>
        <v>3997</v>
      </c>
      <c r="AG206" s="23">
        <f t="shared" si="575"/>
        <v>223</v>
      </c>
      <c r="AH206" s="23">
        <f t="shared" si="575"/>
        <v>4220</v>
      </c>
      <c r="AI206" s="23">
        <f t="shared" si="575"/>
        <v>7185</v>
      </c>
      <c r="AJ206" s="25">
        <f t="shared" si="560"/>
        <v>193.8547273</v>
      </c>
      <c r="AK206" s="22">
        <f t="shared" si="576"/>
        <v>9877</v>
      </c>
      <c r="AL206" s="26">
        <f t="shared" si="562"/>
        <v>0.7274476055</v>
      </c>
      <c r="AM206" s="27">
        <f t="shared" si="577"/>
        <v>1.5</v>
      </c>
      <c r="AN206" s="26">
        <f t="shared" si="564"/>
        <v>0.7487643825</v>
      </c>
      <c r="AO206" s="28">
        <f t="shared" si="565"/>
        <v>1.123146574</v>
      </c>
      <c r="AP206" s="27">
        <f t="shared" ref="AP206:AQ206" si="578">SUM(T210)</f>
        <v>244.5882623</v>
      </c>
      <c r="AQ206" s="27">
        <f t="shared" si="578"/>
        <v>7.411765524</v>
      </c>
      <c r="AR206" s="23">
        <f t="shared" si="567"/>
        <v>217.7272727</v>
      </c>
    </row>
    <row r="207" ht="15.75" customHeight="1">
      <c r="A207" s="21"/>
      <c r="B207" s="38">
        <v>13.0</v>
      </c>
      <c r="C207" s="38" t="s">
        <v>43</v>
      </c>
      <c r="D207" s="39">
        <v>30.0</v>
      </c>
      <c r="E207" s="40">
        <f>IFERROR(__xludf.DUMMYFUNCTION("COUNT(IMPORTRANGE(""https://docs.google.com/spreadsheets/d/1AxBmuQEdOYAeRnZ4C8vO6kuTNp7X_SGhpLXuY0n4ln4/edit"",""8!d2:d31""))"),30.0)</f>
        <v>30</v>
      </c>
      <c r="F207" s="45">
        <f>IFERROR(__xludf.DUMMYFUNCTION("SUM(IMPORTRANGE(""https://docs.google.com/spreadsheets/d/1AxBmuQEdOYAeRnZ4C8vO6kuTNp7X_SGhpLXuY0n4ln4/edit"",""8!Q2:Q31""))"),5831.022999999997)</f>
        <v>5831.023</v>
      </c>
      <c r="G207" s="40">
        <f>IFERROR(__xludf.DUMMYFUNCTION("IMPORTRANGE(""https://docs.google.com/spreadsheets/d/1AxBmuQEdOYAeRnZ4C8vO6kuTNp7X_SGhpLXuY0n4ln4/edit"",""8!e38"")"),1476.0)</f>
        <v>1476</v>
      </c>
      <c r="H207" s="40">
        <f>IFERROR(__xludf.DUMMYFUNCTION("IMPORTRANGE(""https://docs.google.com/spreadsheets/d/1AxBmuQEdOYAeRnZ4C8vO6kuTNp7X_SGhpLXuY0n4ln4/edit"",""8!e39"")"),67.0)</f>
        <v>67</v>
      </c>
      <c r="I207" s="40">
        <f t="shared" si="540"/>
        <v>1543</v>
      </c>
      <c r="J207" s="40">
        <f>IFERROR(__xludf.DUMMYFUNCTION("IMPORTRANGE(""https://docs.google.com/spreadsheets/d/1AxBmuQEdOYAeRnZ4C8vO6kuTNp7X_SGhpLXuY0n4ln4/edit"",""8!e42"")"),2327.0)</f>
        <v>2327</v>
      </c>
      <c r="K207" s="40">
        <f>IFERROR(__xludf.DUMMYFUNCTION("IMPORTRANGE(""https://docs.google.com/spreadsheets/d/1AxBmuQEdOYAeRnZ4C8vO6kuTNp7X_SGhpLXuY0n4ln4/edit"",""8!e43"")"),0.0)</f>
        <v>0</v>
      </c>
      <c r="L207" s="40">
        <f t="shared" si="570"/>
        <v>2327</v>
      </c>
      <c r="M207" s="40">
        <f t="shared" si="542"/>
        <v>3870</v>
      </c>
      <c r="N207" s="41">
        <f t="shared" si="543"/>
        <v>194.3674333</v>
      </c>
      <c r="O207" s="38">
        <v>8345.0</v>
      </c>
      <c r="P207" s="42">
        <f t="shared" si="544"/>
        <v>0.463750749</v>
      </c>
      <c r="Q207" s="43">
        <v>1.5</v>
      </c>
      <c r="R207" s="42">
        <f t="shared" si="545"/>
        <v>0.4424609541</v>
      </c>
      <c r="S207" s="44">
        <f t="shared" si="546"/>
        <v>0.6636914312</v>
      </c>
      <c r="T207" s="43">
        <f>F207/41.205</f>
        <v>141.5125106</v>
      </c>
      <c r="U207" s="43">
        <f t="shared" si="547"/>
        <v>4.717083687</v>
      </c>
      <c r="V207" s="40">
        <f t="shared" si="548"/>
        <v>129</v>
      </c>
      <c r="X207" s="46" t="s">
        <v>33</v>
      </c>
      <c r="Y207" s="46">
        <v>6.0</v>
      </c>
      <c r="Z207" s="46">
        <f t="shared" ref="Z207:AI207" si="579">SUM(Z201:Z206)</f>
        <v>226</v>
      </c>
      <c r="AA207" s="47">
        <f t="shared" si="579"/>
        <v>219</v>
      </c>
      <c r="AB207" s="49">
        <f t="shared" si="579"/>
        <v>42688.724</v>
      </c>
      <c r="AC207" s="47">
        <f t="shared" si="579"/>
        <v>14924</v>
      </c>
      <c r="AD207" s="47">
        <f t="shared" si="579"/>
        <v>440</v>
      </c>
      <c r="AE207" s="47">
        <f t="shared" si="579"/>
        <v>15364</v>
      </c>
      <c r="AF207" s="47">
        <f t="shared" si="579"/>
        <v>18597</v>
      </c>
      <c r="AG207" s="47">
        <f t="shared" si="579"/>
        <v>1089</v>
      </c>
      <c r="AH207" s="47">
        <f t="shared" si="579"/>
        <v>19686</v>
      </c>
      <c r="AI207" s="47">
        <f t="shared" si="579"/>
        <v>35050</v>
      </c>
      <c r="AJ207" s="49">
        <f t="shared" si="560"/>
        <v>194.9256804</v>
      </c>
      <c r="AK207" s="46">
        <f>SUM(AK201:AK206)</f>
        <v>53273</v>
      </c>
      <c r="AL207" s="50">
        <f t="shared" si="562"/>
        <v>0.6579317853</v>
      </c>
      <c r="AM207" s="51">
        <v>1.5</v>
      </c>
      <c r="AN207" s="50">
        <f t="shared" si="564"/>
        <v>0.5473732751</v>
      </c>
      <c r="AO207" s="52">
        <f t="shared" si="565"/>
        <v>0.8210599127</v>
      </c>
      <c r="AP207" s="51">
        <f>SUM(AP201:AP206)</f>
        <v>1405.139411</v>
      </c>
      <c r="AQ207" s="51">
        <f>AP207/AA207</f>
        <v>6.416161696</v>
      </c>
      <c r="AR207" s="47">
        <f t="shared" si="567"/>
        <v>160.0456621</v>
      </c>
    </row>
    <row r="208" ht="15.75" customHeight="1">
      <c r="A208" s="21"/>
      <c r="B208" s="38">
        <v>14.0</v>
      </c>
      <c r="C208" s="38" t="s">
        <v>27</v>
      </c>
      <c r="D208" s="39">
        <v>30.0</v>
      </c>
      <c r="E208" s="40">
        <f>IFERROR(__xludf.DUMMYFUNCTION("COUNT(IMPORTRANGE(""https://docs.google.com/spreadsheets/d/1LsL4JuXvBtfJ-TVi4NFml9lV_pmd61b789A_nbO-QrA/edit"",""8!d2:d31""))"),29.0)</f>
        <v>29</v>
      </c>
      <c r="F208" s="45">
        <f>IFERROR(__xludf.DUMMYFUNCTION("SUM(IMPORTRANGE(""https://docs.google.com/spreadsheets/d/1LsL4JuXvBtfJ-TVi4NFml9lV_pmd61b789A_nbO-QrA/edit"",""8!Q2:Q31""))"),5245.924999999999)</f>
        <v>5245.925</v>
      </c>
      <c r="G208" s="40">
        <f>IFERROR(__xludf.DUMMYFUNCTION("IMPORTRANGE(""https://docs.google.com/spreadsheets/d/1LsL4JuXvBtfJ-TVi4NFml9lV_pmd61b789A_nbO-QrA/edit"",""8!e38"")"),1868.0)</f>
        <v>1868</v>
      </c>
      <c r="H208" s="40">
        <f>IFERROR(__xludf.DUMMYFUNCTION("IMPORTRANGE(""https://docs.google.com/spreadsheets/d/1LsL4JuXvBtfJ-TVi4NFml9lV_pmd61b789A_nbO-QrA/edit"",""8!e39"")"),92.0)</f>
        <v>92</v>
      </c>
      <c r="I208" s="40">
        <f t="shared" si="540"/>
        <v>1960</v>
      </c>
      <c r="J208" s="40">
        <f>IFERROR(__xludf.DUMMYFUNCTION("IMPORTRANGE(""https://docs.google.com/spreadsheets/d/1LsL4JuXvBtfJ-TVi4NFml9lV_pmd61b789A_nbO-QrA/edit"",""8!e42"")"),2874.0)</f>
        <v>2874</v>
      </c>
      <c r="K208" s="40">
        <f>IFERROR(__xludf.DUMMYFUNCTION("IMPORTRANGE(""https://docs.google.com/spreadsheets/d/1LsL4JuXvBtfJ-TVi4NFml9lV_pmd61b789A_nbO-QrA/edit"",""8!e43"")"),106.0)</f>
        <v>106</v>
      </c>
      <c r="L208" s="40">
        <f t="shared" si="570"/>
        <v>2980</v>
      </c>
      <c r="M208" s="40">
        <f t="shared" si="542"/>
        <v>4940</v>
      </c>
      <c r="N208" s="41">
        <f t="shared" si="543"/>
        <v>180.8939655</v>
      </c>
      <c r="O208" s="38">
        <v>8101.0</v>
      </c>
      <c r="P208" s="42">
        <f t="shared" si="544"/>
        <v>0.6098012591</v>
      </c>
      <c r="Q208" s="43">
        <v>1.5</v>
      </c>
      <c r="R208" s="42">
        <f t="shared" si="545"/>
        <v>0.627788871</v>
      </c>
      <c r="S208" s="44">
        <f t="shared" si="546"/>
        <v>0.9416833066</v>
      </c>
      <c r="T208" s="43">
        <f>F208/19.985</f>
        <v>262.4931198</v>
      </c>
      <c r="U208" s="43">
        <f t="shared" si="547"/>
        <v>9.051486891</v>
      </c>
      <c r="V208" s="40">
        <f t="shared" si="548"/>
        <v>170.3448276</v>
      </c>
      <c r="X208" s="59" t="s">
        <v>44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6"/>
    </row>
    <row r="209" ht="15.75" customHeight="1">
      <c r="A209" s="21"/>
      <c r="B209" s="38">
        <v>15.0</v>
      </c>
      <c r="C209" s="38" t="s">
        <v>40</v>
      </c>
      <c r="D209" s="39">
        <v>30.0</v>
      </c>
      <c r="E209" s="40">
        <f>IFERROR(__xludf.DUMMYFUNCTION("COUNT(IMPORTRANGE(""https://docs.google.com/spreadsheets/d/1Krav0MVlY0vbUNsFRDnb_kR72_tyuGnWBYbGjNZrl18/edit"",""8!d2:d31""))"),28.0)</f>
        <v>28</v>
      </c>
      <c r="F209" s="45">
        <f>IFERROR(__xludf.DUMMYFUNCTION("SUM(IMPORTRANGE(""https://docs.google.com/spreadsheets/d/1Krav0MVlY0vbUNsFRDnb_kR72_tyuGnWBYbGjNZrl18/edit"",""8!Q2:Q31""))"),5574.827999999999)</f>
        <v>5574.828</v>
      </c>
      <c r="G209" s="40">
        <f>IFERROR(__xludf.DUMMYFUNCTION("IMPORTRANGE(""https://docs.google.com/spreadsheets/d/1Krav0MVlY0vbUNsFRDnb_kR72_tyuGnWBYbGjNZrl18/edit"",""8!e38"")"),3180.0)</f>
        <v>3180</v>
      </c>
      <c r="H209" s="40">
        <f>IFERROR(__xludf.DUMMYFUNCTION("IMPORTRANGE(""https://docs.google.com/spreadsheets/d/1Krav0MVlY0vbUNsFRDnb_kR72_tyuGnWBYbGjNZrl18/edit"",""8!e39"")"),46.0)</f>
        <v>46</v>
      </c>
      <c r="I209" s="40">
        <f t="shared" si="540"/>
        <v>3226</v>
      </c>
      <c r="J209" s="40">
        <f>IFERROR(__xludf.DUMMYFUNCTION("IMPORTRANGE(""https://docs.google.com/spreadsheets/d/1Krav0MVlY0vbUNsFRDnb_kR72_tyuGnWBYbGjNZrl18/edit"",""8!e42"")"),3735.0)</f>
        <v>3735</v>
      </c>
      <c r="K209" s="40">
        <f>IFERROR(__xludf.DUMMYFUNCTION("IMPORTRANGE(""https://docs.google.com/spreadsheets/d/1Krav0MVlY0vbUNsFRDnb_kR72_tyuGnWBYbGjNZrl18/edit"",""8!e43"")"),25.0)</f>
        <v>25</v>
      </c>
      <c r="L209" s="40">
        <f t="shared" si="570"/>
        <v>3760</v>
      </c>
      <c r="M209" s="40">
        <f t="shared" si="542"/>
        <v>6986</v>
      </c>
      <c r="N209" s="41">
        <f t="shared" si="543"/>
        <v>199.101</v>
      </c>
      <c r="O209" s="38">
        <v>8239.0</v>
      </c>
      <c r="P209" s="42">
        <f t="shared" si="544"/>
        <v>0.8479184367</v>
      </c>
      <c r="Q209" s="43">
        <v>1.5</v>
      </c>
      <c r="R209" s="42">
        <f t="shared" si="545"/>
        <v>0.8354218881</v>
      </c>
      <c r="S209" s="44">
        <f t="shared" si="546"/>
        <v>1.253132832</v>
      </c>
      <c r="T209" s="43">
        <f>F209/28.443</f>
        <v>196</v>
      </c>
      <c r="U209" s="43">
        <f t="shared" si="547"/>
        <v>7</v>
      </c>
      <c r="V209" s="40">
        <f t="shared" si="548"/>
        <v>249.5</v>
      </c>
      <c r="X209" s="14" t="s">
        <v>2</v>
      </c>
      <c r="Y209" s="14" t="s">
        <v>3</v>
      </c>
      <c r="Z209" s="14" t="s">
        <v>4</v>
      </c>
      <c r="AA209" s="14" t="s">
        <v>5</v>
      </c>
      <c r="AB209" s="15" t="s">
        <v>6</v>
      </c>
      <c r="AC209" s="14" t="s">
        <v>7</v>
      </c>
      <c r="AD209" s="14" t="s">
        <v>8</v>
      </c>
      <c r="AE209" s="14" t="s">
        <v>9</v>
      </c>
      <c r="AF209" s="14" t="s">
        <v>10</v>
      </c>
      <c r="AG209" s="14" t="s">
        <v>11</v>
      </c>
      <c r="AH209" s="14" t="s">
        <v>12</v>
      </c>
      <c r="AI209" s="14" t="s">
        <v>13</v>
      </c>
      <c r="AJ209" s="15" t="s">
        <v>14</v>
      </c>
      <c r="AK209" s="14" t="s">
        <v>15</v>
      </c>
      <c r="AL209" s="14" t="s">
        <v>16</v>
      </c>
      <c r="AM209" s="16" t="s">
        <v>17</v>
      </c>
      <c r="AN209" s="17" t="s">
        <v>18</v>
      </c>
      <c r="AO209" s="18" t="s">
        <v>19</v>
      </c>
      <c r="AP209" s="19" t="s">
        <v>20</v>
      </c>
      <c r="AQ209" s="19" t="s">
        <v>21</v>
      </c>
      <c r="AR209" s="20" t="s">
        <v>22</v>
      </c>
    </row>
    <row r="210" ht="15.75" customHeight="1">
      <c r="A210" s="21"/>
      <c r="B210" s="38">
        <v>16.0</v>
      </c>
      <c r="C210" s="38" t="s">
        <v>42</v>
      </c>
      <c r="D210" s="39">
        <v>33.0</v>
      </c>
      <c r="E210" s="40">
        <f>IFERROR(__xludf.DUMMYFUNCTION("COUNT(IMPORTRANGE(""https://docs.google.com/spreadsheets/d/1uXtm-E8PG0CetlFmSpTX3RK0LNEMnpR-mxbET9AGD6w/edit"",""8!d2:d34""))"),33.0)</f>
        <v>33</v>
      </c>
      <c r="F210" s="45">
        <f>IFERROR(__xludf.DUMMYFUNCTION("SUM(IMPORTRANGE(""https://docs.google.com/spreadsheets/d/1uXtm-E8PG0CetlFmSpTX3RK0LNEMnpR-mxbET9AGD6w/edit"",""8!Q2:Q34""))"),6397.205999999998)</f>
        <v>6397.206</v>
      </c>
      <c r="G210" s="40">
        <f>IFERROR(__xludf.DUMMYFUNCTION("IMPORTRANGE(""https://docs.google.com/spreadsheets/d/1uXtm-E8PG0CetlFmSpTX3RK0LNEMnpR-mxbET9AGD6w/edit"",""8!e41"")"),2780.0)</f>
        <v>2780</v>
      </c>
      <c r="H210" s="40">
        <f>IFERROR(__xludf.DUMMYFUNCTION("IMPORTRANGE(""https://docs.google.com/spreadsheets/d/1uXtm-E8PG0CetlFmSpTX3RK0LNEMnpR-mxbET9AGD6w/edit"",""8!e42"")"),185.0)</f>
        <v>185</v>
      </c>
      <c r="I210" s="40">
        <f t="shared" si="540"/>
        <v>2965</v>
      </c>
      <c r="J210" s="40">
        <f>IFERROR(__xludf.DUMMYFUNCTION("IMPORTRANGE(""https://docs.google.com/spreadsheets/d/1uXtm-E8PG0CetlFmSpTX3RK0LNEMnpR-mxbET9AGD6w/edit"",""8!e45"")"),3997.0)</f>
        <v>3997</v>
      </c>
      <c r="K210" s="40">
        <f>IFERROR(__xludf.DUMMYFUNCTION("IMPORTRANGE(""https://docs.google.com/spreadsheets/d/1uXtm-E8PG0CetlFmSpTX3RK0LNEMnpR-mxbET9AGD6w/edit"",""8!e46"")"),223.0)</f>
        <v>223</v>
      </c>
      <c r="L210" s="40">
        <f t="shared" si="570"/>
        <v>4220</v>
      </c>
      <c r="M210" s="40">
        <f t="shared" si="542"/>
        <v>7185</v>
      </c>
      <c r="N210" s="41">
        <f t="shared" si="543"/>
        <v>193.8547273</v>
      </c>
      <c r="O210" s="38">
        <v>9877.0</v>
      </c>
      <c r="P210" s="42">
        <f t="shared" si="544"/>
        <v>0.7274476055</v>
      </c>
      <c r="Q210" s="43">
        <v>1.5</v>
      </c>
      <c r="R210" s="42">
        <f t="shared" si="545"/>
        <v>0.7487643825</v>
      </c>
      <c r="S210" s="44">
        <f t="shared" si="546"/>
        <v>1.123146574</v>
      </c>
      <c r="T210" s="43">
        <f>F210/26.155</f>
        <v>244.5882623</v>
      </c>
      <c r="U210" s="43">
        <f t="shared" si="547"/>
        <v>7.411765524</v>
      </c>
      <c r="V210" s="40">
        <f t="shared" si="548"/>
        <v>217.7272727</v>
      </c>
      <c r="X210" s="31">
        <v>1.0</v>
      </c>
      <c r="Y210" s="31" t="s">
        <v>26</v>
      </c>
      <c r="Z210" s="31">
        <f t="shared" ref="Z210:AI210" si="580">SUM(D195)</f>
        <v>20</v>
      </c>
      <c r="AA210" s="32">
        <f t="shared" si="580"/>
        <v>20</v>
      </c>
      <c r="AB210" s="34">
        <f t="shared" si="580"/>
        <v>3892.662</v>
      </c>
      <c r="AC210" s="32">
        <f t="shared" si="580"/>
        <v>1815</v>
      </c>
      <c r="AD210" s="32">
        <f t="shared" si="580"/>
        <v>0</v>
      </c>
      <c r="AE210" s="32">
        <f t="shared" si="580"/>
        <v>1815</v>
      </c>
      <c r="AF210" s="32">
        <f t="shared" si="580"/>
        <v>2642</v>
      </c>
      <c r="AG210" s="32">
        <f t="shared" si="580"/>
        <v>0</v>
      </c>
      <c r="AH210" s="32">
        <f t="shared" si="580"/>
        <v>2642</v>
      </c>
      <c r="AI210" s="32">
        <f t="shared" si="580"/>
        <v>4457</v>
      </c>
      <c r="AJ210" s="34">
        <f t="shared" ref="AJ210:AJ216" si="583">AB210/AA210</f>
        <v>194.6331</v>
      </c>
      <c r="AK210" s="31">
        <f>SUM(O195)</f>
        <v>5161</v>
      </c>
      <c r="AL210" s="35">
        <f t="shared" ref="AL210:AL216" si="584">AI210/AK210</f>
        <v>0.8635923271</v>
      </c>
      <c r="AM210" s="36">
        <f>SUM(Q195)</f>
        <v>1.5</v>
      </c>
      <c r="AN210" s="35">
        <f t="shared" ref="AN210:AN216" si="585">AO210/AM210</f>
        <v>0.7633165513</v>
      </c>
      <c r="AO210" s="37">
        <f t="shared" ref="AO210:AO216" si="586">AI210/AB210</f>
        <v>1.144974827</v>
      </c>
      <c r="AP210" s="36">
        <f t="shared" ref="AP210:AQ210" si="581">SUM(T195)</f>
        <v>270.0424558</v>
      </c>
      <c r="AQ210" s="36">
        <f t="shared" si="581"/>
        <v>13.50212279</v>
      </c>
      <c r="AR210" s="32">
        <f t="shared" ref="AR210:AR216" si="588">AI210/AA210</f>
        <v>222.85</v>
      </c>
    </row>
    <row r="211" ht="15.75" customHeight="1">
      <c r="A211" s="21"/>
      <c r="B211" s="38">
        <v>17.0</v>
      </c>
      <c r="C211" s="38" t="s">
        <v>29</v>
      </c>
      <c r="D211" s="39">
        <v>30.0</v>
      </c>
      <c r="E211" s="40">
        <f>IFERROR(__xludf.DUMMYFUNCTION("COUNT(IMPORTRANGE(""https://docs.google.com/spreadsheets/d/12xcKI0lSnAsjEsxfm9K8Qx0B_89Gzsh816mowItkQao/edit"",""8!d2:d31""))"),29.0)</f>
        <v>29</v>
      </c>
      <c r="F211" s="45">
        <f>IFERROR(__xludf.DUMMYFUNCTION("SUM(IMPORTRANGE(""https://docs.google.com/spreadsheets/d/12xcKI0lSnAsjEsxfm9K8Qx0B_89Gzsh816mowItkQao/edit"",""8!Q2:Q31""))"),5832.5120000000015)</f>
        <v>5832.512</v>
      </c>
      <c r="G211" s="40">
        <f>IFERROR(__xludf.DUMMYFUNCTION("IMPORTRANGE(""https://docs.google.com/spreadsheets/d/12xcKI0lSnAsjEsxfm9K8Qx0B_89Gzsh816mowItkQao/edit"",""8!e38"")"),2425.0)</f>
        <v>2425</v>
      </c>
      <c r="H211" s="40">
        <f>IFERROR(__xludf.DUMMYFUNCTION("IMPORTRANGE(""https://docs.google.com/spreadsheets/d/12xcKI0lSnAsjEsxfm9K8Qx0B_89Gzsh816mowItkQao/edit"",""8!e39"")"),0.0)</f>
        <v>0</v>
      </c>
      <c r="I211" s="40">
        <f t="shared" si="540"/>
        <v>2425</v>
      </c>
      <c r="J211" s="40">
        <f>IFERROR(__xludf.DUMMYFUNCTION("IMPORTRANGE(""https://docs.google.com/spreadsheets/d/12xcKI0lSnAsjEsxfm9K8Qx0B_89Gzsh816mowItkQao/edit"",""8!e42"")"),3165.0)</f>
        <v>3165</v>
      </c>
      <c r="K211" s="40">
        <f>IFERROR(__xludf.DUMMYFUNCTION("IMPORTRANGE(""https://docs.google.com/spreadsheets/d/12xcKI0lSnAsjEsxfm9K8Qx0B_89Gzsh816mowItkQao/edit"",""8!e43"")"),0.0)</f>
        <v>0</v>
      </c>
      <c r="L211" s="40">
        <f t="shared" si="570"/>
        <v>3165</v>
      </c>
      <c r="M211" s="40">
        <f t="shared" si="542"/>
        <v>5590</v>
      </c>
      <c r="N211" s="41">
        <f t="shared" si="543"/>
        <v>201.1211034</v>
      </c>
      <c r="O211" s="38">
        <v>9201.0</v>
      </c>
      <c r="P211" s="42">
        <f t="shared" si="544"/>
        <v>0.6075426584</v>
      </c>
      <c r="Q211" s="43">
        <v>1.5</v>
      </c>
      <c r="R211" s="42">
        <f t="shared" si="545"/>
        <v>0.6389471066</v>
      </c>
      <c r="S211" s="44">
        <f t="shared" si="546"/>
        <v>0.9584206599</v>
      </c>
      <c r="T211" s="43">
        <f>F211/26.038</f>
        <v>224</v>
      </c>
      <c r="U211" s="43">
        <f t="shared" si="547"/>
        <v>7.724137931</v>
      </c>
      <c r="V211" s="40">
        <f t="shared" si="548"/>
        <v>192.7586207</v>
      </c>
      <c r="X211" s="31">
        <v>2.0</v>
      </c>
      <c r="Y211" s="31" t="s">
        <v>32</v>
      </c>
      <c r="Z211" s="31">
        <f t="shared" ref="Z211:AI211" si="582">SUM(D198)</f>
        <v>42</v>
      </c>
      <c r="AA211" s="32">
        <f t="shared" si="582"/>
        <v>42</v>
      </c>
      <c r="AB211" s="33">
        <f t="shared" si="582"/>
        <v>8338.869</v>
      </c>
      <c r="AC211" s="31">
        <f t="shared" si="582"/>
        <v>4406</v>
      </c>
      <c r="AD211" s="31">
        <f t="shared" si="582"/>
        <v>57</v>
      </c>
      <c r="AE211" s="32">
        <f t="shared" si="582"/>
        <v>4463</v>
      </c>
      <c r="AF211" s="31">
        <f t="shared" si="582"/>
        <v>4961</v>
      </c>
      <c r="AG211" s="31">
        <f t="shared" si="582"/>
        <v>0</v>
      </c>
      <c r="AH211" s="32">
        <f t="shared" si="582"/>
        <v>4961</v>
      </c>
      <c r="AI211" s="32">
        <f t="shared" si="582"/>
        <v>9424</v>
      </c>
      <c r="AJ211" s="34">
        <f t="shared" si="583"/>
        <v>198.5445</v>
      </c>
      <c r="AK211" s="31">
        <f>SUM(O198)</f>
        <v>13817</v>
      </c>
      <c r="AL211" s="35">
        <f t="shared" si="584"/>
        <v>0.6820583339</v>
      </c>
      <c r="AM211" s="36">
        <f>SUM(Q198)</f>
        <v>1.5</v>
      </c>
      <c r="AN211" s="35">
        <f t="shared" si="585"/>
        <v>0.7534195185</v>
      </c>
      <c r="AO211" s="37">
        <f t="shared" si="586"/>
        <v>1.130129278</v>
      </c>
      <c r="AP211" s="36">
        <f t="shared" ref="AP211:AQ211" si="587">SUM(T198)</f>
        <v>332.3715174</v>
      </c>
      <c r="AQ211" s="36">
        <f t="shared" si="587"/>
        <v>7.913607557</v>
      </c>
      <c r="AR211" s="32">
        <f t="shared" si="588"/>
        <v>224.3809524</v>
      </c>
    </row>
    <row r="212" ht="15.75" customHeight="1">
      <c r="A212" s="21"/>
      <c r="B212" s="38">
        <v>18.0</v>
      </c>
      <c r="C212" s="38" t="s">
        <v>31</v>
      </c>
      <c r="D212" s="39">
        <v>15.0</v>
      </c>
      <c r="E212" s="40">
        <f>IFERROR(__xludf.DUMMYFUNCTION("COUNT(IMPORTRANGE(""https://docs.google.com/spreadsheets/d/1fgCFOFzOla4Qim6_-zG-lbYhLCItqv_kZiAHoErRgcM/edit"",""8!d2:d16""))"),15.0)</f>
        <v>15</v>
      </c>
      <c r="F212" s="41">
        <f>IFERROR(__xludf.DUMMYFUNCTION("SUM(IMPORTRANGE(""https://docs.google.com/spreadsheets/d/1fgCFOFzOla4Qim6_-zG-lbYhLCItqv_kZiAHoErRgcM/edit"",""8!Q2:Q16""))"),2999.085)</f>
        <v>2999.085</v>
      </c>
      <c r="G212" s="40">
        <f>IFERROR(__xludf.DUMMYFUNCTION("IMPORTRANGE(""https://docs.google.com/spreadsheets/d/1fgCFOFzOla4Qim6_-zG-lbYhLCItqv_kZiAHoErRgcM/edit"",""8!e23"")"),943.0)</f>
        <v>943</v>
      </c>
      <c r="H212" s="40">
        <f>IFERROR(__xludf.DUMMYFUNCTION("IMPORTRANGE(""https://docs.google.com/spreadsheets/d/1fgCFOFzOla4Qim6_-zG-lbYhLCItqv_kZiAHoErRgcM/edit"",""8!e24"")"),47.0)</f>
        <v>47</v>
      </c>
      <c r="I212" s="40">
        <f t="shared" si="540"/>
        <v>990</v>
      </c>
      <c r="J212" s="40">
        <f>IFERROR(__xludf.DUMMYFUNCTION("IMPORTRANGE(""https://docs.google.com/spreadsheets/d/1fgCFOFzOla4Qim6_-zG-lbYhLCItqv_kZiAHoErRgcM/edit"",""8!e27"")"),1071.0)</f>
        <v>1071</v>
      </c>
      <c r="K212" s="40">
        <f>IFERROR(__xludf.DUMMYFUNCTION("IMPORTRANGE(""https://docs.google.com/spreadsheets/d/1fgCFOFzOla4Qim6_-zG-lbYhLCItqv_kZiAHoErRgcM/edit"",""8!e28"")"),0.0)</f>
        <v>0</v>
      </c>
      <c r="L212" s="40">
        <f t="shared" si="570"/>
        <v>1071</v>
      </c>
      <c r="M212" s="40">
        <f t="shared" si="542"/>
        <v>2061</v>
      </c>
      <c r="N212" s="41">
        <f t="shared" si="543"/>
        <v>199.939</v>
      </c>
      <c r="O212" s="38">
        <v>2717.0</v>
      </c>
      <c r="P212" s="42">
        <f t="shared" si="544"/>
        <v>0.7585572322</v>
      </c>
      <c r="Q212" s="43">
        <v>1.5</v>
      </c>
      <c r="R212" s="42">
        <f t="shared" si="545"/>
        <v>0.4581397326</v>
      </c>
      <c r="S212" s="44">
        <f t="shared" si="546"/>
        <v>0.6872095989</v>
      </c>
      <c r="T212" s="43">
        <f>F212/43.465</f>
        <v>69</v>
      </c>
      <c r="U212" s="43">
        <f t="shared" si="547"/>
        <v>4.6</v>
      </c>
      <c r="V212" s="40">
        <f t="shared" si="548"/>
        <v>137.4</v>
      </c>
      <c r="X212" s="31">
        <v>3.0</v>
      </c>
      <c r="Y212" s="31" t="s">
        <v>36</v>
      </c>
      <c r="Z212" s="31">
        <f t="shared" ref="Z212:AI212" si="589">SUM(D203)</f>
        <v>24</v>
      </c>
      <c r="AA212" s="32">
        <f t="shared" si="589"/>
        <v>24</v>
      </c>
      <c r="AB212" s="33">
        <f t="shared" si="589"/>
        <v>4782.608</v>
      </c>
      <c r="AC212" s="32">
        <f t="shared" si="589"/>
        <v>1329</v>
      </c>
      <c r="AD212" s="32">
        <f t="shared" si="589"/>
        <v>0</v>
      </c>
      <c r="AE212" s="32">
        <f t="shared" si="589"/>
        <v>1329</v>
      </c>
      <c r="AF212" s="32">
        <f t="shared" si="589"/>
        <v>1964</v>
      </c>
      <c r="AG212" s="32">
        <f t="shared" si="589"/>
        <v>0</v>
      </c>
      <c r="AH212" s="32">
        <f t="shared" si="589"/>
        <v>1964</v>
      </c>
      <c r="AI212" s="32">
        <f t="shared" si="589"/>
        <v>3293</v>
      </c>
      <c r="AJ212" s="34">
        <f t="shared" si="583"/>
        <v>199.2753333</v>
      </c>
      <c r="AK212" s="31">
        <f t="shared" ref="AK212:AK215" si="593">SUM(O203)</f>
        <v>4796</v>
      </c>
      <c r="AL212" s="35">
        <f t="shared" si="584"/>
        <v>0.6866138449</v>
      </c>
      <c r="AM212" s="36">
        <f t="shared" ref="AM212:AM215" si="594">SUM(Q203)</f>
        <v>1.5</v>
      </c>
      <c r="AN212" s="35">
        <f t="shared" si="585"/>
        <v>0.4590243092</v>
      </c>
      <c r="AO212" s="37">
        <f t="shared" si="586"/>
        <v>0.6885364638</v>
      </c>
      <c r="AP212" s="36">
        <f t="shared" ref="AP212:AQ212" si="590">SUM(T203)</f>
        <v>127.8293687</v>
      </c>
      <c r="AQ212" s="36">
        <f t="shared" si="590"/>
        <v>5.326223695</v>
      </c>
      <c r="AR212" s="32">
        <f t="shared" si="588"/>
        <v>137.2083333</v>
      </c>
    </row>
    <row r="213" ht="15.75" customHeight="1">
      <c r="A213" s="21"/>
      <c r="B213" s="60" t="s">
        <v>33</v>
      </c>
      <c r="C213" s="60">
        <v>18.0</v>
      </c>
      <c r="D213" s="60">
        <f t="shared" ref="D213:M213" si="591">SUM(D195:D212)</f>
        <v>580</v>
      </c>
      <c r="E213" s="61">
        <f t="shared" si="591"/>
        <v>564</v>
      </c>
      <c r="F213" s="62">
        <f t="shared" si="591"/>
        <v>109683.354</v>
      </c>
      <c r="G213" s="61">
        <f t="shared" si="591"/>
        <v>36890</v>
      </c>
      <c r="H213" s="61">
        <f t="shared" si="591"/>
        <v>1143</v>
      </c>
      <c r="I213" s="61">
        <f t="shared" si="591"/>
        <v>38033</v>
      </c>
      <c r="J213" s="61">
        <f t="shared" si="591"/>
        <v>48649</v>
      </c>
      <c r="K213" s="61">
        <f t="shared" si="591"/>
        <v>1694</v>
      </c>
      <c r="L213" s="61">
        <f t="shared" si="591"/>
        <v>50343</v>
      </c>
      <c r="M213" s="61">
        <f t="shared" si="591"/>
        <v>88376</v>
      </c>
      <c r="N213" s="62">
        <f t="shared" si="543"/>
        <v>194.4740319</v>
      </c>
      <c r="O213" s="60">
        <f>SUM(O195:O212)</f>
        <v>126399</v>
      </c>
      <c r="P213" s="63">
        <f t="shared" si="544"/>
        <v>0.6991827467</v>
      </c>
      <c r="Q213" s="64">
        <v>1.5</v>
      </c>
      <c r="R213" s="63">
        <f t="shared" si="545"/>
        <v>0.5371583853</v>
      </c>
      <c r="S213" s="65">
        <f t="shared" si="546"/>
        <v>0.805737578</v>
      </c>
      <c r="T213" s="64">
        <f>SUM(T195:T212)</f>
        <v>4059.144326</v>
      </c>
      <c r="U213" s="64">
        <f t="shared" si="547"/>
        <v>7.197064408</v>
      </c>
      <c r="V213" s="61">
        <f t="shared" si="548"/>
        <v>156.6950355</v>
      </c>
      <c r="X213" s="31">
        <v>4.0</v>
      </c>
      <c r="Y213" s="31" t="s">
        <v>37</v>
      </c>
      <c r="Z213" s="31">
        <f t="shared" ref="Z213:AI213" si="592">SUM(D204)</f>
        <v>30</v>
      </c>
      <c r="AA213" s="32">
        <f t="shared" si="592"/>
        <v>28</v>
      </c>
      <c r="AB213" s="33">
        <f t="shared" si="592"/>
        <v>5600.37</v>
      </c>
      <c r="AC213" s="32">
        <f t="shared" si="592"/>
        <v>1899</v>
      </c>
      <c r="AD213" s="32">
        <f t="shared" si="592"/>
        <v>0</v>
      </c>
      <c r="AE213" s="32">
        <f t="shared" si="592"/>
        <v>1899</v>
      </c>
      <c r="AF213" s="32">
        <f t="shared" si="592"/>
        <v>2728</v>
      </c>
      <c r="AG213" s="32">
        <f t="shared" si="592"/>
        <v>0</v>
      </c>
      <c r="AH213" s="32">
        <f t="shared" si="592"/>
        <v>2728</v>
      </c>
      <c r="AI213" s="32">
        <f t="shared" si="592"/>
        <v>4627</v>
      </c>
      <c r="AJ213" s="34">
        <f t="shared" si="583"/>
        <v>200.0132143</v>
      </c>
      <c r="AK213" s="31">
        <f t="shared" si="593"/>
        <v>5887</v>
      </c>
      <c r="AL213" s="35">
        <f t="shared" si="584"/>
        <v>0.7859690844</v>
      </c>
      <c r="AM213" s="36">
        <f t="shared" si="594"/>
        <v>1.5</v>
      </c>
      <c r="AN213" s="35">
        <f t="shared" si="585"/>
        <v>0.5507969414</v>
      </c>
      <c r="AO213" s="37">
        <f t="shared" si="586"/>
        <v>0.8261954121</v>
      </c>
      <c r="AP213" s="36">
        <f t="shared" ref="AP213:AQ213" si="595">SUM(T204)</f>
        <v>225.8942401</v>
      </c>
      <c r="AQ213" s="36">
        <f t="shared" si="595"/>
        <v>8.067651431</v>
      </c>
      <c r="AR213" s="32">
        <f t="shared" si="588"/>
        <v>165.25</v>
      </c>
    </row>
    <row r="214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X214" s="31">
        <v>5.0</v>
      </c>
      <c r="Y214" s="31" t="s">
        <v>39</v>
      </c>
      <c r="Z214" s="31">
        <f t="shared" ref="Z214:AI214" si="596">SUM(D205)</f>
        <v>28</v>
      </c>
      <c r="AA214" s="32">
        <f t="shared" si="596"/>
        <v>28</v>
      </c>
      <c r="AB214" s="33">
        <f t="shared" si="596"/>
        <v>5597.478</v>
      </c>
      <c r="AC214" s="32">
        <f t="shared" si="596"/>
        <v>1204</v>
      </c>
      <c r="AD214" s="32">
        <f t="shared" si="596"/>
        <v>0</v>
      </c>
      <c r="AE214" s="32">
        <f t="shared" si="596"/>
        <v>1204</v>
      </c>
      <c r="AF214" s="32">
        <f t="shared" si="596"/>
        <v>2029</v>
      </c>
      <c r="AG214" s="32">
        <f t="shared" si="596"/>
        <v>0</v>
      </c>
      <c r="AH214" s="32">
        <f t="shared" si="596"/>
        <v>2029</v>
      </c>
      <c r="AI214" s="32">
        <f t="shared" si="596"/>
        <v>3233</v>
      </c>
      <c r="AJ214" s="34">
        <f t="shared" si="583"/>
        <v>199.9099286</v>
      </c>
      <c r="AK214" s="31">
        <f t="shared" si="593"/>
        <v>3569</v>
      </c>
      <c r="AL214" s="35">
        <f t="shared" si="584"/>
        <v>0.9058559821</v>
      </c>
      <c r="AM214" s="36">
        <f t="shared" si="594"/>
        <v>1.5</v>
      </c>
      <c r="AN214" s="35">
        <f t="shared" si="585"/>
        <v>0.3850543644</v>
      </c>
      <c r="AO214" s="37">
        <f t="shared" si="586"/>
        <v>0.5775815465</v>
      </c>
      <c r="AP214" s="36">
        <f t="shared" ref="AP214:AQ214" si="597">SUM(T205)</f>
        <v>260.7966268</v>
      </c>
      <c r="AQ214" s="36">
        <f t="shared" si="597"/>
        <v>9.314165241</v>
      </c>
      <c r="AR214" s="32">
        <f t="shared" si="588"/>
        <v>115.4642857</v>
      </c>
    </row>
    <row r="215" ht="15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X215" s="31">
        <v>6.0</v>
      </c>
      <c r="Y215" s="31" t="s">
        <v>41</v>
      </c>
      <c r="Z215" s="31">
        <f t="shared" ref="Z215:AI215" si="598">SUM(D206)</f>
        <v>24</v>
      </c>
      <c r="AA215" s="32">
        <f t="shared" si="598"/>
        <v>23</v>
      </c>
      <c r="AB215" s="33">
        <f t="shared" si="598"/>
        <v>4704.268</v>
      </c>
      <c r="AC215" s="32">
        <f t="shared" si="598"/>
        <v>1199</v>
      </c>
      <c r="AD215" s="32">
        <f t="shared" si="598"/>
        <v>65</v>
      </c>
      <c r="AE215" s="32">
        <f t="shared" si="598"/>
        <v>1264</v>
      </c>
      <c r="AF215" s="32">
        <f t="shared" si="598"/>
        <v>1702</v>
      </c>
      <c r="AG215" s="32">
        <f t="shared" si="598"/>
        <v>0</v>
      </c>
      <c r="AH215" s="32">
        <f t="shared" si="598"/>
        <v>1702</v>
      </c>
      <c r="AI215" s="32">
        <f t="shared" si="598"/>
        <v>2966</v>
      </c>
      <c r="AJ215" s="34">
        <f t="shared" si="583"/>
        <v>204.5333913</v>
      </c>
      <c r="AK215" s="31">
        <f t="shared" si="593"/>
        <v>3801</v>
      </c>
      <c r="AL215" s="35">
        <f t="shared" si="584"/>
        <v>0.7803209682</v>
      </c>
      <c r="AM215" s="36">
        <f t="shared" si="594"/>
        <v>1.5</v>
      </c>
      <c r="AN215" s="35">
        <f t="shared" si="585"/>
        <v>0.4203275267</v>
      </c>
      <c r="AO215" s="37">
        <f t="shared" si="586"/>
        <v>0.63049129</v>
      </c>
      <c r="AP215" s="36">
        <f t="shared" ref="AP215:AQ215" si="599">SUM(T206)</f>
        <v>158.7777778</v>
      </c>
      <c r="AQ215" s="36">
        <f t="shared" si="599"/>
        <v>6.903381643</v>
      </c>
      <c r="AR215" s="32">
        <f t="shared" si="588"/>
        <v>128.9565217</v>
      </c>
    </row>
    <row r="216" ht="15.75" customHeight="1">
      <c r="A216" s="1" t="s">
        <v>45</v>
      </c>
      <c r="D216" s="2"/>
      <c r="X216" s="46" t="s">
        <v>33</v>
      </c>
      <c r="Y216" s="46">
        <v>6.0</v>
      </c>
      <c r="Z216" s="46">
        <f t="shared" ref="Z216:AI216" si="600">SUM(Z210:Z215)</f>
        <v>168</v>
      </c>
      <c r="AA216" s="47">
        <f t="shared" si="600"/>
        <v>165</v>
      </c>
      <c r="AB216" s="49">
        <f t="shared" si="600"/>
        <v>32916.255</v>
      </c>
      <c r="AC216" s="47">
        <f t="shared" si="600"/>
        <v>11852</v>
      </c>
      <c r="AD216" s="47">
        <f t="shared" si="600"/>
        <v>122</v>
      </c>
      <c r="AE216" s="47">
        <f t="shared" si="600"/>
        <v>11974</v>
      </c>
      <c r="AF216" s="47">
        <f t="shared" si="600"/>
        <v>16026</v>
      </c>
      <c r="AG216" s="47">
        <f t="shared" si="600"/>
        <v>0</v>
      </c>
      <c r="AH216" s="47">
        <f t="shared" si="600"/>
        <v>16026</v>
      </c>
      <c r="AI216" s="47">
        <f t="shared" si="600"/>
        <v>28000</v>
      </c>
      <c r="AJ216" s="49">
        <f t="shared" si="583"/>
        <v>199.4924545</v>
      </c>
      <c r="AK216" s="46">
        <f>SUM(AK210:AK215)</f>
        <v>37031</v>
      </c>
      <c r="AL216" s="50">
        <f t="shared" si="584"/>
        <v>0.7561232481</v>
      </c>
      <c r="AM216" s="51">
        <v>1.5</v>
      </c>
      <c r="AN216" s="50">
        <f t="shared" si="585"/>
        <v>0.5670956999</v>
      </c>
      <c r="AO216" s="52">
        <f t="shared" si="586"/>
        <v>0.8506435498</v>
      </c>
      <c r="AP216" s="51">
        <f>SUM(AP210:AP215)</f>
        <v>1375.711986</v>
      </c>
      <c r="AQ216" s="51">
        <f>AP216/AA216</f>
        <v>8.337648403</v>
      </c>
      <c r="AR216" s="47">
        <f t="shared" si="588"/>
        <v>169.6969697</v>
      </c>
    </row>
    <row r="217" ht="15.75" customHeight="1">
      <c r="A217" s="1" t="s">
        <v>45</v>
      </c>
      <c r="D217" s="2"/>
      <c r="X217" s="66" t="s">
        <v>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6"/>
    </row>
    <row r="218" ht="15.75" customHeight="1">
      <c r="A218" s="7">
        <v>46212.0</v>
      </c>
      <c r="B218" s="8" t="s">
        <v>2</v>
      </c>
      <c r="C218" s="8" t="s">
        <v>3</v>
      </c>
      <c r="D218" s="8" t="s">
        <v>4</v>
      </c>
      <c r="E218" s="8" t="s">
        <v>5</v>
      </c>
      <c r="F218" s="9" t="s">
        <v>6</v>
      </c>
      <c r="G218" s="8" t="s">
        <v>7</v>
      </c>
      <c r="H218" s="8" t="s">
        <v>8</v>
      </c>
      <c r="I218" s="8" t="s">
        <v>9</v>
      </c>
      <c r="J218" s="8" t="s">
        <v>10</v>
      </c>
      <c r="K218" s="8" t="s">
        <v>11</v>
      </c>
      <c r="L218" s="8" t="s">
        <v>12</v>
      </c>
      <c r="M218" s="8" t="s">
        <v>13</v>
      </c>
      <c r="N218" s="9" t="s">
        <v>14</v>
      </c>
      <c r="O218" s="8" t="s">
        <v>15</v>
      </c>
      <c r="P218" s="8" t="s">
        <v>16</v>
      </c>
      <c r="Q218" s="8" t="s">
        <v>17</v>
      </c>
      <c r="R218" s="8" t="s">
        <v>18</v>
      </c>
      <c r="S218" s="11" t="s">
        <v>19</v>
      </c>
      <c r="T218" s="12" t="s">
        <v>20</v>
      </c>
      <c r="U218" s="12" t="s">
        <v>21</v>
      </c>
      <c r="V218" s="13" t="s">
        <v>22</v>
      </c>
      <c r="X218" s="14" t="s">
        <v>2</v>
      </c>
      <c r="Y218" s="14" t="s">
        <v>3</v>
      </c>
      <c r="Z218" s="14" t="s">
        <v>4</v>
      </c>
      <c r="AA218" s="14" t="s">
        <v>5</v>
      </c>
      <c r="AB218" s="15" t="s">
        <v>6</v>
      </c>
      <c r="AC218" s="14" t="s">
        <v>7</v>
      </c>
      <c r="AD218" s="14" t="s">
        <v>8</v>
      </c>
      <c r="AE218" s="14" t="s">
        <v>9</v>
      </c>
      <c r="AF218" s="14" t="s">
        <v>10</v>
      </c>
      <c r="AG218" s="14" t="s">
        <v>11</v>
      </c>
      <c r="AH218" s="14" t="s">
        <v>12</v>
      </c>
      <c r="AI218" s="14" t="s">
        <v>13</v>
      </c>
      <c r="AJ218" s="15" t="s">
        <v>14</v>
      </c>
      <c r="AK218" s="14" t="s">
        <v>15</v>
      </c>
      <c r="AL218" s="14" t="s">
        <v>16</v>
      </c>
      <c r="AM218" s="16" t="s">
        <v>17</v>
      </c>
      <c r="AN218" s="17" t="s">
        <v>18</v>
      </c>
      <c r="AO218" s="18" t="s">
        <v>19</v>
      </c>
      <c r="AP218" s="19" t="s">
        <v>20</v>
      </c>
      <c r="AQ218" s="19" t="s">
        <v>21</v>
      </c>
      <c r="AR218" s="20" t="s">
        <v>22</v>
      </c>
    </row>
    <row r="219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X219" s="22">
        <v>1.0</v>
      </c>
      <c r="Y219" s="22" t="s">
        <v>23</v>
      </c>
      <c r="Z219" s="22">
        <f t="shared" ref="Z219:AI219" si="601">SUM(D227)</f>
        <v>35</v>
      </c>
      <c r="AA219" s="23">
        <f t="shared" si="601"/>
        <v>34</v>
      </c>
      <c r="AB219" s="24">
        <f t="shared" si="601"/>
        <v>6781.74</v>
      </c>
      <c r="AC219" s="23">
        <f t="shared" si="601"/>
        <v>1654</v>
      </c>
      <c r="AD219" s="23">
        <f t="shared" si="601"/>
        <v>50</v>
      </c>
      <c r="AE219" s="23">
        <f t="shared" si="601"/>
        <v>1704</v>
      </c>
      <c r="AF219" s="23">
        <f t="shared" si="601"/>
        <v>2854</v>
      </c>
      <c r="AG219" s="23">
        <f t="shared" si="601"/>
        <v>0</v>
      </c>
      <c r="AH219" s="23">
        <f t="shared" si="601"/>
        <v>2854</v>
      </c>
      <c r="AI219" s="23">
        <f t="shared" si="601"/>
        <v>4558</v>
      </c>
      <c r="AJ219" s="25">
        <f t="shared" ref="AJ219:AJ221" si="604">AB219/AA219</f>
        <v>199.4629412</v>
      </c>
      <c r="AK219" s="22">
        <f>SUM(O227)</f>
        <v>6853</v>
      </c>
      <c r="AL219" s="26">
        <f t="shared" ref="AL219:AL225" si="605">AI219/AK219</f>
        <v>0.6651101707</v>
      </c>
      <c r="AM219" s="27">
        <f t="shared" ref="AM219:AM221" si="606">SUM(Q227)</f>
        <v>1.5</v>
      </c>
      <c r="AN219" s="26">
        <f t="shared" ref="AN219:AN225" si="607">AO219/AM219</f>
        <v>0.4480659339</v>
      </c>
      <c r="AO219" s="28">
        <f t="shared" ref="AO219:AO225" si="608">AI219/AB219</f>
        <v>0.6720989009</v>
      </c>
      <c r="AP219" s="27">
        <f t="shared" ref="AP219:AQ219" si="602">SUM(T227)</f>
        <v>201</v>
      </c>
      <c r="AQ219" s="27">
        <f t="shared" si="602"/>
        <v>5.911764706</v>
      </c>
      <c r="AR219" s="23">
        <f t="shared" ref="AR219:AR225" si="610">AI219/AA219</f>
        <v>134.0588235</v>
      </c>
    </row>
    <row r="220" ht="15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X220" s="22">
        <v>2.0</v>
      </c>
      <c r="Y220" s="22" t="s">
        <v>24</v>
      </c>
      <c r="Z220" s="22">
        <f t="shared" ref="Z220:AI220" si="603">SUM(D228)</f>
        <v>44</v>
      </c>
      <c r="AA220" s="23">
        <f t="shared" si="603"/>
        <v>43</v>
      </c>
      <c r="AB220" s="24">
        <f t="shared" si="603"/>
        <v>7847.152</v>
      </c>
      <c r="AC220" s="23">
        <f t="shared" si="603"/>
        <v>986</v>
      </c>
      <c r="AD220" s="23">
        <f t="shared" si="603"/>
        <v>21</v>
      </c>
      <c r="AE220" s="23">
        <f t="shared" si="603"/>
        <v>1007</v>
      </c>
      <c r="AF220" s="23">
        <f t="shared" si="603"/>
        <v>1230</v>
      </c>
      <c r="AG220" s="23">
        <f t="shared" si="603"/>
        <v>41</v>
      </c>
      <c r="AH220" s="23">
        <f t="shared" si="603"/>
        <v>1271</v>
      </c>
      <c r="AI220" s="23">
        <f t="shared" si="603"/>
        <v>2278</v>
      </c>
      <c r="AJ220" s="25">
        <f t="shared" si="604"/>
        <v>182.491907</v>
      </c>
      <c r="AK220" s="22">
        <v>1580.0</v>
      </c>
      <c r="AL220" s="26">
        <f t="shared" si="605"/>
        <v>1.441772152</v>
      </c>
      <c r="AM220" s="27">
        <f t="shared" si="606"/>
        <v>1.5</v>
      </c>
      <c r="AN220" s="26">
        <f t="shared" si="607"/>
        <v>0.1935309354</v>
      </c>
      <c r="AO220" s="28">
        <f t="shared" si="608"/>
        <v>0.2902964031</v>
      </c>
      <c r="AP220" s="27">
        <f t="shared" ref="AP220:AQ220" si="609">SUM(T228)</f>
        <v>292.7495616</v>
      </c>
      <c r="AQ220" s="27">
        <f t="shared" si="609"/>
        <v>6.808129341</v>
      </c>
      <c r="AR220" s="23">
        <f t="shared" si="610"/>
        <v>52.97674419</v>
      </c>
    </row>
    <row r="221" ht="15.75" customHeight="1">
      <c r="A221" s="21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X221" s="31">
        <v>3.0</v>
      </c>
      <c r="Y221" s="31" t="s">
        <v>25</v>
      </c>
      <c r="Z221" s="31">
        <f t="shared" ref="Z221:AI221" si="611">SUM(D229)</f>
        <v>32</v>
      </c>
      <c r="AA221" s="32">
        <f t="shared" si="611"/>
        <v>29</v>
      </c>
      <c r="AB221" s="33">
        <f t="shared" si="611"/>
        <v>5841.712</v>
      </c>
      <c r="AC221" s="32">
        <f t="shared" si="611"/>
        <v>2323</v>
      </c>
      <c r="AD221" s="32">
        <f t="shared" si="611"/>
        <v>446</v>
      </c>
      <c r="AE221" s="32">
        <f t="shared" si="611"/>
        <v>2769</v>
      </c>
      <c r="AF221" s="32">
        <f t="shared" si="611"/>
        <v>2574</v>
      </c>
      <c r="AG221" s="32">
        <f t="shared" si="611"/>
        <v>454</v>
      </c>
      <c r="AH221" s="32">
        <f t="shared" si="611"/>
        <v>3028</v>
      </c>
      <c r="AI221" s="32">
        <f t="shared" si="611"/>
        <v>5797</v>
      </c>
      <c r="AJ221" s="34">
        <f t="shared" si="604"/>
        <v>201.4383448</v>
      </c>
      <c r="AK221" s="31">
        <f>SUM(O229)</f>
        <v>6622</v>
      </c>
      <c r="AL221" s="35">
        <f t="shared" si="605"/>
        <v>0.8754152824</v>
      </c>
      <c r="AM221" s="36">
        <f t="shared" si="606"/>
        <v>1.5</v>
      </c>
      <c r="AN221" s="35">
        <f t="shared" si="607"/>
        <v>0.6615640529</v>
      </c>
      <c r="AO221" s="37">
        <f t="shared" si="608"/>
        <v>0.9923460794</v>
      </c>
      <c r="AP221" s="36">
        <f t="shared" ref="AP221:AQ221" si="612">SUM(T229)</f>
        <v>245.038255</v>
      </c>
      <c r="AQ221" s="36">
        <f t="shared" si="612"/>
        <v>8.449595001</v>
      </c>
      <c r="AR221" s="32">
        <f t="shared" si="610"/>
        <v>199.8965517</v>
      </c>
    </row>
    <row r="222" ht="15.75" customHeight="1">
      <c r="A222" s="21"/>
      <c r="B222" s="38">
        <v>1.0</v>
      </c>
      <c r="C222" s="38" t="s">
        <v>26</v>
      </c>
      <c r="D222" s="39">
        <v>20.0</v>
      </c>
      <c r="E222" s="40">
        <f>IFERROR(__xludf.DUMMYFUNCTION("COUNT(IMPORTRANGE(""https://docs.google.com/spreadsheets/d/1z0o91thOT38lgejTE_Bd2p3v_9VCDdQRkUsMIVqpQCk/edit"",""9!d2:d21""))"),20.0)</f>
        <v>20</v>
      </c>
      <c r="F222" s="41">
        <f>IFERROR(__xludf.DUMMYFUNCTION("SUM(IMPORTRANGE(""https://docs.google.com/spreadsheets/d/1z0o91thOT38lgejTE_Bd2p3v_9VCDdQRkUsMIVqpQCk/edit"",""9!Q2:Q21""))"),3885.3779999999997)</f>
        <v>3885.378</v>
      </c>
      <c r="G222" s="40">
        <f>IFERROR(__xludf.DUMMYFUNCTION("IMPORTRANGE(""https://docs.google.com/spreadsheets/d/1z0o91thOT38lgejTE_Bd2p3v_9VCDdQRkUsMIVqpQCk/edit"",""9!e28"")"),1983.0)</f>
        <v>1983</v>
      </c>
      <c r="H222" s="40">
        <f>IFERROR(__xludf.DUMMYFUNCTION("IMPORTRANGE(""https://docs.google.com/spreadsheets/d/1z0o91thOT38lgejTE_Bd2p3v_9VCDdQRkUsMIVqpQCk/edit"",""9!e29"")"),0.0)</f>
        <v>0</v>
      </c>
      <c r="I222" s="40">
        <f t="shared" ref="I222:I239" si="615">SUM(G222:H222)</f>
        <v>1983</v>
      </c>
      <c r="J222" s="40">
        <f>IFERROR(__xludf.DUMMYFUNCTION("IMPORTRANGE(""https://docs.google.com/spreadsheets/d/1z0o91thOT38lgejTE_Bd2p3v_9VCDdQRkUsMIVqpQCk/edit"",""9!e32"")"),2588.0)</f>
        <v>2588</v>
      </c>
      <c r="K222" s="40">
        <f>IFERROR(__xludf.DUMMYFUNCTION("IMPORTRANGE(""https://docs.google.com/spreadsheets/d/1z0o91thOT38lgejTE_Bd2p3v_9VCDdQRkUsMIVqpQCk/edit"",""9!e33"")"),175.0)</f>
        <v>175</v>
      </c>
      <c r="L222" s="40">
        <f t="shared" ref="L222:L228" si="616">SUM(J222:K222)</f>
        <v>2763</v>
      </c>
      <c r="M222" s="40">
        <f t="shared" ref="M222:M239" si="617">SUM(I222+L222)</f>
        <v>4746</v>
      </c>
      <c r="N222" s="41">
        <f t="shared" ref="N222:N240" si="618">F222/E222</f>
        <v>194.2689</v>
      </c>
      <c r="O222" s="38">
        <v>5161.0</v>
      </c>
      <c r="P222" s="42">
        <f t="shared" ref="P222:P240" si="619">M222/O222</f>
        <v>0.9195892269</v>
      </c>
      <c r="Q222" s="43">
        <v>1.5</v>
      </c>
      <c r="R222" s="42">
        <f t="shared" ref="R222:R240" si="620">S222/Q222</f>
        <v>0.8143351818</v>
      </c>
      <c r="S222" s="44">
        <f t="shared" ref="S222:S240" si="621">M222/F222</f>
        <v>1.221502773</v>
      </c>
      <c r="T222" s="43">
        <f>F222/14.415</f>
        <v>269.5371488</v>
      </c>
      <c r="U222" s="43">
        <f t="shared" ref="U222:U240" si="622">T222/E222</f>
        <v>13.47685744</v>
      </c>
      <c r="V222" s="40">
        <f t="shared" ref="V222:V240" si="623">M222/E222</f>
        <v>237.3</v>
      </c>
      <c r="X222" s="22">
        <v>4.0</v>
      </c>
      <c r="Y222" s="22" t="s">
        <v>27</v>
      </c>
      <c r="Z222" s="22">
        <f t="shared" ref="Z222:AK222" si="613">SUM(D235)</f>
        <v>30</v>
      </c>
      <c r="AA222" s="23">
        <f t="shared" si="613"/>
        <v>29</v>
      </c>
      <c r="AB222" s="24">
        <f t="shared" si="613"/>
        <v>5367.751</v>
      </c>
      <c r="AC222" s="23">
        <f t="shared" si="613"/>
        <v>2030</v>
      </c>
      <c r="AD222" s="23">
        <f t="shared" si="613"/>
        <v>85</v>
      </c>
      <c r="AE222" s="23">
        <f t="shared" si="613"/>
        <v>2115</v>
      </c>
      <c r="AF222" s="23">
        <f t="shared" si="613"/>
        <v>2682</v>
      </c>
      <c r="AG222" s="23">
        <f t="shared" si="613"/>
        <v>86</v>
      </c>
      <c r="AH222" s="23">
        <f t="shared" si="613"/>
        <v>2768</v>
      </c>
      <c r="AI222" s="23">
        <f t="shared" si="613"/>
        <v>4883</v>
      </c>
      <c r="AJ222" s="25">
        <f t="shared" si="613"/>
        <v>185.0948621</v>
      </c>
      <c r="AK222" s="22">
        <f t="shared" si="613"/>
        <v>8101</v>
      </c>
      <c r="AL222" s="26">
        <f t="shared" si="605"/>
        <v>0.6027650907</v>
      </c>
      <c r="AM222" s="27">
        <f>SUM(Q235)</f>
        <v>1.5</v>
      </c>
      <c r="AN222" s="26">
        <f t="shared" si="607"/>
        <v>0.6064613156</v>
      </c>
      <c r="AO222" s="28">
        <f t="shared" si="608"/>
        <v>0.9096919734</v>
      </c>
      <c r="AP222" s="27">
        <f t="shared" ref="AP222:AQ222" si="614">SUM(T235)</f>
        <v>268.5889917</v>
      </c>
      <c r="AQ222" s="27">
        <f t="shared" si="614"/>
        <v>9.26168937</v>
      </c>
      <c r="AR222" s="23">
        <f t="shared" si="610"/>
        <v>168.3793103</v>
      </c>
    </row>
    <row r="223" ht="15.75" customHeight="1">
      <c r="A223" s="21"/>
      <c r="B223" s="38">
        <v>2.0</v>
      </c>
      <c r="C223" s="38" t="s">
        <v>28</v>
      </c>
      <c r="D223" s="39">
        <v>33.0</v>
      </c>
      <c r="E223" s="40">
        <f>IFERROR(__xludf.DUMMYFUNCTION("COUNT(IMPORTRANGE(""https://docs.google.com/spreadsheets/d/10a85iNN0y9GF6ngQfF1JXGAzFk-T7ywH4-TZtQcOTaE/edit"",""9!d2:d34""))"),32.0)</f>
        <v>32</v>
      </c>
      <c r="F223" s="41">
        <f>IFERROR(__xludf.DUMMYFUNCTION("SUM(IMPORTRANGE(""https://docs.google.com/spreadsheets/d/10a85iNN0y9GF6ngQfF1JXGAzFk-T7ywH4-TZtQcOTaE/edit"",""9!Q2:Q34""))"),6295.929)</f>
        <v>6295.929</v>
      </c>
      <c r="G223" s="40">
        <f>IFERROR(__xludf.DUMMYFUNCTION("IMPORTRANGE(""https://docs.google.com/spreadsheets/d/10a85iNN0y9GF6ngQfF1JXGAzFk-T7ywH4-TZtQcOTaE/edit"",""9!e41"")"),1959.0)</f>
        <v>1959</v>
      </c>
      <c r="H223" s="40">
        <f>IFERROR(__xludf.DUMMYFUNCTION("IMPORTRANGE(""https://docs.google.com/spreadsheets/d/10a85iNN0y9GF6ngQfF1JXGAzFk-T7ywH4-TZtQcOTaE/edit"",""9!e42"")"),121.0)</f>
        <v>121</v>
      </c>
      <c r="I223" s="40">
        <f t="shared" si="615"/>
        <v>2080</v>
      </c>
      <c r="J223" s="40">
        <f>IFERROR(__xludf.DUMMYFUNCTION("IMPORTRANGE(""https://docs.google.com/spreadsheets/d/10a85iNN0y9GF6ngQfF1JXGAzFk-T7ywH4-TZtQcOTaE/edit"",""9!e45"")"),2478.0)</f>
        <v>2478</v>
      </c>
      <c r="K223" s="40">
        <f>IFERROR(__xludf.DUMMYFUNCTION("IMPORTRANGE(""https://docs.google.com/spreadsheets/d/10a85iNN0y9GF6ngQfF1JXGAzFk-T7ywH4-TZtQcOTaE/edit"",""9!e46"")"),196.0)</f>
        <v>196</v>
      </c>
      <c r="L223" s="40">
        <f t="shared" si="616"/>
        <v>2674</v>
      </c>
      <c r="M223" s="40">
        <f t="shared" si="617"/>
        <v>4754</v>
      </c>
      <c r="N223" s="41">
        <f t="shared" si="618"/>
        <v>196.7477813</v>
      </c>
      <c r="O223" s="38">
        <v>7315.0</v>
      </c>
      <c r="P223" s="42">
        <f t="shared" si="619"/>
        <v>0.649897471</v>
      </c>
      <c r="Q223" s="43">
        <v>1.5</v>
      </c>
      <c r="R223" s="42">
        <f t="shared" si="620"/>
        <v>0.5033940715</v>
      </c>
      <c r="S223" s="44">
        <f t="shared" si="621"/>
        <v>0.7550911073</v>
      </c>
      <c r="T223" s="43">
        <f>F223/30.897</f>
        <v>203.7715312</v>
      </c>
      <c r="U223" s="43">
        <f t="shared" si="622"/>
        <v>6.367860351</v>
      </c>
      <c r="V223" s="40">
        <f t="shared" si="623"/>
        <v>148.5625</v>
      </c>
      <c r="X223" s="22">
        <v>5.0</v>
      </c>
      <c r="Y223" s="22" t="s">
        <v>29</v>
      </c>
      <c r="Z223" s="22">
        <f t="shared" ref="Z223:AI223" si="624">SUM(D238)</f>
        <v>30</v>
      </c>
      <c r="AA223" s="23">
        <f t="shared" si="624"/>
        <v>28</v>
      </c>
      <c r="AB223" s="24">
        <f t="shared" si="624"/>
        <v>5520.056</v>
      </c>
      <c r="AC223" s="23">
        <f t="shared" si="624"/>
        <v>2384</v>
      </c>
      <c r="AD223" s="23">
        <f t="shared" si="624"/>
        <v>0</v>
      </c>
      <c r="AE223" s="23">
        <f t="shared" si="624"/>
        <v>2384</v>
      </c>
      <c r="AF223" s="23">
        <f t="shared" si="624"/>
        <v>3054</v>
      </c>
      <c r="AG223" s="23">
        <f t="shared" si="624"/>
        <v>0</v>
      </c>
      <c r="AH223" s="23">
        <f t="shared" si="624"/>
        <v>3054</v>
      </c>
      <c r="AI223" s="23">
        <f t="shared" si="624"/>
        <v>5438</v>
      </c>
      <c r="AJ223" s="25">
        <f t="shared" ref="AJ223:AJ225" si="627">AB223/AA223</f>
        <v>197.1448571</v>
      </c>
      <c r="AK223" s="22">
        <f t="shared" ref="AK223:AK224" si="628">SUM(O238)</f>
        <v>9201</v>
      </c>
      <c r="AL223" s="26">
        <f t="shared" si="605"/>
        <v>0.5910227149</v>
      </c>
      <c r="AM223" s="27">
        <f t="shared" ref="AM223:AM224" si="629">SUM(Q238)</f>
        <v>1.5</v>
      </c>
      <c r="AN223" s="26">
        <f t="shared" si="607"/>
        <v>0.6567566223</v>
      </c>
      <c r="AO223" s="28">
        <f t="shared" si="608"/>
        <v>0.9851349334</v>
      </c>
      <c r="AP223" s="27">
        <f t="shared" ref="AP223:AQ223" si="625">SUM(T238)</f>
        <v>212</v>
      </c>
      <c r="AQ223" s="27">
        <f t="shared" si="625"/>
        <v>7.571428571</v>
      </c>
      <c r="AR223" s="23">
        <f t="shared" si="610"/>
        <v>194.2142857</v>
      </c>
    </row>
    <row r="224" ht="15.75" customHeight="1">
      <c r="A224" s="21"/>
      <c r="B224" s="38">
        <v>3.0</v>
      </c>
      <c r="C224" s="38" t="s">
        <v>30</v>
      </c>
      <c r="D224" s="39">
        <v>60.0</v>
      </c>
      <c r="E224" s="40">
        <f>IFERROR(__xludf.DUMMYFUNCTION("COUNT(IMPORTRANGE(""https://docs.google.com/spreadsheets/d/1WojVzHhpzodJL1e5UDHeu3A3u5MTSZwvxHu0BrwvL9w/edit"",""9!d2:d61""))"),59.0)</f>
        <v>59</v>
      </c>
      <c r="F224" s="45">
        <f>IFERROR(__xludf.DUMMYFUNCTION("SUM(IMPORTRANGE(""https://docs.google.com/spreadsheets/d/1WojVzHhpzodJL1e5UDHeu3A3u5MTSZwvxHu0BrwvL9w/edit"",""9!Q2:Q61""))"),11562.073999999993)</f>
        <v>11562.074</v>
      </c>
      <c r="G224" s="40">
        <f>IFERROR(__xludf.DUMMYFUNCTION("IMPORTRANGE(""https://docs.google.com/spreadsheets/d/1WojVzHhpzodJL1e5UDHeu3A3u5MTSZwvxHu0BrwvL9w/edit"",""9!e68"")"),3220.0)</f>
        <v>3220</v>
      </c>
      <c r="H224" s="40">
        <f>IFERROR(__xludf.DUMMYFUNCTION("IMPORTRANGE(""https://docs.google.com/spreadsheets/d/1WojVzHhpzodJL1e5UDHeu3A3u5MTSZwvxHu0BrwvL9w/edit"",""9!e69"")"),0.0)</f>
        <v>0</v>
      </c>
      <c r="I224" s="40">
        <f t="shared" si="615"/>
        <v>3220</v>
      </c>
      <c r="J224" s="40">
        <f>IFERROR(__xludf.DUMMYFUNCTION("IMPORTRANGE(""https://docs.google.com/spreadsheets/d/1WojVzHhpzodJL1e5UDHeu3A3u5MTSZwvxHu0BrwvL9w/edit"",""9!e72"")"),4483.0)</f>
        <v>4483</v>
      </c>
      <c r="K224" s="40">
        <f>IFERROR(__xludf.DUMMYFUNCTION("IMPORTRANGE(""https://docs.google.com/spreadsheets/d/1WojVzHhpzodJL1e5UDHeu3A3u5MTSZwvxHu0BrwvL9w/edit"",""9!e73"")"),143.0)</f>
        <v>143</v>
      </c>
      <c r="L224" s="40">
        <f t="shared" si="616"/>
        <v>4626</v>
      </c>
      <c r="M224" s="40">
        <f t="shared" si="617"/>
        <v>7846</v>
      </c>
      <c r="N224" s="41">
        <f t="shared" si="618"/>
        <v>195.9673559</v>
      </c>
      <c r="O224" s="38">
        <v>11164.0</v>
      </c>
      <c r="P224" s="42">
        <f t="shared" si="619"/>
        <v>0.7027946972</v>
      </c>
      <c r="Q224" s="43">
        <v>1.5</v>
      </c>
      <c r="R224" s="42">
        <f t="shared" si="620"/>
        <v>0.4523986498</v>
      </c>
      <c r="S224" s="44">
        <f t="shared" si="621"/>
        <v>0.6785979747</v>
      </c>
      <c r="T224" s="43">
        <f>F224/29.603</f>
        <v>390.5710232</v>
      </c>
      <c r="U224" s="43">
        <f t="shared" si="622"/>
        <v>6.619847851</v>
      </c>
      <c r="V224" s="40">
        <f t="shared" si="623"/>
        <v>132.9830508</v>
      </c>
      <c r="X224" s="22">
        <v>6.0</v>
      </c>
      <c r="Y224" s="22" t="s">
        <v>31</v>
      </c>
      <c r="Z224" s="22">
        <f t="shared" ref="Z224:AI224" si="626">SUM(D239)</f>
        <v>15</v>
      </c>
      <c r="AA224" s="23">
        <f t="shared" si="626"/>
        <v>13</v>
      </c>
      <c r="AB224" s="25">
        <f t="shared" si="626"/>
        <v>2607.9</v>
      </c>
      <c r="AC224" s="23">
        <f t="shared" si="626"/>
        <v>841</v>
      </c>
      <c r="AD224" s="23">
        <f t="shared" si="626"/>
        <v>15</v>
      </c>
      <c r="AE224" s="23">
        <f t="shared" si="626"/>
        <v>856</v>
      </c>
      <c r="AF224" s="23">
        <f t="shared" si="626"/>
        <v>999</v>
      </c>
      <c r="AG224" s="23">
        <f t="shared" si="626"/>
        <v>0</v>
      </c>
      <c r="AH224" s="23">
        <f t="shared" si="626"/>
        <v>999</v>
      </c>
      <c r="AI224" s="23">
        <f t="shared" si="626"/>
        <v>1855</v>
      </c>
      <c r="AJ224" s="25">
        <f t="shared" si="627"/>
        <v>200.6076923</v>
      </c>
      <c r="AK224" s="22">
        <f t="shared" si="628"/>
        <v>2717</v>
      </c>
      <c r="AL224" s="26">
        <f t="shared" si="605"/>
        <v>0.6827383143</v>
      </c>
      <c r="AM224" s="27">
        <f t="shared" si="629"/>
        <v>1.5</v>
      </c>
      <c r="AN224" s="26">
        <f t="shared" si="607"/>
        <v>0.4742001866</v>
      </c>
      <c r="AO224" s="28">
        <f t="shared" si="608"/>
        <v>0.7113002799</v>
      </c>
      <c r="AP224" s="27">
        <f t="shared" ref="AP224:AQ224" si="630">SUM(T239)</f>
        <v>60</v>
      </c>
      <c r="AQ224" s="27">
        <f t="shared" si="630"/>
        <v>4.615384615</v>
      </c>
      <c r="AR224" s="23">
        <f t="shared" si="610"/>
        <v>142.6923077</v>
      </c>
    </row>
    <row r="225" ht="15.75" customHeight="1">
      <c r="A225" s="21"/>
      <c r="B225" s="38">
        <v>4.0</v>
      </c>
      <c r="C225" s="38" t="s">
        <v>32</v>
      </c>
      <c r="D225" s="39">
        <v>42.0</v>
      </c>
      <c r="E225" s="40">
        <f>IFERROR(__xludf.DUMMYFUNCTION("COUNT(IMPORTRANGE(""https://docs.google.com/spreadsheets/d/1vmCj5YcMSPHj1m64syDndQ6cqVL3yolcU03Y8KHmvdc/edit"",""9!d2:d43""))"),42.0)</f>
        <v>42</v>
      </c>
      <c r="F225" s="45">
        <f>IFERROR(__xludf.DUMMYFUNCTION("SUM(IMPORTRANGE(""https://docs.google.com/spreadsheets/d/1vmCj5YcMSPHj1m64syDndQ6cqVL3yolcU03Y8KHmvdc/edit"",""9!Q2:Q43""))"),8366.10699999999)</f>
        <v>8366.107</v>
      </c>
      <c r="G225" s="38">
        <f>IFERROR(__xludf.DUMMYFUNCTION("IMPORTRANGE(""https://docs.google.com/spreadsheets/d/1vmCj5YcMSPHj1m64syDndQ6cqVL3yolcU03Y8KHmvdc/edit"",""9!e50"")"),4491.0)</f>
        <v>4491</v>
      </c>
      <c r="H225" s="38">
        <f>IFERROR(__xludf.DUMMYFUNCTION("IMPORTRANGE(""https://docs.google.com/spreadsheets/d/1vmCj5YcMSPHj1m64syDndQ6cqVL3yolcU03Y8KHmvdc/edit"",""9!e51"")"),30.0)</f>
        <v>30</v>
      </c>
      <c r="I225" s="40">
        <f t="shared" si="615"/>
        <v>4521</v>
      </c>
      <c r="J225" s="38">
        <f>IFERROR(__xludf.DUMMYFUNCTION("IMPORTRANGE(""https://docs.google.com/spreadsheets/d/1vmCj5YcMSPHj1m64syDndQ6cqVL3yolcU03Y8KHmvdc/edit"",""9!e54"")"),5058.0)</f>
        <v>5058</v>
      </c>
      <c r="K225" s="38">
        <f>IFERROR(__xludf.DUMMYFUNCTION("IMPORTRANGE(""https://docs.google.com/spreadsheets/d/1vmCj5YcMSPHj1m64syDndQ6cqVL3yolcU03Y8KHmvdc/edit"",""9!e55"")"),120.0)</f>
        <v>120</v>
      </c>
      <c r="L225" s="40">
        <f t="shared" si="616"/>
        <v>5178</v>
      </c>
      <c r="M225" s="40">
        <f t="shared" si="617"/>
        <v>9699</v>
      </c>
      <c r="N225" s="41">
        <f t="shared" si="618"/>
        <v>199.1930238</v>
      </c>
      <c r="O225" s="38">
        <v>13817.0</v>
      </c>
      <c r="P225" s="42">
        <f t="shared" si="619"/>
        <v>0.701961352</v>
      </c>
      <c r="Q225" s="43">
        <v>1.5</v>
      </c>
      <c r="R225" s="42">
        <f t="shared" si="620"/>
        <v>0.7728803851</v>
      </c>
      <c r="S225" s="44">
        <f t="shared" si="621"/>
        <v>1.159320578</v>
      </c>
      <c r="T225" s="43">
        <f>F225/25.089</f>
        <v>333.4571725</v>
      </c>
      <c r="U225" s="43">
        <f t="shared" si="622"/>
        <v>7.939456487</v>
      </c>
      <c r="V225" s="40">
        <f t="shared" si="623"/>
        <v>230.9285714</v>
      </c>
      <c r="X225" s="46" t="s">
        <v>33</v>
      </c>
      <c r="Y225" s="46">
        <v>6.0</v>
      </c>
      <c r="Z225" s="46">
        <f t="shared" ref="Z225:AI225" si="631">SUM(Z219:Z224)</f>
        <v>186</v>
      </c>
      <c r="AA225" s="47">
        <f t="shared" si="631"/>
        <v>176</v>
      </c>
      <c r="AB225" s="48">
        <f t="shared" si="631"/>
        <v>33966.311</v>
      </c>
      <c r="AC225" s="47">
        <f t="shared" si="631"/>
        <v>10218</v>
      </c>
      <c r="AD225" s="47">
        <f t="shared" si="631"/>
        <v>617</v>
      </c>
      <c r="AE225" s="47">
        <f t="shared" si="631"/>
        <v>10835</v>
      </c>
      <c r="AF225" s="47">
        <f t="shared" si="631"/>
        <v>13393</v>
      </c>
      <c r="AG225" s="47">
        <f t="shared" si="631"/>
        <v>581</v>
      </c>
      <c r="AH225" s="47">
        <f t="shared" si="631"/>
        <v>13974</v>
      </c>
      <c r="AI225" s="47">
        <f t="shared" si="631"/>
        <v>24809</v>
      </c>
      <c r="AJ225" s="49">
        <f t="shared" si="627"/>
        <v>192.9904034</v>
      </c>
      <c r="AK225" s="46">
        <f>SUM(AK219:AK224)</f>
        <v>35074</v>
      </c>
      <c r="AL225" s="50">
        <f t="shared" si="605"/>
        <v>0.7073330672</v>
      </c>
      <c r="AM225" s="51">
        <v>1.5</v>
      </c>
      <c r="AN225" s="50">
        <f t="shared" si="607"/>
        <v>0.4869334598</v>
      </c>
      <c r="AO225" s="52">
        <f t="shared" si="608"/>
        <v>0.7304001898</v>
      </c>
      <c r="AP225" s="51">
        <f>SUM(AP219:AP224)</f>
        <v>1279.376808</v>
      </c>
      <c r="AQ225" s="51">
        <f>AP225/AA225</f>
        <v>7.269186412</v>
      </c>
      <c r="AR225" s="47">
        <f t="shared" si="610"/>
        <v>140.9602273</v>
      </c>
    </row>
    <row r="226" ht="15.75" customHeight="1">
      <c r="A226" s="21"/>
      <c r="B226" s="38">
        <v>5.0</v>
      </c>
      <c r="C226" s="38" t="s">
        <v>34</v>
      </c>
      <c r="D226" s="39">
        <v>40.0</v>
      </c>
      <c r="E226" s="40">
        <f>IFERROR(__xludf.DUMMYFUNCTION("COUNT(IMPORTRANGE(""https://docs.google.com/spreadsheets/d/14_Y-fpuq1wcec3DlT_1PBYekOC0YblQMrWVfO12YO3k/edit"",""9!d2:d41""))"),38.0)</f>
        <v>38</v>
      </c>
      <c r="F226" s="45">
        <f>IFERROR(__xludf.DUMMYFUNCTION("SUM(IMPORTRANGE(""https://docs.google.com/spreadsheets/d/14_Y-fpuq1wcec3DlT_1PBYekOC0YblQMrWVfO12YO3k/edit"",""9!Q2:Q41""))"),7497.078000000001)</f>
        <v>7497.078</v>
      </c>
      <c r="G226" s="40">
        <f>IFERROR(__xludf.DUMMYFUNCTION("IMPORTRANGE(""https://docs.google.com/spreadsheets/d/14_Y-fpuq1wcec3DlT_1PBYekOC0YblQMrWVfO12YO3k/edit"",""9!e48"")"),2443.0)</f>
        <v>2443</v>
      </c>
      <c r="H226" s="40">
        <f>IFERROR(__xludf.DUMMYFUNCTION("IMPORTRANGE(""https://docs.google.com/spreadsheets/d/14_Y-fpuq1wcec3DlT_1PBYekOC0YblQMrWVfO12YO3k/edit"",""9!e49"")"),0.0)</f>
        <v>0</v>
      </c>
      <c r="I226" s="40">
        <f t="shared" si="615"/>
        <v>2443</v>
      </c>
      <c r="J226" s="40">
        <f>IFERROR(__xludf.DUMMYFUNCTION("IMPORTRANGE(""https://docs.google.com/spreadsheets/d/14_Y-fpuq1wcec3DlT_1PBYekOC0YblQMrWVfO12YO3k/edit"",""9!e52"")"),2955.0)</f>
        <v>2955</v>
      </c>
      <c r="K226" s="40">
        <f>IFERROR(__xludf.DUMMYFUNCTION("IMPORTRANGE(""https://docs.google.com/spreadsheets/d/14_Y-fpuq1wcec3DlT_1PBYekOC0YblQMrWVfO12YO3k/edit"",""9!e53"")"),0.0)</f>
        <v>0</v>
      </c>
      <c r="L226" s="40">
        <f t="shared" si="616"/>
        <v>2955</v>
      </c>
      <c r="M226" s="40">
        <f t="shared" si="617"/>
        <v>5398</v>
      </c>
      <c r="N226" s="41">
        <f t="shared" si="618"/>
        <v>197.2915263</v>
      </c>
      <c r="O226" s="38">
        <v>9354.0</v>
      </c>
      <c r="P226" s="42">
        <f t="shared" si="619"/>
        <v>0.5770793244</v>
      </c>
      <c r="Q226" s="43">
        <v>1.5</v>
      </c>
      <c r="R226" s="42">
        <f t="shared" si="620"/>
        <v>0.4800092338</v>
      </c>
      <c r="S226" s="44">
        <f t="shared" si="621"/>
        <v>0.7200138507</v>
      </c>
      <c r="T226" s="43">
        <f>F226/30.713</f>
        <v>244.1011298</v>
      </c>
      <c r="U226" s="43">
        <f t="shared" si="622"/>
        <v>6.423713942</v>
      </c>
      <c r="V226" s="40">
        <f t="shared" si="623"/>
        <v>142.0526316</v>
      </c>
      <c r="X226" s="53" t="s">
        <v>35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6"/>
    </row>
    <row r="227" ht="15.75" customHeight="1">
      <c r="A227" s="21"/>
      <c r="B227" s="38">
        <v>6.0</v>
      </c>
      <c r="C227" s="38" t="s">
        <v>23</v>
      </c>
      <c r="D227" s="39">
        <v>35.0</v>
      </c>
      <c r="E227" s="40">
        <f>IFERROR(__xludf.DUMMYFUNCTION("COUNT(IMPORTRANGE(""https://docs.google.com/spreadsheets/d/1lJqjdj05V4LOXuBOiTdE65GV4ZITyx1cMLcDdcuoUnE/edit"",""9!d2:d36""))"),34.0)</f>
        <v>34</v>
      </c>
      <c r="F227" s="45">
        <f>IFERROR(__xludf.DUMMYFUNCTION("SUM(IMPORTRANGE(""https://docs.google.com/spreadsheets/d/1lJqjdj05V4LOXuBOiTdE65GV4ZITyx1cMLcDdcuoUnE/edit"",""9!Q2:Q36""))"),6781.739999999995)</f>
        <v>6781.74</v>
      </c>
      <c r="G227" s="40">
        <f>IFERROR(__xludf.DUMMYFUNCTION("IMPORTRANGE(""https://docs.google.com/spreadsheets/d/1lJqjdj05V4LOXuBOiTdE65GV4ZITyx1cMLcDdcuoUnE/edit"",""9!e43"")"),1654.0)</f>
        <v>1654</v>
      </c>
      <c r="H227" s="40">
        <f>IFERROR(__xludf.DUMMYFUNCTION("IMPORTRANGE(""https://docs.google.com/spreadsheets/d/1lJqjdj05V4LOXuBOiTdE65GV4ZITyx1cMLcDdcuoUnE/edit"",""9!e44"")"),50.0)</f>
        <v>50</v>
      </c>
      <c r="I227" s="40">
        <f t="shared" si="615"/>
        <v>1704</v>
      </c>
      <c r="J227" s="40">
        <f>IFERROR(__xludf.DUMMYFUNCTION("IMPORTRANGE(""https://docs.google.com/spreadsheets/d/1lJqjdj05V4LOXuBOiTdE65GV4ZITyx1cMLcDdcuoUnE/edit"",""9!e47"")"),2854.0)</f>
        <v>2854</v>
      </c>
      <c r="K227" s="40">
        <f>IFERROR(__xludf.DUMMYFUNCTION("IMPORTRANGE(""https://docs.google.com/spreadsheets/d/1lJqjdj05V4LOXuBOiTdE65GV4ZITyx1cMLcDdcuoUnE/edit"",""9!e48"")"),0.0)</f>
        <v>0</v>
      </c>
      <c r="L227" s="40">
        <f t="shared" si="616"/>
        <v>2854</v>
      </c>
      <c r="M227" s="40">
        <f t="shared" si="617"/>
        <v>4558</v>
      </c>
      <c r="N227" s="41">
        <f t="shared" si="618"/>
        <v>199.4629412</v>
      </c>
      <c r="O227" s="38">
        <v>6853.0</v>
      </c>
      <c r="P227" s="42">
        <f t="shared" si="619"/>
        <v>0.6651101707</v>
      </c>
      <c r="Q227" s="43">
        <v>1.5</v>
      </c>
      <c r="R227" s="42">
        <f t="shared" si="620"/>
        <v>0.4480659339</v>
      </c>
      <c r="S227" s="44">
        <f t="shared" si="621"/>
        <v>0.6720989009</v>
      </c>
      <c r="T227" s="43">
        <f>F227/33.74</f>
        <v>201</v>
      </c>
      <c r="U227" s="43">
        <f t="shared" si="622"/>
        <v>5.911764706</v>
      </c>
      <c r="V227" s="40">
        <f t="shared" si="623"/>
        <v>134.0588235</v>
      </c>
      <c r="X227" s="14" t="s">
        <v>2</v>
      </c>
      <c r="Y227" s="14" t="s">
        <v>3</v>
      </c>
      <c r="Z227" s="14" t="s">
        <v>4</v>
      </c>
      <c r="AA227" s="14" t="s">
        <v>5</v>
      </c>
      <c r="AB227" s="15" t="s">
        <v>6</v>
      </c>
      <c r="AC227" s="14" t="s">
        <v>7</v>
      </c>
      <c r="AD227" s="14" t="s">
        <v>8</v>
      </c>
      <c r="AE227" s="14" t="s">
        <v>9</v>
      </c>
      <c r="AF227" s="14" t="s">
        <v>10</v>
      </c>
      <c r="AG227" s="14" t="s">
        <v>11</v>
      </c>
      <c r="AH227" s="14" t="s">
        <v>12</v>
      </c>
      <c r="AI227" s="14" t="s">
        <v>13</v>
      </c>
      <c r="AJ227" s="15" t="s">
        <v>14</v>
      </c>
      <c r="AK227" s="14" t="s">
        <v>15</v>
      </c>
      <c r="AL227" s="14" t="s">
        <v>16</v>
      </c>
      <c r="AM227" s="16" t="s">
        <v>17</v>
      </c>
      <c r="AN227" s="17" t="s">
        <v>18</v>
      </c>
      <c r="AO227" s="18" t="s">
        <v>19</v>
      </c>
      <c r="AP227" s="19" t="s">
        <v>20</v>
      </c>
      <c r="AQ227" s="19" t="s">
        <v>21</v>
      </c>
      <c r="AR227" s="20" t="s">
        <v>22</v>
      </c>
    </row>
    <row r="228" ht="15.75" customHeight="1">
      <c r="A228" s="21"/>
      <c r="B228" s="38">
        <v>7.0</v>
      </c>
      <c r="C228" s="38" t="s">
        <v>24</v>
      </c>
      <c r="D228" s="39">
        <v>44.0</v>
      </c>
      <c r="E228" s="54">
        <f>IFERROR(__xludf.DUMMYFUNCTION("COUNT(IMPORTRANGE(""https://docs.google.com/spreadsheets/d/1_7EEO26q9Yq-XhNFiy7I6Zh4Yg6uGjTs9y0UqNvPKcQ/edit"",""9!d2:d45""))"),43.0)</f>
        <v>43</v>
      </c>
      <c r="F228" s="55">
        <f>IFERROR(__xludf.DUMMYFUNCTION("SUM(IMPORTRANGE(""https://docs.google.com/spreadsheets/d/1_7EEO26q9Yq-XhNFiy7I6Zh4Yg6uGjTs9y0UqNvPKcQ/edit"",""9!Q2:Q45""))"),7847.151999999994)</f>
        <v>7847.152</v>
      </c>
      <c r="G228" s="54">
        <f>IFERROR(__xludf.DUMMYFUNCTION("IMPORTRANGE(""https://docs.google.com/spreadsheets/d/1_7EEO26q9Yq-XhNFiy7I6Zh4Yg6uGjTs9y0UqNvPKcQ/edit"",""9!e53"")"),986.0)</f>
        <v>986</v>
      </c>
      <c r="H228" s="54">
        <f>IFERROR(__xludf.DUMMYFUNCTION("IMPORTRANGE(""https://docs.google.com/spreadsheets/d/1_7EEO26q9Yq-XhNFiy7I6Zh4Yg6uGjTs9y0UqNvPKcQ/edit"",""9!e54"")"),21.0)</f>
        <v>21</v>
      </c>
      <c r="I228" s="54">
        <f t="shared" si="615"/>
        <v>1007</v>
      </c>
      <c r="J228" s="54">
        <f>IFERROR(__xludf.DUMMYFUNCTION("IMPORTRANGE(""https://docs.google.com/spreadsheets/d/1_7EEO26q9Yq-XhNFiy7I6Zh4Yg6uGjTs9y0UqNvPKcQ/edit"",""9!e57"")"),1230.0)</f>
        <v>1230</v>
      </c>
      <c r="K228" s="54">
        <f>IFERROR(__xludf.DUMMYFUNCTION("IMPORTRANGE(""https://docs.google.com/spreadsheets/d/1_7EEO26q9Yq-XhNFiy7I6Zh4Yg6uGjTs9y0UqNvPKcQ/edit"",""9!e58"")"),41.0)</f>
        <v>41</v>
      </c>
      <c r="L228" s="40">
        <f t="shared" si="616"/>
        <v>1271</v>
      </c>
      <c r="M228" s="40">
        <f t="shared" si="617"/>
        <v>2278</v>
      </c>
      <c r="N228" s="41">
        <f t="shared" si="618"/>
        <v>182.491907</v>
      </c>
      <c r="O228" s="38">
        <v>1580.0</v>
      </c>
      <c r="P228" s="42">
        <f t="shared" si="619"/>
        <v>1.441772152</v>
      </c>
      <c r="Q228" s="43">
        <v>1.5</v>
      </c>
      <c r="R228" s="42">
        <f t="shared" si="620"/>
        <v>0.1935309354</v>
      </c>
      <c r="S228" s="44">
        <f t="shared" si="621"/>
        <v>0.2902964031</v>
      </c>
      <c r="T228" s="43">
        <f>F228/26.805</f>
        <v>292.7495616</v>
      </c>
      <c r="U228" s="43">
        <f t="shared" si="622"/>
        <v>6.808129341</v>
      </c>
      <c r="V228" s="40">
        <f t="shared" si="623"/>
        <v>52.97674419</v>
      </c>
      <c r="X228" s="22">
        <v>1.0</v>
      </c>
      <c r="Y228" s="22" t="s">
        <v>28</v>
      </c>
      <c r="Z228" s="22">
        <f t="shared" ref="Z228:AI228" si="632">SUM(D223)</f>
        <v>33</v>
      </c>
      <c r="AA228" s="23">
        <f t="shared" si="632"/>
        <v>32</v>
      </c>
      <c r="AB228" s="25">
        <f t="shared" si="632"/>
        <v>6295.929</v>
      </c>
      <c r="AC228" s="23">
        <f t="shared" si="632"/>
        <v>1959</v>
      </c>
      <c r="AD228" s="23">
        <f t="shared" si="632"/>
        <v>121</v>
      </c>
      <c r="AE228" s="23">
        <f t="shared" si="632"/>
        <v>2080</v>
      </c>
      <c r="AF228" s="23">
        <f t="shared" si="632"/>
        <v>2478</v>
      </c>
      <c r="AG228" s="23">
        <f t="shared" si="632"/>
        <v>196</v>
      </c>
      <c r="AH228" s="23">
        <f t="shared" si="632"/>
        <v>2674</v>
      </c>
      <c r="AI228" s="23">
        <f t="shared" si="632"/>
        <v>4754</v>
      </c>
      <c r="AJ228" s="25">
        <f t="shared" ref="AJ228:AJ234" si="635">AB228/AA228</f>
        <v>196.7477813</v>
      </c>
      <c r="AK228" s="22">
        <f t="shared" ref="AK228:AK229" si="636">SUM(O223)</f>
        <v>7315</v>
      </c>
      <c r="AL228" s="26">
        <f t="shared" ref="AL228:AL234" si="637">AI228/AK228</f>
        <v>0.649897471</v>
      </c>
      <c r="AM228" s="27">
        <f t="shared" ref="AM228:AM229" si="638">SUM(Q223)</f>
        <v>1.5</v>
      </c>
      <c r="AN228" s="26">
        <f t="shared" ref="AN228:AN234" si="639">AO228/AM228</f>
        <v>0.5033940715</v>
      </c>
      <c r="AO228" s="28">
        <f t="shared" ref="AO228:AO234" si="640">AI228/AB228</f>
        <v>0.7550911073</v>
      </c>
      <c r="AP228" s="27">
        <f t="shared" ref="AP228:AQ228" si="633">SUM(T223)</f>
        <v>203.7715312</v>
      </c>
      <c r="AQ228" s="27">
        <f t="shared" si="633"/>
        <v>6.367860351</v>
      </c>
      <c r="AR228" s="23">
        <f t="shared" ref="AR228:AR234" si="642">AI228/AA228</f>
        <v>148.5625</v>
      </c>
    </row>
    <row r="229" ht="15.75" customHeight="1">
      <c r="A229" s="21"/>
      <c r="B229" s="38">
        <v>8.0</v>
      </c>
      <c r="C229" s="38" t="s">
        <v>25</v>
      </c>
      <c r="D229" s="57">
        <v>32.0</v>
      </c>
      <c r="E229" s="40">
        <f>IFERROR(__xludf.DUMMYFUNCTION("COUNT(IMPORTRANGE(""https://docs.google.com/spreadsheets/d/1vLOLpiE-XsbnCnwWPcoi87PlUSXfqIAAQn3kvqHfO6s/edit"",""9!d2:D33""))"),29.0)</f>
        <v>29</v>
      </c>
      <c r="F229" s="45">
        <f>IFERROR(__xludf.DUMMYFUNCTION("SUM(IMPORTRANGE(""https://docs.google.com/spreadsheets/d/1vLOLpiE-XsbnCnwWPcoi87PlUSXfqIAAQn3kvqHfO6s/edit"",""9!Q2:Q33""))"),5841.712000000001)</f>
        <v>5841.712</v>
      </c>
      <c r="G229" s="40">
        <f>IFERROR(__xludf.DUMMYFUNCTION("IMPORTRANGE(""https://docs.google.com/spreadsheets/d/1vLOLpiE-XsbnCnwWPcoi87PlUSXfqIAAQn3kvqHfO6s/edit"",""9!e40"")"),2323.0)</f>
        <v>2323</v>
      </c>
      <c r="H229" s="40">
        <f>IFERROR(__xludf.DUMMYFUNCTION("IMPORTRANGE(""https://docs.google.com/spreadsheets/d/1vLOLpiE-XsbnCnwWPcoi87PlUSXfqIAAQn3kvqHfO6s/edit"",""9!e41"")"),446.0)</f>
        <v>446</v>
      </c>
      <c r="I229" s="40">
        <f t="shared" si="615"/>
        <v>2769</v>
      </c>
      <c r="J229" s="40">
        <f>IFERROR(__xludf.DUMMYFUNCTION("IMPORTRANGE(""https://docs.google.com/spreadsheets/d/1vLOLpiE-XsbnCnwWPcoi87PlUSXfqIAAQn3kvqHfO6s/edit"",""9!e44"")"),2574.0)</f>
        <v>2574</v>
      </c>
      <c r="K229" s="40">
        <f>IFERROR(__xludf.DUMMYFUNCTION("IMPORTRANGE(""https://docs.google.com/spreadsheets/d/1vLOLpiE-XsbnCnwWPcoi87PlUSXfqIAAQn3kvqHfO6s/edit"",""9!e45"")"),454.0)</f>
        <v>454</v>
      </c>
      <c r="L229" s="40">
        <f>J229+K229</f>
        <v>3028</v>
      </c>
      <c r="M229" s="40">
        <f t="shared" si="617"/>
        <v>5797</v>
      </c>
      <c r="N229" s="41">
        <f t="shared" si="618"/>
        <v>201.4383448</v>
      </c>
      <c r="O229" s="38">
        <v>6622.0</v>
      </c>
      <c r="P229" s="42">
        <f t="shared" si="619"/>
        <v>0.8754152824</v>
      </c>
      <c r="Q229" s="43">
        <v>1.5</v>
      </c>
      <c r="R229" s="42">
        <f t="shared" si="620"/>
        <v>0.6615640529</v>
      </c>
      <c r="S229" s="44">
        <f t="shared" si="621"/>
        <v>0.9923460794</v>
      </c>
      <c r="T229" s="43">
        <f>F229/23.84</f>
        <v>245.038255</v>
      </c>
      <c r="U229" s="43">
        <f t="shared" si="622"/>
        <v>8.449595001</v>
      </c>
      <c r="V229" s="40">
        <f t="shared" si="623"/>
        <v>199.8965517</v>
      </c>
      <c r="X229" s="31">
        <v>2.0</v>
      </c>
      <c r="Y229" s="31" t="s">
        <v>30</v>
      </c>
      <c r="Z229" s="31">
        <f t="shared" ref="Z229:AI229" si="634">SUM(D224)</f>
        <v>60</v>
      </c>
      <c r="AA229" s="32">
        <f t="shared" si="634"/>
        <v>59</v>
      </c>
      <c r="AB229" s="33">
        <f t="shared" si="634"/>
        <v>11562.074</v>
      </c>
      <c r="AC229" s="32">
        <f t="shared" si="634"/>
        <v>3220</v>
      </c>
      <c r="AD229" s="32">
        <f t="shared" si="634"/>
        <v>0</v>
      </c>
      <c r="AE229" s="32">
        <f t="shared" si="634"/>
        <v>3220</v>
      </c>
      <c r="AF229" s="32">
        <f t="shared" si="634"/>
        <v>4483</v>
      </c>
      <c r="AG229" s="32">
        <f t="shared" si="634"/>
        <v>143</v>
      </c>
      <c r="AH229" s="32">
        <f t="shared" si="634"/>
        <v>4626</v>
      </c>
      <c r="AI229" s="32">
        <f t="shared" si="634"/>
        <v>7846</v>
      </c>
      <c r="AJ229" s="34">
        <f t="shared" si="635"/>
        <v>195.9673559</v>
      </c>
      <c r="AK229" s="31">
        <f t="shared" si="636"/>
        <v>11164</v>
      </c>
      <c r="AL229" s="35">
        <f t="shared" si="637"/>
        <v>0.7027946972</v>
      </c>
      <c r="AM229" s="36">
        <f t="shared" si="638"/>
        <v>1.5</v>
      </c>
      <c r="AN229" s="35">
        <f t="shared" si="639"/>
        <v>0.4523986498</v>
      </c>
      <c r="AO229" s="37">
        <f t="shared" si="640"/>
        <v>0.6785979747</v>
      </c>
      <c r="AP229" s="36">
        <f t="shared" ref="AP229:AQ229" si="641">SUM(T224)</f>
        <v>390.5710232</v>
      </c>
      <c r="AQ229" s="36">
        <f t="shared" si="641"/>
        <v>6.619847851</v>
      </c>
      <c r="AR229" s="32">
        <f t="shared" si="642"/>
        <v>132.9830508</v>
      </c>
    </row>
    <row r="230" ht="15.75" customHeight="1">
      <c r="A230" s="21"/>
      <c r="B230" s="38">
        <v>9.0</v>
      </c>
      <c r="C230" s="38" t="s">
        <v>36</v>
      </c>
      <c r="D230" s="57">
        <v>24.0</v>
      </c>
      <c r="E230" s="40">
        <f>IFERROR(__xludf.DUMMYFUNCTION("COUNT(IMPORTRANGE(""https://docs.google.com/spreadsheets/d/1WJJVq25XDtGjt-J2JPxeKs3jIvDZtkIREC0lFPXwf74/edit"",""9!d2:d31""))"),24.0)</f>
        <v>24</v>
      </c>
      <c r="F230" s="45">
        <f>IFERROR(__xludf.DUMMYFUNCTION("SUM(IMPORTRANGE(""https://docs.google.com/spreadsheets/d/1WJJVq25XDtGjt-J2JPxeKs3jIvDZtkIREC0lFPXwf74/edit"",""9!Q2:Q31""))"),4707.779999999999)</f>
        <v>4707.78</v>
      </c>
      <c r="G230" s="40">
        <f>IFERROR(__xludf.DUMMYFUNCTION("IMPORTRANGE(""https://docs.google.com/spreadsheets/d/1WJJVq25XDtGjt-J2JPxeKs3jIvDZtkIREC0lFPXwf74/edit"",""9!e38"")"),1280.0)</f>
        <v>1280</v>
      </c>
      <c r="H230" s="40">
        <f>IFERROR(__xludf.DUMMYFUNCTION("IMPORTRANGE(""https://docs.google.com/spreadsheets/d/1WJJVq25XDtGjt-J2JPxeKs3jIvDZtkIREC0lFPXwf74/edit"",""9!e39"")"),0.0)</f>
        <v>0</v>
      </c>
      <c r="I230" s="40">
        <f t="shared" si="615"/>
        <v>1280</v>
      </c>
      <c r="J230" s="40">
        <f>IFERROR(__xludf.DUMMYFUNCTION("IMPORTRANGE(""https://docs.google.com/spreadsheets/d/1WJJVq25XDtGjt-J2JPxeKs3jIvDZtkIREC0lFPXwf74/edit"",""9!e42"")"),2131.0)</f>
        <v>2131</v>
      </c>
      <c r="K230" s="40">
        <f>IFERROR(__xludf.DUMMYFUNCTION("IMPORTRANGE(""https://docs.google.com/spreadsheets/d/1WJJVq25XDtGjt-J2JPxeKs3jIvDZtkIREC0lFPXwf74/edit"",""9!e43"")"),0.0)</f>
        <v>0</v>
      </c>
      <c r="L230" s="40">
        <f t="shared" ref="L230:L239" si="645">SUM(J230:K230)</f>
        <v>2131</v>
      </c>
      <c r="M230" s="40">
        <f t="shared" si="617"/>
        <v>3411</v>
      </c>
      <c r="N230" s="41">
        <f t="shared" si="618"/>
        <v>196.1575</v>
      </c>
      <c r="O230" s="38">
        <v>4796.0</v>
      </c>
      <c r="P230" s="42">
        <f t="shared" si="619"/>
        <v>0.7112176814</v>
      </c>
      <c r="Q230" s="43">
        <v>1.5</v>
      </c>
      <c r="R230" s="42">
        <f t="shared" si="620"/>
        <v>0.4830302181</v>
      </c>
      <c r="S230" s="44">
        <f t="shared" si="621"/>
        <v>0.7245453271</v>
      </c>
      <c r="T230" s="43">
        <f>F230/37.414</f>
        <v>125.8293687</v>
      </c>
      <c r="U230" s="43">
        <f t="shared" si="622"/>
        <v>5.242890362</v>
      </c>
      <c r="V230" s="40">
        <f t="shared" si="623"/>
        <v>142.125</v>
      </c>
      <c r="X230" s="22">
        <v>3.0</v>
      </c>
      <c r="Y230" s="22" t="s">
        <v>34</v>
      </c>
      <c r="Z230" s="22">
        <f t="shared" ref="Z230:AI230" si="643">SUM(D226)</f>
        <v>40</v>
      </c>
      <c r="AA230" s="23">
        <f t="shared" si="643"/>
        <v>38</v>
      </c>
      <c r="AB230" s="24">
        <f t="shared" si="643"/>
        <v>7497.078</v>
      </c>
      <c r="AC230" s="23">
        <f t="shared" si="643"/>
        <v>2443</v>
      </c>
      <c r="AD230" s="23">
        <f t="shared" si="643"/>
        <v>0</v>
      </c>
      <c r="AE230" s="23">
        <f t="shared" si="643"/>
        <v>2443</v>
      </c>
      <c r="AF230" s="23">
        <f t="shared" si="643"/>
        <v>2955</v>
      </c>
      <c r="AG230" s="23">
        <f t="shared" si="643"/>
        <v>0</v>
      </c>
      <c r="AH230" s="23">
        <f t="shared" si="643"/>
        <v>2955</v>
      </c>
      <c r="AI230" s="23">
        <f t="shared" si="643"/>
        <v>5398</v>
      </c>
      <c r="AJ230" s="25">
        <f t="shared" si="635"/>
        <v>197.2915263</v>
      </c>
      <c r="AK230" s="22">
        <f>SUM(O226)</f>
        <v>9354</v>
      </c>
      <c r="AL230" s="26">
        <f t="shared" si="637"/>
        <v>0.5770793244</v>
      </c>
      <c r="AM230" s="27">
        <f>SUM(Q226)</f>
        <v>1.5</v>
      </c>
      <c r="AN230" s="26">
        <f t="shared" si="639"/>
        <v>0.4800092338</v>
      </c>
      <c r="AO230" s="28">
        <f t="shared" si="640"/>
        <v>0.7200138507</v>
      </c>
      <c r="AP230" s="27">
        <f t="shared" ref="AP230:AQ230" si="644">SUM(T226)</f>
        <v>244.1011298</v>
      </c>
      <c r="AQ230" s="27">
        <f t="shared" si="644"/>
        <v>6.423713942</v>
      </c>
      <c r="AR230" s="23">
        <f t="shared" si="642"/>
        <v>142.0526316</v>
      </c>
    </row>
    <row r="231" ht="15.75" customHeight="1">
      <c r="A231" s="21"/>
      <c r="B231" s="38">
        <v>10.0</v>
      </c>
      <c r="C231" s="38" t="s">
        <v>37</v>
      </c>
      <c r="D231" s="39">
        <v>30.0</v>
      </c>
      <c r="E231" s="40">
        <f>IFERROR(__xludf.DUMMYFUNCTION("COUNT(IMPORTRANGE(""https://docs.google.com/spreadsheets/d/1rJyYfywRpWJW0zvDJHLOJtqUQqffoCGaqTVxxTDgV0k/edit"",""9!d2:d31""))"),29.0)</f>
        <v>29</v>
      </c>
      <c r="F231" s="45">
        <f>IFERROR(__xludf.DUMMYFUNCTION("SUM(IMPORTRANGE(""https://docs.google.com/spreadsheets/d/1rJyYfywRpWJW0zvDJHLOJtqUQqffoCGaqTVxxTDgV0k/edit"",""9!Q2:Q31""))"),5688.227999999998)</f>
        <v>5688.228</v>
      </c>
      <c r="G231" s="40">
        <f>IFERROR(__xludf.DUMMYFUNCTION("(IMPORTRANGE(""https://docs.google.com/spreadsheets/d/1rJyYfywRpWJW0zvDJHLOJtqUQqffoCGaqTVxxTDgV0k/edit"",""9!e38""))"),1958.0)</f>
        <v>1958</v>
      </c>
      <c r="H231" s="40">
        <f>IFERROR(__xludf.DUMMYFUNCTION("(IMPORTRANGE(""https://docs.google.com/spreadsheets/d/1rJyYfywRpWJW0zvDJHLOJtqUQqffoCGaqTVxxTDgV0k/edit"",""9!e39""))"),0.0)</f>
        <v>0</v>
      </c>
      <c r="I231" s="40">
        <f t="shared" si="615"/>
        <v>1958</v>
      </c>
      <c r="J231" s="40">
        <f>IFERROR(__xludf.DUMMYFUNCTION("(IMPORTRANGE(""https://docs.google.com/spreadsheets/d/1rJyYfywRpWJW0zvDJHLOJtqUQqffoCGaqTVxxTDgV0k/edit"",""9!e42""))"),2554.0)</f>
        <v>2554</v>
      </c>
      <c r="K231" s="40">
        <f>IFERROR(__xludf.DUMMYFUNCTION("(IMPORTRANGE(""https://docs.google.com/spreadsheets/d/1rJyYfywRpWJW0zvDJHLOJtqUQqffoCGaqTVxxTDgV0k/edit"",""9!e43""))"),0.0)</f>
        <v>0</v>
      </c>
      <c r="L231" s="40">
        <f t="shared" si="645"/>
        <v>2554</v>
      </c>
      <c r="M231" s="40">
        <f t="shared" si="617"/>
        <v>4512</v>
      </c>
      <c r="N231" s="41">
        <f t="shared" si="618"/>
        <v>196.1457931</v>
      </c>
      <c r="O231" s="38">
        <v>5887.0</v>
      </c>
      <c r="P231" s="42">
        <f t="shared" si="619"/>
        <v>0.7664345167</v>
      </c>
      <c r="Q231" s="43">
        <v>1.5</v>
      </c>
      <c r="R231" s="42">
        <f t="shared" si="620"/>
        <v>0.528811433</v>
      </c>
      <c r="S231" s="44">
        <f t="shared" si="621"/>
        <v>0.7932171495</v>
      </c>
      <c r="T231" s="43">
        <f>F231/24.792</f>
        <v>229.4380445</v>
      </c>
      <c r="U231" s="43">
        <f t="shared" si="622"/>
        <v>7.911656708</v>
      </c>
      <c r="V231" s="40">
        <f t="shared" si="623"/>
        <v>155.5862069</v>
      </c>
      <c r="X231" s="31">
        <v>4.0</v>
      </c>
      <c r="Y231" s="31" t="s">
        <v>38</v>
      </c>
      <c r="Z231" s="31">
        <f t="shared" ref="Z231:AI231" si="646">SUM(D234)</f>
        <v>30</v>
      </c>
      <c r="AA231" s="32">
        <f t="shared" si="646"/>
        <v>30</v>
      </c>
      <c r="AB231" s="33">
        <f t="shared" si="646"/>
        <v>6140.576</v>
      </c>
      <c r="AC231" s="32">
        <f t="shared" si="646"/>
        <v>1829</v>
      </c>
      <c r="AD231" s="32">
        <f t="shared" si="646"/>
        <v>0</v>
      </c>
      <c r="AE231" s="32">
        <f t="shared" si="646"/>
        <v>1829</v>
      </c>
      <c r="AF231" s="32">
        <f t="shared" si="646"/>
        <v>2493</v>
      </c>
      <c r="AG231" s="32">
        <f t="shared" si="646"/>
        <v>0</v>
      </c>
      <c r="AH231" s="32">
        <f t="shared" si="646"/>
        <v>2493</v>
      </c>
      <c r="AI231" s="32">
        <f t="shared" si="646"/>
        <v>4322</v>
      </c>
      <c r="AJ231" s="34">
        <f t="shared" si="635"/>
        <v>204.6858667</v>
      </c>
      <c r="AK231" s="31">
        <v>7324.0</v>
      </c>
      <c r="AL231" s="35">
        <f t="shared" si="637"/>
        <v>0.5901146914</v>
      </c>
      <c r="AM231" s="36">
        <f>SUM(Q234)</f>
        <v>1.5</v>
      </c>
      <c r="AN231" s="35">
        <f t="shared" si="639"/>
        <v>0.469228511</v>
      </c>
      <c r="AO231" s="37">
        <f t="shared" si="640"/>
        <v>0.7038427665</v>
      </c>
      <c r="AP231" s="36">
        <f t="shared" ref="AP231:AQ231" si="647">SUM(T234)</f>
        <v>149.0250212</v>
      </c>
      <c r="AQ231" s="36">
        <f t="shared" si="647"/>
        <v>4.967500708</v>
      </c>
      <c r="AR231" s="32">
        <f t="shared" si="642"/>
        <v>144.0666667</v>
      </c>
    </row>
    <row r="232" ht="15.75" customHeight="1">
      <c r="A232" s="21"/>
      <c r="B232" s="38">
        <v>12.0</v>
      </c>
      <c r="C232" s="38" t="s">
        <v>39</v>
      </c>
      <c r="D232" s="39">
        <v>28.0</v>
      </c>
      <c r="E232" s="40">
        <f>IFERROR(__xludf.DUMMYFUNCTION("COUNT(IMPORTRANGE(""https://docs.google.com/spreadsheets/d/1uaTn2DZCfr7O1PvovOd0wElzVz8kpl_iPfnrkNPp0Is/edit"",""9!d2:d29""))"),28.0)</f>
        <v>28</v>
      </c>
      <c r="F232" s="45">
        <f>IFERROR(__xludf.DUMMYFUNCTION("SUM(IMPORTRANGE(""https://docs.google.com/spreadsheets/d/1uaTn2DZCfr7O1PvovOd0wElzVz8kpl_iPfnrkNPp0Is/edit"",""9!Q2:Q29""))"),5136.933)</f>
        <v>5136.933</v>
      </c>
      <c r="G232" s="40">
        <f>IFERROR(__xludf.DUMMYFUNCTION("IMPORTRANGE(""https://docs.google.com/spreadsheets/d/1uaTn2DZCfr7O1PvovOd0wElzVz8kpl_iPfnrkNPp0Is/edit"",""9!e36"")"),1138.0)</f>
        <v>1138</v>
      </c>
      <c r="H232" s="40">
        <f>IFERROR(__xludf.DUMMYFUNCTION("(IMPORTRANGE(""https://docs.google.com/spreadsheets/d/1uaTn2DZCfr7O1PvovOd0wElzVz8kpl_iPfnrkNPp0Is/edit"",""9!e37""))"),0.0)</f>
        <v>0</v>
      </c>
      <c r="I232" s="40">
        <f t="shared" si="615"/>
        <v>1138</v>
      </c>
      <c r="J232" s="40">
        <f>IFERROR(__xludf.DUMMYFUNCTION("IMPORTRANGE(""https://docs.google.com/spreadsheets/d/1uaTn2DZCfr7O1PvovOd0wElzVz8kpl_iPfnrkNPp0Is/edit"",""9!e40"")"),1906.0)</f>
        <v>1906</v>
      </c>
      <c r="K232" s="40">
        <f>IFERROR(__xludf.DUMMYFUNCTION("IMPORTRANGE(""https://docs.google.com/spreadsheets/d/1uaTn2DZCfr7O1PvovOd0wElzVz8kpl_iPfnrkNPp0Is/edit"",""9!e41"")"),0.0)</f>
        <v>0</v>
      </c>
      <c r="L232" s="40">
        <f t="shared" si="645"/>
        <v>1906</v>
      </c>
      <c r="M232" s="40">
        <f t="shared" si="617"/>
        <v>3044</v>
      </c>
      <c r="N232" s="41">
        <f t="shared" si="618"/>
        <v>183.4618929</v>
      </c>
      <c r="O232" s="38">
        <v>3569.0</v>
      </c>
      <c r="P232" s="42">
        <f t="shared" si="619"/>
        <v>0.852899972</v>
      </c>
      <c r="Q232" s="43">
        <v>1.5</v>
      </c>
      <c r="R232" s="42">
        <f t="shared" si="620"/>
        <v>0.3950476546</v>
      </c>
      <c r="S232" s="44">
        <f t="shared" si="621"/>
        <v>0.5925714819</v>
      </c>
      <c r="T232" s="43">
        <f>F232/21.463</f>
        <v>239.339002</v>
      </c>
      <c r="U232" s="43">
        <f t="shared" si="622"/>
        <v>8.5478215</v>
      </c>
      <c r="V232" s="40">
        <f t="shared" si="623"/>
        <v>108.7142857</v>
      </c>
      <c r="X232" s="31">
        <v>5.0</v>
      </c>
      <c r="Y232" s="31" t="s">
        <v>40</v>
      </c>
      <c r="Z232" s="31">
        <f t="shared" ref="Z232:AI232" si="648">SUM(D236)</f>
        <v>30</v>
      </c>
      <c r="AA232" s="32">
        <f t="shared" si="648"/>
        <v>30</v>
      </c>
      <c r="AB232" s="33">
        <f t="shared" si="648"/>
        <v>5872.813</v>
      </c>
      <c r="AC232" s="32">
        <f t="shared" si="648"/>
        <v>3299</v>
      </c>
      <c r="AD232" s="32">
        <f t="shared" si="648"/>
        <v>50</v>
      </c>
      <c r="AE232" s="32">
        <f t="shared" si="648"/>
        <v>3349</v>
      </c>
      <c r="AF232" s="32">
        <f t="shared" si="648"/>
        <v>3664</v>
      </c>
      <c r="AG232" s="32">
        <f t="shared" si="648"/>
        <v>149</v>
      </c>
      <c r="AH232" s="32">
        <f t="shared" si="648"/>
        <v>3813</v>
      </c>
      <c r="AI232" s="32">
        <f t="shared" si="648"/>
        <v>7162</v>
      </c>
      <c r="AJ232" s="34">
        <f t="shared" si="635"/>
        <v>195.7604333</v>
      </c>
      <c r="AK232" s="31">
        <f t="shared" ref="AK232:AK233" si="651">SUM(O236)</f>
        <v>8239</v>
      </c>
      <c r="AL232" s="35">
        <f t="shared" si="637"/>
        <v>0.8692802525</v>
      </c>
      <c r="AM232" s="36">
        <f t="shared" ref="AM232:AM233" si="652">SUM(Q236)</f>
        <v>1.5</v>
      </c>
      <c r="AN232" s="35">
        <f t="shared" si="639"/>
        <v>0.8130118679</v>
      </c>
      <c r="AO232" s="37">
        <f t="shared" si="640"/>
        <v>1.219517802</v>
      </c>
      <c r="AP232" s="36">
        <f t="shared" ref="AP232:AQ232" si="649">SUM(T236)</f>
        <v>206.4765672</v>
      </c>
      <c r="AQ232" s="36">
        <f t="shared" si="649"/>
        <v>6.882552239</v>
      </c>
      <c r="AR232" s="32">
        <f t="shared" si="642"/>
        <v>238.7333333</v>
      </c>
    </row>
    <row r="233" ht="15.75" customHeight="1">
      <c r="A233" s="21"/>
      <c r="B233" s="38">
        <v>12.0</v>
      </c>
      <c r="C233" s="38" t="s">
        <v>41</v>
      </c>
      <c r="D233" s="39">
        <v>24.0</v>
      </c>
      <c r="E233" s="40">
        <f>IFERROR(__xludf.DUMMYFUNCTION("COUNT(IMPORTRANGE(""https://docs.google.com/spreadsheets/d/1oYscvfOJW7GMkxt8QcupWuzb3ohaYePd3Mt2V2ufHok/edit"",""9!d2:d25""))"),24.0)</f>
        <v>24</v>
      </c>
      <c r="F233" s="45">
        <f>IFERROR(__xludf.DUMMYFUNCTION("SUM(IMPORTRANGE(""https://docs.google.com/spreadsheets/d/1oYscvfOJW7GMkxt8QcupWuzb3ohaYePd3Mt2V2ufHok/edit"",""9!Q2:Q25""))"),4793.152)</f>
        <v>4793.152</v>
      </c>
      <c r="G233" s="40">
        <f>IFERROR(__xludf.DUMMYFUNCTION("IMPORTRANGE(""https://docs.google.com/spreadsheets/d/1oYscvfOJW7GMkxt8QcupWuzb3ohaYePd3Mt2V2ufHok/edit"",""9!e32"")"),1246.0)</f>
        <v>1246</v>
      </c>
      <c r="H233" s="40">
        <f>IFERROR(__xludf.DUMMYFUNCTION("IMPORTRANGE(""https://docs.google.com/spreadsheets/d/1oYscvfOJW7GMkxt8QcupWuzb3ohaYePd3Mt2V2ufHok/edit"",""9!e33"")"),0.0)</f>
        <v>0</v>
      </c>
      <c r="I233" s="40">
        <f t="shared" si="615"/>
        <v>1246</v>
      </c>
      <c r="J233" s="40">
        <f>IFERROR(__xludf.DUMMYFUNCTION("IMPORTRANGE(""https://docs.google.com/spreadsheets/d/1oYscvfOJW7GMkxt8QcupWuzb3ohaYePd3Mt2V2ufHok/edit"",""9!e36"")"),1596.0)</f>
        <v>1596</v>
      </c>
      <c r="K233" s="40">
        <f>IFERROR(__xludf.DUMMYFUNCTION("IMPORTRANGE(""https://docs.google.com/spreadsheets/d/1oYscvfOJW7GMkxt8QcupWuzb3ohaYePd3Mt2V2ufHok/edit"",""9!e37"")"),0.0)</f>
        <v>0</v>
      </c>
      <c r="L233" s="40">
        <f t="shared" si="645"/>
        <v>1596</v>
      </c>
      <c r="M233" s="40">
        <f t="shared" si="617"/>
        <v>2842</v>
      </c>
      <c r="N233" s="41">
        <f t="shared" si="618"/>
        <v>199.7146667</v>
      </c>
      <c r="O233" s="38">
        <v>3801.0</v>
      </c>
      <c r="P233" s="42">
        <f t="shared" si="619"/>
        <v>0.7476979742</v>
      </c>
      <c r="Q233" s="43">
        <v>1.5</v>
      </c>
      <c r="R233" s="42">
        <f t="shared" si="620"/>
        <v>0.3952861638</v>
      </c>
      <c r="S233" s="44">
        <f t="shared" si="621"/>
        <v>0.5929292457</v>
      </c>
      <c r="T233" s="43">
        <f>F233/29.628</f>
        <v>161.7777778</v>
      </c>
      <c r="U233" s="43">
        <f t="shared" si="622"/>
        <v>6.740740741</v>
      </c>
      <c r="V233" s="40">
        <f t="shared" si="623"/>
        <v>118.4166667</v>
      </c>
      <c r="X233" s="22">
        <v>6.0</v>
      </c>
      <c r="Y233" s="22" t="s">
        <v>42</v>
      </c>
      <c r="Z233" s="22">
        <f t="shared" ref="Z233:AI233" si="650">SUM(D237)</f>
        <v>33</v>
      </c>
      <c r="AA233" s="23">
        <f t="shared" si="650"/>
        <v>33</v>
      </c>
      <c r="AB233" s="24">
        <f t="shared" si="650"/>
        <v>6129.501</v>
      </c>
      <c r="AC233" s="23">
        <f t="shared" si="650"/>
        <v>2720</v>
      </c>
      <c r="AD233" s="23">
        <f t="shared" si="650"/>
        <v>32</v>
      </c>
      <c r="AE233" s="23">
        <f t="shared" si="650"/>
        <v>2752</v>
      </c>
      <c r="AF233" s="23">
        <f t="shared" si="650"/>
        <v>4283</v>
      </c>
      <c r="AG233" s="23">
        <f t="shared" si="650"/>
        <v>42</v>
      </c>
      <c r="AH233" s="23">
        <f t="shared" si="650"/>
        <v>4325</v>
      </c>
      <c r="AI233" s="23">
        <f t="shared" si="650"/>
        <v>7077</v>
      </c>
      <c r="AJ233" s="25">
        <f t="shared" si="635"/>
        <v>185.7424545</v>
      </c>
      <c r="AK233" s="22">
        <f t="shared" si="651"/>
        <v>9877</v>
      </c>
      <c r="AL233" s="26">
        <f t="shared" si="637"/>
        <v>0.7165131113</v>
      </c>
      <c r="AM233" s="27">
        <f t="shared" si="652"/>
        <v>1.5</v>
      </c>
      <c r="AN233" s="26">
        <f t="shared" si="639"/>
        <v>0.76972008</v>
      </c>
      <c r="AO233" s="28">
        <f t="shared" si="640"/>
        <v>1.15458012</v>
      </c>
      <c r="AP233" s="27">
        <f t="shared" ref="AP233:AQ233" si="653">SUM(T237)</f>
        <v>234.3529344</v>
      </c>
      <c r="AQ233" s="27">
        <f t="shared" si="653"/>
        <v>7.101604074</v>
      </c>
      <c r="AR233" s="23">
        <f t="shared" si="642"/>
        <v>214.4545455</v>
      </c>
    </row>
    <row r="234" ht="15.75" customHeight="1">
      <c r="A234" s="21"/>
      <c r="B234" s="38">
        <v>13.0</v>
      </c>
      <c r="C234" s="38" t="s">
        <v>43</v>
      </c>
      <c r="D234" s="39">
        <v>30.0</v>
      </c>
      <c r="E234" s="40">
        <f>IFERROR(__xludf.DUMMYFUNCTION("COUNT(IMPORTRANGE(""https://docs.google.com/spreadsheets/d/1AxBmuQEdOYAeRnZ4C8vO6kuTNp7X_SGhpLXuY0n4ln4/edit"",""9!d2:d31""))"),30.0)</f>
        <v>30</v>
      </c>
      <c r="F234" s="45">
        <f>IFERROR(__xludf.DUMMYFUNCTION("SUM(IMPORTRANGE(""https://docs.google.com/spreadsheets/d/1AxBmuQEdOYAeRnZ4C8vO6kuTNp7X_SGhpLXuY0n4ln4/edit"",""9!Q2:Q31""))"),6140.575999999997)</f>
        <v>6140.576</v>
      </c>
      <c r="G234" s="40">
        <f>IFERROR(__xludf.DUMMYFUNCTION("IMPORTRANGE(""https://docs.google.com/spreadsheets/d/1AxBmuQEdOYAeRnZ4C8vO6kuTNp7X_SGhpLXuY0n4ln4/edit"",""9!e38"")"),1829.0)</f>
        <v>1829</v>
      </c>
      <c r="H234" s="40">
        <f>IFERROR(__xludf.DUMMYFUNCTION("IMPORTRANGE(""https://docs.google.com/spreadsheets/d/1AxBmuQEdOYAeRnZ4C8vO6kuTNp7X_SGhpLXuY0n4ln4/edit"",""9!e39"")"),0.0)</f>
        <v>0</v>
      </c>
      <c r="I234" s="40">
        <f t="shared" si="615"/>
        <v>1829</v>
      </c>
      <c r="J234" s="40">
        <f>IFERROR(__xludf.DUMMYFUNCTION("IMPORTRANGE(""https://docs.google.com/spreadsheets/d/1AxBmuQEdOYAeRnZ4C8vO6kuTNp7X_SGhpLXuY0n4ln4/edit"",""9!e42"")"),2493.0)</f>
        <v>2493</v>
      </c>
      <c r="K234" s="40">
        <f>IFERROR(__xludf.DUMMYFUNCTION("IMPORTRANGE(""https://docs.google.com/spreadsheets/d/1AxBmuQEdOYAeRnZ4C8vO6kuTNp7X_SGhpLXuY0n4ln4/edit"",""9!e43"")"),0.0)</f>
        <v>0</v>
      </c>
      <c r="L234" s="40">
        <f t="shared" si="645"/>
        <v>2493</v>
      </c>
      <c r="M234" s="40">
        <f t="shared" si="617"/>
        <v>4322</v>
      </c>
      <c r="N234" s="41">
        <f t="shared" si="618"/>
        <v>204.6858667</v>
      </c>
      <c r="O234" s="38">
        <v>8345.0</v>
      </c>
      <c r="P234" s="42">
        <f t="shared" si="619"/>
        <v>0.5179149191</v>
      </c>
      <c r="Q234" s="43">
        <v>1.5</v>
      </c>
      <c r="R234" s="42">
        <f t="shared" si="620"/>
        <v>0.469228511</v>
      </c>
      <c r="S234" s="44">
        <f t="shared" si="621"/>
        <v>0.7038427665</v>
      </c>
      <c r="T234" s="43">
        <f>F234/41.205</f>
        <v>149.0250212</v>
      </c>
      <c r="U234" s="43">
        <f t="shared" si="622"/>
        <v>4.967500708</v>
      </c>
      <c r="V234" s="40">
        <f t="shared" si="623"/>
        <v>144.0666667</v>
      </c>
      <c r="X234" s="46" t="s">
        <v>33</v>
      </c>
      <c r="Y234" s="46">
        <v>6.0</v>
      </c>
      <c r="Z234" s="46">
        <f t="shared" ref="Z234:AI234" si="654">SUM(Z228:Z233)</f>
        <v>226</v>
      </c>
      <c r="AA234" s="47">
        <f t="shared" si="654"/>
        <v>222</v>
      </c>
      <c r="AB234" s="49">
        <f t="shared" si="654"/>
        <v>43497.971</v>
      </c>
      <c r="AC234" s="47">
        <f t="shared" si="654"/>
        <v>15470</v>
      </c>
      <c r="AD234" s="47">
        <f t="shared" si="654"/>
        <v>203</v>
      </c>
      <c r="AE234" s="47">
        <f t="shared" si="654"/>
        <v>15673</v>
      </c>
      <c r="AF234" s="47">
        <f t="shared" si="654"/>
        <v>20356</v>
      </c>
      <c r="AG234" s="47">
        <f t="shared" si="654"/>
        <v>530</v>
      </c>
      <c r="AH234" s="47">
        <f t="shared" si="654"/>
        <v>20886</v>
      </c>
      <c r="AI234" s="47">
        <f t="shared" si="654"/>
        <v>36559</v>
      </c>
      <c r="AJ234" s="49">
        <f t="shared" si="635"/>
        <v>195.9368063</v>
      </c>
      <c r="AK234" s="46">
        <f>SUM(AK228:AK233)</f>
        <v>53273</v>
      </c>
      <c r="AL234" s="50">
        <f t="shared" si="637"/>
        <v>0.6862575789</v>
      </c>
      <c r="AM234" s="51">
        <v>1.5</v>
      </c>
      <c r="AN234" s="50">
        <f t="shared" si="639"/>
        <v>0.560317323</v>
      </c>
      <c r="AO234" s="52">
        <f t="shared" si="640"/>
        <v>0.8404759845</v>
      </c>
      <c r="AP234" s="51">
        <f>SUM(AP228:AP233)</f>
        <v>1428.298207</v>
      </c>
      <c r="AQ234" s="51">
        <f>AP234/AA234</f>
        <v>6.433775708</v>
      </c>
      <c r="AR234" s="47">
        <f t="shared" si="642"/>
        <v>164.6801802</v>
      </c>
    </row>
    <row r="235" ht="15.75" customHeight="1">
      <c r="A235" s="21"/>
      <c r="B235" s="38">
        <v>14.0</v>
      </c>
      <c r="C235" s="38" t="s">
        <v>27</v>
      </c>
      <c r="D235" s="39">
        <v>30.0</v>
      </c>
      <c r="E235" s="40">
        <f>IFERROR(__xludf.DUMMYFUNCTION("COUNT(IMPORTRANGE(""https://docs.google.com/spreadsheets/d/1LsL4JuXvBtfJ-TVi4NFml9lV_pmd61b789A_nbO-QrA/edit"",""9!d2:d31""))"),29.0)</f>
        <v>29</v>
      </c>
      <c r="F235" s="45">
        <f>IFERROR(__xludf.DUMMYFUNCTION("SUM(IMPORTRANGE(""https://docs.google.com/spreadsheets/d/1LsL4JuXvBtfJ-TVi4NFml9lV_pmd61b789A_nbO-QrA/edit"",""9!Q2:Q31""))"),5367.751000000001)</f>
        <v>5367.751</v>
      </c>
      <c r="G235" s="40">
        <f>IFERROR(__xludf.DUMMYFUNCTION("IMPORTRANGE(""https://docs.google.com/spreadsheets/d/1LsL4JuXvBtfJ-TVi4NFml9lV_pmd61b789A_nbO-QrA/edit"",""9!e38"")"),2030.0)</f>
        <v>2030</v>
      </c>
      <c r="H235" s="40">
        <f>IFERROR(__xludf.DUMMYFUNCTION("IMPORTRANGE(""https://docs.google.com/spreadsheets/d/1LsL4JuXvBtfJ-TVi4NFml9lV_pmd61b789A_nbO-QrA/edit"",""9!e39"")"),85.0)</f>
        <v>85</v>
      </c>
      <c r="I235" s="40">
        <f t="shared" si="615"/>
        <v>2115</v>
      </c>
      <c r="J235" s="40">
        <f>IFERROR(__xludf.DUMMYFUNCTION("IMPORTRANGE(""https://docs.google.com/spreadsheets/d/1LsL4JuXvBtfJ-TVi4NFml9lV_pmd61b789A_nbO-QrA/edit"",""9!e42"")"),2682.0)</f>
        <v>2682</v>
      </c>
      <c r="K235" s="40">
        <f>IFERROR(__xludf.DUMMYFUNCTION("IMPORTRANGE(""https://docs.google.com/spreadsheets/d/1LsL4JuXvBtfJ-TVi4NFml9lV_pmd61b789A_nbO-QrA/edit"",""9!e43"")"),86.0)</f>
        <v>86</v>
      </c>
      <c r="L235" s="40">
        <f t="shared" si="645"/>
        <v>2768</v>
      </c>
      <c r="M235" s="40">
        <f t="shared" si="617"/>
        <v>4883</v>
      </c>
      <c r="N235" s="41">
        <f t="shared" si="618"/>
        <v>185.0948621</v>
      </c>
      <c r="O235" s="38">
        <v>8101.0</v>
      </c>
      <c r="P235" s="42">
        <f t="shared" si="619"/>
        <v>0.6027650907</v>
      </c>
      <c r="Q235" s="43">
        <v>1.5</v>
      </c>
      <c r="R235" s="42">
        <f t="shared" si="620"/>
        <v>0.6064613156</v>
      </c>
      <c r="S235" s="44">
        <f t="shared" si="621"/>
        <v>0.9096919734</v>
      </c>
      <c r="T235" s="43">
        <f>F235/19.985</f>
        <v>268.5889917</v>
      </c>
      <c r="U235" s="43">
        <f t="shared" si="622"/>
        <v>9.26168937</v>
      </c>
      <c r="V235" s="40">
        <f t="shared" si="623"/>
        <v>168.3793103</v>
      </c>
      <c r="X235" s="59" t="s">
        <v>44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6"/>
    </row>
    <row r="236" ht="15.75" customHeight="1">
      <c r="A236" s="21"/>
      <c r="B236" s="38">
        <v>15.0</v>
      </c>
      <c r="C236" s="38" t="s">
        <v>40</v>
      </c>
      <c r="D236" s="39">
        <v>30.0</v>
      </c>
      <c r="E236" s="40">
        <f>IFERROR(__xludf.DUMMYFUNCTION("COUNT(IMPORTRANGE(""https://docs.google.com/spreadsheets/d/1Krav0MVlY0vbUNsFRDnb_kR72_tyuGnWBYbGjNZrl18/edit"",""9!d2:d31""))"),30.0)</f>
        <v>30</v>
      </c>
      <c r="F236" s="45">
        <f>IFERROR(__xludf.DUMMYFUNCTION("SUM(IMPORTRANGE(""https://docs.google.com/spreadsheets/d/1Krav0MVlY0vbUNsFRDnb_kR72_tyuGnWBYbGjNZrl18/edit"",""9!Q2:Q31""))"),5872.812999999998)</f>
        <v>5872.813</v>
      </c>
      <c r="G236" s="40">
        <f>IFERROR(__xludf.DUMMYFUNCTION("IMPORTRANGE(""https://docs.google.com/spreadsheets/d/1Krav0MVlY0vbUNsFRDnb_kR72_tyuGnWBYbGjNZrl18/edit"",""9!e38"")"),3299.0)</f>
        <v>3299</v>
      </c>
      <c r="H236" s="40">
        <f>IFERROR(__xludf.DUMMYFUNCTION("IMPORTRANGE(""https://docs.google.com/spreadsheets/d/1Krav0MVlY0vbUNsFRDnb_kR72_tyuGnWBYbGjNZrl18/edit"",""9!e39"")"),50.0)</f>
        <v>50</v>
      </c>
      <c r="I236" s="40">
        <f t="shared" si="615"/>
        <v>3349</v>
      </c>
      <c r="J236" s="40">
        <f>IFERROR(__xludf.DUMMYFUNCTION("IMPORTRANGE(""https://docs.google.com/spreadsheets/d/1Krav0MVlY0vbUNsFRDnb_kR72_tyuGnWBYbGjNZrl18/edit"",""9!e42"")"),3664.0)</f>
        <v>3664</v>
      </c>
      <c r="K236" s="40">
        <f>IFERROR(__xludf.DUMMYFUNCTION("IMPORTRANGE(""https://docs.google.com/spreadsheets/d/1Krav0MVlY0vbUNsFRDnb_kR72_tyuGnWBYbGjNZrl18/edit"",""9!e43"")"),149.0)</f>
        <v>149</v>
      </c>
      <c r="L236" s="40">
        <f t="shared" si="645"/>
        <v>3813</v>
      </c>
      <c r="M236" s="40">
        <f t="shared" si="617"/>
        <v>7162</v>
      </c>
      <c r="N236" s="41">
        <f t="shared" si="618"/>
        <v>195.7604333</v>
      </c>
      <c r="O236" s="38">
        <v>8239.0</v>
      </c>
      <c r="P236" s="42">
        <f t="shared" si="619"/>
        <v>0.8692802525</v>
      </c>
      <c r="Q236" s="43">
        <v>1.5</v>
      </c>
      <c r="R236" s="42">
        <f t="shared" si="620"/>
        <v>0.8130118679</v>
      </c>
      <c r="S236" s="44">
        <f t="shared" si="621"/>
        <v>1.219517802</v>
      </c>
      <c r="T236" s="43">
        <f>F236/28.443</f>
        <v>206.4765672</v>
      </c>
      <c r="U236" s="43">
        <f t="shared" si="622"/>
        <v>6.882552239</v>
      </c>
      <c r="V236" s="40">
        <f t="shared" si="623"/>
        <v>238.7333333</v>
      </c>
      <c r="X236" s="14" t="s">
        <v>2</v>
      </c>
      <c r="Y236" s="14" t="s">
        <v>3</v>
      </c>
      <c r="Z236" s="14" t="s">
        <v>4</v>
      </c>
      <c r="AA236" s="14" t="s">
        <v>5</v>
      </c>
      <c r="AB236" s="15" t="s">
        <v>6</v>
      </c>
      <c r="AC236" s="14" t="s">
        <v>7</v>
      </c>
      <c r="AD236" s="14" t="s">
        <v>8</v>
      </c>
      <c r="AE236" s="14" t="s">
        <v>9</v>
      </c>
      <c r="AF236" s="14" t="s">
        <v>10</v>
      </c>
      <c r="AG236" s="14" t="s">
        <v>11</v>
      </c>
      <c r="AH236" s="14" t="s">
        <v>12</v>
      </c>
      <c r="AI236" s="14" t="s">
        <v>13</v>
      </c>
      <c r="AJ236" s="15" t="s">
        <v>14</v>
      </c>
      <c r="AK236" s="14" t="s">
        <v>15</v>
      </c>
      <c r="AL236" s="14" t="s">
        <v>16</v>
      </c>
      <c r="AM236" s="16" t="s">
        <v>17</v>
      </c>
      <c r="AN236" s="17" t="s">
        <v>18</v>
      </c>
      <c r="AO236" s="18" t="s">
        <v>19</v>
      </c>
      <c r="AP236" s="19" t="s">
        <v>20</v>
      </c>
      <c r="AQ236" s="19" t="s">
        <v>21</v>
      </c>
      <c r="AR236" s="20" t="s">
        <v>22</v>
      </c>
    </row>
    <row r="237" ht="15.75" customHeight="1">
      <c r="A237" s="21"/>
      <c r="B237" s="38">
        <v>16.0</v>
      </c>
      <c r="C237" s="38" t="s">
        <v>42</v>
      </c>
      <c r="D237" s="39">
        <v>33.0</v>
      </c>
      <c r="E237" s="40">
        <f>IFERROR(__xludf.DUMMYFUNCTION("COUNT(IMPORTRANGE(""https://docs.google.com/spreadsheets/d/1uXtm-E8PG0CetlFmSpTX3RK0LNEMnpR-mxbET9AGD6w/edit"",""9!d2:d34""))"),33.0)</f>
        <v>33</v>
      </c>
      <c r="F237" s="45">
        <f>IFERROR(__xludf.DUMMYFUNCTION("SUM(IMPORTRANGE(""https://docs.google.com/spreadsheets/d/1uXtm-E8PG0CetlFmSpTX3RK0LNEMnpR-mxbET9AGD6w/edit"",""9!Q2:Q34""))"),6129.500999999999)</f>
        <v>6129.501</v>
      </c>
      <c r="G237" s="40">
        <f>IFERROR(__xludf.DUMMYFUNCTION("IMPORTRANGE(""https://docs.google.com/spreadsheets/d/1uXtm-E8PG0CetlFmSpTX3RK0LNEMnpR-mxbET9AGD6w/edit"",""9!e41"")"),2720.0)</f>
        <v>2720</v>
      </c>
      <c r="H237" s="40">
        <f>IFERROR(__xludf.DUMMYFUNCTION("IMPORTRANGE(""https://docs.google.com/spreadsheets/d/1uXtm-E8PG0CetlFmSpTX3RK0LNEMnpR-mxbET9AGD6w/edit"",""9!e42"")"),32.0)</f>
        <v>32</v>
      </c>
      <c r="I237" s="40">
        <f t="shared" si="615"/>
        <v>2752</v>
      </c>
      <c r="J237" s="40">
        <f>IFERROR(__xludf.DUMMYFUNCTION("IMPORTRANGE(""https://docs.google.com/spreadsheets/d/1uXtm-E8PG0CetlFmSpTX3RK0LNEMnpR-mxbET9AGD6w/edit"",""9!e45"")"),4283.0)</f>
        <v>4283</v>
      </c>
      <c r="K237" s="40">
        <f>IFERROR(__xludf.DUMMYFUNCTION("IMPORTRANGE(""https://docs.google.com/spreadsheets/d/1uXtm-E8PG0CetlFmSpTX3RK0LNEMnpR-mxbET9AGD6w/edit"",""9!e46"")"),42.0)</f>
        <v>42</v>
      </c>
      <c r="L237" s="40">
        <f t="shared" si="645"/>
        <v>4325</v>
      </c>
      <c r="M237" s="40">
        <f t="shared" si="617"/>
        <v>7077</v>
      </c>
      <c r="N237" s="41">
        <f t="shared" si="618"/>
        <v>185.7424545</v>
      </c>
      <c r="O237" s="38">
        <v>9877.0</v>
      </c>
      <c r="P237" s="42">
        <f t="shared" si="619"/>
        <v>0.7165131113</v>
      </c>
      <c r="Q237" s="43">
        <v>1.5</v>
      </c>
      <c r="R237" s="42">
        <f t="shared" si="620"/>
        <v>0.76972008</v>
      </c>
      <c r="S237" s="44">
        <f t="shared" si="621"/>
        <v>1.15458012</v>
      </c>
      <c r="T237" s="43">
        <f>F237/26.155</f>
        <v>234.3529344</v>
      </c>
      <c r="U237" s="43">
        <f t="shared" si="622"/>
        <v>7.101604074</v>
      </c>
      <c r="V237" s="40">
        <f t="shared" si="623"/>
        <v>214.4545455</v>
      </c>
      <c r="X237" s="31">
        <v>1.0</v>
      </c>
      <c r="Y237" s="31" t="s">
        <v>26</v>
      </c>
      <c r="Z237" s="31">
        <f t="shared" ref="Z237:AI237" si="655">SUM(D222)</f>
        <v>20</v>
      </c>
      <c r="AA237" s="32">
        <f t="shared" si="655"/>
        <v>20</v>
      </c>
      <c r="AB237" s="34">
        <f t="shared" si="655"/>
        <v>3885.378</v>
      </c>
      <c r="AC237" s="32">
        <f t="shared" si="655"/>
        <v>1983</v>
      </c>
      <c r="AD237" s="32">
        <f t="shared" si="655"/>
        <v>0</v>
      </c>
      <c r="AE237" s="32">
        <f t="shared" si="655"/>
        <v>1983</v>
      </c>
      <c r="AF237" s="32">
        <f t="shared" si="655"/>
        <v>2588</v>
      </c>
      <c r="AG237" s="32">
        <f t="shared" si="655"/>
        <v>175</v>
      </c>
      <c r="AH237" s="32">
        <f t="shared" si="655"/>
        <v>2763</v>
      </c>
      <c r="AI237" s="32">
        <f t="shared" si="655"/>
        <v>4746</v>
      </c>
      <c r="AJ237" s="34">
        <f t="shared" ref="AJ237:AJ243" si="658">AB237/AA237</f>
        <v>194.2689</v>
      </c>
      <c r="AK237" s="31">
        <f>SUM(O222)</f>
        <v>5161</v>
      </c>
      <c r="AL237" s="35">
        <f t="shared" ref="AL237:AL243" si="659">AI237/AK237</f>
        <v>0.9195892269</v>
      </c>
      <c r="AM237" s="36">
        <f>SUM(Q222)</f>
        <v>1.5</v>
      </c>
      <c r="AN237" s="35">
        <f t="shared" ref="AN237:AN243" si="660">AO237/AM237</f>
        <v>0.8143351818</v>
      </c>
      <c r="AO237" s="37">
        <f t="shared" ref="AO237:AO243" si="661">AI237/AB237</f>
        <v>1.221502773</v>
      </c>
      <c r="AP237" s="36">
        <f t="shared" ref="AP237:AQ237" si="656">SUM(T222)</f>
        <v>269.5371488</v>
      </c>
      <c r="AQ237" s="36">
        <f t="shared" si="656"/>
        <v>13.47685744</v>
      </c>
      <c r="AR237" s="32">
        <f t="shared" ref="AR237:AR243" si="663">AI237/AA237</f>
        <v>237.3</v>
      </c>
    </row>
    <row r="238" ht="15.75" customHeight="1">
      <c r="A238" s="21"/>
      <c r="B238" s="38">
        <v>17.0</v>
      </c>
      <c r="C238" s="38" t="s">
        <v>29</v>
      </c>
      <c r="D238" s="39">
        <v>30.0</v>
      </c>
      <c r="E238" s="40">
        <f>IFERROR(__xludf.DUMMYFUNCTION("COUNT(IMPORTRANGE(""https://docs.google.com/spreadsheets/d/12xcKI0lSnAsjEsxfm9K8Qx0B_89Gzsh816mowItkQao/edit"",""9!d2:d31""))"),28.0)</f>
        <v>28</v>
      </c>
      <c r="F238" s="45">
        <f>IFERROR(__xludf.DUMMYFUNCTION("SUM(IMPORTRANGE(""https://docs.google.com/spreadsheets/d/12xcKI0lSnAsjEsxfm9K8Qx0B_89Gzsh816mowItkQao/edit"",""9!Q2:Q31""))"),5520.056000000001)</f>
        <v>5520.056</v>
      </c>
      <c r="G238" s="40">
        <f>IFERROR(__xludf.DUMMYFUNCTION("IMPORTRANGE(""https://docs.google.com/spreadsheets/d/12xcKI0lSnAsjEsxfm9K8Qx0B_89Gzsh816mowItkQao/edit"",""9!e38"")"),2384.0)</f>
        <v>2384</v>
      </c>
      <c r="H238" s="40">
        <f>IFERROR(__xludf.DUMMYFUNCTION("IMPORTRANGE(""https://docs.google.com/spreadsheets/d/12xcKI0lSnAsjEsxfm9K8Qx0B_89Gzsh816mowItkQao/edit"",""9!e39"")"),0.0)</f>
        <v>0</v>
      </c>
      <c r="I238" s="40">
        <f t="shared" si="615"/>
        <v>2384</v>
      </c>
      <c r="J238" s="40">
        <f>IFERROR(__xludf.DUMMYFUNCTION("IMPORTRANGE(""https://docs.google.com/spreadsheets/d/12xcKI0lSnAsjEsxfm9K8Qx0B_89Gzsh816mowItkQao/edit"",""9!e42"")"),3054.0)</f>
        <v>3054</v>
      </c>
      <c r="K238" s="40">
        <f>IFERROR(__xludf.DUMMYFUNCTION("IMPORTRANGE(""https://docs.google.com/spreadsheets/d/12xcKI0lSnAsjEsxfm9K8Qx0B_89Gzsh816mowItkQao/edit"",""9!e43"")"),0.0)</f>
        <v>0</v>
      </c>
      <c r="L238" s="40">
        <f t="shared" si="645"/>
        <v>3054</v>
      </c>
      <c r="M238" s="40">
        <f t="shared" si="617"/>
        <v>5438</v>
      </c>
      <c r="N238" s="41">
        <f t="shared" si="618"/>
        <v>197.1448571</v>
      </c>
      <c r="O238" s="38">
        <v>9201.0</v>
      </c>
      <c r="P238" s="42">
        <f t="shared" si="619"/>
        <v>0.5910227149</v>
      </c>
      <c r="Q238" s="43">
        <v>1.5</v>
      </c>
      <c r="R238" s="42">
        <f t="shared" si="620"/>
        <v>0.6567566223</v>
      </c>
      <c r="S238" s="44">
        <f t="shared" si="621"/>
        <v>0.9851349334</v>
      </c>
      <c r="T238" s="43">
        <f>F238/26.038</f>
        <v>212</v>
      </c>
      <c r="U238" s="43">
        <f t="shared" si="622"/>
        <v>7.571428571</v>
      </c>
      <c r="V238" s="40">
        <f t="shared" si="623"/>
        <v>194.2142857</v>
      </c>
      <c r="X238" s="31">
        <v>2.0</v>
      </c>
      <c r="Y238" s="31" t="s">
        <v>32</v>
      </c>
      <c r="Z238" s="31">
        <f t="shared" ref="Z238:AI238" si="657">SUM(D225)</f>
        <v>42</v>
      </c>
      <c r="AA238" s="32">
        <f t="shared" si="657"/>
        <v>42</v>
      </c>
      <c r="AB238" s="33">
        <f t="shared" si="657"/>
        <v>8366.107</v>
      </c>
      <c r="AC238" s="31">
        <f t="shared" si="657"/>
        <v>4491</v>
      </c>
      <c r="AD238" s="31">
        <f t="shared" si="657"/>
        <v>30</v>
      </c>
      <c r="AE238" s="32">
        <f t="shared" si="657"/>
        <v>4521</v>
      </c>
      <c r="AF238" s="31">
        <f t="shared" si="657"/>
        <v>5058</v>
      </c>
      <c r="AG238" s="31">
        <f t="shared" si="657"/>
        <v>120</v>
      </c>
      <c r="AH238" s="32">
        <f t="shared" si="657"/>
        <v>5178</v>
      </c>
      <c r="AI238" s="32">
        <f t="shared" si="657"/>
        <v>9699</v>
      </c>
      <c r="AJ238" s="34">
        <f t="shared" si="658"/>
        <v>199.1930238</v>
      </c>
      <c r="AK238" s="31">
        <f>SUM(O225)</f>
        <v>13817</v>
      </c>
      <c r="AL238" s="35">
        <f t="shared" si="659"/>
        <v>0.701961352</v>
      </c>
      <c r="AM238" s="36">
        <f>SUM(Q225)</f>
        <v>1.5</v>
      </c>
      <c r="AN238" s="35">
        <f t="shared" si="660"/>
        <v>0.7728803851</v>
      </c>
      <c r="AO238" s="37">
        <f t="shared" si="661"/>
        <v>1.159320578</v>
      </c>
      <c r="AP238" s="36">
        <f t="shared" ref="AP238:AQ238" si="662">SUM(T225)</f>
        <v>333.4571725</v>
      </c>
      <c r="AQ238" s="36">
        <f t="shared" si="662"/>
        <v>7.939456487</v>
      </c>
      <c r="AR238" s="32">
        <f t="shared" si="663"/>
        <v>230.9285714</v>
      </c>
    </row>
    <row r="239" ht="15.75" customHeight="1">
      <c r="A239" s="21"/>
      <c r="B239" s="38">
        <v>18.0</v>
      </c>
      <c r="C239" s="38" t="s">
        <v>31</v>
      </c>
      <c r="D239" s="39">
        <v>15.0</v>
      </c>
      <c r="E239" s="40">
        <f>IFERROR(__xludf.DUMMYFUNCTION("COUNT(IMPORTRANGE(""https://docs.google.com/spreadsheets/d/1fgCFOFzOla4Qim6_-zG-lbYhLCItqv_kZiAHoErRgcM/edit"",""9!d2:d16""))"),13.0)</f>
        <v>13</v>
      </c>
      <c r="F239" s="41">
        <f>IFERROR(__xludf.DUMMYFUNCTION("SUM(IMPORTRANGE(""https://docs.google.com/spreadsheets/d/1fgCFOFzOla4Qim6_-zG-lbYhLCItqv_kZiAHoErRgcM/edit"",""9!Q2:Q16""))"),2607.8999999999996)</f>
        <v>2607.9</v>
      </c>
      <c r="G239" s="40">
        <f>IFERROR(__xludf.DUMMYFUNCTION("IMPORTRANGE(""https://docs.google.com/spreadsheets/d/1fgCFOFzOla4Qim6_-zG-lbYhLCItqv_kZiAHoErRgcM/edit"",""9!e23"")"),841.0)</f>
        <v>841</v>
      </c>
      <c r="H239" s="40">
        <f>IFERROR(__xludf.DUMMYFUNCTION("IMPORTRANGE(""https://docs.google.com/spreadsheets/d/1fgCFOFzOla4Qim6_-zG-lbYhLCItqv_kZiAHoErRgcM/edit"",""9!e24"")"),15.0)</f>
        <v>15</v>
      </c>
      <c r="I239" s="40">
        <f t="shared" si="615"/>
        <v>856</v>
      </c>
      <c r="J239" s="40">
        <f>IFERROR(__xludf.DUMMYFUNCTION("IMPORTRANGE(""https://docs.google.com/spreadsheets/d/1fgCFOFzOla4Qim6_-zG-lbYhLCItqv_kZiAHoErRgcM/edit"",""9!e27"")"),999.0)</f>
        <v>999</v>
      </c>
      <c r="K239" s="40">
        <f>IFERROR(__xludf.DUMMYFUNCTION("IMPORTRANGE(""https://docs.google.com/spreadsheets/d/1fgCFOFzOla4Qim6_-zG-lbYhLCItqv_kZiAHoErRgcM/edit"",""9!e28"")"),0.0)</f>
        <v>0</v>
      </c>
      <c r="L239" s="40">
        <f t="shared" si="645"/>
        <v>999</v>
      </c>
      <c r="M239" s="40">
        <f t="shared" si="617"/>
        <v>1855</v>
      </c>
      <c r="N239" s="41">
        <f t="shared" si="618"/>
        <v>200.6076923</v>
      </c>
      <c r="O239" s="38">
        <v>2717.0</v>
      </c>
      <c r="P239" s="42">
        <f t="shared" si="619"/>
        <v>0.6827383143</v>
      </c>
      <c r="Q239" s="43">
        <v>1.5</v>
      </c>
      <c r="R239" s="42">
        <f t="shared" si="620"/>
        <v>0.4742001866</v>
      </c>
      <c r="S239" s="44">
        <f t="shared" si="621"/>
        <v>0.7113002799</v>
      </c>
      <c r="T239" s="43">
        <f>F239/43.465</f>
        <v>60</v>
      </c>
      <c r="U239" s="43">
        <f t="shared" si="622"/>
        <v>4.615384615</v>
      </c>
      <c r="V239" s="40">
        <f t="shared" si="623"/>
        <v>142.6923077</v>
      </c>
      <c r="X239" s="31">
        <v>3.0</v>
      </c>
      <c r="Y239" s="31" t="s">
        <v>36</v>
      </c>
      <c r="Z239" s="31">
        <f t="shared" ref="Z239:AI239" si="664">SUM(D230)</f>
        <v>24</v>
      </c>
      <c r="AA239" s="32">
        <f t="shared" si="664"/>
        <v>24</v>
      </c>
      <c r="AB239" s="33">
        <f t="shared" si="664"/>
        <v>4707.78</v>
      </c>
      <c r="AC239" s="32">
        <f t="shared" si="664"/>
        <v>1280</v>
      </c>
      <c r="AD239" s="32">
        <f t="shared" si="664"/>
        <v>0</v>
      </c>
      <c r="AE239" s="32">
        <f t="shared" si="664"/>
        <v>1280</v>
      </c>
      <c r="AF239" s="32">
        <f t="shared" si="664"/>
        <v>2131</v>
      </c>
      <c r="AG239" s="32">
        <f t="shared" si="664"/>
        <v>0</v>
      </c>
      <c r="AH239" s="32">
        <f t="shared" si="664"/>
        <v>2131</v>
      </c>
      <c r="AI239" s="32">
        <f t="shared" si="664"/>
        <v>3411</v>
      </c>
      <c r="AJ239" s="34">
        <f t="shared" si="658"/>
        <v>196.1575</v>
      </c>
      <c r="AK239" s="31">
        <f t="shared" ref="AK239:AK242" si="668">SUM(O230)</f>
        <v>4796</v>
      </c>
      <c r="AL239" s="35">
        <f t="shared" si="659"/>
        <v>0.7112176814</v>
      </c>
      <c r="AM239" s="36">
        <f t="shared" ref="AM239:AM242" si="669">SUM(Q230)</f>
        <v>1.5</v>
      </c>
      <c r="AN239" s="35">
        <f t="shared" si="660"/>
        <v>0.4830302181</v>
      </c>
      <c r="AO239" s="37">
        <f t="shared" si="661"/>
        <v>0.7245453271</v>
      </c>
      <c r="AP239" s="36">
        <f t="shared" ref="AP239:AQ239" si="665">SUM(T230)</f>
        <v>125.8293687</v>
      </c>
      <c r="AQ239" s="36">
        <f t="shared" si="665"/>
        <v>5.242890362</v>
      </c>
      <c r="AR239" s="32">
        <f t="shared" si="663"/>
        <v>142.125</v>
      </c>
    </row>
    <row r="240" ht="15.75" customHeight="1">
      <c r="A240" s="21"/>
      <c r="B240" s="60" t="s">
        <v>33</v>
      </c>
      <c r="C240" s="60">
        <v>18.0</v>
      </c>
      <c r="D240" s="60">
        <f t="shared" ref="D240:M240" si="666">SUM(D222:D239)</f>
        <v>580</v>
      </c>
      <c r="E240" s="61">
        <f t="shared" si="666"/>
        <v>565</v>
      </c>
      <c r="F240" s="62">
        <f t="shared" si="666"/>
        <v>110041.86</v>
      </c>
      <c r="G240" s="61">
        <f t="shared" si="666"/>
        <v>37784</v>
      </c>
      <c r="H240" s="61">
        <f t="shared" si="666"/>
        <v>850</v>
      </c>
      <c r="I240" s="61">
        <f t="shared" si="666"/>
        <v>38634</v>
      </c>
      <c r="J240" s="61">
        <f t="shared" si="666"/>
        <v>49582</v>
      </c>
      <c r="K240" s="61">
        <f t="shared" si="666"/>
        <v>1406</v>
      </c>
      <c r="L240" s="61">
        <f t="shared" si="666"/>
        <v>50988</v>
      </c>
      <c r="M240" s="61">
        <f t="shared" si="666"/>
        <v>89622</v>
      </c>
      <c r="N240" s="62">
        <f t="shared" si="618"/>
        <v>194.764354</v>
      </c>
      <c r="O240" s="60">
        <f>SUM(O222:O239)</f>
        <v>126399</v>
      </c>
      <c r="P240" s="63">
        <f t="shared" si="619"/>
        <v>0.7090404196</v>
      </c>
      <c r="Q240" s="64">
        <v>1.5</v>
      </c>
      <c r="R240" s="63">
        <f t="shared" si="620"/>
        <v>0.5429570165</v>
      </c>
      <c r="S240" s="65">
        <f t="shared" si="621"/>
        <v>0.8144355248</v>
      </c>
      <c r="T240" s="64">
        <f>SUM(T222:T239)</f>
        <v>4067.05353</v>
      </c>
      <c r="U240" s="64">
        <f t="shared" si="622"/>
        <v>7.198324831</v>
      </c>
      <c r="V240" s="61">
        <f t="shared" si="623"/>
        <v>158.6230088</v>
      </c>
      <c r="X240" s="31">
        <v>4.0</v>
      </c>
      <c r="Y240" s="31" t="s">
        <v>37</v>
      </c>
      <c r="Z240" s="31">
        <f t="shared" ref="Z240:AI240" si="667">SUM(D231)</f>
        <v>30</v>
      </c>
      <c r="AA240" s="32">
        <f t="shared" si="667"/>
        <v>29</v>
      </c>
      <c r="AB240" s="33">
        <f t="shared" si="667"/>
        <v>5688.228</v>
      </c>
      <c r="AC240" s="32">
        <f t="shared" si="667"/>
        <v>1958</v>
      </c>
      <c r="AD240" s="32">
        <f t="shared" si="667"/>
        <v>0</v>
      </c>
      <c r="AE240" s="32">
        <f t="shared" si="667"/>
        <v>1958</v>
      </c>
      <c r="AF240" s="32">
        <f t="shared" si="667"/>
        <v>2554</v>
      </c>
      <c r="AG240" s="32">
        <f t="shared" si="667"/>
        <v>0</v>
      </c>
      <c r="AH240" s="32">
        <f t="shared" si="667"/>
        <v>2554</v>
      </c>
      <c r="AI240" s="32">
        <f t="shared" si="667"/>
        <v>4512</v>
      </c>
      <c r="AJ240" s="34">
        <f t="shared" si="658"/>
        <v>196.1457931</v>
      </c>
      <c r="AK240" s="31">
        <f t="shared" si="668"/>
        <v>5887</v>
      </c>
      <c r="AL240" s="35">
        <f t="shared" si="659"/>
        <v>0.7664345167</v>
      </c>
      <c r="AM240" s="36">
        <f t="shared" si="669"/>
        <v>1.5</v>
      </c>
      <c r="AN240" s="35">
        <f t="shared" si="660"/>
        <v>0.528811433</v>
      </c>
      <c r="AO240" s="37">
        <f t="shared" si="661"/>
        <v>0.7932171495</v>
      </c>
      <c r="AP240" s="36">
        <f t="shared" ref="AP240:AQ240" si="670">SUM(T231)</f>
        <v>229.4380445</v>
      </c>
      <c r="AQ240" s="36">
        <f t="shared" si="670"/>
        <v>7.911656708</v>
      </c>
      <c r="AR240" s="32">
        <f t="shared" si="663"/>
        <v>155.5862069</v>
      </c>
    </row>
    <row r="241" ht="15.7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X241" s="31">
        <v>5.0</v>
      </c>
      <c r="Y241" s="31" t="s">
        <v>39</v>
      </c>
      <c r="Z241" s="31">
        <f t="shared" ref="Z241:AI241" si="671">SUM(D232)</f>
        <v>28</v>
      </c>
      <c r="AA241" s="32">
        <f t="shared" si="671"/>
        <v>28</v>
      </c>
      <c r="AB241" s="33">
        <f t="shared" si="671"/>
        <v>5136.933</v>
      </c>
      <c r="AC241" s="32">
        <f t="shared" si="671"/>
        <v>1138</v>
      </c>
      <c r="AD241" s="32">
        <f t="shared" si="671"/>
        <v>0</v>
      </c>
      <c r="AE241" s="32">
        <f t="shared" si="671"/>
        <v>1138</v>
      </c>
      <c r="AF241" s="32">
        <f t="shared" si="671"/>
        <v>1906</v>
      </c>
      <c r="AG241" s="32">
        <f t="shared" si="671"/>
        <v>0</v>
      </c>
      <c r="AH241" s="32">
        <f t="shared" si="671"/>
        <v>1906</v>
      </c>
      <c r="AI241" s="32">
        <f t="shared" si="671"/>
        <v>3044</v>
      </c>
      <c r="AJ241" s="34">
        <f t="shared" si="658"/>
        <v>183.4618929</v>
      </c>
      <c r="AK241" s="31">
        <f t="shared" si="668"/>
        <v>3569</v>
      </c>
      <c r="AL241" s="35">
        <f t="shared" si="659"/>
        <v>0.852899972</v>
      </c>
      <c r="AM241" s="36">
        <f t="shared" si="669"/>
        <v>1.5</v>
      </c>
      <c r="AN241" s="35">
        <f t="shared" si="660"/>
        <v>0.3950476546</v>
      </c>
      <c r="AO241" s="37">
        <f t="shared" si="661"/>
        <v>0.5925714819</v>
      </c>
      <c r="AP241" s="36">
        <f t="shared" ref="AP241:AQ241" si="672">SUM(T232)</f>
        <v>239.339002</v>
      </c>
      <c r="AQ241" s="36">
        <f t="shared" si="672"/>
        <v>8.5478215</v>
      </c>
      <c r="AR241" s="32">
        <f t="shared" si="663"/>
        <v>108.7142857</v>
      </c>
    </row>
    <row r="242" ht="15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X242" s="31">
        <v>6.0</v>
      </c>
      <c r="Y242" s="31" t="s">
        <v>41</v>
      </c>
      <c r="Z242" s="31">
        <f t="shared" ref="Z242:AI242" si="673">SUM(D233)</f>
        <v>24</v>
      </c>
      <c r="AA242" s="32">
        <f t="shared" si="673"/>
        <v>24</v>
      </c>
      <c r="AB242" s="33">
        <f t="shared" si="673"/>
        <v>4793.152</v>
      </c>
      <c r="AC242" s="32">
        <f t="shared" si="673"/>
        <v>1246</v>
      </c>
      <c r="AD242" s="32">
        <f t="shared" si="673"/>
        <v>0</v>
      </c>
      <c r="AE242" s="32">
        <f t="shared" si="673"/>
        <v>1246</v>
      </c>
      <c r="AF242" s="32">
        <f t="shared" si="673"/>
        <v>1596</v>
      </c>
      <c r="AG242" s="32">
        <f t="shared" si="673"/>
        <v>0</v>
      </c>
      <c r="AH242" s="32">
        <f t="shared" si="673"/>
        <v>1596</v>
      </c>
      <c r="AI242" s="32">
        <f t="shared" si="673"/>
        <v>2842</v>
      </c>
      <c r="AJ242" s="34">
        <f t="shared" si="658"/>
        <v>199.7146667</v>
      </c>
      <c r="AK242" s="31">
        <f t="shared" si="668"/>
        <v>3801</v>
      </c>
      <c r="AL242" s="35">
        <f t="shared" si="659"/>
        <v>0.7476979742</v>
      </c>
      <c r="AM242" s="36">
        <f t="shared" si="669"/>
        <v>1.5</v>
      </c>
      <c r="AN242" s="35">
        <f t="shared" si="660"/>
        <v>0.3952861638</v>
      </c>
      <c r="AO242" s="37">
        <f t="shared" si="661"/>
        <v>0.5929292457</v>
      </c>
      <c r="AP242" s="36">
        <f t="shared" ref="AP242:AQ242" si="674">SUM(T233)</f>
        <v>161.7777778</v>
      </c>
      <c r="AQ242" s="36">
        <f t="shared" si="674"/>
        <v>6.740740741</v>
      </c>
      <c r="AR242" s="32">
        <f t="shared" si="663"/>
        <v>118.4166667</v>
      </c>
    </row>
    <row r="243" ht="15.75" customHeight="1">
      <c r="A243" s="1" t="s">
        <v>45</v>
      </c>
      <c r="D243" s="2"/>
      <c r="X243" s="46" t="s">
        <v>33</v>
      </c>
      <c r="Y243" s="46">
        <v>6.0</v>
      </c>
      <c r="Z243" s="46">
        <f t="shared" ref="Z243:AI243" si="675">SUM(Z237:Z242)</f>
        <v>168</v>
      </c>
      <c r="AA243" s="47">
        <f t="shared" si="675"/>
        <v>167</v>
      </c>
      <c r="AB243" s="49">
        <f t="shared" si="675"/>
        <v>32577.578</v>
      </c>
      <c r="AC243" s="47">
        <f t="shared" si="675"/>
        <v>12096</v>
      </c>
      <c r="AD243" s="47">
        <f t="shared" si="675"/>
        <v>30</v>
      </c>
      <c r="AE243" s="47">
        <f t="shared" si="675"/>
        <v>12126</v>
      </c>
      <c r="AF243" s="47">
        <f t="shared" si="675"/>
        <v>15833</v>
      </c>
      <c r="AG243" s="47">
        <f t="shared" si="675"/>
        <v>295</v>
      </c>
      <c r="AH243" s="47">
        <f t="shared" si="675"/>
        <v>16128</v>
      </c>
      <c r="AI243" s="47">
        <f t="shared" si="675"/>
        <v>28254</v>
      </c>
      <c r="AJ243" s="49">
        <f t="shared" si="658"/>
        <v>195.0753174</v>
      </c>
      <c r="AK243" s="46">
        <f>SUM(AK237:AK242)</f>
        <v>37031</v>
      </c>
      <c r="AL243" s="50">
        <f t="shared" si="659"/>
        <v>0.7629823661</v>
      </c>
      <c r="AM243" s="51">
        <v>1.5</v>
      </c>
      <c r="AN243" s="50">
        <f t="shared" si="660"/>
        <v>0.5781890845</v>
      </c>
      <c r="AO243" s="52">
        <f t="shared" si="661"/>
        <v>0.8672836268</v>
      </c>
      <c r="AP243" s="51">
        <f>SUM(AP237:AP242)</f>
        <v>1359.378514</v>
      </c>
      <c r="AQ243" s="51">
        <f>AP243/AA243</f>
        <v>8.139991103</v>
      </c>
      <c r="AR243" s="47">
        <f t="shared" si="663"/>
        <v>169.1856287</v>
      </c>
    </row>
    <row r="244" ht="15.75" customHeight="1">
      <c r="A244" s="1" t="s">
        <v>45</v>
      </c>
      <c r="D244" s="2"/>
      <c r="X244" s="66" t="s">
        <v>1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6"/>
    </row>
    <row r="245" ht="15.75" customHeight="1">
      <c r="A245" s="7">
        <v>46213.0</v>
      </c>
      <c r="B245" s="8" t="s">
        <v>2</v>
      </c>
      <c r="C245" s="8" t="s">
        <v>3</v>
      </c>
      <c r="D245" s="8" t="s">
        <v>4</v>
      </c>
      <c r="E245" s="8" t="s">
        <v>5</v>
      </c>
      <c r="F245" s="9" t="s">
        <v>6</v>
      </c>
      <c r="G245" s="8" t="s">
        <v>7</v>
      </c>
      <c r="H245" s="8" t="s">
        <v>8</v>
      </c>
      <c r="I245" s="8" t="s">
        <v>9</v>
      </c>
      <c r="J245" s="8" t="s">
        <v>10</v>
      </c>
      <c r="K245" s="8" t="s">
        <v>11</v>
      </c>
      <c r="L245" s="8" t="s">
        <v>12</v>
      </c>
      <c r="M245" s="8" t="s">
        <v>13</v>
      </c>
      <c r="N245" s="9" t="s">
        <v>14</v>
      </c>
      <c r="O245" s="8" t="s">
        <v>15</v>
      </c>
      <c r="P245" s="8" t="s">
        <v>16</v>
      </c>
      <c r="Q245" s="8" t="s">
        <v>17</v>
      </c>
      <c r="R245" s="8" t="s">
        <v>18</v>
      </c>
      <c r="S245" s="11" t="s">
        <v>19</v>
      </c>
      <c r="T245" s="12" t="s">
        <v>20</v>
      </c>
      <c r="U245" s="12" t="s">
        <v>21</v>
      </c>
      <c r="V245" s="13" t="s">
        <v>22</v>
      </c>
      <c r="X245" s="14" t="s">
        <v>2</v>
      </c>
      <c r="Y245" s="14" t="s">
        <v>3</v>
      </c>
      <c r="Z245" s="14" t="s">
        <v>4</v>
      </c>
      <c r="AA245" s="14" t="s">
        <v>5</v>
      </c>
      <c r="AB245" s="15" t="s">
        <v>6</v>
      </c>
      <c r="AC245" s="14" t="s">
        <v>7</v>
      </c>
      <c r="AD245" s="14" t="s">
        <v>8</v>
      </c>
      <c r="AE245" s="14" t="s">
        <v>9</v>
      </c>
      <c r="AF245" s="14" t="s">
        <v>10</v>
      </c>
      <c r="AG245" s="14" t="s">
        <v>11</v>
      </c>
      <c r="AH245" s="14" t="s">
        <v>12</v>
      </c>
      <c r="AI245" s="14" t="s">
        <v>13</v>
      </c>
      <c r="AJ245" s="15" t="s">
        <v>14</v>
      </c>
      <c r="AK245" s="14" t="s">
        <v>15</v>
      </c>
      <c r="AL245" s="14" t="s">
        <v>16</v>
      </c>
      <c r="AM245" s="16" t="s">
        <v>17</v>
      </c>
      <c r="AN245" s="17" t="s">
        <v>18</v>
      </c>
      <c r="AO245" s="18" t="s">
        <v>19</v>
      </c>
      <c r="AP245" s="19" t="s">
        <v>20</v>
      </c>
      <c r="AQ245" s="19" t="s">
        <v>21</v>
      </c>
      <c r="AR245" s="20" t="s">
        <v>22</v>
      </c>
    </row>
    <row r="246" ht="15.7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X246" s="22">
        <v>1.0</v>
      </c>
      <c r="Y246" s="22" t="s">
        <v>23</v>
      </c>
      <c r="Z246" s="22">
        <f t="shared" ref="Z246:AI246" si="676">SUM(D254)</f>
        <v>35</v>
      </c>
      <c r="AA246" s="23">
        <f t="shared" si="676"/>
        <v>34</v>
      </c>
      <c r="AB246" s="24">
        <f t="shared" si="676"/>
        <v>6714.26</v>
      </c>
      <c r="AC246" s="23">
        <f t="shared" si="676"/>
        <v>1684</v>
      </c>
      <c r="AD246" s="23">
        <f t="shared" si="676"/>
        <v>0</v>
      </c>
      <c r="AE246" s="23">
        <f t="shared" si="676"/>
        <v>1684</v>
      </c>
      <c r="AF246" s="23">
        <f t="shared" si="676"/>
        <v>3070</v>
      </c>
      <c r="AG246" s="23">
        <f t="shared" si="676"/>
        <v>0</v>
      </c>
      <c r="AH246" s="23">
        <f t="shared" si="676"/>
        <v>3070</v>
      </c>
      <c r="AI246" s="23">
        <f t="shared" si="676"/>
        <v>4754</v>
      </c>
      <c r="AJ246" s="25">
        <f t="shared" ref="AJ246:AJ248" si="679">AB246/AA246</f>
        <v>197.4782353</v>
      </c>
      <c r="AK246" s="22">
        <f>SUM(O254)</f>
        <v>6853</v>
      </c>
      <c r="AL246" s="26">
        <f t="shared" ref="AL246:AL252" si="680">AI246/AK246</f>
        <v>0.6937107836</v>
      </c>
      <c r="AM246" s="27">
        <f t="shared" ref="AM246:AM248" si="681">SUM(Q254)</f>
        <v>1.5</v>
      </c>
      <c r="AN246" s="26">
        <f t="shared" ref="AN246:AN252" si="682">AO246/AM246</f>
        <v>0.4720301766</v>
      </c>
      <c r="AO246" s="28">
        <f t="shared" ref="AO246:AO252" si="683">AI246/AB246</f>
        <v>0.7080452649</v>
      </c>
      <c r="AP246" s="27">
        <f t="shared" ref="AP246:AQ246" si="677">SUM(T254)</f>
        <v>199</v>
      </c>
      <c r="AQ246" s="27">
        <f t="shared" si="677"/>
        <v>5.852941176</v>
      </c>
      <c r="AR246" s="23">
        <f t="shared" ref="AR246:AR252" si="685">AI246/AA246</f>
        <v>139.8235294</v>
      </c>
    </row>
    <row r="247" ht="15.7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X247" s="22">
        <v>2.0</v>
      </c>
      <c r="Y247" s="22" t="s">
        <v>24</v>
      </c>
      <c r="Z247" s="22">
        <f t="shared" ref="Z247:AI247" si="678">SUM(D255)</f>
        <v>44</v>
      </c>
      <c r="AA247" s="23">
        <f t="shared" si="678"/>
        <v>43</v>
      </c>
      <c r="AB247" s="24">
        <f t="shared" si="678"/>
        <v>8290.107</v>
      </c>
      <c r="AC247" s="23">
        <f t="shared" si="678"/>
        <v>1127</v>
      </c>
      <c r="AD247" s="23">
        <f t="shared" si="678"/>
        <v>0</v>
      </c>
      <c r="AE247" s="23">
        <f t="shared" si="678"/>
        <v>1127</v>
      </c>
      <c r="AF247" s="23">
        <f t="shared" si="678"/>
        <v>1185</v>
      </c>
      <c r="AG247" s="23">
        <f t="shared" si="678"/>
        <v>0</v>
      </c>
      <c r="AH247" s="23">
        <f t="shared" si="678"/>
        <v>1185</v>
      </c>
      <c r="AI247" s="23">
        <f t="shared" si="678"/>
        <v>2312</v>
      </c>
      <c r="AJ247" s="25">
        <f t="shared" si="679"/>
        <v>192.793186</v>
      </c>
      <c r="AK247" s="22">
        <v>1580.0</v>
      </c>
      <c r="AL247" s="29">
        <f t="shared" si="680"/>
        <v>1.463291139</v>
      </c>
      <c r="AM247" s="27">
        <f t="shared" si="681"/>
        <v>1.5</v>
      </c>
      <c r="AN247" s="26">
        <f t="shared" si="682"/>
        <v>0.1859244197</v>
      </c>
      <c r="AO247" s="28">
        <f t="shared" si="683"/>
        <v>0.2788866296</v>
      </c>
      <c r="AP247" s="27">
        <f t="shared" ref="AP247:AQ247" si="684">SUM(T255)</f>
        <v>309.2746503</v>
      </c>
      <c r="AQ247" s="27">
        <f t="shared" si="684"/>
        <v>7.192433727</v>
      </c>
      <c r="AR247" s="23">
        <f t="shared" si="685"/>
        <v>53.76744186</v>
      </c>
    </row>
    <row r="248" ht="15.75" customHeight="1">
      <c r="A248" s="21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X248" s="31">
        <v>3.0</v>
      </c>
      <c r="Y248" s="31" t="s">
        <v>25</v>
      </c>
      <c r="Z248" s="31">
        <f t="shared" ref="Z248:AI248" si="686">SUM(D256)</f>
        <v>32</v>
      </c>
      <c r="AA248" s="32">
        <f t="shared" si="686"/>
        <v>31</v>
      </c>
      <c r="AB248" s="33">
        <f t="shared" si="686"/>
        <v>5749.832</v>
      </c>
      <c r="AC248" s="32">
        <f t="shared" si="686"/>
        <v>2365</v>
      </c>
      <c r="AD248" s="32">
        <f t="shared" si="686"/>
        <v>316</v>
      </c>
      <c r="AE248" s="32">
        <f t="shared" si="686"/>
        <v>2681</v>
      </c>
      <c r="AF248" s="32">
        <f t="shared" si="686"/>
        <v>2754</v>
      </c>
      <c r="AG248" s="32">
        <f t="shared" si="686"/>
        <v>384</v>
      </c>
      <c r="AH248" s="32">
        <f t="shared" si="686"/>
        <v>3138</v>
      </c>
      <c r="AI248" s="32">
        <f t="shared" si="686"/>
        <v>5819</v>
      </c>
      <c r="AJ248" s="34">
        <f t="shared" si="679"/>
        <v>185.4784516</v>
      </c>
      <c r="AK248" s="31">
        <f>SUM(O256)</f>
        <v>6622</v>
      </c>
      <c r="AL248" s="35">
        <f t="shared" si="680"/>
        <v>0.8787375415</v>
      </c>
      <c r="AM248" s="36">
        <f t="shared" si="681"/>
        <v>1.5</v>
      </c>
      <c r="AN248" s="35">
        <f t="shared" si="682"/>
        <v>0.6746863792</v>
      </c>
      <c r="AO248" s="37">
        <f t="shared" si="683"/>
        <v>1.012029569</v>
      </c>
      <c r="AP248" s="36">
        <f t="shared" ref="AP248:AQ248" si="687">SUM(T256)</f>
        <v>241.1842282</v>
      </c>
      <c r="AQ248" s="36">
        <f t="shared" si="687"/>
        <v>7.780136393</v>
      </c>
      <c r="AR248" s="32">
        <f t="shared" si="685"/>
        <v>187.7096774</v>
      </c>
    </row>
    <row r="249" ht="15.75" customHeight="1">
      <c r="A249" s="21"/>
      <c r="B249" s="38">
        <v>1.0</v>
      </c>
      <c r="C249" s="38" t="s">
        <v>26</v>
      </c>
      <c r="D249" s="39">
        <v>20.0</v>
      </c>
      <c r="E249" s="40">
        <f>IFERROR(__xludf.DUMMYFUNCTION("COUNT(IMPORTRANGE(""https://docs.google.com/spreadsheets/d/1z0o91thOT38lgejTE_Bd2p3v_9VCDdQRkUsMIVqpQCk/edit"",""10!d2:d21""))"),20.0)</f>
        <v>20</v>
      </c>
      <c r="F249" s="41">
        <f>IFERROR(__xludf.DUMMYFUNCTION("SUM(IMPORTRANGE(""https://docs.google.com/spreadsheets/d/1z0o91thOT38lgejTE_Bd2p3v_9VCDdQRkUsMIVqpQCk/edit"",""10!Q2:Q21""))"),3964.890000000001)</f>
        <v>3964.89</v>
      </c>
      <c r="G249" s="40">
        <f>IFERROR(__xludf.DUMMYFUNCTION("IMPORTRANGE(""https://docs.google.com/spreadsheets/d/1z0o91thOT38lgejTE_Bd2p3v_9VCDdQRkUsMIVqpQCk/edit"",""10!e28"")"),2306.0)</f>
        <v>2306</v>
      </c>
      <c r="H249" s="40">
        <f>IFERROR(__xludf.DUMMYFUNCTION("IMPORTRANGE(""https://docs.google.com/spreadsheets/d/1z0o91thOT38lgejTE_Bd2p3v_9VCDdQRkUsMIVqpQCk/edit"",""10!e29"")"),0.0)</f>
        <v>0</v>
      </c>
      <c r="I249" s="40">
        <f t="shared" ref="I249:I266" si="690">SUM(G249:H249)</f>
        <v>2306</v>
      </c>
      <c r="J249" s="40">
        <f>IFERROR(__xludf.DUMMYFUNCTION("IMPORTRANGE(""https://docs.google.com/spreadsheets/d/1z0o91thOT38lgejTE_Bd2p3v_9VCDdQRkUsMIVqpQCk/edit"",""10!e32"")"),2437.0)</f>
        <v>2437</v>
      </c>
      <c r="K249" s="40">
        <f>IFERROR(__xludf.DUMMYFUNCTION("IMPORTRANGE(""https://docs.google.com/spreadsheets/d/1z0o91thOT38lgejTE_Bd2p3v_9VCDdQRkUsMIVqpQCk/edit"",""10!e33"")"),165.0)</f>
        <v>165</v>
      </c>
      <c r="L249" s="40">
        <f t="shared" ref="L249:L255" si="691">SUM(J249:K249)</f>
        <v>2602</v>
      </c>
      <c r="M249" s="40">
        <f t="shared" ref="M249:M266" si="692">SUM(I249+L249)</f>
        <v>4908</v>
      </c>
      <c r="N249" s="41">
        <f t="shared" ref="N249:N267" si="693">F249/E249</f>
        <v>198.2445</v>
      </c>
      <c r="O249" s="38">
        <v>5161.0</v>
      </c>
      <c r="P249" s="42">
        <f t="shared" ref="P249:P267" si="694">M249/O249</f>
        <v>0.9509784925</v>
      </c>
      <c r="Q249" s="43">
        <v>1.5</v>
      </c>
      <c r="R249" s="42">
        <f t="shared" ref="R249:R267" si="695">S249/Q249</f>
        <v>0.8252435755</v>
      </c>
      <c r="S249" s="44">
        <f t="shared" ref="S249:S267" si="696">M249/F249</f>
        <v>1.237865363</v>
      </c>
      <c r="T249" s="43">
        <f>F249/14.415</f>
        <v>275.0530697</v>
      </c>
      <c r="U249" s="43">
        <f t="shared" ref="U249:U267" si="697">T249/E249</f>
        <v>13.75265349</v>
      </c>
      <c r="V249" s="40">
        <f t="shared" ref="V249:V267" si="698">M249/E249</f>
        <v>245.4</v>
      </c>
      <c r="X249" s="22">
        <v>4.0</v>
      </c>
      <c r="Y249" s="22" t="s">
        <v>27</v>
      </c>
      <c r="Z249" s="22">
        <f t="shared" ref="Z249:AK249" si="688">SUM(D262)</f>
        <v>30</v>
      </c>
      <c r="AA249" s="23">
        <f t="shared" si="688"/>
        <v>28</v>
      </c>
      <c r="AB249" s="24">
        <f t="shared" si="688"/>
        <v>5231.963</v>
      </c>
      <c r="AC249" s="23">
        <f t="shared" si="688"/>
        <v>1919</v>
      </c>
      <c r="AD249" s="23">
        <f t="shared" si="688"/>
        <v>0</v>
      </c>
      <c r="AE249" s="23">
        <f t="shared" si="688"/>
        <v>1919</v>
      </c>
      <c r="AF249" s="23">
        <f t="shared" si="688"/>
        <v>2643</v>
      </c>
      <c r="AG249" s="23">
        <f t="shared" si="688"/>
        <v>0</v>
      </c>
      <c r="AH249" s="23">
        <f t="shared" si="688"/>
        <v>2643</v>
      </c>
      <c r="AI249" s="23">
        <f t="shared" si="688"/>
        <v>4562</v>
      </c>
      <c r="AJ249" s="25">
        <f t="shared" si="688"/>
        <v>186.8558214</v>
      </c>
      <c r="AK249" s="22">
        <f t="shared" si="688"/>
        <v>8101</v>
      </c>
      <c r="AL249" s="26">
        <f t="shared" si="680"/>
        <v>0.563140353</v>
      </c>
      <c r="AM249" s="27">
        <f>SUM(Q262)</f>
        <v>1.5</v>
      </c>
      <c r="AN249" s="26">
        <f t="shared" si="682"/>
        <v>0.5812987082</v>
      </c>
      <c r="AO249" s="28">
        <f t="shared" si="683"/>
        <v>0.8719480623</v>
      </c>
      <c r="AP249" s="27">
        <f t="shared" ref="AP249:AQ249" si="689">SUM(T262)</f>
        <v>261.7944959</v>
      </c>
      <c r="AQ249" s="27">
        <f t="shared" si="689"/>
        <v>9.349803424</v>
      </c>
      <c r="AR249" s="23">
        <f t="shared" si="685"/>
        <v>162.9285714</v>
      </c>
    </row>
    <row r="250" ht="15.75" customHeight="1">
      <c r="A250" s="21"/>
      <c r="B250" s="38">
        <v>2.0</v>
      </c>
      <c r="C250" s="38" t="s">
        <v>28</v>
      </c>
      <c r="D250" s="39">
        <v>33.0</v>
      </c>
      <c r="E250" s="40">
        <f>IFERROR(__xludf.DUMMYFUNCTION("COUNT(IMPORTRANGE(""https://docs.google.com/spreadsheets/d/10a85iNN0y9GF6ngQfF1JXGAzFk-T7ywH4-TZtQcOTaE/edit"",""10!d2:d34""))"),32.0)</f>
        <v>32</v>
      </c>
      <c r="F250" s="41">
        <f>IFERROR(__xludf.DUMMYFUNCTION("SUM(IMPORTRANGE(""https://docs.google.com/spreadsheets/d/10a85iNN0y9GF6ngQfF1JXGAzFk-T7ywH4-TZtQcOTaE/edit"",""10!Q2:Q34""))"),6374.348000000002)</f>
        <v>6374.348</v>
      </c>
      <c r="G250" s="40">
        <f>IFERROR(__xludf.DUMMYFUNCTION("IMPORTRANGE(""https://docs.google.com/spreadsheets/d/10a85iNN0y9GF6ngQfF1JXGAzFk-T7ywH4-TZtQcOTaE/edit"",""10!e41"")"),2114.0)</f>
        <v>2114</v>
      </c>
      <c r="H250" s="40">
        <f>IFERROR(__xludf.DUMMYFUNCTION("IMPORTRANGE(""https://docs.google.com/spreadsheets/d/10a85iNN0y9GF6ngQfF1JXGAzFk-T7ywH4-TZtQcOTaE/edit"",""10!e42"")"),245.0)</f>
        <v>245</v>
      </c>
      <c r="I250" s="40">
        <f t="shared" si="690"/>
        <v>2359</v>
      </c>
      <c r="J250" s="40">
        <f>IFERROR(__xludf.DUMMYFUNCTION("IMPORTRANGE(""https://docs.google.com/spreadsheets/d/10a85iNN0y9GF6ngQfF1JXGAzFk-T7ywH4-TZtQcOTaE/edit"",""10!e45"")"),2453.0)</f>
        <v>2453</v>
      </c>
      <c r="K250" s="40">
        <f>IFERROR(__xludf.DUMMYFUNCTION("IMPORTRANGE(""https://docs.google.com/spreadsheets/d/10a85iNN0y9GF6ngQfF1JXGAzFk-T7ywH4-TZtQcOTaE/edit"",""10!e46"")"),156.0)</f>
        <v>156</v>
      </c>
      <c r="L250" s="40">
        <f t="shared" si="691"/>
        <v>2609</v>
      </c>
      <c r="M250" s="40">
        <f t="shared" si="692"/>
        <v>4968</v>
      </c>
      <c r="N250" s="41">
        <f t="shared" si="693"/>
        <v>199.198375</v>
      </c>
      <c r="O250" s="38">
        <v>7315.0</v>
      </c>
      <c r="P250" s="42">
        <f t="shared" si="694"/>
        <v>0.6791524265</v>
      </c>
      <c r="Q250" s="43">
        <v>1.5</v>
      </c>
      <c r="R250" s="42">
        <f t="shared" si="695"/>
        <v>0.5195825518</v>
      </c>
      <c r="S250" s="44">
        <f t="shared" si="696"/>
        <v>0.7793738277</v>
      </c>
      <c r="T250" s="43">
        <f>F250/30.897</f>
        <v>206.3096093</v>
      </c>
      <c r="U250" s="43">
        <f t="shared" si="697"/>
        <v>6.447175292</v>
      </c>
      <c r="V250" s="40">
        <f t="shared" si="698"/>
        <v>155.25</v>
      </c>
      <c r="X250" s="22">
        <v>5.0</v>
      </c>
      <c r="Y250" s="22" t="s">
        <v>29</v>
      </c>
      <c r="Z250" s="22">
        <f t="shared" ref="Z250:AI250" si="699">SUM(D265)</f>
        <v>30</v>
      </c>
      <c r="AA250" s="23">
        <f t="shared" si="699"/>
        <v>27</v>
      </c>
      <c r="AB250" s="24">
        <f t="shared" si="699"/>
        <v>5181.562</v>
      </c>
      <c r="AC250" s="23">
        <f t="shared" si="699"/>
        <v>2513</v>
      </c>
      <c r="AD250" s="23">
        <f t="shared" si="699"/>
        <v>0</v>
      </c>
      <c r="AE250" s="23">
        <f t="shared" si="699"/>
        <v>2513</v>
      </c>
      <c r="AF250" s="23">
        <f t="shared" si="699"/>
        <v>3568</v>
      </c>
      <c r="AG250" s="23">
        <f t="shared" si="699"/>
        <v>0</v>
      </c>
      <c r="AH250" s="23">
        <f t="shared" si="699"/>
        <v>3568</v>
      </c>
      <c r="AI250" s="23">
        <f t="shared" si="699"/>
        <v>6081</v>
      </c>
      <c r="AJ250" s="25">
        <f t="shared" ref="AJ250:AJ252" si="702">AB250/AA250</f>
        <v>191.9097037</v>
      </c>
      <c r="AK250" s="22">
        <f t="shared" ref="AK250:AK251" si="703">SUM(O265)</f>
        <v>9201</v>
      </c>
      <c r="AL250" s="26">
        <f t="shared" si="680"/>
        <v>0.6609064232</v>
      </c>
      <c r="AM250" s="27">
        <f t="shared" ref="AM250:AM251" si="704">SUM(Q265)</f>
        <v>1.5</v>
      </c>
      <c r="AN250" s="26">
        <f t="shared" si="682"/>
        <v>0.7823895574</v>
      </c>
      <c r="AO250" s="28">
        <f t="shared" si="683"/>
        <v>1.173584336</v>
      </c>
      <c r="AP250" s="27">
        <f t="shared" ref="AP250:AQ250" si="700">SUM(T265)</f>
        <v>199</v>
      </c>
      <c r="AQ250" s="27">
        <f t="shared" si="700"/>
        <v>7.37037037</v>
      </c>
      <c r="AR250" s="23">
        <f t="shared" si="685"/>
        <v>225.2222222</v>
      </c>
    </row>
    <row r="251" ht="15.75" customHeight="1">
      <c r="A251" s="21"/>
      <c r="B251" s="38">
        <v>3.0</v>
      </c>
      <c r="C251" s="38" t="s">
        <v>30</v>
      </c>
      <c r="D251" s="39">
        <v>60.0</v>
      </c>
      <c r="E251" s="40">
        <f>IFERROR(__xludf.DUMMYFUNCTION("COUNT(IMPORTRANGE(""https://docs.google.com/spreadsheets/d/1WojVzHhpzodJL1e5UDHeu3A3u5MTSZwvxHu0BrwvL9w/edit"",""10!d2:d61""))"),58.0)</f>
        <v>58</v>
      </c>
      <c r="F251" s="45">
        <f>IFERROR(__xludf.DUMMYFUNCTION("SUM(IMPORTRANGE(""https://docs.google.com/spreadsheets/d/1WojVzHhpzodJL1e5UDHeu3A3u5MTSZwvxHu0BrwvL9w/edit"",""10!Q2:Q61""))"),11392.949999999993)</f>
        <v>11392.95</v>
      </c>
      <c r="G251" s="40">
        <f>IFERROR(__xludf.DUMMYFUNCTION("IMPORTRANGE(""https://docs.google.com/spreadsheets/d/1WojVzHhpzodJL1e5UDHeu3A3u5MTSZwvxHu0BrwvL9w/edit"",""10!e68"")"),3444.0)</f>
        <v>3444</v>
      </c>
      <c r="H251" s="40">
        <f>IFERROR(__xludf.DUMMYFUNCTION("IMPORTRANGE(""https://docs.google.com/spreadsheets/d/1WojVzHhpzodJL1e5UDHeu3A3u5MTSZwvxHu0BrwvL9w/edit"",""10!e69"")"),0.0)</f>
        <v>0</v>
      </c>
      <c r="I251" s="40">
        <f t="shared" si="690"/>
        <v>3444</v>
      </c>
      <c r="J251" s="40">
        <f>IFERROR(__xludf.DUMMYFUNCTION("IMPORTRANGE(""https://docs.google.com/spreadsheets/d/1WojVzHhpzodJL1e5UDHeu3A3u5MTSZwvxHu0BrwvL9w/edit"",""10!e72"")"),4435.0)</f>
        <v>4435</v>
      </c>
      <c r="K251" s="40">
        <f>IFERROR(__xludf.DUMMYFUNCTION("IMPORTRANGE(""https://docs.google.com/spreadsheets/d/1WojVzHhpzodJL1e5UDHeu3A3u5MTSZwvxHu0BrwvL9w/edit"",""10!e73"")"),0.0)</f>
        <v>0</v>
      </c>
      <c r="L251" s="40">
        <f t="shared" si="691"/>
        <v>4435</v>
      </c>
      <c r="M251" s="40">
        <f t="shared" si="692"/>
        <v>7879</v>
      </c>
      <c r="N251" s="41">
        <f t="shared" si="693"/>
        <v>196.4301724</v>
      </c>
      <c r="O251" s="38">
        <v>11164.0</v>
      </c>
      <c r="P251" s="42">
        <f t="shared" si="694"/>
        <v>0.705750627</v>
      </c>
      <c r="Q251" s="43">
        <v>1.5</v>
      </c>
      <c r="R251" s="42">
        <f t="shared" si="695"/>
        <v>0.4610453541</v>
      </c>
      <c r="S251" s="44">
        <f t="shared" si="696"/>
        <v>0.6915680311</v>
      </c>
      <c r="T251" s="43">
        <f>F251/29.603</f>
        <v>384.8579536</v>
      </c>
      <c r="U251" s="43">
        <f t="shared" si="697"/>
        <v>6.635481958</v>
      </c>
      <c r="V251" s="40">
        <f t="shared" si="698"/>
        <v>135.8448276</v>
      </c>
      <c r="X251" s="22">
        <v>6.0</v>
      </c>
      <c r="Y251" s="22" t="s">
        <v>31</v>
      </c>
      <c r="Z251" s="22">
        <f t="shared" ref="Z251:AI251" si="701">SUM(D266)</f>
        <v>15</v>
      </c>
      <c r="AA251" s="23">
        <f t="shared" si="701"/>
        <v>15</v>
      </c>
      <c r="AB251" s="25">
        <f t="shared" si="701"/>
        <v>2912.155</v>
      </c>
      <c r="AC251" s="23">
        <f t="shared" si="701"/>
        <v>940</v>
      </c>
      <c r="AD251" s="23">
        <f t="shared" si="701"/>
        <v>9</v>
      </c>
      <c r="AE251" s="23">
        <f t="shared" si="701"/>
        <v>949</v>
      </c>
      <c r="AF251" s="23">
        <f t="shared" si="701"/>
        <v>1053</v>
      </c>
      <c r="AG251" s="23">
        <f t="shared" si="701"/>
        <v>0</v>
      </c>
      <c r="AH251" s="23">
        <f t="shared" si="701"/>
        <v>1053</v>
      </c>
      <c r="AI251" s="23">
        <f t="shared" si="701"/>
        <v>2002</v>
      </c>
      <c r="AJ251" s="25">
        <f t="shared" si="702"/>
        <v>194.1436667</v>
      </c>
      <c r="AK251" s="22">
        <f t="shared" si="703"/>
        <v>2717</v>
      </c>
      <c r="AL251" s="26">
        <f t="shared" si="680"/>
        <v>0.7368421053</v>
      </c>
      <c r="AM251" s="27">
        <f t="shared" si="704"/>
        <v>1.5</v>
      </c>
      <c r="AN251" s="26">
        <f t="shared" si="682"/>
        <v>0.4583089385</v>
      </c>
      <c r="AO251" s="28">
        <f t="shared" si="683"/>
        <v>0.6874634077</v>
      </c>
      <c r="AP251" s="27">
        <f t="shared" ref="AP251:AQ251" si="705">SUM(T266)</f>
        <v>67</v>
      </c>
      <c r="AQ251" s="27">
        <f t="shared" si="705"/>
        <v>4.466666667</v>
      </c>
      <c r="AR251" s="23">
        <f t="shared" si="685"/>
        <v>133.4666667</v>
      </c>
    </row>
    <row r="252" ht="15.75" customHeight="1">
      <c r="A252" s="21"/>
      <c r="B252" s="38">
        <v>4.0</v>
      </c>
      <c r="C252" s="38" t="s">
        <v>32</v>
      </c>
      <c r="D252" s="39">
        <v>42.0</v>
      </c>
      <c r="E252" s="40">
        <f>IFERROR(__xludf.DUMMYFUNCTION("COUNT(IMPORTRANGE(""https://docs.google.com/spreadsheets/d/1vmCj5YcMSPHj1m64syDndQ6cqVL3yolcU03Y8KHmvdc/edit"",""10!d2:d43""))"),42.0)</f>
        <v>42</v>
      </c>
      <c r="F252" s="45">
        <f>IFERROR(__xludf.DUMMYFUNCTION("SUM(IMPORTRANGE(""https://docs.google.com/spreadsheets/d/1vmCj5YcMSPHj1m64syDndQ6cqVL3yolcU03Y8KHmvdc/edit"",""10!Q2:Q43""))"),8128.835999999992)</f>
        <v>8128.836</v>
      </c>
      <c r="G252" s="38">
        <f>IFERROR(__xludf.DUMMYFUNCTION("IMPORTRANGE(""https://docs.google.com/spreadsheets/d/1vmCj5YcMSPHj1m64syDndQ6cqVL3yolcU03Y8KHmvdc/edit"",""10!e50"")"),4348.0)</f>
        <v>4348</v>
      </c>
      <c r="H252" s="38">
        <f>IFERROR(__xludf.DUMMYFUNCTION("IMPORTRANGE(""https://docs.google.com/spreadsheets/d/1vmCj5YcMSPHj1m64syDndQ6cqVL3yolcU03Y8KHmvdc/edit"",""10!e51"")"),97.0)</f>
        <v>97</v>
      </c>
      <c r="I252" s="40">
        <f t="shared" si="690"/>
        <v>4445</v>
      </c>
      <c r="J252" s="38">
        <f>IFERROR(__xludf.DUMMYFUNCTION("IMPORTRANGE(""https://docs.google.com/spreadsheets/d/1vmCj5YcMSPHj1m64syDndQ6cqVL3yolcU03Y8KHmvdc/edit"",""10!e54"")"),4712.0)</f>
        <v>4712</v>
      </c>
      <c r="K252" s="38">
        <f>IFERROR(__xludf.DUMMYFUNCTION("IMPORTRANGE(""https://docs.google.com/spreadsheets/d/1vmCj5YcMSPHj1m64syDndQ6cqVL3yolcU03Y8KHmvdc/edit"",""10!e55"")"),150.0)</f>
        <v>150</v>
      </c>
      <c r="L252" s="40">
        <f t="shared" si="691"/>
        <v>4862</v>
      </c>
      <c r="M252" s="40">
        <f t="shared" si="692"/>
        <v>9307</v>
      </c>
      <c r="N252" s="41">
        <f t="shared" si="693"/>
        <v>193.5437143</v>
      </c>
      <c r="O252" s="38">
        <v>13817.0</v>
      </c>
      <c r="P252" s="42">
        <f t="shared" si="694"/>
        <v>0.6735905045</v>
      </c>
      <c r="Q252" s="43">
        <v>1.5</v>
      </c>
      <c r="R252" s="42">
        <f t="shared" si="695"/>
        <v>0.7632909148</v>
      </c>
      <c r="S252" s="44">
        <f t="shared" si="696"/>
        <v>1.144936372</v>
      </c>
      <c r="T252" s="43">
        <f>F252/25.089</f>
        <v>324</v>
      </c>
      <c r="U252" s="43">
        <f t="shared" si="697"/>
        <v>7.714285714</v>
      </c>
      <c r="V252" s="40">
        <f t="shared" si="698"/>
        <v>221.5952381</v>
      </c>
      <c r="X252" s="46" t="s">
        <v>33</v>
      </c>
      <c r="Y252" s="46">
        <v>6.0</v>
      </c>
      <c r="Z252" s="46">
        <f t="shared" ref="Z252:AI252" si="706">SUM(Z246:Z251)</f>
        <v>186</v>
      </c>
      <c r="AA252" s="47">
        <f t="shared" si="706"/>
        <v>178</v>
      </c>
      <c r="AB252" s="48">
        <f t="shared" si="706"/>
        <v>34079.879</v>
      </c>
      <c r="AC252" s="47">
        <f t="shared" si="706"/>
        <v>10548</v>
      </c>
      <c r="AD252" s="47">
        <f t="shared" si="706"/>
        <v>325</v>
      </c>
      <c r="AE252" s="47">
        <f t="shared" si="706"/>
        <v>10873</v>
      </c>
      <c r="AF252" s="47">
        <f t="shared" si="706"/>
        <v>14273</v>
      </c>
      <c r="AG252" s="47">
        <f t="shared" si="706"/>
        <v>384</v>
      </c>
      <c r="AH252" s="47">
        <f t="shared" si="706"/>
        <v>14657</v>
      </c>
      <c r="AI252" s="47">
        <f t="shared" si="706"/>
        <v>25530</v>
      </c>
      <c r="AJ252" s="49">
        <f t="shared" si="702"/>
        <v>191.4599944</v>
      </c>
      <c r="AK252" s="46">
        <f>SUM(AK246:AK251)</f>
        <v>35074</v>
      </c>
      <c r="AL252" s="50">
        <f t="shared" si="680"/>
        <v>0.7278896048</v>
      </c>
      <c r="AM252" s="51">
        <v>1.5</v>
      </c>
      <c r="AN252" s="50">
        <f t="shared" si="682"/>
        <v>0.4994149187</v>
      </c>
      <c r="AO252" s="52">
        <f t="shared" si="683"/>
        <v>0.749122378</v>
      </c>
      <c r="AP252" s="51">
        <f>SUM(AP246:AP251)</f>
        <v>1277.253374</v>
      </c>
      <c r="AQ252" s="51">
        <f>AP252/AA252</f>
        <v>7.175580755</v>
      </c>
      <c r="AR252" s="47">
        <f t="shared" si="685"/>
        <v>143.4269663</v>
      </c>
    </row>
    <row r="253" ht="15.75" customHeight="1">
      <c r="A253" s="21"/>
      <c r="B253" s="38">
        <v>5.0</v>
      </c>
      <c r="C253" s="38" t="s">
        <v>34</v>
      </c>
      <c r="D253" s="39">
        <v>40.0</v>
      </c>
      <c r="E253" s="40">
        <f>IFERROR(__xludf.DUMMYFUNCTION("COUNT(IMPORTRANGE(""https://docs.google.com/spreadsheets/d/14_Y-fpuq1wcec3DlT_1PBYekOC0YblQMrWVfO12YO3k/edit"",""10!d2:d41""))"),38.0)</f>
        <v>38</v>
      </c>
      <c r="F253" s="45">
        <f>IFERROR(__xludf.DUMMYFUNCTION("SUM(IMPORTRANGE(""https://docs.google.com/spreadsheets/d/14_Y-fpuq1wcec3DlT_1PBYekOC0YblQMrWVfO12YO3k/edit"",""10!Q2:Q41""))"),7341.873000000002)</f>
        <v>7341.873</v>
      </c>
      <c r="G253" s="40">
        <f>IFERROR(__xludf.DUMMYFUNCTION("IMPORTRANGE(""https://docs.google.com/spreadsheets/d/14_Y-fpuq1wcec3DlT_1PBYekOC0YblQMrWVfO12YO3k/edit"",""10!e48"")"),2561.0)</f>
        <v>2561</v>
      </c>
      <c r="H253" s="40">
        <f>IFERROR(__xludf.DUMMYFUNCTION("IMPORTRANGE(""https://docs.google.com/spreadsheets/d/14_Y-fpuq1wcec3DlT_1PBYekOC0YblQMrWVfO12YO3k/edit"",""10!e49"")"),0.0)</f>
        <v>0</v>
      </c>
      <c r="I253" s="40">
        <f t="shared" si="690"/>
        <v>2561</v>
      </c>
      <c r="J253" s="40">
        <f>IFERROR(__xludf.DUMMYFUNCTION("IMPORTRANGE(""https://docs.google.com/spreadsheets/d/14_Y-fpuq1wcec3DlT_1PBYekOC0YblQMrWVfO12YO3k/edit"",""10!e52"")"),3141.0)</f>
        <v>3141</v>
      </c>
      <c r="K253" s="40">
        <f>IFERROR(__xludf.DUMMYFUNCTION("IMPORTRANGE(""https://docs.google.com/spreadsheets/d/14_Y-fpuq1wcec3DlT_1PBYekOC0YblQMrWVfO12YO3k/edit"",""10!e53"")"),0.0)</f>
        <v>0</v>
      </c>
      <c r="L253" s="40">
        <f t="shared" si="691"/>
        <v>3141</v>
      </c>
      <c r="M253" s="40">
        <f t="shared" si="692"/>
        <v>5702</v>
      </c>
      <c r="N253" s="41">
        <f t="shared" si="693"/>
        <v>193.2071842</v>
      </c>
      <c r="O253" s="38">
        <v>9354.0</v>
      </c>
      <c r="P253" s="42">
        <f t="shared" si="694"/>
        <v>0.6095787898</v>
      </c>
      <c r="Q253" s="43">
        <v>1.5</v>
      </c>
      <c r="R253" s="42">
        <f t="shared" si="695"/>
        <v>0.517760704</v>
      </c>
      <c r="S253" s="44">
        <f t="shared" si="696"/>
        <v>0.776641056</v>
      </c>
      <c r="T253" s="43">
        <f>F253/30.713</f>
        <v>239.0477322</v>
      </c>
      <c r="U253" s="43">
        <f t="shared" si="697"/>
        <v>6.290729796</v>
      </c>
      <c r="V253" s="40">
        <f t="shared" si="698"/>
        <v>150.0526316</v>
      </c>
      <c r="X253" s="53" t="s">
        <v>35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6"/>
    </row>
    <row r="254" ht="15.75" customHeight="1">
      <c r="A254" s="21"/>
      <c r="B254" s="38">
        <v>6.0</v>
      </c>
      <c r="C254" s="38" t="s">
        <v>23</v>
      </c>
      <c r="D254" s="39">
        <v>35.0</v>
      </c>
      <c r="E254" s="40">
        <f>IFERROR(__xludf.DUMMYFUNCTION("COUNT(IMPORTRANGE(""https://docs.google.com/spreadsheets/d/1lJqjdj05V4LOXuBOiTdE65GV4ZITyx1cMLcDdcuoUnE/edit"",""10!d2:d36""))"),34.0)</f>
        <v>34</v>
      </c>
      <c r="F254" s="45">
        <f>IFERROR(__xludf.DUMMYFUNCTION("SUM(IMPORTRANGE(""https://docs.google.com/spreadsheets/d/1lJqjdj05V4LOXuBOiTdE65GV4ZITyx1cMLcDdcuoUnE/edit"",""10!Q2:Q36""))"),6714.259999999996)</f>
        <v>6714.26</v>
      </c>
      <c r="G254" s="40">
        <f>IFERROR(__xludf.DUMMYFUNCTION("IMPORTRANGE(""https://docs.google.com/spreadsheets/d/1lJqjdj05V4LOXuBOiTdE65GV4ZITyx1cMLcDdcuoUnE/edit"",""10!e43"")"),1684.0)</f>
        <v>1684</v>
      </c>
      <c r="H254" s="40">
        <f>IFERROR(__xludf.DUMMYFUNCTION("IMPORTRANGE(""https://docs.google.com/spreadsheets/d/1lJqjdj05V4LOXuBOiTdE65GV4ZITyx1cMLcDdcuoUnE/edit"",""10!e44"")"),0.0)</f>
        <v>0</v>
      </c>
      <c r="I254" s="40">
        <f t="shared" si="690"/>
        <v>1684</v>
      </c>
      <c r="J254" s="40">
        <f>IFERROR(__xludf.DUMMYFUNCTION("IMPORTRANGE(""https://docs.google.com/spreadsheets/d/1lJqjdj05V4LOXuBOiTdE65GV4ZITyx1cMLcDdcuoUnE/edit"",""10!e47"")"),3070.0)</f>
        <v>3070</v>
      </c>
      <c r="K254" s="40">
        <f>IFERROR(__xludf.DUMMYFUNCTION("IMPORTRANGE(""https://docs.google.com/spreadsheets/d/1lJqjdj05V4LOXuBOiTdE65GV4ZITyx1cMLcDdcuoUnE/edit"",""10!e48"")"),0.0)</f>
        <v>0</v>
      </c>
      <c r="L254" s="40">
        <f t="shared" si="691"/>
        <v>3070</v>
      </c>
      <c r="M254" s="40">
        <f t="shared" si="692"/>
        <v>4754</v>
      </c>
      <c r="N254" s="41">
        <f t="shared" si="693"/>
        <v>197.4782353</v>
      </c>
      <c r="O254" s="38">
        <v>6853.0</v>
      </c>
      <c r="P254" s="42">
        <f t="shared" si="694"/>
        <v>0.6937107836</v>
      </c>
      <c r="Q254" s="43">
        <v>1.5</v>
      </c>
      <c r="R254" s="42">
        <f t="shared" si="695"/>
        <v>0.4720301766</v>
      </c>
      <c r="S254" s="44">
        <f t="shared" si="696"/>
        <v>0.7080452649</v>
      </c>
      <c r="T254" s="43">
        <f>F254/33.74</f>
        <v>199</v>
      </c>
      <c r="U254" s="43">
        <f t="shared" si="697"/>
        <v>5.852941176</v>
      </c>
      <c r="V254" s="40">
        <f t="shared" si="698"/>
        <v>139.8235294</v>
      </c>
      <c r="X254" s="14" t="s">
        <v>2</v>
      </c>
      <c r="Y254" s="14" t="s">
        <v>3</v>
      </c>
      <c r="Z254" s="14" t="s">
        <v>4</v>
      </c>
      <c r="AA254" s="14" t="s">
        <v>5</v>
      </c>
      <c r="AB254" s="15" t="s">
        <v>6</v>
      </c>
      <c r="AC254" s="14" t="s">
        <v>7</v>
      </c>
      <c r="AD254" s="14" t="s">
        <v>8</v>
      </c>
      <c r="AE254" s="14" t="s">
        <v>9</v>
      </c>
      <c r="AF254" s="14" t="s">
        <v>10</v>
      </c>
      <c r="AG254" s="14" t="s">
        <v>11</v>
      </c>
      <c r="AH254" s="14" t="s">
        <v>12</v>
      </c>
      <c r="AI254" s="14" t="s">
        <v>13</v>
      </c>
      <c r="AJ254" s="15" t="s">
        <v>14</v>
      </c>
      <c r="AK254" s="14" t="s">
        <v>15</v>
      </c>
      <c r="AL254" s="14" t="s">
        <v>16</v>
      </c>
      <c r="AM254" s="16" t="s">
        <v>17</v>
      </c>
      <c r="AN254" s="17" t="s">
        <v>18</v>
      </c>
      <c r="AO254" s="18" t="s">
        <v>19</v>
      </c>
      <c r="AP254" s="19" t="s">
        <v>20</v>
      </c>
      <c r="AQ254" s="19" t="s">
        <v>21</v>
      </c>
      <c r="AR254" s="20" t="s">
        <v>22</v>
      </c>
    </row>
    <row r="255" ht="15.75" customHeight="1">
      <c r="A255" s="21"/>
      <c r="B255" s="38">
        <v>7.0</v>
      </c>
      <c r="C255" s="38" t="s">
        <v>24</v>
      </c>
      <c r="D255" s="39">
        <v>44.0</v>
      </c>
      <c r="E255" s="54">
        <f>IFERROR(__xludf.DUMMYFUNCTION("COUNT(IMPORTRANGE(""https://docs.google.com/spreadsheets/d/1_7EEO26q9Yq-XhNFiy7I6Zh4Yg6uGjTs9y0UqNvPKcQ/edit"",""10!d2:d45""))"),43.0)</f>
        <v>43</v>
      </c>
      <c r="F255" s="55">
        <f>IFERROR(__xludf.DUMMYFUNCTION("SUM(IMPORTRANGE(""https://docs.google.com/spreadsheets/d/1_7EEO26q9Yq-XhNFiy7I6Zh4Yg6uGjTs9y0UqNvPKcQ/edit"",""10!Q2:Q45""))"),8290.106999999995)</f>
        <v>8290.107</v>
      </c>
      <c r="G255" s="54">
        <f>IFERROR(__xludf.DUMMYFUNCTION("IMPORTRANGE(""https://docs.google.com/spreadsheets/d/1_7EEO26q9Yq-XhNFiy7I6Zh4Yg6uGjTs9y0UqNvPKcQ/edit"",""10!e53"")"),1127.0)</f>
        <v>1127</v>
      </c>
      <c r="H255" s="54">
        <f>IFERROR(__xludf.DUMMYFUNCTION("IMPORTRANGE(""https://docs.google.com/spreadsheets/d/1_7EEO26q9Yq-XhNFiy7I6Zh4Yg6uGjTs9y0UqNvPKcQ/edit"",""10!e54"")"),0.0)</f>
        <v>0</v>
      </c>
      <c r="I255" s="54">
        <f t="shared" si="690"/>
        <v>1127</v>
      </c>
      <c r="J255" s="54">
        <f>IFERROR(__xludf.DUMMYFUNCTION("IMPORTRANGE(""https://docs.google.com/spreadsheets/d/1_7EEO26q9Yq-XhNFiy7I6Zh4Yg6uGjTs9y0UqNvPKcQ/edit"",""10!e57"")"),1185.0)</f>
        <v>1185</v>
      </c>
      <c r="K255" s="54">
        <f>IFERROR(__xludf.DUMMYFUNCTION("IMPORTRANGE(""https://docs.google.com/spreadsheets/d/1_7EEO26q9Yq-XhNFiy7I6Zh4Yg6uGjTs9y0UqNvPKcQ/edit"",""10!e58"")"),0.0)</f>
        <v>0</v>
      </c>
      <c r="L255" s="40">
        <f t="shared" si="691"/>
        <v>1185</v>
      </c>
      <c r="M255" s="40">
        <f t="shared" si="692"/>
        <v>2312</v>
      </c>
      <c r="N255" s="41">
        <f t="shared" si="693"/>
        <v>192.793186</v>
      </c>
      <c r="O255" s="38">
        <v>1580.0</v>
      </c>
      <c r="P255" s="56">
        <f t="shared" si="694"/>
        <v>1.463291139</v>
      </c>
      <c r="Q255" s="43">
        <v>1.5</v>
      </c>
      <c r="R255" s="42">
        <f t="shared" si="695"/>
        <v>0.1859244197</v>
      </c>
      <c r="S255" s="44">
        <f t="shared" si="696"/>
        <v>0.2788866296</v>
      </c>
      <c r="T255" s="43">
        <f>F255/26.805</f>
        <v>309.2746503</v>
      </c>
      <c r="U255" s="43">
        <f t="shared" si="697"/>
        <v>7.192433727</v>
      </c>
      <c r="V255" s="40">
        <f t="shared" si="698"/>
        <v>53.76744186</v>
      </c>
      <c r="X255" s="22">
        <v>1.0</v>
      </c>
      <c r="Y255" s="22" t="s">
        <v>28</v>
      </c>
      <c r="Z255" s="22">
        <f t="shared" ref="Z255:AI255" si="707">SUM(D250)</f>
        <v>33</v>
      </c>
      <c r="AA255" s="23">
        <f t="shared" si="707"/>
        <v>32</v>
      </c>
      <c r="AB255" s="25">
        <f t="shared" si="707"/>
        <v>6374.348</v>
      </c>
      <c r="AC255" s="23">
        <f t="shared" si="707"/>
        <v>2114</v>
      </c>
      <c r="AD255" s="23">
        <f t="shared" si="707"/>
        <v>245</v>
      </c>
      <c r="AE255" s="23">
        <f t="shared" si="707"/>
        <v>2359</v>
      </c>
      <c r="AF255" s="23">
        <f t="shared" si="707"/>
        <v>2453</v>
      </c>
      <c r="AG255" s="23">
        <f t="shared" si="707"/>
        <v>156</v>
      </c>
      <c r="AH255" s="23">
        <f t="shared" si="707"/>
        <v>2609</v>
      </c>
      <c r="AI255" s="23">
        <f t="shared" si="707"/>
        <v>4968</v>
      </c>
      <c r="AJ255" s="25">
        <f t="shared" ref="AJ255:AJ261" si="710">AB255/AA255</f>
        <v>199.198375</v>
      </c>
      <c r="AK255" s="22">
        <f t="shared" ref="AK255:AK256" si="711">SUM(O250)</f>
        <v>7315</v>
      </c>
      <c r="AL255" s="26">
        <f t="shared" ref="AL255:AL261" si="712">AI255/AK255</f>
        <v>0.6791524265</v>
      </c>
      <c r="AM255" s="27">
        <f t="shared" ref="AM255:AM256" si="713">SUM(Q250)</f>
        <v>1.5</v>
      </c>
      <c r="AN255" s="26">
        <f t="shared" ref="AN255:AN261" si="714">AO255/AM255</f>
        <v>0.5195825518</v>
      </c>
      <c r="AO255" s="28">
        <f t="shared" ref="AO255:AO261" si="715">AI255/AB255</f>
        <v>0.7793738277</v>
      </c>
      <c r="AP255" s="27">
        <f t="shared" ref="AP255:AQ255" si="708">SUM(T250)</f>
        <v>206.3096093</v>
      </c>
      <c r="AQ255" s="27">
        <f t="shared" si="708"/>
        <v>6.447175292</v>
      </c>
      <c r="AR255" s="23">
        <f t="shared" ref="AR255:AR261" si="717">AI255/AA255</f>
        <v>155.25</v>
      </c>
    </row>
    <row r="256" ht="15.75" customHeight="1">
      <c r="A256" s="21"/>
      <c r="B256" s="38">
        <v>8.0</v>
      </c>
      <c r="C256" s="38" t="s">
        <v>25</v>
      </c>
      <c r="D256" s="57">
        <v>32.0</v>
      </c>
      <c r="E256" s="40">
        <f>IFERROR(__xludf.DUMMYFUNCTION("COUNT(IMPORTRANGE(""https://docs.google.com/spreadsheets/d/1vLOLpiE-XsbnCnwWPcoi87PlUSXfqIAAQn3kvqHfO6s/edit"",""10!d2:D33""))"),31.0)</f>
        <v>31</v>
      </c>
      <c r="F256" s="45">
        <f>IFERROR(__xludf.DUMMYFUNCTION("SUM(IMPORTRANGE(""https://docs.google.com/spreadsheets/d/1vLOLpiE-XsbnCnwWPcoi87PlUSXfqIAAQn3kvqHfO6s/edit"",""10!Q2:Q33""))"),5749.832)</f>
        <v>5749.832</v>
      </c>
      <c r="G256" s="40">
        <f>IFERROR(__xludf.DUMMYFUNCTION("IMPORTRANGE(""https://docs.google.com/spreadsheets/d/1vLOLpiE-XsbnCnwWPcoi87PlUSXfqIAAQn3kvqHfO6s/edit"",""10!e40"")"),2365.0)</f>
        <v>2365</v>
      </c>
      <c r="H256" s="40">
        <f>IFERROR(__xludf.DUMMYFUNCTION("IMPORTRANGE(""https://docs.google.com/spreadsheets/d/1vLOLpiE-XsbnCnwWPcoi87PlUSXfqIAAQn3kvqHfO6s/edit"",""10!e41"")"),316.0)</f>
        <v>316</v>
      </c>
      <c r="I256" s="40">
        <f t="shared" si="690"/>
        <v>2681</v>
      </c>
      <c r="J256" s="40">
        <f>IFERROR(__xludf.DUMMYFUNCTION("IMPORTRANGE(""https://docs.google.com/spreadsheets/d/1vLOLpiE-XsbnCnwWPcoi87PlUSXfqIAAQn3kvqHfO6s/edit"",""10!e44"")"),2754.0)</f>
        <v>2754</v>
      </c>
      <c r="K256" s="40">
        <f>IFERROR(__xludf.DUMMYFUNCTION("IMPORTRANGE(""https://docs.google.com/spreadsheets/d/1vLOLpiE-XsbnCnwWPcoi87PlUSXfqIAAQn3kvqHfO6s/edit"",""10!e45"")"),384.0)</f>
        <v>384</v>
      </c>
      <c r="L256" s="40">
        <f>J256+K256</f>
        <v>3138</v>
      </c>
      <c r="M256" s="40">
        <f t="shared" si="692"/>
        <v>5819</v>
      </c>
      <c r="N256" s="41">
        <f t="shared" si="693"/>
        <v>185.4784516</v>
      </c>
      <c r="O256" s="38">
        <v>6622.0</v>
      </c>
      <c r="P256" s="42">
        <f t="shared" si="694"/>
        <v>0.8787375415</v>
      </c>
      <c r="Q256" s="43">
        <v>1.5</v>
      </c>
      <c r="R256" s="42">
        <f t="shared" si="695"/>
        <v>0.6746863792</v>
      </c>
      <c r="S256" s="44">
        <f t="shared" si="696"/>
        <v>1.012029569</v>
      </c>
      <c r="T256" s="43">
        <f>F256/23.84</f>
        <v>241.1842282</v>
      </c>
      <c r="U256" s="43">
        <f t="shared" si="697"/>
        <v>7.780136393</v>
      </c>
      <c r="V256" s="40">
        <f t="shared" si="698"/>
        <v>187.7096774</v>
      </c>
      <c r="X256" s="31">
        <v>2.0</v>
      </c>
      <c r="Y256" s="31" t="s">
        <v>30</v>
      </c>
      <c r="Z256" s="31">
        <f t="shared" ref="Z256:AI256" si="709">SUM(D251)</f>
        <v>60</v>
      </c>
      <c r="AA256" s="32">
        <f t="shared" si="709"/>
        <v>58</v>
      </c>
      <c r="AB256" s="33">
        <f t="shared" si="709"/>
        <v>11392.95</v>
      </c>
      <c r="AC256" s="32">
        <f t="shared" si="709"/>
        <v>3444</v>
      </c>
      <c r="AD256" s="32">
        <f t="shared" si="709"/>
        <v>0</v>
      </c>
      <c r="AE256" s="32">
        <f t="shared" si="709"/>
        <v>3444</v>
      </c>
      <c r="AF256" s="32">
        <f t="shared" si="709"/>
        <v>4435</v>
      </c>
      <c r="AG256" s="32">
        <f t="shared" si="709"/>
        <v>0</v>
      </c>
      <c r="AH256" s="32">
        <f t="shared" si="709"/>
        <v>4435</v>
      </c>
      <c r="AI256" s="32">
        <f t="shared" si="709"/>
        <v>7879</v>
      </c>
      <c r="AJ256" s="34">
        <f t="shared" si="710"/>
        <v>196.4301724</v>
      </c>
      <c r="AK256" s="31">
        <f t="shared" si="711"/>
        <v>11164</v>
      </c>
      <c r="AL256" s="35">
        <f t="shared" si="712"/>
        <v>0.705750627</v>
      </c>
      <c r="AM256" s="36">
        <f t="shared" si="713"/>
        <v>1.5</v>
      </c>
      <c r="AN256" s="35">
        <f t="shared" si="714"/>
        <v>0.4610453541</v>
      </c>
      <c r="AO256" s="37">
        <f t="shared" si="715"/>
        <v>0.6915680311</v>
      </c>
      <c r="AP256" s="36">
        <f t="shared" ref="AP256:AQ256" si="716">SUM(T251)</f>
        <v>384.8579536</v>
      </c>
      <c r="AQ256" s="36">
        <f t="shared" si="716"/>
        <v>6.635481958</v>
      </c>
      <c r="AR256" s="32">
        <f t="shared" si="717"/>
        <v>135.8448276</v>
      </c>
    </row>
    <row r="257" ht="15.75" customHeight="1">
      <c r="A257" s="21"/>
      <c r="B257" s="38">
        <v>9.0</v>
      </c>
      <c r="C257" s="38" t="s">
        <v>36</v>
      </c>
      <c r="D257" s="57">
        <v>24.0</v>
      </c>
      <c r="E257" s="40">
        <f>IFERROR(__xludf.DUMMYFUNCTION("COUNT(IMPORTRANGE(""https://docs.google.com/spreadsheets/d/1WJJVq25XDtGjt-J2JPxeKs3jIvDZtkIREC0lFPXwf74/edit"",""10!d2:d31""))"),24.0)</f>
        <v>24</v>
      </c>
      <c r="F257" s="45">
        <f>IFERROR(__xludf.DUMMYFUNCTION("SUM(IMPORTRANGE(""https://docs.google.com/spreadsheets/d/1WJJVq25XDtGjt-J2JPxeKs3jIvDZtkIREC0lFPXwf74/edit"",""10!Q2:Q31""))"),4595.538)</f>
        <v>4595.538</v>
      </c>
      <c r="G257" s="40">
        <f>IFERROR(__xludf.DUMMYFUNCTION("IMPORTRANGE(""https://docs.google.com/spreadsheets/d/1WJJVq25XDtGjt-J2JPxeKs3jIvDZtkIREC0lFPXwf74/edit"",""10!e38"")"),1307.0)</f>
        <v>1307</v>
      </c>
      <c r="H257" s="40">
        <f>IFERROR(__xludf.DUMMYFUNCTION("IMPORTRANGE(""https://docs.google.com/spreadsheets/d/1WJJVq25XDtGjt-J2JPxeKs3jIvDZtkIREC0lFPXwf74/edit"",""10!e39"")"),0.0)</f>
        <v>0</v>
      </c>
      <c r="I257" s="40">
        <f t="shared" si="690"/>
        <v>1307</v>
      </c>
      <c r="J257" s="40">
        <f>IFERROR(__xludf.DUMMYFUNCTION("IMPORTRANGE(""https://docs.google.com/spreadsheets/d/1WJJVq25XDtGjt-J2JPxeKs3jIvDZtkIREC0lFPXwf74/edit"",""10!e42"")"),1921.0)</f>
        <v>1921</v>
      </c>
      <c r="K257" s="40">
        <f>IFERROR(__xludf.DUMMYFUNCTION("IMPORTRANGE(""https://docs.google.com/spreadsheets/d/1WJJVq25XDtGjt-J2JPxeKs3jIvDZtkIREC0lFPXwf74/edit"",""10!e43"")"),0.0)</f>
        <v>0</v>
      </c>
      <c r="L257" s="40">
        <f t="shared" ref="L257:L266" si="720">SUM(J257:K257)</f>
        <v>1921</v>
      </c>
      <c r="M257" s="40">
        <f t="shared" si="692"/>
        <v>3228</v>
      </c>
      <c r="N257" s="41">
        <f t="shared" si="693"/>
        <v>191.48075</v>
      </c>
      <c r="O257" s="38">
        <v>4796.0</v>
      </c>
      <c r="P257" s="42">
        <f t="shared" si="694"/>
        <v>0.6730608841</v>
      </c>
      <c r="Q257" s="43">
        <v>1.5</v>
      </c>
      <c r="R257" s="42">
        <f t="shared" si="695"/>
        <v>0.4682803189</v>
      </c>
      <c r="S257" s="44">
        <f t="shared" si="696"/>
        <v>0.7024204783</v>
      </c>
      <c r="T257" s="43">
        <f>F257/37.414</f>
        <v>122.8293687</v>
      </c>
      <c r="U257" s="43">
        <f t="shared" si="697"/>
        <v>5.117890362</v>
      </c>
      <c r="V257" s="40">
        <f t="shared" si="698"/>
        <v>134.5</v>
      </c>
      <c r="X257" s="22">
        <v>3.0</v>
      </c>
      <c r="Y257" s="22" t="s">
        <v>34</v>
      </c>
      <c r="Z257" s="22">
        <f t="shared" ref="Z257:AI257" si="718">SUM(D253)</f>
        <v>40</v>
      </c>
      <c r="AA257" s="23">
        <f t="shared" si="718"/>
        <v>38</v>
      </c>
      <c r="AB257" s="24">
        <f t="shared" si="718"/>
        <v>7341.873</v>
      </c>
      <c r="AC257" s="23">
        <f t="shared" si="718"/>
        <v>2561</v>
      </c>
      <c r="AD257" s="23">
        <f t="shared" si="718"/>
        <v>0</v>
      </c>
      <c r="AE257" s="23">
        <f t="shared" si="718"/>
        <v>2561</v>
      </c>
      <c r="AF257" s="23">
        <f t="shared" si="718"/>
        <v>3141</v>
      </c>
      <c r="AG257" s="23">
        <f t="shared" si="718"/>
        <v>0</v>
      </c>
      <c r="AH257" s="23">
        <f t="shared" si="718"/>
        <v>3141</v>
      </c>
      <c r="AI257" s="23">
        <f t="shared" si="718"/>
        <v>5702</v>
      </c>
      <c r="AJ257" s="25">
        <f t="shared" si="710"/>
        <v>193.2071842</v>
      </c>
      <c r="AK257" s="22">
        <f>SUM(O253)</f>
        <v>9354</v>
      </c>
      <c r="AL257" s="26">
        <f t="shared" si="712"/>
        <v>0.6095787898</v>
      </c>
      <c r="AM257" s="27">
        <f>SUM(Q253)</f>
        <v>1.5</v>
      </c>
      <c r="AN257" s="26">
        <f t="shared" si="714"/>
        <v>0.517760704</v>
      </c>
      <c r="AO257" s="28">
        <f t="shared" si="715"/>
        <v>0.776641056</v>
      </c>
      <c r="AP257" s="27">
        <f t="shared" ref="AP257:AQ257" si="719">SUM(T253)</f>
        <v>239.0477322</v>
      </c>
      <c r="AQ257" s="27">
        <f t="shared" si="719"/>
        <v>6.290729796</v>
      </c>
      <c r="AR257" s="23">
        <f t="shared" si="717"/>
        <v>150.0526316</v>
      </c>
    </row>
    <row r="258" ht="15.75" customHeight="1">
      <c r="A258" s="21"/>
      <c r="B258" s="38">
        <v>10.0</v>
      </c>
      <c r="C258" s="38" t="s">
        <v>37</v>
      </c>
      <c r="D258" s="39">
        <v>30.0</v>
      </c>
      <c r="E258" s="40">
        <f>IFERROR(__xludf.DUMMYFUNCTION("COUNT(IMPORTRANGE(""https://docs.google.com/spreadsheets/d/1rJyYfywRpWJW0zvDJHLOJtqUQqffoCGaqTVxxTDgV0k/edit"",""10!d2:d31""))"),28.0)</f>
        <v>28</v>
      </c>
      <c r="F258" s="45">
        <f>IFERROR(__xludf.DUMMYFUNCTION("SUM(IMPORTRANGE(""https://docs.google.com/spreadsheets/d/1rJyYfywRpWJW0zvDJHLOJtqUQqffoCGaqTVxxTDgV0k/edit"",""10!Q2:Q31""))"),5600.369999999998)</f>
        <v>5600.37</v>
      </c>
      <c r="G258" s="40">
        <f>IFERROR(__xludf.DUMMYFUNCTION("(IMPORTRANGE(""https://docs.google.com/spreadsheets/d/1rJyYfywRpWJW0zvDJHLOJtqUQqffoCGaqTVxxTDgV0k/edit"",""10!e38""))"),1870.0)</f>
        <v>1870</v>
      </c>
      <c r="H258" s="40">
        <f>IFERROR(__xludf.DUMMYFUNCTION("(IMPORTRANGE(""https://docs.google.com/spreadsheets/d/1rJyYfywRpWJW0zvDJHLOJtqUQqffoCGaqTVxxTDgV0k/edit"",""10!e39""))"),0.0)</f>
        <v>0</v>
      </c>
      <c r="I258" s="40">
        <f t="shared" si="690"/>
        <v>1870</v>
      </c>
      <c r="J258" s="40">
        <f>IFERROR(__xludf.DUMMYFUNCTION("(IMPORTRANGE(""https://docs.google.com/spreadsheets/d/1rJyYfywRpWJW0zvDJHLOJtqUQqffoCGaqTVxxTDgV0k/edit"",""10!e42""))"),2755.0)</f>
        <v>2755</v>
      </c>
      <c r="K258" s="40">
        <f>IFERROR(__xludf.DUMMYFUNCTION("(IMPORTRANGE(""https://docs.google.com/spreadsheets/d/1rJyYfywRpWJW0zvDJHLOJtqUQqffoCGaqTVxxTDgV0k/edit"",""10!e43""))"),0.0)</f>
        <v>0</v>
      </c>
      <c r="L258" s="40">
        <f t="shared" si="720"/>
        <v>2755</v>
      </c>
      <c r="M258" s="40">
        <f t="shared" si="692"/>
        <v>4625</v>
      </c>
      <c r="N258" s="41">
        <f t="shared" si="693"/>
        <v>200.0132143</v>
      </c>
      <c r="O258" s="38">
        <v>5887.0</v>
      </c>
      <c r="P258" s="42">
        <f t="shared" si="694"/>
        <v>0.7856293528</v>
      </c>
      <c r="Q258" s="43">
        <v>1.5</v>
      </c>
      <c r="R258" s="42">
        <f t="shared" si="695"/>
        <v>0.5505588619</v>
      </c>
      <c r="S258" s="44">
        <f t="shared" si="696"/>
        <v>0.8258382928</v>
      </c>
      <c r="T258" s="43">
        <f>F258/24.792</f>
        <v>225.8942401</v>
      </c>
      <c r="U258" s="43">
        <f t="shared" si="697"/>
        <v>8.067651431</v>
      </c>
      <c r="V258" s="40">
        <f t="shared" si="698"/>
        <v>165.1785714</v>
      </c>
      <c r="X258" s="31">
        <v>4.0</v>
      </c>
      <c r="Y258" s="31" t="s">
        <v>38</v>
      </c>
      <c r="Z258" s="31">
        <f t="shared" ref="Z258:AI258" si="721">SUM(D261)</f>
        <v>30</v>
      </c>
      <c r="AA258" s="32">
        <f t="shared" si="721"/>
        <v>30</v>
      </c>
      <c r="AB258" s="33">
        <f t="shared" si="721"/>
        <v>6346.601</v>
      </c>
      <c r="AC258" s="32">
        <f t="shared" si="721"/>
        <v>1949</v>
      </c>
      <c r="AD258" s="32">
        <f t="shared" si="721"/>
        <v>0</v>
      </c>
      <c r="AE258" s="32">
        <f t="shared" si="721"/>
        <v>1949</v>
      </c>
      <c r="AF258" s="32">
        <f t="shared" si="721"/>
        <v>3177</v>
      </c>
      <c r="AG258" s="32">
        <f t="shared" si="721"/>
        <v>336</v>
      </c>
      <c r="AH258" s="32">
        <f t="shared" si="721"/>
        <v>3513</v>
      </c>
      <c r="AI258" s="32">
        <f t="shared" si="721"/>
        <v>5462</v>
      </c>
      <c r="AJ258" s="34">
        <f t="shared" si="710"/>
        <v>211.5533667</v>
      </c>
      <c r="AK258" s="31">
        <v>7324.0</v>
      </c>
      <c r="AL258" s="35">
        <f t="shared" si="712"/>
        <v>0.7457673403</v>
      </c>
      <c r="AM258" s="36">
        <f>SUM(Q261)</f>
        <v>1.5</v>
      </c>
      <c r="AN258" s="35">
        <f t="shared" si="714"/>
        <v>0.5737454321</v>
      </c>
      <c r="AO258" s="37">
        <f t="shared" si="715"/>
        <v>0.8606181482</v>
      </c>
      <c r="AP258" s="36">
        <f t="shared" ref="AP258:AQ258" si="722">SUM(T261)</f>
        <v>154.0250212</v>
      </c>
      <c r="AQ258" s="36">
        <f t="shared" si="722"/>
        <v>5.134167375</v>
      </c>
      <c r="AR258" s="32">
        <f t="shared" si="717"/>
        <v>182.0666667</v>
      </c>
    </row>
    <row r="259" ht="15.75" customHeight="1">
      <c r="A259" s="21"/>
      <c r="B259" s="38">
        <v>12.0</v>
      </c>
      <c r="C259" s="38" t="s">
        <v>39</v>
      </c>
      <c r="D259" s="39">
        <v>28.0</v>
      </c>
      <c r="E259" s="40">
        <f>IFERROR(__xludf.DUMMYFUNCTION("COUNT(IMPORTRANGE(""https://docs.google.com/spreadsheets/d/1uaTn2DZCfr7O1PvovOd0wElzVz8kpl_iPfnrkNPp0Is/edit"",""10!d2:d29""))"),28.0)</f>
        <v>28</v>
      </c>
      <c r="F259" s="45">
        <f>IFERROR(__xludf.DUMMYFUNCTION("SUM(IMPORTRANGE(""https://docs.google.com/spreadsheets/d/1uaTn2DZCfr7O1PvovOd0wElzVz8kpl_iPfnrkNPp0Is/edit"",""10!Q2:Q29""))"),4772.061999999999)</f>
        <v>4772.062</v>
      </c>
      <c r="G259" s="40">
        <f>IFERROR(__xludf.DUMMYFUNCTION("IMPORTRANGE(""https://docs.google.com/spreadsheets/d/1uaTn2DZCfr7O1PvovOd0wElzVz8kpl_iPfnrkNPp0Is/edit"",""10!e36"")"),1146.0)</f>
        <v>1146</v>
      </c>
      <c r="H259" s="40">
        <f>IFERROR(__xludf.DUMMYFUNCTION("(IMPORTRANGE(""https://docs.google.com/spreadsheets/d/1uaTn2DZCfr7O1PvovOd0wElzVz8kpl_iPfnrkNPp0Is/edit"",""10!e37""))"),0.0)</f>
        <v>0</v>
      </c>
      <c r="I259" s="40">
        <f t="shared" si="690"/>
        <v>1146</v>
      </c>
      <c r="J259" s="40">
        <f>IFERROR(__xludf.DUMMYFUNCTION("IMPORTRANGE(""https://docs.google.com/spreadsheets/d/1uaTn2DZCfr7O1PvovOd0wElzVz8kpl_iPfnrkNPp0Is/edit"",""10!e40"")"),1543.0)</f>
        <v>1543</v>
      </c>
      <c r="K259" s="40">
        <f>IFERROR(__xludf.DUMMYFUNCTION("IMPORTRANGE(""https://docs.google.com/spreadsheets/d/1uaTn2DZCfr7O1PvovOd0wElzVz8kpl_iPfnrkNPp0Is/edit"",""10!e41"")"),0.0)</f>
        <v>0</v>
      </c>
      <c r="L259" s="40">
        <f t="shared" si="720"/>
        <v>1543</v>
      </c>
      <c r="M259" s="40">
        <f t="shared" si="692"/>
        <v>2689</v>
      </c>
      <c r="N259" s="41">
        <f t="shared" si="693"/>
        <v>170.4307857</v>
      </c>
      <c r="O259" s="38">
        <v>3569.0</v>
      </c>
      <c r="P259" s="42">
        <f t="shared" si="694"/>
        <v>0.753432334</v>
      </c>
      <c r="Q259" s="43">
        <v>1.5</v>
      </c>
      <c r="R259" s="42">
        <f t="shared" si="695"/>
        <v>0.3756587125</v>
      </c>
      <c r="S259" s="44">
        <f t="shared" si="696"/>
        <v>0.5634880687</v>
      </c>
      <c r="T259" s="43">
        <f>F259/21.463</f>
        <v>222.339002</v>
      </c>
      <c r="U259" s="43">
        <f t="shared" si="697"/>
        <v>7.940678643</v>
      </c>
      <c r="V259" s="40">
        <f t="shared" si="698"/>
        <v>96.03571429</v>
      </c>
      <c r="X259" s="31">
        <v>5.0</v>
      </c>
      <c r="Y259" s="31" t="s">
        <v>40</v>
      </c>
      <c r="Z259" s="31">
        <f t="shared" ref="Z259:AI259" si="723">SUM(D263)</f>
        <v>30</v>
      </c>
      <c r="AA259" s="32">
        <f t="shared" si="723"/>
        <v>29</v>
      </c>
      <c r="AB259" s="33">
        <f t="shared" si="723"/>
        <v>5517.942</v>
      </c>
      <c r="AC259" s="32">
        <f t="shared" si="723"/>
        <v>3203</v>
      </c>
      <c r="AD259" s="32">
        <f t="shared" si="723"/>
        <v>0</v>
      </c>
      <c r="AE259" s="32">
        <f t="shared" si="723"/>
        <v>3203</v>
      </c>
      <c r="AF259" s="32">
        <f t="shared" si="723"/>
        <v>3833</v>
      </c>
      <c r="AG259" s="32">
        <f t="shared" si="723"/>
        <v>0</v>
      </c>
      <c r="AH259" s="32">
        <f t="shared" si="723"/>
        <v>3833</v>
      </c>
      <c r="AI259" s="32">
        <f t="shared" si="723"/>
        <v>7036</v>
      </c>
      <c r="AJ259" s="34">
        <f t="shared" si="710"/>
        <v>190.2738621</v>
      </c>
      <c r="AK259" s="31">
        <f t="shared" ref="AK259:AK260" si="726">SUM(O263)</f>
        <v>8239</v>
      </c>
      <c r="AL259" s="35">
        <f t="shared" si="712"/>
        <v>0.8539871344</v>
      </c>
      <c r="AM259" s="36">
        <f t="shared" ref="AM259:AM260" si="727">SUM(Q263)</f>
        <v>1.5</v>
      </c>
      <c r="AN259" s="35">
        <f t="shared" si="714"/>
        <v>0.8500753844</v>
      </c>
      <c r="AO259" s="37">
        <f t="shared" si="715"/>
        <v>1.275113077</v>
      </c>
      <c r="AP259" s="36">
        <f t="shared" ref="AP259:AQ259" si="724">SUM(T263)</f>
        <v>194</v>
      </c>
      <c r="AQ259" s="36">
        <f t="shared" si="724"/>
        <v>6.689655172</v>
      </c>
      <c r="AR259" s="32">
        <f t="shared" si="717"/>
        <v>242.6206897</v>
      </c>
    </row>
    <row r="260" ht="15.75" customHeight="1">
      <c r="A260" s="21"/>
      <c r="B260" s="38">
        <v>12.0</v>
      </c>
      <c r="C260" s="38" t="s">
        <v>41</v>
      </c>
      <c r="D260" s="39">
        <v>24.0</v>
      </c>
      <c r="E260" s="40">
        <f>IFERROR(__xludf.DUMMYFUNCTION("COUNT(IMPORTRANGE(""https://docs.google.com/spreadsheets/d/1oYscvfOJW7GMkxt8QcupWuzb3ohaYePd3Mt2V2ufHok/edit"",""10!d2:d25""))"),24.0)</f>
        <v>24</v>
      </c>
      <c r="F260" s="45">
        <f>IFERROR(__xludf.DUMMYFUNCTION("SUM(IMPORTRANGE(""https://docs.google.com/spreadsheets/d/1oYscvfOJW7GMkxt8QcupWuzb3ohaYePd3Mt2V2ufHok/edit"",""10!Q2:Q25""))"),4793.152)</f>
        <v>4793.152</v>
      </c>
      <c r="G260" s="40">
        <f>IFERROR(__xludf.DUMMYFUNCTION("IMPORTRANGE(""https://docs.google.com/spreadsheets/d/1oYscvfOJW7GMkxt8QcupWuzb3ohaYePd3Mt2V2ufHok/edit"",""10!e32"")"),1262.0)</f>
        <v>1262</v>
      </c>
      <c r="H260" s="40">
        <f>IFERROR(__xludf.DUMMYFUNCTION("IMPORTRANGE(""https://docs.google.com/spreadsheets/d/1oYscvfOJW7GMkxt8QcupWuzb3ohaYePd3Mt2V2ufHok/edit"",""10!e33"")"),0.0)</f>
        <v>0</v>
      </c>
      <c r="I260" s="40">
        <f t="shared" si="690"/>
        <v>1262</v>
      </c>
      <c r="J260" s="40">
        <f>IFERROR(__xludf.DUMMYFUNCTION("IMPORTRANGE(""https://docs.google.com/spreadsheets/d/1oYscvfOJW7GMkxt8QcupWuzb3ohaYePd3Mt2V2ufHok/edit"",""10!e36"")"),1759.0)</f>
        <v>1759</v>
      </c>
      <c r="K260" s="40">
        <f>IFERROR(__xludf.DUMMYFUNCTION("IMPORTRANGE(""https://docs.google.com/spreadsheets/d/1oYscvfOJW7GMkxt8QcupWuzb3ohaYePd3Mt2V2ufHok/edit"",""10!e37"")"),0.0)</f>
        <v>0</v>
      </c>
      <c r="L260" s="40">
        <f t="shared" si="720"/>
        <v>1759</v>
      </c>
      <c r="M260" s="40">
        <f t="shared" si="692"/>
        <v>3021</v>
      </c>
      <c r="N260" s="41">
        <f t="shared" si="693"/>
        <v>199.7146667</v>
      </c>
      <c r="O260" s="38">
        <v>3801.0</v>
      </c>
      <c r="P260" s="42">
        <f t="shared" si="694"/>
        <v>0.7947908445</v>
      </c>
      <c r="Q260" s="43">
        <v>1.5</v>
      </c>
      <c r="R260" s="42">
        <f t="shared" si="695"/>
        <v>0.4201827941</v>
      </c>
      <c r="S260" s="44">
        <f t="shared" si="696"/>
        <v>0.6302741912</v>
      </c>
      <c r="T260" s="43">
        <f>F260/29.628</f>
        <v>161.7777778</v>
      </c>
      <c r="U260" s="43">
        <f t="shared" si="697"/>
        <v>6.740740741</v>
      </c>
      <c r="V260" s="40">
        <f t="shared" si="698"/>
        <v>125.875</v>
      </c>
      <c r="X260" s="22">
        <v>6.0</v>
      </c>
      <c r="Y260" s="22" t="s">
        <v>42</v>
      </c>
      <c r="Z260" s="22">
        <f t="shared" ref="Z260:AI260" si="725">SUM(D264)</f>
        <v>33</v>
      </c>
      <c r="AA260" s="23">
        <f t="shared" si="725"/>
        <v>33</v>
      </c>
      <c r="AB260" s="24">
        <f t="shared" si="725"/>
        <v>6432.592</v>
      </c>
      <c r="AC260" s="23">
        <f t="shared" si="725"/>
        <v>2912</v>
      </c>
      <c r="AD260" s="23">
        <f t="shared" si="725"/>
        <v>0</v>
      </c>
      <c r="AE260" s="23">
        <f t="shared" si="725"/>
        <v>2912</v>
      </c>
      <c r="AF260" s="23">
        <f t="shared" si="725"/>
        <v>4379</v>
      </c>
      <c r="AG260" s="23">
        <f t="shared" si="725"/>
        <v>0</v>
      </c>
      <c r="AH260" s="23">
        <f t="shared" si="725"/>
        <v>4379</v>
      </c>
      <c r="AI260" s="23">
        <f t="shared" si="725"/>
        <v>7291</v>
      </c>
      <c r="AJ260" s="25">
        <f t="shared" si="710"/>
        <v>194.9270303</v>
      </c>
      <c r="AK260" s="22">
        <f t="shared" si="726"/>
        <v>9877</v>
      </c>
      <c r="AL260" s="26">
        <f t="shared" si="712"/>
        <v>0.7381796092</v>
      </c>
      <c r="AM260" s="27">
        <f t="shared" si="727"/>
        <v>1.5</v>
      </c>
      <c r="AN260" s="26">
        <f t="shared" si="714"/>
        <v>0.7556311152</v>
      </c>
      <c r="AO260" s="28">
        <f t="shared" si="715"/>
        <v>1.133446673</v>
      </c>
      <c r="AP260" s="27">
        <f t="shared" ref="AP260:AQ260" si="728">SUM(T264)</f>
        <v>245.9411967</v>
      </c>
      <c r="AQ260" s="27">
        <f t="shared" si="728"/>
        <v>7.452763537</v>
      </c>
      <c r="AR260" s="23">
        <f t="shared" si="717"/>
        <v>220.9393939</v>
      </c>
    </row>
    <row r="261" ht="15.75" customHeight="1">
      <c r="A261" s="21"/>
      <c r="B261" s="38">
        <v>13.0</v>
      </c>
      <c r="C261" s="38" t="s">
        <v>43</v>
      </c>
      <c r="D261" s="39">
        <v>30.0</v>
      </c>
      <c r="E261" s="40">
        <f>IFERROR(__xludf.DUMMYFUNCTION("COUNT(IMPORTRANGE(""https://docs.google.com/spreadsheets/d/1AxBmuQEdOYAeRnZ4C8vO6kuTNp7X_SGhpLXuY0n4ln4/edit"",""10!d2:d31""))"),30.0)</f>
        <v>30</v>
      </c>
      <c r="F261" s="45">
        <f>IFERROR(__xludf.DUMMYFUNCTION("SUM(IMPORTRANGE(""https://docs.google.com/spreadsheets/d/1AxBmuQEdOYAeRnZ4C8vO6kuTNp7X_SGhpLXuY0n4ln4/edit"",""10!Q2:Q31""))"),6346.600999999999)</f>
        <v>6346.601</v>
      </c>
      <c r="G261" s="40">
        <f>IFERROR(__xludf.DUMMYFUNCTION("IMPORTRANGE(""https://docs.google.com/spreadsheets/d/1AxBmuQEdOYAeRnZ4C8vO6kuTNp7X_SGhpLXuY0n4ln4/edit"",""10!e38"")"),1949.0)</f>
        <v>1949</v>
      </c>
      <c r="H261" s="40">
        <f>IFERROR(__xludf.DUMMYFUNCTION("IMPORTRANGE(""https://docs.google.com/spreadsheets/d/1AxBmuQEdOYAeRnZ4C8vO6kuTNp7X_SGhpLXuY0n4ln4/edit"",""10!e39"")"),0.0)</f>
        <v>0</v>
      </c>
      <c r="I261" s="40">
        <f t="shared" si="690"/>
        <v>1949</v>
      </c>
      <c r="J261" s="40">
        <f>IFERROR(__xludf.DUMMYFUNCTION("IMPORTRANGE(""https://docs.google.com/spreadsheets/d/1AxBmuQEdOYAeRnZ4C8vO6kuTNp7X_SGhpLXuY0n4ln4/edit"",""10!e42"")"),3177.0)</f>
        <v>3177</v>
      </c>
      <c r="K261" s="40">
        <f>IFERROR(__xludf.DUMMYFUNCTION("IMPORTRANGE(""https://docs.google.com/spreadsheets/d/1AxBmuQEdOYAeRnZ4C8vO6kuTNp7X_SGhpLXuY0n4ln4/edit"",""10!e43"")"),336.0)</f>
        <v>336</v>
      </c>
      <c r="L261" s="40">
        <f t="shared" si="720"/>
        <v>3513</v>
      </c>
      <c r="M261" s="40">
        <f t="shared" si="692"/>
        <v>5462</v>
      </c>
      <c r="N261" s="41">
        <f t="shared" si="693"/>
        <v>211.5533667</v>
      </c>
      <c r="O261" s="38">
        <v>8345.0</v>
      </c>
      <c r="P261" s="42">
        <f t="shared" si="694"/>
        <v>0.6545236669</v>
      </c>
      <c r="Q261" s="43">
        <v>1.5</v>
      </c>
      <c r="R261" s="42">
        <f t="shared" si="695"/>
        <v>0.5737454321</v>
      </c>
      <c r="S261" s="44">
        <f t="shared" si="696"/>
        <v>0.8606181482</v>
      </c>
      <c r="T261" s="43">
        <f>F261/41.205</f>
        <v>154.0250212</v>
      </c>
      <c r="U261" s="43">
        <f t="shared" si="697"/>
        <v>5.134167375</v>
      </c>
      <c r="V261" s="40">
        <f t="shared" si="698"/>
        <v>182.0666667</v>
      </c>
      <c r="X261" s="46" t="s">
        <v>33</v>
      </c>
      <c r="Y261" s="46">
        <v>6.0</v>
      </c>
      <c r="Z261" s="46">
        <f t="shared" ref="Z261:AI261" si="729">SUM(Z255:Z260)</f>
        <v>226</v>
      </c>
      <c r="AA261" s="47">
        <f t="shared" si="729"/>
        <v>220</v>
      </c>
      <c r="AB261" s="49">
        <f t="shared" si="729"/>
        <v>43406.306</v>
      </c>
      <c r="AC261" s="47">
        <f t="shared" si="729"/>
        <v>16183</v>
      </c>
      <c r="AD261" s="47">
        <f t="shared" si="729"/>
        <v>245</v>
      </c>
      <c r="AE261" s="47">
        <f t="shared" si="729"/>
        <v>16428</v>
      </c>
      <c r="AF261" s="47">
        <f t="shared" si="729"/>
        <v>21418</v>
      </c>
      <c r="AG261" s="47">
        <f t="shared" si="729"/>
        <v>492</v>
      </c>
      <c r="AH261" s="47">
        <f t="shared" si="729"/>
        <v>21910</v>
      </c>
      <c r="AI261" s="47">
        <f t="shared" si="729"/>
        <v>38338</v>
      </c>
      <c r="AJ261" s="49">
        <f t="shared" si="710"/>
        <v>197.3013909</v>
      </c>
      <c r="AK261" s="46">
        <f>SUM(AK255:AK260)</f>
        <v>53273</v>
      </c>
      <c r="AL261" s="50">
        <f t="shared" si="712"/>
        <v>0.7196516059</v>
      </c>
      <c r="AM261" s="51">
        <v>1.5</v>
      </c>
      <c r="AN261" s="50">
        <f t="shared" si="714"/>
        <v>0.5888238144</v>
      </c>
      <c r="AO261" s="52">
        <f t="shared" si="715"/>
        <v>0.8832357216</v>
      </c>
      <c r="AP261" s="51">
        <f>SUM(AP255:AP260)</f>
        <v>1424.181513</v>
      </c>
      <c r="AQ261" s="51">
        <f>AP261/AA261</f>
        <v>6.473552332</v>
      </c>
      <c r="AR261" s="47">
        <f t="shared" si="717"/>
        <v>174.2636364</v>
      </c>
    </row>
    <row r="262" ht="15.75" customHeight="1">
      <c r="A262" s="21"/>
      <c r="B262" s="38">
        <v>14.0</v>
      </c>
      <c r="C262" s="38" t="s">
        <v>27</v>
      </c>
      <c r="D262" s="39">
        <v>30.0</v>
      </c>
      <c r="E262" s="40">
        <f>IFERROR(__xludf.DUMMYFUNCTION("COUNT(IMPORTRANGE(""https://docs.google.com/spreadsheets/d/1LsL4JuXvBtfJ-TVi4NFml9lV_pmd61b789A_nbO-QrA/edit"",""10!d2:d31""))"),28.0)</f>
        <v>28</v>
      </c>
      <c r="F262" s="45">
        <f>IFERROR(__xludf.DUMMYFUNCTION("SUM(IMPORTRANGE(""https://docs.google.com/spreadsheets/d/1LsL4JuXvBtfJ-TVi4NFml9lV_pmd61b789A_nbO-QrA/edit"",""10!Q2:Q31""))"),5231.963000000002)</f>
        <v>5231.963</v>
      </c>
      <c r="G262" s="40">
        <f>IFERROR(__xludf.DUMMYFUNCTION("IMPORTRANGE(""https://docs.google.com/spreadsheets/d/1LsL4JuXvBtfJ-TVi4NFml9lV_pmd61b789A_nbO-QrA/edit"",""10!e38"")"),1919.0)</f>
        <v>1919</v>
      </c>
      <c r="H262" s="40">
        <f>IFERROR(__xludf.DUMMYFUNCTION("IMPORTRANGE(""https://docs.google.com/spreadsheets/d/1LsL4JuXvBtfJ-TVi4NFml9lV_pmd61b789A_nbO-QrA/edit"",""10!e39"")"),0.0)</f>
        <v>0</v>
      </c>
      <c r="I262" s="40">
        <f t="shared" si="690"/>
        <v>1919</v>
      </c>
      <c r="J262" s="40">
        <f>IFERROR(__xludf.DUMMYFUNCTION("IMPORTRANGE(""https://docs.google.com/spreadsheets/d/1LsL4JuXvBtfJ-TVi4NFml9lV_pmd61b789A_nbO-QrA/edit"",""10!e42"")"),2643.0)</f>
        <v>2643</v>
      </c>
      <c r="K262" s="40">
        <f>IFERROR(__xludf.DUMMYFUNCTION("IMPORTRANGE(""https://docs.google.com/spreadsheets/d/1LsL4JuXvBtfJ-TVi4NFml9lV_pmd61b789A_nbO-QrA/edit"",""10!e43"")"),0.0)</f>
        <v>0</v>
      </c>
      <c r="L262" s="40">
        <f t="shared" si="720"/>
        <v>2643</v>
      </c>
      <c r="M262" s="40">
        <f t="shared" si="692"/>
        <v>4562</v>
      </c>
      <c r="N262" s="41">
        <f t="shared" si="693"/>
        <v>186.8558214</v>
      </c>
      <c r="O262" s="38">
        <v>8101.0</v>
      </c>
      <c r="P262" s="42">
        <f t="shared" si="694"/>
        <v>0.563140353</v>
      </c>
      <c r="Q262" s="43">
        <v>1.5</v>
      </c>
      <c r="R262" s="42">
        <f t="shared" si="695"/>
        <v>0.5812987082</v>
      </c>
      <c r="S262" s="44">
        <f t="shared" si="696"/>
        <v>0.8719480623</v>
      </c>
      <c r="T262" s="43">
        <f>F262/19.985</f>
        <v>261.7944959</v>
      </c>
      <c r="U262" s="43">
        <f t="shared" si="697"/>
        <v>9.349803424</v>
      </c>
      <c r="V262" s="40">
        <f t="shared" si="698"/>
        <v>162.9285714</v>
      </c>
      <c r="X262" s="59" t="s">
        <v>44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6"/>
    </row>
    <row r="263" ht="15.75" customHeight="1">
      <c r="A263" s="21"/>
      <c r="B263" s="38">
        <v>15.0</v>
      </c>
      <c r="C263" s="38" t="s">
        <v>40</v>
      </c>
      <c r="D263" s="39">
        <v>30.0</v>
      </c>
      <c r="E263" s="40">
        <f>IFERROR(__xludf.DUMMYFUNCTION("COUNT(IMPORTRANGE(""https://docs.google.com/spreadsheets/d/1Krav0MVlY0vbUNsFRDnb_kR72_tyuGnWBYbGjNZrl18/edit"",""10!d2:d31""))"),29.0)</f>
        <v>29</v>
      </c>
      <c r="F263" s="45">
        <f>IFERROR(__xludf.DUMMYFUNCTION("SUM(IMPORTRANGE(""https://docs.google.com/spreadsheets/d/1Krav0MVlY0vbUNsFRDnb_kR72_tyuGnWBYbGjNZrl18/edit"",""10!Q2:Q31""))"),5517.941999999998)</f>
        <v>5517.942</v>
      </c>
      <c r="G263" s="40">
        <f>IFERROR(__xludf.DUMMYFUNCTION("IMPORTRANGE(""https://docs.google.com/spreadsheets/d/1Krav0MVlY0vbUNsFRDnb_kR72_tyuGnWBYbGjNZrl18/edit"",""10!e38"")"),3203.0)</f>
        <v>3203</v>
      </c>
      <c r="H263" s="40">
        <f>IFERROR(__xludf.DUMMYFUNCTION("IMPORTRANGE(""https://docs.google.com/spreadsheets/d/1Krav0MVlY0vbUNsFRDnb_kR72_tyuGnWBYbGjNZrl18/edit"",""10!e39"")"),0.0)</f>
        <v>0</v>
      </c>
      <c r="I263" s="40">
        <f t="shared" si="690"/>
        <v>3203</v>
      </c>
      <c r="J263" s="40">
        <f>IFERROR(__xludf.DUMMYFUNCTION("IMPORTRANGE(""https://docs.google.com/spreadsheets/d/1Krav0MVlY0vbUNsFRDnb_kR72_tyuGnWBYbGjNZrl18/edit"",""10!e42"")"),3833.0)</f>
        <v>3833</v>
      </c>
      <c r="K263" s="40">
        <f>IFERROR(__xludf.DUMMYFUNCTION("IMPORTRANGE(""https://docs.google.com/spreadsheets/d/1Krav0MVlY0vbUNsFRDnb_kR72_tyuGnWBYbGjNZrl18/edit"",""10!e43"")"),0.0)</f>
        <v>0</v>
      </c>
      <c r="L263" s="40">
        <f t="shared" si="720"/>
        <v>3833</v>
      </c>
      <c r="M263" s="40">
        <f t="shared" si="692"/>
        <v>7036</v>
      </c>
      <c r="N263" s="41">
        <f t="shared" si="693"/>
        <v>190.2738621</v>
      </c>
      <c r="O263" s="38">
        <v>8239.0</v>
      </c>
      <c r="P263" s="42">
        <f t="shared" si="694"/>
        <v>0.8539871344</v>
      </c>
      <c r="Q263" s="43">
        <v>1.5</v>
      </c>
      <c r="R263" s="42">
        <f t="shared" si="695"/>
        <v>0.8500753844</v>
      </c>
      <c r="S263" s="44">
        <f t="shared" si="696"/>
        <v>1.275113077</v>
      </c>
      <c r="T263" s="43">
        <f>F263/28.443</f>
        <v>194</v>
      </c>
      <c r="U263" s="43">
        <f t="shared" si="697"/>
        <v>6.689655172</v>
      </c>
      <c r="V263" s="40">
        <f t="shared" si="698"/>
        <v>242.6206897</v>
      </c>
      <c r="X263" s="14" t="s">
        <v>2</v>
      </c>
      <c r="Y263" s="14" t="s">
        <v>3</v>
      </c>
      <c r="Z263" s="14" t="s">
        <v>4</v>
      </c>
      <c r="AA263" s="14" t="s">
        <v>5</v>
      </c>
      <c r="AB263" s="15" t="s">
        <v>6</v>
      </c>
      <c r="AC263" s="14" t="s">
        <v>7</v>
      </c>
      <c r="AD263" s="14" t="s">
        <v>8</v>
      </c>
      <c r="AE263" s="14" t="s">
        <v>9</v>
      </c>
      <c r="AF263" s="14" t="s">
        <v>10</v>
      </c>
      <c r="AG263" s="14" t="s">
        <v>11</v>
      </c>
      <c r="AH263" s="14" t="s">
        <v>12</v>
      </c>
      <c r="AI263" s="14" t="s">
        <v>13</v>
      </c>
      <c r="AJ263" s="15" t="s">
        <v>14</v>
      </c>
      <c r="AK263" s="14" t="s">
        <v>15</v>
      </c>
      <c r="AL263" s="14" t="s">
        <v>16</v>
      </c>
      <c r="AM263" s="16" t="s">
        <v>17</v>
      </c>
      <c r="AN263" s="17" t="s">
        <v>18</v>
      </c>
      <c r="AO263" s="18" t="s">
        <v>19</v>
      </c>
      <c r="AP263" s="19" t="s">
        <v>20</v>
      </c>
      <c r="AQ263" s="19" t="s">
        <v>21</v>
      </c>
      <c r="AR263" s="20" t="s">
        <v>22</v>
      </c>
    </row>
    <row r="264" ht="15.75" customHeight="1">
      <c r="A264" s="21"/>
      <c r="B264" s="38">
        <v>16.0</v>
      </c>
      <c r="C264" s="38" t="s">
        <v>42</v>
      </c>
      <c r="D264" s="39">
        <v>33.0</v>
      </c>
      <c r="E264" s="40">
        <f>IFERROR(__xludf.DUMMYFUNCTION("COUNT(IMPORTRANGE(""https://docs.google.com/spreadsheets/d/1uXtm-E8PG0CetlFmSpTX3RK0LNEMnpR-mxbET9AGD6w/edit"",""10!d2:d34""))"),33.0)</f>
        <v>33</v>
      </c>
      <c r="F264" s="45">
        <f>IFERROR(__xludf.DUMMYFUNCTION("SUM(IMPORTRANGE(""https://docs.google.com/spreadsheets/d/1uXtm-E8PG0CetlFmSpTX3RK0LNEMnpR-mxbET9AGD6w/edit"",""10!Q2:Q34""))"),6432.591999999999)</f>
        <v>6432.592</v>
      </c>
      <c r="G264" s="40">
        <f>IFERROR(__xludf.DUMMYFUNCTION("IMPORTRANGE(""https://docs.google.com/spreadsheets/d/1uXtm-E8PG0CetlFmSpTX3RK0LNEMnpR-mxbET9AGD6w/edit"",""10!e41"")"),2912.0)</f>
        <v>2912</v>
      </c>
      <c r="H264" s="40">
        <f>IFERROR(__xludf.DUMMYFUNCTION("IMPORTRANGE(""https://docs.google.com/spreadsheets/d/1uXtm-E8PG0CetlFmSpTX3RK0LNEMnpR-mxbET9AGD6w/edit"",""10!e42"")"),0.0)</f>
        <v>0</v>
      </c>
      <c r="I264" s="40">
        <f t="shared" si="690"/>
        <v>2912</v>
      </c>
      <c r="J264" s="40">
        <f>IFERROR(__xludf.DUMMYFUNCTION("IMPORTRANGE(""https://docs.google.com/spreadsheets/d/1uXtm-E8PG0CetlFmSpTX3RK0LNEMnpR-mxbET9AGD6w/edit"",""10!e45"")"),4379.0)</f>
        <v>4379</v>
      </c>
      <c r="K264" s="40">
        <f>IFERROR(__xludf.DUMMYFUNCTION("IMPORTRANGE(""https://docs.google.com/spreadsheets/d/1uXtm-E8PG0CetlFmSpTX3RK0LNEMnpR-mxbET9AGD6w/edit"",""10!e46"")"),0.0)</f>
        <v>0</v>
      </c>
      <c r="L264" s="40">
        <f t="shared" si="720"/>
        <v>4379</v>
      </c>
      <c r="M264" s="40">
        <f t="shared" si="692"/>
        <v>7291</v>
      </c>
      <c r="N264" s="41">
        <f t="shared" si="693"/>
        <v>194.9270303</v>
      </c>
      <c r="O264" s="38">
        <v>9877.0</v>
      </c>
      <c r="P264" s="42">
        <f t="shared" si="694"/>
        <v>0.7381796092</v>
      </c>
      <c r="Q264" s="43">
        <v>1.5</v>
      </c>
      <c r="R264" s="42">
        <f t="shared" si="695"/>
        <v>0.7556311152</v>
      </c>
      <c r="S264" s="44">
        <f t="shared" si="696"/>
        <v>1.133446673</v>
      </c>
      <c r="T264" s="43">
        <f>F264/26.155</f>
        <v>245.9411967</v>
      </c>
      <c r="U264" s="43">
        <f t="shared" si="697"/>
        <v>7.452763537</v>
      </c>
      <c r="V264" s="40">
        <f t="shared" si="698"/>
        <v>220.9393939</v>
      </c>
      <c r="X264" s="31">
        <v>1.0</v>
      </c>
      <c r="Y264" s="31" t="s">
        <v>26</v>
      </c>
      <c r="Z264" s="31">
        <f t="shared" ref="Z264:AI264" si="730">SUM(D249)</f>
        <v>20</v>
      </c>
      <c r="AA264" s="32">
        <f t="shared" si="730"/>
        <v>20</v>
      </c>
      <c r="AB264" s="34">
        <f t="shared" si="730"/>
        <v>3964.89</v>
      </c>
      <c r="AC264" s="32">
        <f t="shared" si="730"/>
        <v>2306</v>
      </c>
      <c r="AD264" s="32">
        <f t="shared" si="730"/>
        <v>0</v>
      </c>
      <c r="AE264" s="32">
        <f t="shared" si="730"/>
        <v>2306</v>
      </c>
      <c r="AF264" s="32">
        <f t="shared" si="730"/>
        <v>2437</v>
      </c>
      <c r="AG264" s="32">
        <f t="shared" si="730"/>
        <v>165</v>
      </c>
      <c r="AH264" s="32">
        <f t="shared" si="730"/>
        <v>2602</v>
      </c>
      <c r="AI264" s="32">
        <f t="shared" si="730"/>
        <v>4908</v>
      </c>
      <c r="AJ264" s="34">
        <f t="shared" ref="AJ264:AJ270" si="733">AB264/AA264</f>
        <v>198.2445</v>
      </c>
      <c r="AK264" s="31">
        <f>SUM(O249)</f>
        <v>5161</v>
      </c>
      <c r="AL264" s="35">
        <f t="shared" ref="AL264:AL270" si="734">AI264/AK264</f>
        <v>0.9509784925</v>
      </c>
      <c r="AM264" s="36">
        <f>SUM(Q249)</f>
        <v>1.5</v>
      </c>
      <c r="AN264" s="35">
        <f t="shared" ref="AN264:AN270" si="735">AO264/AM264</f>
        <v>0.8252435755</v>
      </c>
      <c r="AO264" s="37">
        <f t="shared" ref="AO264:AO270" si="736">AI264/AB264</f>
        <v>1.237865363</v>
      </c>
      <c r="AP264" s="36">
        <f t="shared" ref="AP264:AQ264" si="731">SUM(T249)</f>
        <v>275.0530697</v>
      </c>
      <c r="AQ264" s="36">
        <f t="shared" si="731"/>
        <v>13.75265349</v>
      </c>
      <c r="AR264" s="32">
        <f t="shared" ref="AR264:AR270" si="738">AI264/AA264</f>
        <v>245.4</v>
      </c>
    </row>
    <row r="265" ht="15.75" customHeight="1">
      <c r="A265" s="21"/>
      <c r="B265" s="38">
        <v>17.0</v>
      </c>
      <c r="C265" s="38" t="s">
        <v>29</v>
      </c>
      <c r="D265" s="39">
        <v>30.0</v>
      </c>
      <c r="E265" s="40">
        <f>IFERROR(__xludf.DUMMYFUNCTION("COUNT(IMPORTRANGE(""https://docs.google.com/spreadsheets/d/12xcKI0lSnAsjEsxfm9K8Qx0B_89Gzsh816mowItkQao/edit"",""10!d2:d31""))"),27.0)</f>
        <v>27</v>
      </c>
      <c r="F265" s="45">
        <f>IFERROR(__xludf.DUMMYFUNCTION("SUM(IMPORTRANGE(""https://docs.google.com/spreadsheets/d/12xcKI0lSnAsjEsxfm9K8Qx0B_89Gzsh816mowItkQao/edit"",""10!Q2:Q31""))"),5181.562000000002)</f>
        <v>5181.562</v>
      </c>
      <c r="G265" s="40">
        <f>IFERROR(__xludf.DUMMYFUNCTION("IMPORTRANGE(""https://docs.google.com/spreadsheets/d/12xcKI0lSnAsjEsxfm9K8Qx0B_89Gzsh816mowItkQao/edit"",""10!e38"")"),2513.0)</f>
        <v>2513</v>
      </c>
      <c r="H265" s="40">
        <f>IFERROR(__xludf.DUMMYFUNCTION("IMPORTRANGE(""https://docs.google.com/spreadsheets/d/12xcKI0lSnAsjEsxfm9K8Qx0B_89Gzsh816mowItkQao/edit"",""10!e39"")"),0.0)</f>
        <v>0</v>
      </c>
      <c r="I265" s="40">
        <f t="shared" si="690"/>
        <v>2513</v>
      </c>
      <c r="J265" s="40">
        <f>IFERROR(__xludf.DUMMYFUNCTION("IMPORTRANGE(""https://docs.google.com/spreadsheets/d/12xcKI0lSnAsjEsxfm9K8Qx0B_89Gzsh816mowItkQao/edit"",""10!e42"")"),3568.0)</f>
        <v>3568</v>
      </c>
      <c r="K265" s="40">
        <f>IFERROR(__xludf.DUMMYFUNCTION("IMPORTRANGE(""https://docs.google.com/spreadsheets/d/12xcKI0lSnAsjEsxfm9K8Qx0B_89Gzsh816mowItkQao/edit"",""10!e43"")"),0.0)</f>
        <v>0</v>
      </c>
      <c r="L265" s="40">
        <f t="shared" si="720"/>
        <v>3568</v>
      </c>
      <c r="M265" s="40">
        <f t="shared" si="692"/>
        <v>6081</v>
      </c>
      <c r="N265" s="41">
        <f t="shared" si="693"/>
        <v>191.9097037</v>
      </c>
      <c r="O265" s="38">
        <v>9201.0</v>
      </c>
      <c r="P265" s="42">
        <f t="shared" si="694"/>
        <v>0.6609064232</v>
      </c>
      <c r="Q265" s="43">
        <v>1.5</v>
      </c>
      <c r="R265" s="42">
        <f t="shared" si="695"/>
        <v>0.7823895574</v>
      </c>
      <c r="S265" s="44">
        <f t="shared" si="696"/>
        <v>1.173584336</v>
      </c>
      <c r="T265" s="43">
        <f>F265/26.038</f>
        <v>199</v>
      </c>
      <c r="U265" s="43">
        <f t="shared" si="697"/>
        <v>7.37037037</v>
      </c>
      <c r="V265" s="40">
        <f t="shared" si="698"/>
        <v>225.2222222</v>
      </c>
      <c r="X265" s="31">
        <v>2.0</v>
      </c>
      <c r="Y265" s="31" t="s">
        <v>32</v>
      </c>
      <c r="Z265" s="31">
        <f t="shared" ref="Z265:AI265" si="732">SUM(D252)</f>
        <v>42</v>
      </c>
      <c r="AA265" s="32">
        <f t="shared" si="732"/>
        <v>42</v>
      </c>
      <c r="AB265" s="33">
        <f t="shared" si="732"/>
        <v>8128.836</v>
      </c>
      <c r="AC265" s="31">
        <f t="shared" si="732"/>
        <v>4348</v>
      </c>
      <c r="AD265" s="31">
        <f t="shared" si="732"/>
        <v>97</v>
      </c>
      <c r="AE265" s="32">
        <f t="shared" si="732"/>
        <v>4445</v>
      </c>
      <c r="AF265" s="31">
        <f t="shared" si="732"/>
        <v>4712</v>
      </c>
      <c r="AG265" s="31">
        <f t="shared" si="732"/>
        <v>150</v>
      </c>
      <c r="AH265" s="32">
        <f t="shared" si="732"/>
        <v>4862</v>
      </c>
      <c r="AI265" s="32">
        <f t="shared" si="732"/>
        <v>9307</v>
      </c>
      <c r="AJ265" s="34">
        <f t="shared" si="733"/>
        <v>193.5437143</v>
      </c>
      <c r="AK265" s="31">
        <f>SUM(O252)</f>
        <v>13817</v>
      </c>
      <c r="AL265" s="35">
        <f t="shared" si="734"/>
        <v>0.6735905045</v>
      </c>
      <c r="AM265" s="36">
        <f>SUM(Q252)</f>
        <v>1.5</v>
      </c>
      <c r="AN265" s="35">
        <f t="shared" si="735"/>
        <v>0.7632909148</v>
      </c>
      <c r="AO265" s="37">
        <f t="shared" si="736"/>
        <v>1.144936372</v>
      </c>
      <c r="AP265" s="36">
        <f t="shared" ref="AP265:AQ265" si="737">SUM(T252)</f>
        <v>324</v>
      </c>
      <c r="AQ265" s="36">
        <f t="shared" si="737"/>
        <v>7.714285714</v>
      </c>
      <c r="AR265" s="32">
        <f t="shared" si="738"/>
        <v>221.5952381</v>
      </c>
    </row>
    <row r="266" ht="15.75" customHeight="1">
      <c r="A266" s="21"/>
      <c r="B266" s="38">
        <v>18.0</v>
      </c>
      <c r="C266" s="38" t="s">
        <v>31</v>
      </c>
      <c r="D266" s="39">
        <v>15.0</v>
      </c>
      <c r="E266" s="40">
        <f>IFERROR(__xludf.DUMMYFUNCTION("COUNT(IMPORTRANGE(""https://docs.google.com/spreadsheets/d/1fgCFOFzOla4Qim6_-zG-lbYhLCItqv_kZiAHoErRgcM/edit"",""10!d2:d16""))"),15.0)</f>
        <v>15</v>
      </c>
      <c r="F266" s="41">
        <f>IFERROR(__xludf.DUMMYFUNCTION("SUM(IMPORTRANGE(""https://docs.google.com/spreadsheets/d/1fgCFOFzOla4Qim6_-zG-lbYhLCItqv_kZiAHoErRgcM/edit"",""10!Q2:Q16""))"),2912.1549999999997)</f>
        <v>2912.155</v>
      </c>
      <c r="G266" s="40">
        <f>IFERROR(__xludf.DUMMYFUNCTION("IMPORTRANGE(""https://docs.google.com/spreadsheets/d/1fgCFOFzOla4Qim6_-zG-lbYhLCItqv_kZiAHoErRgcM/edit"",""10!e23"")"),940.0)</f>
        <v>940</v>
      </c>
      <c r="H266" s="40">
        <f>IFERROR(__xludf.DUMMYFUNCTION("IMPORTRANGE(""https://docs.google.com/spreadsheets/d/1fgCFOFzOla4Qim6_-zG-lbYhLCItqv_kZiAHoErRgcM/edit"",""10!e24"")"),9.0)</f>
        <v>9</v>
      </c>
      <c r="I266" s="40">
        <f t="shared" si="690"/>
        <v>949</v>
      </c>
      <c r="J266" s="40">
        <f>IFERROR(__xludf.DUMMYFUNCTION("IMPORTRANGE(""https://docs.google.com/spreadsheets/d/1fgCFOFzOla4Qim6_-zG-lbYhLCItqv_kZiAHoErRgcM/edit"",""10!e27"")"),1053.0)</f>
        <v>1053</v>
      </c>
      <c r="K266" s="40">
        <f>IFERROR(__xludf.DUMMYFUNCTION("IMPORTRANGE(""https://docs.google.com/spreadsheets/d/1fgCFOFzOla4Qim6_-zG-lbYhLCItqv_kZiAHoErRgcM/edit"",""10!e28"")"),0.0)</f>
        <v>0</v>
      </c>
      <c r="L266" s="40">
        <f t="shared" si="720"/>
        <v>1053</v>
      </c>
      <c r="M266" s="40">
        <f t="shared" si="692"/>
        <v>2002</v>
      </c>
      <c r="N266" s="41">
        <f t="shared" si="693"/>
        <v>194.1436667</v>
      </c>
      <c r="O266" s="38">
        <v>2717.0</v>
      </c>
      <c r="P266" s="42">
        <f t="shared" si="694"/>
        <v>0.7368421053</v>
      </c>
      <c r="Q266" s="43">
        <v>1.5</v>
      </c>
      <c r="R266" s="42">
        <f t="shared" si="695"/>
        <v>0.4583089385</v>
      </c>
      <c r="S266" s="44">
        <f t="shared" si="696"/>
        <v>0.6874634077</v>
      </c>
      <c r="T266" s="43">
        <f>F266/43.465</f>
        <v>67</v>
      </c>
      <c r="U266" s="43">
        <f t="shared" si="697"/>
        <v>4.466666667</v>
      </c>
      <c r="V266" s="40">
        <f t="shared" si="698"/>
        <v>133.4666667</v>
      </c>
      <c r="X266" s="31">
        <v>3.0</v>
      </c>
      <c r="Y266" s="31" t="s">
        <v>36</v>
      </c>
      <c r="Z266" s="31">
        <f t="shared" ref="Z266:AI266" si="739">SUM(D257)</f>
        <v>24</v>
      </c>
      <c r="AA266" s="32">
        <f t="shared" si="739"/>
        <v>24</v>
      </c>
      <c r="AB266" s="33">
        <f t="shared" si="739"/>
        <v>4595.538</v>
      </c>
      <c r="AC266" s="32">
        <f t="shared" si="739"/>
        <v>1307</v>
      </c>
      <c r="AD266" s="32">
        <f t="shared" si="739"/>
        <v>0</v>
      </c>
      <c r="AE266" s="32">
        <f t="shared" si="739"/>
        <v>1307</v>
      </c>
      <c r="AF266" s="32">
        <f t="shared" si="739"/>
        <v>1921</v>
      </c>
      <c r="AG266" s="32">
        <f t="shared" si="739"/>
        <v>0</v>
      </c>
      <c r="AH266" s="32">
        <f t="shared" si="739"/>
        <v>1921</v>
      </c>
      <c r="AI266" s="32">
        <f t="shared" si="739"/>
        <v>3228</v>
      </c>
      <c r="AJ266" s="34">
        <f t="shared" si="733"/>
        <v>191.48075</v>
      </c>
      <c r="AK266" s="31">
        <f t="shared" ref="AK266:AK269" si="743">SUM(O257)</f>
        <v>4796</v>
      </c>
      <c r="AL266" s="35">
        <f t="shared" si="734"/>
        <v>0.6730608841</v>
      </c>
      <c r="AM266" s="36">
        <f t="shared" ref="AM266:AM269" si="744">SUM(Q257)</f>
        <v>1.5</v>
      </c>
      <c r="AN266" s="35">
        <f t="shared" si="735"/>
        <v>0.4682803189</v>
      </c>
      <c r="AO266" s="37">
        <f t="shared" si="736"/>
        <v>0.7024204783</v>
      </c>
      <c r="AP266" s="36">
        <f t="shared" ref="AP266:AQ266" si="740">SUM(T257)</f>
        <v>122.8293687</v>
      </c>
      <c r="AQ266" s="36">
        <f t="shared" si="740"/>
        <v>5.117890362</v>
      </c>
      <c r="AR266" s="32">
        <f t="shared" si="738"/>
        <v>134.5</v>
      </c>
    </row>
    <row r="267" ht="15.75" customHeight="1">
      <c r="A267" s="21"/>
      <c r="B267" s="60" t="s">
        <v>33</v>
      </c>
      <c r="C267" s="60">
        <v>18.0</v>
      </c>
      <c r="D267" s="60">
        <f t="shared" ref="D267:M267" si="741">SUM(D249:D266)</f>
        <v>580</v>
      </c>
      <c r="E267" s="61">
        <f t="shared" si="741"/>
        <v>564</v>
      </c>
      <c r="F267" s="62">
        <f t="shared" si="741"/>
        <v>109341.033</v>
      </c>
      <c r="G267" s="61">
        <f t="shared" si="741"/>
        <v>38970</v>
      </c>
      <c r="H267" s="61">
        <f t="shared" si="741"/>
        <v>667</v>
      </c>
      <c r="I267" s="61">
        <f t="shared" si="741"/>
        <v>39637</v>
      </c>
      <c r="J267" s="61">
        <f t="shared" si="741"/>
        <v>50818</v>
      </c>
      <c r="K267" s="61">
        <f t="shared" si="741"/>
        <v>1191</v>
      </c>
      <c r="L267" s="61">
        <f t="shared" si="741"/>
        <v>52009</v>
      </c>
      <c r="M267" s="61">
        <f t="shared" si="741"/>
        <v>91646</v>
      </c>
      <c r="N267" s="62">
        <f t="shared" si="693"/>
        <v>193.8670798</v>
      </c>
      <c r="O267" s="60">
        <f>SUM(O249:O266)</f>
        <v>126399</v>
      </c>
      <c r="P267" s="63">
        <f t="shared" si="694"/>
        <v>0.7250532045</v>
      </c>
      <c r="Q267" s="64">
        <v>1.5</v>
      </c>
      <c r="R267" s="63">
        <f t="shared" si="695"/>
        <v>0.5587777219</v>
      </c>
      <c r="S267" s="65">
        <f t="shared" si="696"/>
        <v>0.8381665829</v>
      </c>
      <c r="T267" s="64">
        <f>SUM(T249:T266)</f>
        <v>4033.328346</v>
      </c>
      <c r="U267" s="64">
        <f t="shared" si="697"/>
        <v>7.151291393</v>
      </c>
      <c r="V267" s="61">
        <f t="shared" si="698"/>
        <v>162.4929078</v>
      </c>
      <c r="X267" s="31">
        <v>4.0</v>
      </c>
      <c r="Y267" s="31" t="s">
        <v>37</v>
      </c>
      <c r="Z267" s="31">
        <f t="shared" ref="Z267:AI267" si="742">SUM(D258)</f>
        <v>30</v>
      </c>
      <c r="AA267" s="32">
        <f t="shared" si="742"/>
        <v>28</v>
      </c>
      <c r="AB267" s="33">
        <f t="shared" si="742"/>
        <v>5600.37</v>
      </c>
      <c r="AC267" s="32">
        <f t="shared" si="742"/>
        <v>1870</v>
      </c>
      <c r="AD267" s="32">
        <f t="shared" si="742"/>
        <v>0</v>
      </c>
      <c r="AE267" s="32">
        <f t="shared" si="742"/>
        <v>1870</v>
      </c>
      <c r="AF267" s="32">
        <f t="shared" si="742"/>
        <v>2755</v>
      </c>
      <c r="AG267" s="32">
        <f t="shared" si="742"/>
        <v>0</v>
      </c>
      <c r="AH267" s="32">
        <f t="shared" si="742"/>
        <v>2755</v>
      </c>
      <c r="AI267" s="32">
        <f t="shared" si="742"/>
        <v>4625</v>
      </c>
      <c r="AJ267" s="34">
        <f t="shared" si="733"/>
        <v>200.0132143</v>
      </c>
      <c r="AK267" s="31">
        <f t="shared" si="743"/>
        <v>5887</v>
      </c>
      <c r="AL267" s="35">
        <f t="shared" si="734"/>
        <v>0.7856293528</v>
      </c>
      <c r="AM267" s="36">
        <f t="shared" si="744"/>
        <v>1.5</v>
      </c>
      <c r="AN267" s="35">
        <f t="shared" si="735"/>
        <v>0.5505588619</v>
      </c>
      <c r="AO267" s="37">
        <f t="shared" si="736"/>
        <v>0.8258382928</v>
      </c>
      <c r="AP267" s="36">
        <f t="shared" ref="AP267:AQ267" si="745">SUM(T258)</f>
        <v>225.8942401</v>
      </c>
      <c r="AQ267" s="36">
        <f t="shared" si="745"/>
        <v>8.067651431</v>
      </c>
      <c r="AR267" s="32">
        <f t="shared" si="738"/>
        <v>165.1785714</v>
      </c>
    </row>
    <row r="268" ht="15.7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X268" s="31">
        <v>5.0</v>
      </c>
      <c r="Y268" s="31" t="s">
        <v>39</v>
      </c>
      <c r="Z268" s="31">
        <f t="shared" ref="Z268:AI268" si="746">SUM(D259)</f>
        <v>28</v>
      </c>
      <c r="AA268" s="32">
        <f t="shared" si="746"/>
        <v>28</v>
      </c>
      <c r="AB268" s="33">
        <f t="shared" si="746"/>
        <v>4772.062</v>
      </c>
      <c r="AC268" s="32">
        <f t="shared" si="746"/>
        <v>1146</v>
      </c>
      <c r="AD268" s="32">
        <f t="shared" si="746"/>
        <v>0</v>
      </c>
      <c r="AE268" s="32">
        <f t="shared" si="746"/>
        <v>1146</v>
      </c>
      <c r="AF268" s="32">
        <f t="shared" si="746"/>
        <v>1543</v>
      </c>
      <c r="AG268" s="32">
        <f t="shared" si="746"/>
        <v>0</v>
      </c>
      <c r="AH268" s="32">
        <f t="shared" si="746"/>
        <v>1543</v>
      </c>
      <c r="AI268" s="32">
        <f t="shared" si="746"/>
        <v>2689</v>
      </c>
      <c r="AJ268" s="34">
        <f t="shared" si="733"/>
        <v>170.4307857</v>
      </c>
      <c r="AK268" s="31">
        <f t="shared" si="743"/>
        <v>3569</v>
      </c>
      <c r="AL268" s="35">
        <f t="shared" si="734"/>
        <v>0.753432334</v>
      </c>
      <c r="AM268" s="36">
        <f t="shared" si="744"/>
        <v>1.5</v>
      </c>
      <c r="AN268" s="35">
        <f t="shared" si="735"/>
        <v>0.3756587125</v>
      </c>
      <c r="AO268" s="37">
        <f t="shared" si="736"/>
        <v>0.5634880687</v>
      </c>
      <c r="AP268" s="36">
        <f t="shared" ref="AP268:AQ268" si="747">SUM(T259)</f>
        <v>222.339002</v>
      </c>
      <c r="AQ268" s="36">
        <f t="shared" si="747"/>
        <v>7.940678643</v>
      </c>
      <c r="AR268" s="32">
        <f t="shared" si="738"/>
        <v>96.03571429</v>
      </c>
    </row>
    <row r="269" ht="15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X269" s="31">
        <v>6.0</v>
      </c>
      <c r="Y269" s="31" t="s">
        <v>41</v>
      </c>
      <c r="Z269" s="31">
        <f t="shared" ref="Z269:AI269" si="748">SUM(D260)</f>
        <v>24</v>
      </c>
      <c r="AA269" s="32">
        <f t="shared" si="748"/>
        <v>24</v>
      </c>
      <c r="AB269" s="33">
        <f t="shared" si="748"/>
        <v>4793.152</v>
      </c>
      <c r="AC269" s="32">
        <f t="shared" si="748"/>
        <v>1262</v>
      </c>
      <c r="AD269" s="32">
        <f t="shared" si="748"/>
        <v>0</v>
      </c>
      <c r="AE269" s="32">
        <f t="shared" si="748"/>
        <v>1262</v>
      </c>
      <c r="AF269" s="32">
        <f t="shared" si="748"/>
        <v>1759</v>
      </c>
      <c r="AG269" s="32">
        <f t="shared" si="748"/>
        <v>0</v>
      </c>
      <c r="AH269" s="32">
        <f t="shared" si="748"/>
        <v>1759</v>
      </c>
      <c r="AI269" s="32">
        <f t="shared" si="748"/>
        <v>3021</v>
      </c>
      <c r="AJ269" s="34">
        <f t="shared" si="733"/>
        <v>199.7146667</v>
      </c>
      <c r="AK269" s="31">
        <f t="shared" si="743"/>
        <v>3801</v>
      </c>
      <c r="AL269" s="35">
        <f t="shared" si="734"/>
        <v>0.7947908445</v>
      </c>
      <c r="AM269" s="36">
        <f t="shared" si="744"/>
        <v>1.5</v>
      </c>
      <c r="AN269" s="35">
        <f t="shared" si="735"/>
        <v>0.4201827941</v>
      </c>
      <c r="AO269" s="37">
        <f t="shared" si="736"/>
        <v>0.6302741912</v>
      </c>
      <c r="AP269" s="36">
        <f t="shared" ref="AP269:AQ269" si="749">SUM(T260)</f>
        <v>161.7777778</v>
      </c>
      <c r="AQ269" s="36">
        <f t="shared" si="749"/>
        <v>6.740740741</v>
      </c>
      <c r="AR269" s="32">
        <f t="shared" si="738"/>
        <v>125.875</v>
      </c>
    </row>
    <row r="270" ht="15.75" customHeight="1">
      <c r="A270" s="1" t="s">
        <v>45</v>
      </c>
      <c r="D270" s="2"/>
      <c r="X270" s="46" t="s">
        <v>33</v>
      </c>
      <c r="Y270" s="46">
        <v>6.0</v>
      </c>
      <c r="Z270" s="46">
        <f t="shared" ref="Z270:AI270" si="750">SUM(Z264:Z269)</f>
        <v>168</v>
      </c>
      <c r="AA270" s="47">
        <f t="shared" si="750"/>
        <v>166</v>
      </c>
      <c r="AB270" s="49">
        <f t="shared" si="750"/>
        <v>31854.848</v>
      </c>
      <c r="AC270" s="47">
        <f t="shared" si="750"/>
        <v>12239</v>
      </c>
      <c r="AD270" s="47">
        <f t="shared" si="750"/>
        <v>97</v>
      </c>
      <c r="AE270" s="47">
        <f t="shared" si="750"/>
        <v>12336</v>
      </c>
      <c r="AF270" s="47">
        <f t="shared" si="750"/>
        <v>15127</v>
      </c>
      <c r="AG270" s="47">
        <f t="shared" si="750"/>
        <v>315</v>
      </c>
      <c r="AH270" s="47">
        <f t="shared" si="750"/>
        <v>15442</v>
      </c>
      <c r="AI270" s="47">
        <f t="shared" si="750"/>
        <v>27778</v>
      </c>
      <c r="AJ270" s="49">
        <f t="shared" si="733"/>
        <v>191.8966747</v>
      </c>
      <c r="AK270" s="46">
        <f>SUM(AK264:AK269)</f>
        <v>37031</v>
      </c>
      <c r="AL270" s="50">
        <f t="shared" si="734"/>
        <v>0.7501282709</v>
      </c>
      <c r="AM270" s="51">
        <v>1.5</v>
      </c>
      <c r="AN270" s="50">
        <f t="shared" si="735"/>
        <v>0.5813453157</v>
      </c>
      <c r="AO270" s="52">
        <f t="shared" si="736"/>
        <v>0.8720179735</v>
      </c>
      <c r="AP270" s="51">
        <f>SUM(AP264:AP269)</f>
        <v>1331.893458</v>
      </c>
      <c r="AQ270" s="51">
        <f>AP270/AA270</f>
        <v>8.023454568</v>
      </c>
      <c r="AR270" s="47">
        <f t="shared" si="738"/>
        <v>167.3373494</v>
      </c>
    </row>
    <row r="271" ht="15.75" customHeight="1">
      <c r="A271" s="1" t="s">
        <v>45</v>
      </c>
      <c r="D271" s="2"/>
      <c r="X271" s="66" t="s">
        <v>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6"/>
    </row>
    <row r="272" ht="15.75" customHeight="1">
      <c r="A272" s="10">
        <v>46214.0</v>
      </c>
      <c r="B272" s="8" t="s">
        <v>2</v>
      </c>
      <c r="C272" s="8" t="s">
        <v>3</v>
      </c>
      <c r="D272" s="8" t="s">
        <v>4</v>
      </c>
      <c r="E272" s="8" t="s">
        <v>5</v>
      </c>
      <c r="F272" s="9" t="s">
        <v>6</v>
      </c>
      <c r="G272" s="8" t="s">
        <v>7</v>
      </c>
      <c r="H272" s="8" t="s">
        <v>8</v>
      </c>
      <c r="I272" s="8" t="s">
        <v>9</v>
      </c>
      <c r="J272" s="8" t="s">
        <v>10</v>
      </c>
      <c r="K272" s="8" t="s">
        <v>11</v>
      </c>
      <c r="L272" s="8" t="s">
        <v>12</v>
      </c>
      <c r="M272" s="8" t="s">
        <v>13</v>
      </c>
      <c r="N272" s="9" t="s">
        <v>14</v>
      </c>
      <c r="O272" s="8" t="s">
        <v>15</v>
      </c>
      <c r="P272" s="8" t="s">
        <v>16</v>
      </c>
      <c r="Q272" s="8" t="s">
        <v>17</v>
      </c>
      <c r="R272" s="8" t="s">
        <v>18</v>
      </c>
      <c r="S272" s="11" t="s">
        <v>19</v>
      </c>
      <c r="T272" s="12" t="s">
        <v>20</v>
      </c>
      <c r="U272" s="12" t="s">
        <v>21</v>
      </c>
      <c r="V272" s="13" t="s">
        <v>22</v>
      </c>
      <c r="X272" s="14" t="s">
        <v>2</v>
      </c>
      <c r="Y272" s="14" t="s">
        <v>3</v>
      </c>
      <c r="Z272" s="14" t="s">
        <v>4</v>
      </c>
      <c r="AA272" s="14" t="s">
        <v>5</v>
      </c>
      <c r="AB272" s="15" t="s">
        <v>6</v>
      </c>
      <c r="AC272" s="14" t="s">
        <v>7</v>
      </c>
      <c r="AD272" s="14" t="s">
        <v>8</v>
      </c>
      <c r="AE272" s="14" t="s">
        <v>9</v>
      </c>
      <c r="AF272" s="14" t="s">
        <v>10</v>
      </c>
      <c r="AG272" s="14" t="s">
        <v>11</v>
      </c>
      <c r="AH272" s="14" t="s">
        <v>12</v>
      </c>
      <c r="AI272" s="14" t="s">
        <v>13</v>
      </c>
      <c r="AJ272" s="15" t="s">
        <v>14</v>
      </c>
      <c r="AK272" s="14" t="s">
        <v>15</v>
      </c>
      <c r="AL272" s="14" t="s">
        <v>16</v>
      </c>
      <c r="AM272" s="16" t="s">
        <v>17</v>
      </c>
      <c r="AN272" s="17" t="s">
        <v>18</v>
      </c>
      <c r="AO272" s="18" t="s">
        <v>19</v>
      </c>
      <c r="AP272" s="19" t="s">
        <v>20</v>
      </c>
      <c r="AQ272" s="19" t="s">
        <v>21</v>
      </c>
      <c r="AR272" s="20" t="s">
        <v>22</v>
      </c>
    </row>
    <row r="273" ht="15.7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X273" s="22">
        <v>1.0</v>
      </c>
      <c r="Y273" s="22" t="s">
        <v>23</v>
      </c>
      <c r="Z273" s="22">
        <f t="shared" ref="Z273:AI273" si="751">SUM(D281)</f>
        <v>28</v>
      </c>
      <c r="AA273" s="23">
        <f t="shared" si="751"/>
        <v>27</v>
      </c>
      <c r="AB273" s="24">
        <f t="shared" si="751"/>
        <v>5297.18</v>
      </c>
      <c r="AC273" s="23">
        <f t="shared" si="751"/>
        <v>1344</v>
      </c>
      <c r="AD273" s="23">
        <f t="shared" si="751"/>
        <v>0</v>
      </c>
      <c r="AE273" s="23">
        <f t="shared" si="751"/>
        <v>1344</v>
      </c>
      <c r="AF273" s="23">
        <f t="shared" si="751"/>
        <v>2497</v>
      </c>
      <c r="AG273" s="23">
        <f t="shared" si="751"/>
        <v>0</v>
      </c>
      <c r="AH273" s="23">
        <f t="shared" si="751"/>
        <v>2497</v>
      </c>
      <c r="AI273" s="23">
        <f t="shared" si="751"/>
        <v>3841</v>
      </c>
      <c r="AJ273" s="25">
        <f t="shared" ref="AJ273:AJ275" si="754">AB273/AA273</f>
        <v>196.1918519</v>
      </c>
      <c r="AK273" s="22">
        <f>SUM(O281)</f>
        <v>6853</v>
      </c>
      <c r="AL273" s="26">
        <f t="shared" ref="AL273:AL279" si="755">AI273/AK273</f>
        <v>0.5604844594</v>
      </c>
      <c r="AM273" s="27">
        <f t="shared" ref="AM273:AM275" si="756">SUM(Q281)</f>
        <v>1.5</v>
      </c>
      <c r="AN273" s="26">
        <f t="shared" ref="AN273:AN279" si="757">AO273/AM273</f>
        <v>0.4834018604</v>
      </c>
      <c r="AO273" s="28">
        <f t="shared" ref="AO273:AO279" si="758">AI273/AB273</f>
        <v>0.7251027905</v>
      </c>
      <c r="AP273" s="27">
        <f t="shared" ref="AP273:AQ273" si="752">SUM(T281)</f>
        <v>157</v>
      </c>
      <c r="AQ273" s="27">
        <f t="shared" si="752"/>
        <v>5.814814815</v>
      </c>
      <c r="AR273" s="23">
        <f t="shared" ref="AR273:AR279" si="760">AI273/AA273</f>
        <v>142.2592593</v>
      </c>
    </row>
    <row r="274" ht="15.7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X274" s="22">
        <v>2.0</v>
      </c>
      <c r="Y274" s="22" t="s">
        <v>24</v>
      </c>
      <c r="Z274" s="22">
        <f t="shared" ref="Z274:AI274" si="753">SUM(D282)</f>
        <v>37</v>
      </c>
      <c r="AA274" s="23">
        <f t="shared" si="753"/>
        <v>37</v>
      </c>
      <c r="AB274" s="24">
        <f t="shared" si="753"/>
        <v>6647.237</v>
      </c>
      <c r="AC274" s="23">
        <f t="shared" si="753"/>
        <v>817</v>
      </c>
      <c r="AD274" s="23">
        <f t="shared" si="753"/>
        <v>0</v>
      </c>
      <c r="AE274" s="23">
        <f t="shared" si="753"/>
        <v>817</v>
      </c>
      <c r="AF274" s="23">
        <f t="shared" si="753"/>
        <v>928</v>
      </c>
      <c r="AG274" s="23">
        <f t="shared" si="753"/>
        <v>0</v>
      </c>
      <c r="AH274" s="23">
        <f t="shared" si="753"/>
        <v>928</v>
      </c>
      <c r="AI274" s="23">
        <f t="shared" si="753"/>
        <v>1745</v>
      </c>
      <c r="AJ274" s="25">
        <f t="shared" si="754"/>
        <v>179.6550541</v>
      </c>
      <c r="AK274" s="22">
        <v>1580.0</v>
      </c>
      <c r="AL274" s="29">
        <f t="shared" si="755"/>
        <v>1.10443038</v>
      </c>
      <c r="AM274" s="27">
        <f t="shared" si="756"/>
        <v>1.5</v>
      </c>
      <c r="AN274" s="26">
        <f t="shared" si="757"/>
        <v>0.1750100581</v>
      </c>
      <c r="AO274" s="28">
        <f t="shared" si="758"/>
        <v>0.2625150871</v>
      </c>
      <c r="AP274" s="27">
        <f t="shared" ref="AP274:AQ274" si="759">SUM(T282)</f>
        <v>247.9849655</v>
      </c>
      <c r="AQ274" s="27">
        <f t="shared" si="759"/>
        <v>6.702296365</v>
      </c>
      <c r="AR274" s="23">
        <f t="shared" si="760"/>
        <v>47.16216216</v>
      </c>
    </row>
    <row r="275" ht="15.75" customHeight="1">
      <c r="A275" s="21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X275" s="31">
        <v>3.0</v>
      </c>
      <c r="Y275" s="31" t="s">
        <v>25</v>
      </c>
      <c r="Z275" s="31">
        <f t="shared" ref="Z275:AI275" si="761">SUM(D283)</f>
        <v>27</v>
      </c>
      <c r="AA275" s="32">
        <f t="shared" si="761"/>
        <v>26</v>
      </c>
      <c r="AB275" s="33">
        <f t="shared" si="761"/>
        <v>4860.736</v>
      </c>
      <c r="AC275" s="32">
        <f t="shared" si="761"/>
        <v>2198</v>
      </c>
      <c r="AD275" s="32">
        <f t="shared" si="761"/>
        <v>372</v>
      </c>
      <c r="AE275" s="32">
        <f t="shared" si="761"/>
        <v>2570</v>
      </c>
      <c r="AF275" s="32">
        <f t="shared" si="761"/>
        <v>2116</v>
      </c>
      <c r="AG275" s="32">
        <f t="shared" si="761"/>
        <v>388</v>
      </c>
      <c r="AH275" s="32">
        <f t="shared" si="761"/>
        <v>2504</v>
      </c>
      <c r="AI275" s="32">
        <f t="shared" si="761"/>
        <v>5074</v>
      </c>
      <c r="AJ275" s="34">
        <f t="shared" si="754"/>
        <v>186.9513846</v>
      </c>
      <c r="AK275" s="31">
        <f>SUM(O283)</f>
        <v>6622</v>
      </c>
      <c r="AL275" s="35">
        <f t="shared" si="755"/>
        <v>0.7662337662</v>
      </c>
      <c r="AM275" s="36">
        <f t="shared" si="756"/>
        <v>1.5</v>
      </c>
      <c r="AN275" s="35">
        <f t="shared" si="757"/>
        <v>0.695916558</v>
      </c>
      <c r="AO275" s="37">
        <f t="shared" si="758"/>
        <v>1.043874837</v>
      </c>
      <c r="AP275" s="36">
        <f t="shared" ref="AP275:AQ275" si="762">SUM(T283)</f>
        <v>203.8899329</v>
      </c>
      <c r="AQ275" s="36">
        <f t="shared" si="762"/>
        <v>7.841920496</v>
      </c>
      <c r="AR275" s="32">
        <f t="shared" si="760"/>
        <v>195.1538462</v>
      </c>
    </row>
    <row r="276" ht="15.75" customHeight="1">
      <c r="A276" s="21"/>
      <c r="B276" s="38">
        <v>1.0</v>
      </c>
      <c r="C276" s="38" t="s">
        <v>26</v>
      </c>
      <c r="D276" s="39">
        <v>16.0</v>
      </c>
      <c r="E276" s="40">
        <f>IFERROR(__xludf.DUMMYFUNCTION("COUNT(IMPORTRANGE(""https://docs.google.com/spreadsheets/d/1z0o91thOT38lgejTE_Bd2p3v_9VCDdQRkUsMIVqpQCk/edit"",""11!d2:d21""))"),16.0)</f>
        <v>16</v>
      </c>
      <c r="F276" s="41">
        <f>IFERROR(__xludf.DUMMYFUNCTION("SUM(IMPORTRANGE(""https://docs.google.com/spreadsheets/d/1z0o91thOT38lgejTE_Bd2p3v_9VCDdQRkUsMIVqpQCk/edit"",""11!Q2:Q21""))"),3042.024)</f>
        <v>3042.024</v>
      </c>
      <c r="G276" s="40">
        <f>IFERROR(__xludf.DUMMYFUNCTION("IMPORTRANGE(""https://docs.google.com/spreadsheets/d/1z0o91thOT38lgejTE_Bd2p3v_9VCDdQRkUsMIVqpQCk/edit"",""11!e28"")"),1506.0)</f>
        <v>1506</v>
      </c>
      <c r="H276" s="40">
        <f>IFERROR(__xludf.DUMMYFUNCTION("IMPORTRANGE(""https://docs.google.com/spreadsheets/d/1z0o91thOT38lgejTE_Bd2p3v_9VCDdQRkUsMIVqpQCk/edit"",""11!e29"")"),0.0)</f>
        <v>0</v>
      </c>
      <c r="I276" s="40">
        <f t="shared" ref="I276:I293" si="765">SUM(G276:H276)</f>
        <v>1506</v>
      </c>
      <c r="J276" s="40">
        <f>IFERROR(__xludf.DUMMYFUNCTION("IMPORTRANGE(""https://docs.google.com/spreadsheets/d/1z0o91thOT38lgejTE_Bd2p3v_9VCDdQRkUsMIVqpQCk/edit"",""11!e32"")"),2374.0)</f>
        <v>2374</v>
      </c>
      <c r="K276" s="40">
        <f>IFERROR(__xludf.DUMMYFUNCTION("IMPORTRANGE(""https://docs.google.com/spreadsheets/d/1z0o91thOT38lgejTE_Bd2p3v_9VCDdQRkUsMIVqpQCk/edit"",""11!e33"")"),0.0)</f>
        <v>0</v>
      </c>
      <c r="L276" s="40">
        <f t="shared" ref="L276:L282" si="766">SUM(J276:K276)</f>
        <v>2374</v>
      </c>
      <c r="M276" s="40">
        <f t="shared" ref="M276:M293" si="767">SUM(I276+L276)</f>
        <v>3880</v>
      </c>
      <c r="N276" s="41">
        <f t="shared" ref="N276:N294" si="768">F276/E276</f>
        <v>190.1265</v>
      </c>
      <c r="O276" s="38">
        <v>5161.0</v>
      </c>
      <c r="P276" s="42">
        <f t="shared" ref="P276:P294" si="769">M276/O276</f>
        <v>0.7517922883</v>
      </c>
      <c r="Q276" s="43">
        <v>1.5</v>
      </c>
      <c r="R276" s="42">
        <f t="shared" ref="R276:R294" si="770">S276/Q276</f>
        <v>0.8503110648</v>
      </c>
      <c r="S276" s="44">
        <f t="shared" ref="S276:S294" si="771">M276/F276</f>
        <v>1.275466597</v>
      </c>
      <c r="T276" s="43">
        <f>F276/14.415</f>
        <v>211.0318418</v>
      </c>
      <c r="U276" s="43">
        <f t="shared" ref="U276:U294" si="772">T276/E276</f>
        <v>13.18949011</v>
      </c>
      <c r="V276" s="40">
        <f t="shared" ref="V276:V294" si="773">M276/E276</f>
        <v>242.5</v>
      </c>
      <c r="X276" s="22">
        <v>4.0</v>
      </c>
      <c r="Y276" s="22" t="s">
        <v>27</v>
      </c>
      <c r="Z276" s="22">
        <f t="shared" ref="Z276:AK276" si="763">SUM(D289)</f>
        <v>24</v>
      </c>
      <c r="AA276" s="23">
        <f t="shared" si="763"/>
        <v>21</v>
      </c>
      <c r="AB276" s="24">
        <f t="shared" si="763"/>
        <v>4086.795</v>
      </c>
      <c r="AC276" s="23">
        <f t="shared" si="763"/>
        <v>1582</v>
      </c>
      <c r="AD276" s="23">
        <f t="shared" si="763"/>
        <v>0</v>
      </c>
      <c r="AE276" s="23">
        <f t="shared" si="763"/>
        <v>1582</v>
      </c>
      <c r="AF276" s="23">
        <f t="shared" si="763"/>
        <v>2548</v>
      </c>
      <c r="AG276" s="23">
        <f t="shared" si="763"/>
        <v>0</v>
      </c>
      <c r="AH276" s="23">
        <f t="shared" si="763"/>
        <v>2548</v>
      </c>
      <c r="AI276" s="23">
        <f t="shared" si="763"/>
        <v>4130</v>
      </c>
      <c r="AJ276" s="25">
        <f t="shared" si="763"/>
        <v>194.6092857</v>
      </c>
      <c r="AK276" s="22">
        <f t="shared" si="763"/>
        <v>8101</v>
      </c>
      <c r="AL276" s="26">
        <f t="shared" si="755"/>
        <v>0.5098136033</v>
      </c>
      <c r="AM276" s="27">
        <f>SUM(Q289)</f>
        <v>1.5</v>
      </c>
      <c r="AN276" s="26">
        <f t="shared" si="757"/>
        <v>0.6737145693</v>
      </c>
      <c r="AO276" s="28">
        <f t="shared" si="758"/>
        <v>1.010571854</v>
      </c>
      <c r="AP276" s="27">
        <f t="shared" ref="AP276:AQ276" si="764">SUM(T289)</f>
        <v>204.4931198</v>
      </c>
      <c r="AQ276" s="27">
        <f t="shared" si="764"/>
        <v>9.737767611</v>
      </c>
      <c r="AR276" s="23">
        <f t="shared" si="760"/>
        <v>196.6666667</v>
      </c>
    </row>
    <row r="277" ht="15.75" customHeight="1">
      <c r="A277" s="21"/>
      <c r="B277" s="38">
        <v>2.0</v>
      </c>
      <c r="C277" s="38" t="s">
        <v>28</v>
      </c>
      <c r="D277" s="39">
        <v>26.0</v>
      </c>
      <c r="E277" s="40">
        <f>IFERROR(__xludf.DUMMYFUNCTION("COUNT(IMPORTRANGE(""https://docs.google.com/spreadsheets/d/10a85iNN0y9GF6ngQfF1JXGAzFk-T7ywH4-TZtQcOTaE/edit"",""11!d2:d34""))"),26.0)</f>
        <v>26</v>
      </c>
      <c r="F277" s="41">
        <f>IFERROR(__xludf.DUMMYFUNCTION("SUM(IMPORTRANGE(""https://docs.google.com/spreadsheets/d/10a85iNN0y9GF6ngQfF1JXGAzFk-T7ywH4-TZtQcOTaE/edit"",""11!Q2:Q34""))"),4938.813999999999)</f>
        <v>4938.814</v>
      </c>
      <c r="G277" s="40">
        <f>IFERROR(__xludf.DUMMYFUNCTION("IMPORTRANGE(""https://docs.google.com/spreadsheets/d/10a85iNN0y9GF6ngQfF1JXGAzFk-T7ywH4-TZtQcOTaE/edit"",""11!e41"")"),1817.0)</f>
        <v>1817</v>
      </c>
      <c r="H277" s="40">
        <f>IFERROR(__xludf.DUMMYFUNCTION("IMPORTRANGE(""https://docs.google.com/spreadsheets/d/10a85iNN0y9GF6ngQfF1JXGAzFk-T7ywH4-TZtQcOTaE/edit"",""11!e42"")"),39.0)</f>
        <v>39</v>
      </c>
      <c r="I277" s="40">
        <f t="shared" si="765"/>
        <v>1856</v>
      </c>
      <c r="J277" s="40">
        <f>IFERROR(__xludf.DUMMYFUNCTION("IMPORTRANGE(""https://docs.google.com/spreadsheets/d/10a85iNN0y9GF6ngQfF1JXGAzFk-T7ywH4-TZtQcOTaE/edit"",""11!e45"")"),2150.0)</f>
        <v>2150</v>
      </c>
      <c r="K277" s="40">
        <f>IFERROR(__xludf.DUMMYFUNCTION("IMPORTRANGE(""https://docs.google.com/spreadsheets/d/10a85iNN0y9GF6ngQfF1JXGAzFk-T7ywH4-TZtQcOTaE/edit"",""11!e46"")"),51.0)</f>
        <v>51</v>
      </c>
      <c r="L277" s="40">
        <f t="shared" si="766"/>
        <v>2201</v>
      </c>
      <c r="M277" s="40">
        <f t="shared" si="767"/>
        <v>4057</v>
      </c>
      <c r="N277" s="41">
        <f t="shared" si="768"/>
        <v>189.9543846</v>
      </c>
      <c r="O277" s="38">
        <v>7315.0</v>
      </c>
      <c r="P277" s="42">
        <f t="shared" si="769"/>
        <v>0.5546138072</v>
      </c>
      <c r="Q277" s="43">
        <v>1.5</v>
      </c>
      <c r="R277" s="42">
        <f t="shared" si="770"/>
        <v>0.5476348505</v>
      </c>
      <c r="S277" s="44">
        <f t="shared" si="771"/>
        <v>0.8214522758</v>
      </c>
      <c r="T277" s="43">
        <f>F277/30.897</f>
        <v>159.8476875</v>
      </c>
      <c r="U277" s="43">
        <f t="shared" si="772"/>
        <v>6.14798798</v>
      </c>
      <c r="V277" s="40">
        <f t="shared" si="773"/>
        <v>156.0384615</v>
      </c>
      <c r="X277" s="22">
        <v>5.0</v>
      </c>
      <c r="Y277" s="22" t="s">
        <v>29</v>
      </c>
      <c r="Z277" s="22">
        <f t="shared" ref="Z277:AI277" si="774">SUM(D292)</f>
        <v>24</v>
      </c>
      <c r="AA277" s="23">
        <f t="shared" si="774"/>
        <v>23</v>
      </c>
      <c r="AB277" s="24">
        <f t="shared" si="774"/>
        <v>4452.498</v>
      </c>
      <c r="AC277" s="23">
        <f t="shared" si="774"/>
        <v>2243</v>
      </c>
      <c r="AD277" s="23">
        <f t="shared" si="774"/>
        <v>0</v>
      </c>
      <c r="AE277" s="23">
        <f t="shared" si="774"/>
        <v>2243</v>
      </c>
      <c r="AF277" s="23">
        <f t="shared" si="774"/>
        <v>2856</v>
      </c>
      <c r="AG277" s="23">
        <f t="shared" si="774"/>
        <v>0</v>
      </c>
      <c r="AH277" s="23">
        <f t="shared" si="774"/>
        <v>2856</v>
      </c>
      <c r="AI277" s="23">
        <f t="shared" si="774"/>
        <v>5099</v>
      </c>
      <c r="AJ277" s="25">
        <f t="shared" ref="AJ277:AJ279" si="777">AB277/AA277</f>
        <v>193.5868696</v>
      </c>
      <c r="AK277" s="22">
        <f t="shared" ref="AK277:AK278" si="778">SUM(O292)</f>
        <v>9201</v>
      </c>
      <c r="AL277" s="26">
        <f t="shared" si="755"/>
        <v>0.5541788936</v>
      </c>
      <c r="AM277" s="27">
        <f t="shared" ref="AM277:AM278" si="779">SUM(Q292)</f>
        <v>1.5</v>
      </c>
      <c r="AN277" s="26">
        <f t="shared" si="757"/>
        <v>0.7634665604</v>
      </c>
      <c r="AO277" s="28">
        <f t="shared" si="758"/>
        <v>1.145199841</v>
      </c>
      <c r="AP277" s="27">
        <f t="shared" ref="AP277:AQ277" si="775">SUM(T292)</f>
        <v>171</v>
      </c>
      <c r="AQ277" s="27">
        <f t="shared" si="775"/>
        <v>7.434782609</v>
      </c>
      <c r="AR277" s="23">
        <f t="shared" si="760"/>
        <v>221.6956522</v>
      </c>
    </row>
    <row r="278" ht="15.75" customHeight="1">
      <c r="A278" s="21"/>
      <c r="B278" s="38">
        <v>3.0</v>
      </c>
      <c r="C278" s="38" t="s">
        <v>30</v>
      </c>
      <c r="D278" s="39">
        <v>48.0</v>
      </c>
      <c r="E278" s="40">
        <f>IFERROR(__xludf.DUMMYFUNCTION("COUNT(IMPORTRANGE(""https://docs.google.com/spreadsheets/d/1WojVzHhpzodJL1e5UDHeu3A3u5MTSZwvxHu0BrwvL9w/edit"",""11!d2:d61""))"),44.0)</f>
        <v>44</v>
      </c>
      <c r="F278" s="45">
        <f>IFERROR(__xludf.DUMMYFUNCTION("SUM(IMPORTRANGE(""https://docs.google.com/spreadsheets/d/1WojVzHhpzodJL1e5UDHeu3A3u5MTSZwvxHu0BrwvL9w/edit"",""11!Q2:Q61""))"),8377.648999999996)</f>
        <v>8377.649</v>
      </c>
      <c r="G278" s="40">
        <f>IFERROR(__xludf.DUMMYFUNCTION("IMPORTRANGE(""https://docs.google.com/spreadsheets/d/1WojVzHhpzodJL1e5UDHeu3A3u5MTSZwvxHu0BrwvL9w/edit"",""11!e68"")"),2443.0)</f>
        <v>2443</v>
      </c>
      <c r="H278" s="40">
        <f>IFERROR(__xludf.DUMMYFUNCTION("IMPORTRANGE(""https://docs.google.com/spreadsheets/d/1WojVzHhpzodJL1e5UDHeu3A3u5MTSZwvxHu0BrwvL9w/edit"",""11!e69"")"),0.0)</f>
        <v>0</v>
      </c>
      <c r="I278" s="40">
        <f t="shared" si="765"/>
        <v>2443</v>
      </c>
      <c r="J278" s="40">
        <f>IFERROR(__xludf.DUMMYFUNCTION("IMPORTRANGE(""https://docs.google.com/spreadsheets/d/1WojVzHhpzodJL1e5UDHeu3A3u5MTSZwvxHu0BrwvL9w/edit"",""11!e72"")"),4258.0)</f>
        <v>4258</v>
      </c>
      <c r="K278" s="40">
        <f>IFERROR(__xludf.DUMMYFUNCTION("IMPORTRANGE(""https://docs.google.com/spreadsheets/d/1WojVzHhpzodJL1e5UDHeu3A3u5MTSZwvxHu0BrwvL9w/edit"",""11!e73"")"),0.0)</f>
        <v>0</v>
      </c>
      <c r="L278" s="40">
        <f t="shared" si="766"/>
        <v>4258</v>
      </c>
      <c r="M278" s="40">
        <f t="shared" si="767"/>
        <v>6701</v>
      </c>
      <c r="N278" s="41">
        <f t="shared" si="768"/>
        <v>190.4011136</v>
      </c>
      <c r="O278" s="38">
        <v>11164.0</v>
      </c>
      <c r="P278" s="42">
        <f t="shared" si="769"/>
        <v>0.6002328914</v>
      </c>
      <c r="Q278" s="43">
        <v>1.5</v>
      </c>
      <c r="R278" s="42">
        <f t="shared" si="770"/>
        <v>0.533244271</v>
      </c>
      <c r="S278" s="44">
        <f t="shared" si="771"/>
        <v>0.7998664064</v>
      </c>
      <c r="T278" s="43">
        <f>F278/29.603</f>
        <v>283</v>
      </c>
      <c r="U278" s="43">
        <f t="shared" si="772"/>
        <v>6.431818182</v>
      </c>
      <c r="V278" s="40">
        <f t="shared" si="773"/>
        <v>152.2954545</v>
      </c>
      <c r="X278" s="22">
        <v>6.0</v>
      </c>
      <c r="Y278" s="22" t="s">
        <v>31</v>
      </c>
      <c r="Z278" s="22">
        <f t="shared" ref="Z278:AI278" si="776">SUM(D293)</f>
        <v>12</v>
      </c>
      <c r="AA278" s="23">
        <f t="shared" si="776"/>
        <v>12</v>
      </c>
      <c r="AB278" s="25">
        <f t="shared" si="776"/>
        <v>2303.645</v>
      </c>
      <c r="AC278" s="23">
        <f t="shared" si="776"/>
        <v>648</v>
      </c>
      <c r="AD278" s="23">
        <f t="shared" si="776"/>
        <v>9</v>
      </c>
      <c r="AE278" s="23">
        <f t="shared" si="776"/>
        <v>657</v>
      </c>
      <c r="AF278" s="23">
        <f t="shared" si="776"/>
        <v>838</v>
      </c>
      <c r="AG278" s="23">
        <f t="shared" si="776"/>
        <v>0</v>
      </c>
      <c r="AH278" s="23">
        <f t="shared" si="776"/>
        <v>838</v>
      </c>
      <c r="AI278" s="23">
        <f t="shared" si="776"/>
        <v>1495</v>
      </c>
      <c r="AJ278" s="25">
        <f t="shared" si="777"/>
        <v>191.9704167</v>
      </c>
      <c r="AK278" s="22">
        <f t="shared" si="778"/>
        <v>2717</v>
      </c>
      <c r="AL278" s="26">
        <f t="shared" si="755"/>
        <v>0.5502392344</v>
      </c>
      <c r="AM278" s="27">
        <f t="shared" si="779"/>
        <v>1.5</v>
      </c>
      <c r="AN278" s="26">
        <f t="shared" si="757"/>
        <v>0.4326476808</v>
      </c>
      <c r="AO278" s="28">
        <f t="shared" si="758"/>
        <v>0.6489715212</v>
      </c>
      <c r="AP278" s="27">
        <f t="shared" ref="AP278:AQ278" si="780">SUM(T293)</f>
        <v>53</v>
      </c>
      <c r="AQ278" s="27">
        <f t="shared" si="780"/>
        <v>4.416666667</v>
      </c>
      <c r="AR278" s="23">
        <f t="shared" si="760"/>
        <v>124.5833333</v>
      </c>
    </row>
    <row r="279" ht="15.75" customHeight="1">
      <c r="A279" s="21"/>
      <c r="B279" s="38">
        <v>4.0</v>
      </c>
      <c r="C279" s="38" t="s">
        <v>32</v>
      </c>
      <c r="D279" s="39">
        <v>33.0</v>
      </c>
      <c r="E279" s="40">
        <f>IFERROR(__xludf.DUMMYFUNCTION("COUNT(IMPORTRANGE(""https://docs.google.com/spreadsheets/d/1vmCj5YcMSPHj1m64syDndQ6cqVL3yolcU03Y8KHmvdc/edit"",""11!d2:d43""))"),33.0)</f>
        <v>33</v>
      </c>
      <c r="F279" s="45">
        <f>IFERROR(__xludf.DUMMYFUNCTION("SUM(IMPORTRANGE(""https://docs.google.com/spreadsheets/d/1vmCj5YcMSPHj1m64syDndQ6cqVL3yolcU03Y8KHmvdc/edit"",""11!Q2:Q43""))"),6126.013999999997)</f>
        <v>6126.014</v>
      </c>
      <c r="G279" s="38">
        <f>IFERROR(__xludf.DUMMYFUNCTION("IMPORTRANGE(""https://docs.google.com/spreadsheets/d/1vmCj5YcMSPHj1m64syDndQ6cqVL3yolcU03Y8KHmvdc/edit"",""11!e50"")"),3675.0)</f>
        <v>3675</v>
      </c>
      <c r="H279" s="38">
        <f>IFERROR(__xludf.DUMMYFUNCTION("IMPORTRANGE(""https://docs.google.com/spreadsheets/d/1vmCj5YcMSPHj1m64syDndQ6cqVL3yolcU03Y8KHmvdc/edit"",""11!e51"")"),143.0)</f>
        <v>143</v>
      </c>
      <c r="I279" s="40">
        <f t="shared" si="765"/>
        <v>3818</v>
      </c>
      <c r="J279" s="38">
        <f>IFERROR(__xludf.DUMMYFUNCTION("IMPORTRANGE(""https://docs.google.com/spreadsheets/d/1vmCj5YcMSPHj1m64syDndQ6cqVL3yolcU03Y8KHmvdc/edit"",""11!e54"")"),4297.0)</f>
        <v>4297</v>
      </c>
      <c r="K279" s="38">
        <f>IFERROR(__xludf.DUMMYFUNCTION("IMPORTRANGE(""https://docs.google.com/spreadsheets/d/1vmCj5YcMSPHj1m64syDndQ6cqVL3yolcU03Y8KHmvdc/edit"",""11!e55"")"),120.0)</f>
        <v>120</v>
      </c>
      <c r="L279" s="40">
        <f t="shared" si="766"/>
        <v>4417</v>
      </c>
      <c r="M279" s="40">
        <f t="shared" si="767"/>
        <v>8235</v>
      </c>
      <c r="N279" s="41">
        <f t="shared" si="768"/>
        <v>185.6367879</v>
      </c>
      <c r="O279" s="38">
        <v>13817.0</v>
      </c>
      <c r="P279" s="42">
        <f t="shared" si="769"/>
        <v>0.5960049215</v>
      </c>
      <c r="Q279" s="43">
        <v>1.5</v>
      </c>
      <c r="R279" s="42">
        <f t="shared" si="770"/>
        <v>0.8961781674</v>
      </c>
      <c r="S279" s="44">
        <f t="shared" si="771"/>
        <v>1.344267251</v>
      </c>
      <c r="T279" s="43">
        <f>F279/25.089</f>
        <v>244.1713101</v>
      </c>
      <c r="U279" s="43">
        <f t="shared" si="772"/>
        <v>7.39913061</v>
      </c>
      <c r="V279" s="40">
        <f t="shared" si="773"/>
        <v>249.5454545</v>
      </c>
      <c r="X279" s="46" t="s">
        <v>33</v>
      </c>
      <c r="Y279" s="46">
        <v>6.0</v>
      </c>
      <c r="Z279" s="46">
        <f t="shared" ref="Z279:AI279" si="781">SUM(Z273:Z278)</f>
        <v>152</v>
      </c>
      <c r="AA279" s="47">
        <f t="shared" si="781"/>
        <v>146</v>
      </c>
      <c r="AB279" s="48">
        <f t="shared" si="781"/>
        <v>27648.091</v>
      </c>
      <c r="AC279" s="47">
        <f t="shared" si="781"/>
        <v>8832</v>
      </c>
      <c r="AD279" s="47">
        <f t="shared" si="781"/>
        <v>381</v>
      </c>
      <c r="AE279" s="47">
        <f t="shared" si="781"/>
        <v>9213</v>
      </c>
      <c r="AF279" s="47">
        <f t="shared" si="781"/>
        <v>11783</v>
      </c>
      <c r="AG279" s="47">
        <f t="shared" si="781"/>
        <v>388</v>
      </c>
      <c r="AH279" s="47">
        <f t="shared" si="781"/>
        <v>12171</v>
      </c>
      <c r="AI279" s="47">
        <f t="shared" si="781"/>
        <v>21384</v>
      </c>
      <c r="AJ279" s="49">
        <f t="shared" si="777"/>
        <v>189.3704863</v>
      </c>
      <c r="AK279" s="46">
        <f>SUM(AK273:AK278)</f>
        <v>35074</v>
      </c>
      <c r="AL279" s="50">
        <f t="shared" si="755"/>
        <v>0.6096823858</v>
      </c>
      <c r="AM279" s="51">
        <v>1.5</v>
      </c>
      <c r="AN279" s="50">
        <f t="shared" si="757"/>
        <v>0.5156233029</v>
      </c>
      <c r="AO279" s="52">
        <f t="shared" si="758"/>
        <v>0.7734349543</v>
      </c>
      <c r="AP279" s="51">
        <f>SUM(AP273:AP278)</f>
        <v>1037.368018</v>
      </c>
      <c r="AQ279" s="51">
        <f>AP279/AA279</f>
        <v>7.105260399</v>
      </c>
      <c r="AR279" s="47">
        <f t="shared" si="760"/>
        <v>146.4657534</v>
      </c>
    </row>
    <row r="280" ht="15.75" customHeight="1">
      <c r="A280" s="21"/>
      <c r="B280" s="38">
        <v>5.0</v>
      </c>
      <c r="C280" s="38" t="s">
        <v>34</v>
      </c>
      <c r="D280" s="39">
        <v>32.0</v>
      </c>
      <c r="E280" s="40">
        <f>IFERROR(__xludf.DUMMYFUNCTION("COUNT(IMPORTRANGE(""https://docs.google.com/spreadsheets/d/14_Y-fpuq1wcec3DlT_1PBYekOC0YblQMrWVfO12YO3k/edit"",""11!d2:d41""))"),32.0)</f>
        <v>32</v>
      </c>
      <c r="F280" s="45">
        <f>IFERROR(__xludf.DUMMYFUNCTION("SUM(IMPORTRANGE(""https://docs.google.com/spreadsheets/d/14_Y-fpuq1wcec3DlT_1PBYekOC0YblQMrWVfO12YO3k/edit"",""11!Q2:Q41""))"),5981.217000000001)</f>
        <v>5981.217</v>
      </c>
      <c r="G280" s="40">
        <f>IFERROR(__xludf.DUMMYFUNCTION("IMPORTRANGE(""https://docs.google.com/spreadsheets/d/14_Y-fpuq1wcec3DlT_1PBYekOC0YblQMrWVfO12YO3k/edit"",""11!e48"")"),2110.0)</f>
        <v>2110</v>
      </c>
      <c r="H280" s="40">
        <f>IFERROR(__xludf.DUMMYFUNCTION("IMPORTRANGE(""https://docs.google.com/spreadsheets/d/14_Y-fpuq1wcec3DlT_1PBYekOC0YblQMrWVfO12YO3k/edit"",""11!e49"")"),0.0)</f>
        <v>0</v>
      </c>
      <c r="I280" s="40">
        <f t="shared" si="765"/>
        <v>2110</v>
      </c>
      <c r="J280" s="40">
        <f>IFERROR(__xludf.DUMMYFUNCTION("IMPORTRANGE(""https://docs.google.com/spreadsheets/d/14_Y-fpuq1wcec3DlT_1PBYekOC0YblQMrWVfO12YO3k/edit"",""11!e52"")"),2341.0)</f>
        <v>2341</v>
      </c>
      <c r="K280" s="40">
        <f>IFERROR(__xludf.DUMMYFUNCTION("IMPORTRANGE(""https://docs.google.com/spreadsheets/d/14_Y-fpuq1wcec3DlT_1PBYekOC0YblQMrWVfO12YO3k/edit"",""11!e53"")"),0.0)</f>
        <v>0</v>
      </c>
      <c r="L280" s="40">
        <f t="shared" si="766"/>
        <v>2341</v>
      </c>
      <c r="M280" s="40">
        <f t="shared" si="767"/>
        <v>4451</v>
      </c>
      <c r="N280" s="41">
        <f t="shared" si="768"/>
        <v>186.9130313</v>
      </c>
      <c r="O280" s="38">
        <v>9354.0</v>
      </c>
      <c r="P280" s="42">
        <f t="shared" si="769"/>
        <v>0.4758392132</v>
      </c>
      <c r="Q280" s="43">
        <v>1.5</v>
      </c>
      <c r="R280" s="42">
        <f t="shared" si="770"/>
        <v>0.4961086236</v>
      </c>
      <c r="S280" s="44">
        <f t="shared" si="771"/>
        <v>0.7441629354</v>
      </c>
      <c r="T280" s="43">
        <f>F280/30.713</f>
        <v>194.7454498</v>
      </c>
      <c r="U280" s="43">
        <f t="shared" si="772"/>
        <v>6.085795307</v>
      </c>
      <c r="V280" s="40">
        <f t="shared" si="773"/>
        <v>139.09375</v>
      </c>
      <c r="X280" s="53" t="s">
        <v>35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6"/>
    </row>
    <row r="281" ht="15.75" customHeight="1">
      <c r="A281" s="21"/>
      <c r="B281" s="38">
        <v>6.0</v>
      </c>
      <c r="C281" s="38" t="s">
        <v>23</v>
      </c>
      <c r="D281" s="39">
        <v>28.0</v>
      </c>
      <c r="E281" s="40">
        <f>IFERROR(__xludf.DUMMYFUNCTION("COUNT(IMPORTRANGE(""https://docs.google.com/spreadsheets/d/1lJqjdj05V4LOXuBOiTdE65GV4ZITyx1cMLcDdcuoUnE/edit"",""11!d2:d36""))"),27.0)</f>
        <v>27</v>
      </c>
      <c r="F281" s="45">
        <f>IFERROR(__xludf.DUMMYFUNCTION("SUM(IMPORTRANGE(""https://docs.google.com/spreadsheets/d/1lJqjdj05V4LOXuBOiTdE65GV4ZITyx1cMLcDdcuoUnE/edit"",""11!Q2:Q36""))"),5297.1799999999985)</f>
        <v>5297.18</v>
      </c>
      <c r="G281" s="40">
        <f>IFERROR(__xludf.DUMMYFUNCTION("IMPORTRANGE(""https://docs.google.com/spreadsheets/d/1lJqjdj05V4LOXuBOiTdE65GV4ZITyx1cMLcDdcuoUnE/edit"",""11!e43"")"),1344.0)</f>
        <v>1344</v>
      </c>
      <c r="H281" s="40">
        <f>IFERROR(__xludf.DUMMYFUNCTION("IMPORTRANGE(""https://docs.google.com/spreadsheets/d/1lJqjdj05V4LOXuBOiTdE65GV4ZITyx1cMLcDdcuoUnE/edit"",""11!e44"")"),0.0)</f>
        <v>0</v>
      </c>
      <c r="I281" s="40">
        <f t="shared" si="765"/>
        <v>1344</v>
      </c>
      <c r="J281" s="40">
        <f>IFERROR(__xludf.DUMMYFUNCTION("IMPORTRANGE(""https://docs.google.com/spreadsheets/d/1lJqjdj05V4LOXuBOiTdE65GV4ZITyx1cMLcDdcuoUnE/edit"",""11!e47"")"),2497.0)</f>
        <v>2497</v>
      </c>
      <c r="K281" s="40">
        <f>IFERROR(__xludf.DUMMYFUNCTION("IMPORTRANGE(""https://docs.google.com/spreadsheets/d/1lJqjdj05V4LOXuBOiTdE65GV4ZITyx1cMLcDdcuoUnE/edit"",""11!e48"")"),0.0)</f>
        <v>0</v>
      </c>
      <c r="L281" s="40">
        <f t="shared" si="766"/>
        <v>2497</v>
      </c>
      <c r="M281" s="40">
        <f t="shared" si="767"/>
        <v>3841</v>
      </c>
      <c r="N281" s="41">
        <f t="shared" si="768"/>
        <v>196.1918519</v>
      </c>
      <c r="O281" s="38">
        <v>6853.0</v>
      </c>
      <c r="P281" s="42">
        <f t="shared" si="769"/>
        <v>0.5604844594</v>
      </c>
      <c r="Q281" s="43">
        <v>1.5</v>
      </c>
      <c r="R281" s="42">
        <f t="shared" si="770"/>
        <v>0.4834018604</v>
      </c>
      <c r="S281" s="44">
        <f t="shared" si="771"/>
        <v>0.7251027905</v>
      </c>
      <c r="T281" s="43">
        <f>F281/33.74</f>
        <v>157</v>
      </c>
      <c r="U281" s="43">
        <f t="shared" si="772"/>
        <v>5.814814815</v>
      </c>
      <c r="V281" s="40">
        <f t="shared" si="773"/>
        <v>142.2592593</v>
      </c>
      <c r="X281" s="14" t="s">
        <v>2</v>
      </c>
      <c r="Y281" s="14" t="s">
        <v>3</v>
      </c>
      <c r="Z281" s="14" t="s">
        <v>4</v>
      </c>
      <c r="AA281" s="14" t="s">
        <v>5</v>
      </c>
      <c r="AB281" s="15" t="s">
        <v>6</v>
      </c>
      <c r="AC281" s="14" t="s">
        <v>7</v>
      </c>
      <c r="AD281" s="14" t="s">
        <v>8</v>
      </c>
      <c r="AE281" s="14" t="s">
        <v>9</v>
      </c>
      <c r="AF281" s="14" t="s">
        <v>10</v>
      </c>
      <c r="AG281" s="14" t="s">
        <v>11</v>
      </c>
      <c r="AH281" s="14" t="s">
        <v>12</v>
      </c>
      <c r="AI281" s="14" t="s">
        <v>13</v>
      </c>
      <c r="AJ281" s="15" t="s">
        <v>14</v>
      </c>
      <c r="AK281" s="14" t="s">
        <v>15</v>
      </c>
      <c r="AL281" s="14" t="s">
        <v>16</v>
      </c>
      <c r="AM281" s="16" t="s">
        <v>17</v>
      </c>
      <c r="AN281" s="17" t="s">
        <v>18</v>
      </c>
      <c r="AO281" s="18" t="s">
        <v>19</v>
      </c>
      <c r="AP281" s="19" t="s">
        <v>20</v>
      </c>
      <c r="AQ281" s="19" t="s">
        <v>21</v>
      </c>
      <c r="AR281" s="20" t="s">
        <v>22</v>
      </c>
    </row>
    <row r="282" ht="15.75" customHeight="1">
      <c r="A282" s="21"/>
      <c r="B282" s="38">
        <v>7.0</v>
      </c>
      <c r="C282" s="38" t="s">
        <v>24</v>
      </c>
      <c r="D282" s="39">
        <v>37.0</v>
      </c>
      <c r="E282" s="54">
        <f>IFERROR(__xludf.DUMMYFUNCTION("COUNT(IMPORTRANGE(""https://docs.google.com/spreadsheets/d/1_7EEO26q9Yq-XhNFiy7I6Zh4Yg6uGjTs9y0UqNvPKcQ/edit"",""11!d2:d45""))"),37.0)</f>
        <v>37</v>
      </c>
      <c r="F282" s="55">
        <f>IFERROR(__xludf.DUMMYFUNCTION("SUM(IMPORTRANGE(""https://docs.google.com/spreadsheets/d/1_7EEO26q9Yq-XhNFiy7I6Zh4Yg6uGjTs9y0UqNvPKcQ/edit"",""11!Q2:Q45""))"),6647.2369999999955)</f>
        <v>6647.237</v>
      </c>
      <c r="G282" s="54">
        <f>IFERROR(__xludf.DUMMYFUNCTION("IMPORTRANGE(""https://docs.google.com/spreadsheets/d/1_7EEO26q9Yq-XhNFiy7I6Zh4Yg6uGjTs9y0UqNvPKcQ/edit"",""11!e53"")"),817.0)</f>
        <v>817</v>
      </c>
      <c r="H282" s="54">
        <f>IFERROR(__xludf.DUMMYFUNCTION("IMPORTRANGE(""https://docs.google.com/spreadsheets/d/1_7EEO26q9Yq-XhNFiy7I6Zh4Yg6uGjTs9y0UqNvPKcQ/edit"",""11!e54"")"),0.0)</f>
        <v>0</v>
      </c>
      <c r="I282" s="54">
        <f t="shared" si="765"/>
        <v>817</v>
      </c>
      <c r="J282" s="54">
        <f>IFERROR(__xludf.DUMMYFUNCTION("IMPORTRANGE(""https://docs.google.com/spreadsheets/d/1_7EEO26q9Yq-XhNFiy7I6Zh4Yg6uGjTs9y0UqNvPKcQ/edit"",""11!e57"")"),928.0)</f>
        <v>928</v>
      </c>
      <c r="K282" s="54">
        <f>IFERROR(__xludf.DUMMYFUNCTION("IMPORTRANGE(""https://docs.google.com/spreadsheets/d/1_7EEO26q9Yq-XhNFiy7I6Zh4Yg6uGjTs9y0UqNvPKcQ/edit"",""11!e58"")"),0.0)</f>
        <v>0</v>
      </c>
      <c r="L282" s="40">
        <f t="shared" si="766"/>
        <v>928</v>
      </c>
      <c r="M282" s="40">
        <f t="shared" si="767"/>
        <v>1745</v>
      </c>
      <c r="N282" s="41">
        <f t="shared" si="768"/>
        <v>179.6550541</v>
      </c>
      <c r="O282" s="38">
        <v>1580.0</v>
      </c>
      <c r="P282" s="56">
        <f t="shared" si="769"/>
        <v>1.10443038</v>
      </c>
      <c r="Q282" s="43">
        <v>1.5</v>
      </c>
      <c r="R282" s="42">
        <f t="shared" si="770"/>
        <v>0.1750100581</v>
      </c>
      <c r="S282" s="44">
        <f t="shared" si="771"/>
        <v>0.2625150871</v>
      </c>
      <c r="T282" s="43">
        <f>F282/26.805</f>
        <v>247.9849655</v>
      </c>
      <c r="U282" s="43">
        <f t="shared" si="772"/>
        <v>6.702296365</v>
      </c>
      <c r="V282" s="40">
        <f t="shared" si="773"/>
        <v>47.16216216</v>
      </c>
      <c r="X282" s="22">
        <v>1.0</v>
      </c>
      <c r="Y282" s="22" t="s">
        <v>28</v>
      </c>
      <c r="Z282" s="22">
        <f t="shared" ref="Z282:AI282" si="782">SUM(D277)</f>
        <v>26</v>
      </c>
      <c r="AA282" s="23">
        <f t="shared" si="782"/>
        <v>26</v>
      </c>
      <c r="AB282" s="25">
        <f t="shared" si="782"/>
        <v>4938.814</v>
      </c>
      <c r="AC282" s="23">
        <f t="shared" si="782"/>
        <v>1817</v>
      </c>
      <c r="AD282" s="23">
        <f t="shared" si="782"/>
        <v>39</v>
      </c>
      <c r="AE282" s="23">
        <f t="shared" si="782"/>
        <v>1856</v>
      </c>
      <c r="AF282" s="23">
        <f t="shared" si="782"/>
        <v>2150</v>
      </c>
      <c r="AG282" s="23">
        <f t="shared" si="782"/>
        <v>51</v>
      </c>
      <c r="AH282" s="23">
        <f t="shared" si="782"/>
        <v>2201</v>
      </c>
      <c r="AI282" s="23">
        <f t="shared" si="782"/>
        <v>4057</v>
      </c>
      <c r="AJ282" s="25">
        <f t="shared" ref="AJ282:AJ288" si="785">AB282/AA282</f>
        <v>189.9543846</v>
      </c>
      <c r="AK282" s="22">
        <f t="shared" ref="AK282:AK283" si="786">SUM(O277)</f>
        <v>7315</v>
      </c>
      <c r="AL282" s="26">
        <f t="shared" ref="AL282:AL288" si="787">AI282/AK282</f>
        <v>0.5546138072</v>
      </c>
      <c r="AM282" s="27">
        <f t="shared" ref="AM282:AM283" si="788">SUM(Q277)</f>
        <v>1.5</v>
      </c>
      <c r="AN282" s="26">
        <f t="shared" ref="AN282:AN288" si="789">AO282/AM282</f>
        <v>0.5476348505</v>
      </c>
      <c r="AO282" s="28">
        <f t="shared" ref="AO282:AO288" si="790">AI282/AB282</f>
        <v>0.8214522758</v>
      </c>
      <c r="AP282" s="27">
        <f t="shared" ref="AP282:AQ282" si="783">SUM(T277)</f>
        <v>159.8476875</v>
      </c>
      <c r="AQ282" s="27">
        <f t="shared" si="783"/>
        <v>6.14798798</v>
      </c>
      <c r="AR282" s="23">
        <f t="shared" ref="AR282:AR288" si="792">AI282/AA282</f>
        <v>156.0384615</v>
      </c>
    </row>
    <row r="283" ht="15.75" customHeight="1">
      <c r="A283" s="21"/>
      <c r="B283" s="38">
        <v>8.0</v>
      </c>
      <c r="C283" s="38" t="s">
        <v>25</v>
      </c>
      <c r="D283" s="57">
        <v>27.0</v>
      </c>
      <c r="E283" s="40">
        <f>IFERROR(__xludf.DUMMYFUNCTION("COUNT(IMPORTRANGE(""https://docs.google.com/spreadsheets/d/1vLOLpiE-XsbnCnwWPcoi87PlUSXfqIAAQn3kvqHfO6s/edit"",""11!d2:D33""))"),26.0)</f>
        <v>26</v>
      </c>
      <c r="F283" s="45">
        <f>IFERROR(__xludf.DUMMYFUNCTION("SUM(IMPORTRANGE(""https://docs.google.com/spreadsheets/d/1vLOLpiE-XsbnCnwWPcoi87PlUSXfqIAAQn3kvqHfO6s/edit"",""11!Q2:Q33""))"),4860.735999999999)</f>
        <v>4860.736</v>
      </c>
      <c r="G283" s="40">
        <f>IFERROR(__xludf.DUMMYFUNCTION("IMPORTRANGE(""https://docs.google.com/spreadsheets/d/1vLOLpiE-XsbnCnwWPcoi87PlUSXfqIAAQn3kvqHfO6s/edit"",""11!e40"")"),2198.0)</f>
        <v>2198</v>
      </c>
      <c r="H283" s="40">
        <f>IFERROR(__xludf.DUMMYFUNCTION("IMPORTRANGE(""https://docs.google.com/spreadsheets/d/1vLOLpiE-XsbnCnwWPcoi87PlUSXfqIAAQn3kvqHfO6s/edit"",""11!e41"")"),372.0)</f>
        <v>372</v>
      </c>
      <c r="I283" s="40">
        <f t="shared" si="765"/>
        <v>2570</v>
      </c>
      <c r="J283" s="40">
        <f>IFERROR(__xludf.DUMMYFUNCTION("IMPORTRANGE(""https://docs.google.com/spreadsheets/d/1vLOLpiE-XsbnCnwWPcoi87PlUSXfqIAAQn3kvqHfO6s/edit"",""11!e44"")"),2116.0)</f>
        <v>2116</v>
      </c>
      <c r="K283" s="40">
        <f>IFERROR(__xludf.DUMMYFUNCTION("IMPORTRANGE(""https://docs.google.com/spreadsheets/d/1vLOLpiE-XsbnCnwWPcoi87PlUSXfqIAAQn3kvqHfO6s/edit"",""11!e45"")"),388.0)</f>
        <v>388</v>
      </c>
      <c r="L283" s="40">
        <f>J283+K283</f>
        <v>2504</v>
      </c>
      <c r="M283" s="40">
        <f t="shared" si="767"/>
        <v>5074</v>
      </c>
      <c r="N283" s="41">
        <f t="shared" si="768"/>
        <v>186.9513846</v>
      </c>
      <c r="O283" s="38">
        <v>6622.0</v>
      </c>
      <c r="P283" s="42">
        <f t="shared" si="769"/>
        <v>0.7662337662</v>
      </c>
      <c r="Q283" s="43">
        <v>1.5</v>
      </c>
      <c r="R283" s="42">
        <f t="shared" si="770"/>
        <v>0.695916558</v>
      </c>
      <c r="S283" s="44">
        <f t="shared" si="771"/>
        <v>1.043874837</v>
      </c>
      <c r="T283" s="43">
        <f>F283/23.84</f>
        <v>203.8899329</v>
      </c>
      <c r="U283" s="43">
        <f t="shared" si="772"/>
        <v>7.841920496</v>
      </c>
      <c r="V283" s="40">
        <f t="shared" si="773"/>
        <v>195.1538462</v>
      </c>
      <c r="X283" s="31">
        <v>2.0</v>
      </c>
      <c r="Y283" s="31" t="s">
        <v>30</v>
      </c>
      <c r="Z283" s="31">
        <f t="shared" ref="Z283:AI283" si="784">SUM(D278)</f>
        <v>48</v>
      </c>
      <c r="AA283" s="32">
        <f t="shared" si="784"/>
        <v>44</v>
      </c>
      <c r="AB283" s="33">
        <f t="shared" si="784"/>
        <v>8377.649</v>
      </c>
      <c r="AC283" s="32">
        <f t="shared" si="784"/>
        <v>2443</v>
      </c>
      <c r="AD283" s="32">
        <f t="shared" si="784"/>
        <v>0</v>
      </c>
      <c r="AE283" s="32">
        <f t="shared" si="784"/>
        <v>2443</v>
      </c>
      <c r="AF283" s="32">
        <f t="shared" si="784"/>
        <v>4258</v>
      </c>
      <c r="AG283" s="32">
        <f t="shared" si="784"/>
        <v>0</v>
      </c>
      <c r="AH283" s="32">
        <f t="shared" si="784"/>
        <v>4258</v>
      </c>
      <c r="AI283" s="32">
        <f t="shared" si="784"/>
        <v>6701</v>
      </c>
      <c r="AJ283" s="34">
        <f t="shared" si="785"/>
        <v>190.4011136</v>
      </c>
      <c r="AK283" s="31">
        <f t="shared" si="786"/>
        <v>11164</v>
      </c>
      <c r="AL283" s="35">
        <f t="shared" si="787"/>
        <v>0.6002328914</v>
      </c>
      <c r="AM283" s="36">
        <f t="shared" si="788"/>
        <v>1.5</v>
      </c>
      <c r="AN283" s="35">
        <f t="shared" si="789"/>
        <v>0.533244271</v>
      </c>
      <c r="AO283" s="37">
        <f t="shared" si="790"/>
        <v>0.7998664064</v>
      </c>
      <c r="AP283" s="36">
        <f t="shared" ref="AP283:AQ283" si="791">SUM(T278)</f>
        <v>283</v>
      </c>
      <c r="AQ283" s="36">
        <f t="shared" si="791"/>
        <v>6.431818182</v>
      </c>
      <c r="AR283" s="32">
        <f t="shared" si="792"/>
        <v>152.2954545</v>
      </c>
    </row>
    <row r="284" ht="15.75" customHeight="1">
      <c r="A284" s="21"/>
      <c r="B284" s="38">
        <v>9.0</v>
      </c>
      <c r="C284" s="38" t="s">
        <v>36</v>
      </c>
      <c r="D284" s="57">
        <v>24.0</v>
      </c>
      <c r="E284" s="40">
        <f>IFERROR(__xludf.DUMMYFUNCTION("COUNT(IMPORTRANGE(""https://docs.google.com/spreadsheets/d/1WJJVq25XDtGjt-J2JPxeKs3jIvDZtkIREC0lFPXwf74/edit"",""11!d2:d31""))"),24.0)</f>
        <v>24</v>
      </c>
      <c r="F284" s="45">
        <f>IFERROR(__xludf.DUMMYFUNCTION("SUM(IMPORTRANGE(""https://docs.google.com/spreadsheets/d/1WJJVq25XDtGjt-J2JPxeKs3jIvDZtkIREC0lFPXwf74/edit"",""11!Q2:Q31""))"),4608.306)</f>
        <v>4608.306</v>
      </c>
      <c r="G284" s="40">
        <f>IFERROR(__xludf.DUMMYFUNCTION("IMPORTRANGE(""https://docs.google.com/spreadsheets/d/1WJJVq25XDtGjt-J2JPxeKs3jIvDZtkIREC0lFPXwf74/edit"",""11!e38"")"),1105.0)</f>
        <v>1105</v>
      </c>
      <c r="H284" s="40">
        <f>IFERROR(__xludf.DUMMYFUNCTION("IMPORTRANGE(""https://docs.google.com/spreadsheets/d/1WJJVq25XDtGjt-J2JPxeKs3jIvDZtkIREC0lFPXwf74/edit"",""11!e39"")"),0.0)</f>
        <v>0</v>
      </c>
      <c r="I284" s="40">
        <f t="shared" si="765"/>
        <v>1105</v>
      </c>
      <c r="J284" s="40">
        <f>IFERROR(__xludf.DUMMYFUNCTION("IMPORTRANGE(""https://docs.google.com/spreadsheets/d/1WJJVq25XDtGjt-J2JPxeKs3jIvDZtkIREC0lFPXwf74/edit"",""11!e42"")"),1650.0)</f>
        <v>1650</v>
      </c>
      <c r="K284" s="40">
        <f>IFERROR(__xludf.DUMMYFUNCTION("IMPORTRANGE(""https://docs.google.com/spreadsheets/d/1WJJVq25XDtGjt-J2JPxeKs3jIvDZtkIREC0lFPXwf74/edit"",""11!e43"")"),0.0)</f>
        <v>0</v>
      </c>
      <c r="L284" s="40">
        <f t="shared" ref="L284:L293" si="795">SUM(J284:K284)</f>
        <v>1650</v>
      </c>
      <c r="M284" s="40">
        <f t="shared" si="767"/>
        <v>2755</v>
      </c>
      <c r="N284" s="41">
        <f t="shared" si="768"/>
        <v>192.01275</v>
      </c>
      <c r="O284" s="38">
        <v>4796.0</v>
      </c>
      <c r="P284" s="42">
        <f t="shared" si="769"/>
        <v>0.5744370309</v>
      </c>
      <c r="Q284" s="43">
        <v>1.5</v>
      </c>
      <c r="R284" s="42">
        <f t="shared" si="770"/>
        <v>0.3985557093</v>
      </c>
      <c r="S284" s="44">
        <f t="shared" si="771"/>
        <v>0.597833564</v>
      </c>
      <c r="T284" s="43">
        <f>F284/37.414</f>
        <v>123.1706313</v>
      </c>
      <c r="U284" s="43">
        <f t="shared" si="772"/>
        <v>5.132109638</v>
      </c>
      <c r="V284" s="40">
        <f t="shared" si="773"/>
        <v>114.7916667</v>
      </c>
      <c r="X284" s="22">
        <v>3.0</v>
      </c>
      <c r="Y284" s="22" t="s">
        <v>34</v>
      </c>
      <c r="Z284" s="22">
        <f t="shared" ref="Z284:AI284" si="793">SUM(D280)</f>
        <v>32</v>
      </c>
      <c r="AA284" s="23">
        <f t="shared" si="793"/>
        <v>32</v>
      </c>
      <c r="AB284" s="24">
        <f t="shared" si="793"/>
        <v>5981.217</v>
      </c>
      <c r="AC284" s="23">
        <f t="shared" si="793"/>
        <v>2110</v>
      </c>
      <c r="AD284" s="23">
        <f t="shared" si="793"/>
        <v>0</v>
      </c>
      <c r="AE284" s="23">
        <f t="shared" si="793"/>
        <v>2110</v>
      </c>
      <c r="AF284" s="23">
        <f t="shared" si="793"/>
        <v>2341</v>
      </c>
      <c r="AG284" s="23">
        <f t="shared" si="793"/>
        <v>0</v>
      </c>
      <c r="AH284" s="23">
        <f t="shared" si="793"/>
        <v>2341</v>
      </c>
      <c r="AI284" s="23">
        <f t="shared" si="793"/>
        <v>4451</v>
      </c>
      <c r="AJ284" s="25">
        <f t="shared" si="785"/>
        <v>186.9130313</v>
      </c>
      <c r="AK284" s="22">
        <f>SUM(O280)</f>
        <v>9354</v>
      </c>
      <c r="AL284" s="26">
        <f t="shared" si="787"/>
        <v>0.4758392132</v>
      </c>
      <c r="AM284" s="27">
        <f>SUM(Q280)</f>
        <v>1.5</v>
      </c>
      <c r="AN284" s="26">
        <f t="shared" si="789"/>
        <v>0.4961086236</v>
      </c>
      <c r="AO284" s="28">
        <f t="shared" si="790"/>
        <v>0.7441629354</v>
      </c>
      <c r="AP284" s="27">
        <f t="shared" ref="AP284:AQ284" si="794">SUM(T280)</f>
        <v>194.7454498</v>
      </c>
      <c r="AQ284" s="27">
        <f t="shared" si="794"/>
        <v>6.085795307</v>
      </c>
      <c r="AR284" s="23">
        <f t="shared" si="792"/>
        <v>139.09375</v>
      </c>
    </row>
    <row r="285" ht="15.75" customHeight="1">
      <c r="A285" s="21"/>
      <c r="B285" s="38">
        <v>10.0</v>
      </c>
      <c r="C285" s="38" t="s">
        <v>37</v>
      </c>
      <c r="D285" s="39">
        <v>24.0</v>
      </c>
      <c r="E285" s="40">
        <f>IFERROR(__xludf.DUMMYFUNCTION("COUNT(IMPORTRANGE(""https://docs.google.com/spreadsheets/d/1rJyYfywRpWJW0zvDJHLOJtqUQqffoCGaqTVxxTDgV0k/edit"",""11!d2:d31""))"),24.0)</f>
        <v>24</v>
      </c>
      <c r="F285" s="45">
        <f>IFERROR(__xludf.DUMMYFUNCTION("SUM(IMPORTRANGE(""https://docs.google.com/spreadsheets/d/1rJyYfywRpWJW0zvDJHLOJtqUQqffoCGaqTVxxTDgV0k/edit"",""11!Q2:Q31""))"),4707.857999999999)</f>
        <v>4707.858</v>
      </c>
      <c r="G285" s="40">
        <f>IFERROR(__xludf.DUMMYFUNCTION("(IMPORTRANGE(""https://docs.google.com/spreadsheets/d/1rJyYfywRpWJW0zvDJHLOJtqUQqffoCGaqTVxxTDgV0k/edit"",""11!e38""))"),1401.0)</f>
        <v>1401</v>
      </c>
      <c r="H285" s="40">
        <f>IFERROR(__xludf.DUMMYFUNCTION("(IMPORTRANGE(""https://docs.google.com/spreadsheets/d/1rJyYfywRpWJW0zvDJHLOJtqUQqffoCGaqTVxxTDgV0k/edit"",""11!e39""))"),0.0)</f>
        <v>0</v>
      </c>
      <c r="I285" s="40">
        <f t="shared" si="765"/>
        <v>1401</v>
      </c>
      <c r="J285" s="40">
        <f>IFERROR(__xludf.DUMMYFUNCTION("(IMPORTRANGE(""https://docs.google.com/spreadsheets/d/1rJyYfywRpWJW0zvDJHLOJtqUQqffoCGaqTVxxTDgV0k/edit"",""11!e42""))"),2317.0)</f>
        <v>2317</v>
      </c>
      <c r="K285" s="40">
        <f>IFERROR(__xludf.DUMMYFUNCTION("(IMPORTRANGE(""https://docs.google.com/spreadsheets/d/1rJyYfywRpWJW0zvDJHLOJtqUQqffoCGaqTVxxTDgV0k/edit"",""11!e43""))"),0.0)</f>
        <v>0</v>
      </c>
      <c r="L285" s="40">
        <f t="shared" si="795"/>
        <v>2317</v>
      </c>
      <c r="M285" s="40">
        <f t="shared" si="767"/>
        <v>3718</v>
      </c>
      <c r="N285" s="41">
        <f t="shared" si="768"/>
        <v>196.16075</v>
      </c>
      <c r="O285" s="38">
        <v>5887.0</v>
      </c>
      <c r="P285" s="42">
        <f t="shared" si="769"/>
        <v>0.6315610668</v>
      </c>
      <c r="Q285" s="43">
        <v>1.5</v>
      </c>
      <c r="R285" s="42">
        <f t="shared" si="770"/>
        <v>0.5264956306</v>
      </c>
      <c r="S285" s="44">
        <f t="shared" si="771"/>
        <v>0.789743446</v>
      </c>
      <c r="T285" s="43">
        <f>F285/24.792</f>
        <v>189.8942401</v>
      </c>
      <c r="U285" s="43">
        <f t="shared" si="772"/>
        <v>7.912260003</v>
      </c>
      <c r="V285" s="40">
        <f t="shared" si="773"/>
        <v>154.9166667</v>
      </c>
      <c r="X285" s="31">
        <v>4.0</v>
      </c>
      <c r="Y285" s="31" t="s">
        <v>38</v>
      </c>
      <c r="Z285" s="31">
        <f t="shared" ref="Z285:AI285" si="796">SUM(D288)</f>
        <v>24</v>
      </c>
      <c r="AA285" s="32">
        <f t="shared" si="796"/>
        <v>23</v>
      </c>
      <c r="AB285" s="33">
        <f t="shared" si="796"/>
        <v>4573.755</v>
      </c>
      <c r="AC285" s="32">
        <f t="shared" si="796"/>
        <v>1515</v>
      </c>
      <c r="AD285" s="32">
        <f t="shared" si="796"/>
        <v>0</v>
      </c>
      <c r="AE285" s="32">
        <f t="shared" si="796"/>
        <v>1515</v>
      </c>
      <c r="AF285" s="32">
        <f t="shared" si="796"/>
        <v>2278</v>
      </c>
      <c r="AG285" s="32">
        <f t="shared" si="796"/>
        <v>0</v>
      </c>
      <c r="AH285" s="32">
        <f t="shared" si="796"/>
        <v>2278</v>
      </c>
      <c r="AI285" s="32">
        <f t="shared" si="796"/>
        <v>3793</v>
      </c>
      <c r="AJ285" s="34">
        <f t="shared" si="785"/>
        <v>198.858913</v>
      </c>
      <c r="AK285" s="31">
        <v>7324.0</v>
      </c>
      <c r="AL285" s="35">
        <f t="shared" si="787"/>
        <v>0.5178864009</v>
      </c>
      <c r="AM285" s="36">
        <f>SUM(Q288)</f>
        <v>1.5</v>
      </c>
      <c r="AN285" s="35">
        <f t="shared" si="789"/>
        <v>0.5528644771</v>
      </c>
      <c r="AO285" s="37">
        <f t="shared" si="790"/>
        <v>0.8292967157</v>
      </c>
      <c r="AP285" s="36">
        <f t="shared" ref="AP285:AQ285" si="797">SUM(T288)</f>
        <v>111</v>
      </c>
      <c r="AQ285" s="36">
        <f t="shared" si="797"/>
        <v>4.826086957</v>
      </c>
      <c r="AR285" s="32">
        <f t="shared" si="792"/>
        <v>164.9130435</v>
      </c>
    </row>
    <row r="286" ht="15.75" customHeight="1">
      <c r="A286" s="21"/>
      <c r="B286" s="38">
        <v>12.0</v>
      </c>
      <c r="C286" s="38" t="s">
        <v>39</v>
      </c>
      <c r="D286" s="39">
        <v>22.0</v>
      </c>
      <c r="E286" s="40">
        <f>IFERROR(__xludf.DUMMYFUNCTION("COUNT(IMPORTRANGE(""https://docs.google.com/spreadsheets/d/1uaTn2DZCfr7O1PvovOd0wElzVz8kpl_iPfnrkNPp0Is/edit"",""11!d2:d29""))"),22.0)</f>
        <v>22</v>
      </c>
      <c r="F286" s="45">
        <f>IFERROR(__xludf.DUMMYFUNCTION("SUM(IMPORTRANGE(""https://docs.google.com/spreadsheets/d/1uaTn2DZCfr7O1PvovOd0wElzVz8kpl_iPfnrkNPp0Is/edit"",""11!Q2:Q29""))"),4147.816)</f>
        <v>4147.816</v>
      </c>
      <c r="G286" s="40">
        <f>IFERROR(__xludf.DUMMYFUNCTION("IMPORTRANGE(""https://docs.google.com/spreadsheets/d/1uaTn2DZCfr7O1PvovOd0wElzVz8kpl_iPfnrkNPp0Is/edit"",""11!e36"")"),867.0)</f>
        <v>867</v>
      </c>
      <c r="H286" s="40">
        <f>IFERROR(__xludf.DUMMYFUNCTION("(IMPORTRANGE(""https://docs.google.com/spreadsheets/d/1uaTn2DZCfr7O1PvovOd0wElzVz8kpl_iPfnrkNPp0Is/edit"",""11!e37""))"),0.0)</f>
        <v>0</v>
      </c>
      <c r="I286" s="40">
        <f t="shared" si="765"/>
        <v>867</v>
      </c>
      <c r="J286" s="40">
        <f>IFERROR(__xludf.DUMMYFUNCTION("IMPORTRANGE(""https://docs.google.com/spreadsheets/d/1uaTn2DZCfr7O1PvovOd0wElzVz8kpl_iPfnrkNPp0Is/edit"",""11!e40"")"),1786.0)</f>
        <v>1786</v>
      </c>
      <c r="K286" s="40">
        <f>IFERROR(__xludf.DUMMYFUNCTION("IMPORTRANGE(""https://docs.google.com/spreadsheets/d/1uaTn2DZCfr7O1PvovOd0wElzVz8kpl_iPfnrkNPp0Is/edit"",""11!e41"")"),0.0)</f>
        <v>0</v>
      </c>
      <c r="L286" s="40">
        <f t="shared" si="795"/>
        <v>1786</v>
      </c>
      <c r="M286" s="40">
        <f t="shared" si="767"/>
        <v>2653</v>
      </c>
      <c r="N286" s="41">
        <f t="shared" si="768"/>
        <v>188.5370909</v>
      </c>
      <c r="O286" s="38">
        <v>3569.0</v>
      </c>
      <c r="P286" s="42">
        <f t="shared" si="769"/>
        <v>0.7433454749</v>
      </c>
      <c r="Q286" s="43">
        <v>1.5</v>
      </c>
      <c r="R286" s="42">
        <f t="shared" si="770"/>
        <v>0.4264091432</v>
      </c>
      <c r="S286" s="44">
        <f t="shared" si="771"/>
        <v>0.6396137148</v>
      </c>
      <c r="T286" s="43">
        <f>F286/21.463</f>
        <v>193.2542515</v>
      </c>
      <c r="U286" s="43">
        <f t="shared" si="772"/>
        <v>8.784284159</v>
      </c>
      <c r="V286" s="40">
        <f t="shared" si="773"/>
        <v>120.5909091</v>
      </c>
      <c r="X286" s="31">
        <v>5.0</v>
      </c>
      <c r="Y286" s="31" t="s">
        <v>40</v>
      </c>
      <c r="Z286" s="31">
        <f t="shared" ref="Z286:AI286" si="798">SUM(D290)</f>
        <v>24</v>
      </c>
      <c r="AA286" s="32">
        <f t="shared" si="798"/>
        <v>24</v>
      </c>
      <c r="AB286" s="33">
        <f t="shared" si="798"/>
        <v>4351.779</v>
      </c>
      <c r="AC286" s="32">
        <f t="shared" si="798"/>
        <v>2697</v>
      </c>
      <c r="AD286" s="32">
        <f t="shared" si="798"/>
        <v>0</v>
      </c>
      <c r="AE286" s="32">
        <f t="shared" si="798"/>
        <v>2697</v>
      </c>
      <c r="AF286" s="32">
        <f t="shared" si="798"/>
        <v>3115</v>
      </c>
      <c r="AG286" s="32">
        <f t="shared" si="798"/>
        <v>0</v>
      </c>
      <c r="AH286" s="32">
        <f t="shared" si="798"/>
        <v>3115</v>
      </c>
      <c r="AI286" s="32">
        <f t="shared" si="798"/>
        <v>5812</v>
      </c>
      <c r="AJ286" s="34">
        <f t="shared" si="785"/>
        <v>181.324125</v>
      </c>
      <c r="AK286" s="31">
        <f t="shared" ref="AK286:AK287" si="801">SUM(O290)</f>
        <v>8239</v>
      </c>
      <c r="AL286" s="35">
        <f t="shared" si="787"/>
        <v>0.7054254157</v>
      </c>
      <c r="AM286" s="36">
        <f t="shared" ref="AM286:AM287" si="802">SUM(Q290)</f>
        <v>1.5</v>
      </c>
      <c r="AN286" s="35">
        <f t="shared" si="789"/>
        <v>0.8903638412</v>
      </c>
      <c r="AO286" s="37">
        <f t="shared" si="790"/>
        <v>1.335545762</v>
      </c>
      <c r="AP286" s="36">
        <f t="shared" ref="AP286:AQ286" si="799">SUM(T290)</f>
        <v>153</v>
      </c>
      <c r="AQ286" s="36">
        <f t="shared" si="799"/>
        <v>6.375</v>
      </c>
      <c r="AR286" s="32">
        <f t="shared" si="792"/>
        <v>242.1666667</v>
      </c>
    </row>
    <row r="287" ht="15.75" customHeight="1">
      <c r="A287" s="21"/>
      <c r="B287" s="38">
        <v>12.0</v>
      </c>
      <c r="C287" s="38" t="s">
        <v>41</v>
      </c>
      <c r="D287" s="39">
        <v>20.0</v>
      </c>
      <c r="E287" s="40">
        <f>IFERROR(__xludf.DUMMYFUNCTION("COUNT(IMPORTRANGE(""https://docs.google.com/spreadsheets/d/1oYscvfOJW7GMkxt8QcupWuzb3ohaYePd3Mt2V2ufHok/edit"",""11!d2:d25""))"),20.0)</f>
        <v>20</v>
      </c>
      <c r="F287" s="45">
        <f>IFERROR(__xludf.DUMMYFUNCTION("SUM(IMPORTRANGE(""https://docs.google.com/spreadsheets/d/1oYscvfOJW7GMkxt8QcupWuzb3ohaYePd3Mt2V2ufHok/edit"",""11!Q2:Q25""))"),3993.1960000000013)</f>
        <v>3993.196</v>
      </c>
      <c r="G287" s="40">
        <f>IFERROR(__xludf.DUMMYFUNCTION("IMPORTRANGE(""https://docs.google.com/spreadsheets/d/1oYscvfOJW7GMkxt8QcupWuzb3ohaYePd3Mt2V2ufHok/edit"",""11!e32"")"),930.0)</f>
        <v>930</v>
      </c>
      <c r="H287" s="40">
        <f>IFERROR(__xludf.DUMMYFUNCTION("IMPORTRANGE(""https://docs.google.com/spreadsheets/d/1oYscvfOJW7GMkxt8QcupWuzb3ohaYePd3Mt2V2ufHok/edit"",""11!e33"")"),0.0)</f>
        <v>0</v>
      </c>
      <c r="I287" s="40">
        <f t="shared" si="765"/>
        <v>930</v>
      </c>
      <c r="J287" s="40">
        <f>IFERROR(__xludf.DUMMYFUNCTION("IMPORTRANGE(""https://docs.google.com/spreadsheets/d/1oYscvfOJW7GMkxt8QcupWuzb3ohaYePd3Mt2V2ufHok/edit"",""11!e36"")"),1436.0)</f>
        <v>1436</v>
      </c>
      <c r="K287" s="40">
        <f>IFERROR(__xludf.DUMMYFUNCTION("IMPORTRANGE(""https://docs.google.com/spreadsheets/d/1oYscvfOJW7GMkxt8QcupWuzb3ohaYePd3Mt2V2ufHok/edit"",""11!e37"")"),0.0)</f>
        <v>0</v>
      </c>
      <c r="L287" s="40">
        <f t="shared" si="795"/>
        <v>1436</v>
      </c>
      <c r="M287" s="40">
        <f t="shared" si="767"/>
        <v>2366</v>
      </c>
      <c r="N287" s="41">
        <f t="shared" si="768"/>
        <v>199.6598</v>
      </c>
      <c r="O287" s="38">
        <v>3801.0</v>
      </c>
      <c r="P287" s="42">
        <f t="shared" si="769"/>
        <v>0.6224677716</v>
      </c>
      <c r="Q287" s="43">
        <v>1.5</v>
      </c>
      <c r="R287" s="42">
        <f t="shared" si="770"/>
        <v>0.3950052372</v>
      </c>
      <c r="S287" s="44">
        <f t="shared" si="771"/>
        <v>0.5925078559</v>
      </c>
      <c r="T287" s="43">
        <f>F287/29.628</f>
        <v>134.7777778</v>
      </c>
      <c r="U287" s="43">
        <f t="shared" si="772"/>
        <v>6.738888889</v>
      </c>
      <c r="V287" s="40">
        <f t="shared" si="773"/>
        <v>118.3</v>
      </c>
      <c r="X287" s="22">
        <v>6.0</v>
      </c>
      <c r="Y287" s="22" t="s">
        <v>42</v>
      </c>
      <c r="Z287" s="22">
        <f t="shared" ref="Z287:AI287" si="800">SUM(D291)</f>
        <v>26</v>
      </c>
      <c r="AA287" s="23">
        <f t="shared" si="800"/>
        <v>26</v>
      </c>
      <c r="AB287" s="24">
        <f t="shared" si="800"/>
        <v>5309.465</v>
      </c>
      <c r="AC287" s="23">
        <f t="shared" si="800"/>
        <v>2437</v>
      </c>
      <c r="AD287" s="23">
        <f t="shared" si="800"/>
        <v>0</v>
      </c>
      <c r="AE287" s="23">
        <f t="shared" si="800"/>
        <v>2437</v>
      </c>
      <c r="AF287" s="23">
        <f t="shared" si="800"/>
        <v>3444</v>
      </c>
      <c r="AG287" s="23">
        <f t="shared" si="800"/>
        <v>103</v>
      </c>
      <c r="AH287" s="23">
        <f t="shared" si="800"/>
        <v>3547</v>
      </c>
      <c r="AI287" s="23">
        <f t="shared" si="800"/>
        <v>5984</v>
      </c>
      <c r="AJ287" s="25">
        <f t="shared" si="785"/>
        <v>204.2101923</v>
      </c>
      <c r="AK287" s="22">
        <f t="shared" si="801"/>
        <v>9877</v>
      </c>
      <c r="AL287" s="26">
        <f t="shared" si="787"/>
        <v>0.6058519793</v>
      </c>
      <c r="AM287" s="27">
        <f t="shared" si="802"/>
        <v>1.5</v>
      </c>
      <c r="AN287" s="26">
        <f t="shared" si="789"/>
        <v>0.7513625824</v>
      </c>
      <c r="AO287" s="28">
        <f t="shared" si="790"/>
        <v>1.127043874</v>
      </c>
      <c r="AP287" s="27">
        <f t="shared" ref="AP287:AQ287" si="803">SUM(T291)</f>
        <v>203</v>
      </c>
      <c r="AQ287" s="27">
        <f t="shared" si="803"/>
        <v>7.807692308</v>
      </c>
      <c r="AR287" s="23">
        <f t="shared" si="792"/>
        <v>230.1538462</v>
      </c>
    </row>
    <row r="288" ht="15.75" customHeight="1">
      <c r="A288" s="21"/>
      <c r="B288" s="38">
        <v>13.0</v>
      </c>
      <c r="C288" s="38" t="s">
        <v>43</v>
      </c>
      <c r="D288" s="39">
        <v>24.0</v>
      </c>
      <c r="E288" s="40">
        <f>IFERROR(__xludf.DUMMYFUNCTION("COUNT(IMPORTRANGE(""https://docs.google.com/spreadsheets/d/1AxBmuQEdOYAeRnZ4C8vO6kuTNp7X_SGhpLXuY0n4ln4/edit"",""11!d2:d31""))"),23.0)</f>
        <v>23</v>
      </c>
      <c r="F288" s="45">
        <f>IFERROR(__xludf.DUMMYFUNCTION("SUM(IMPORTRANGE(""https://docs.google.com/spreadsheets/d/1AxBmuQEdOYAeRnZ4C8vO6kuTNp7X_SGhpLXuY0n4ln4/edit"",""11!Q2:Q31""))"),4573.755)</f>
        <v>4573.755</v>
      </c>
      <c r="G288" s="40">
        <f>IFERROR(__xludf.DUMMYFUNCTION("IMPORTRANGE(""https://docs.google.com/spreadsheets/d/1AxBmuQEdOYAeRnZ4C8vO6kuTNp7X_SGhpLXuY0n4ln4/edit"",""11!e38"")"),1515.0)</f>
        <v>1515</v>
      </c>
      <c r="H288" s="40">
        <f>IFERROR(__xludf.DUMMYFUNCTION("IMPORTRANGE(""https://docs.google.com/spreadsheets/d/1AxBmuQEdOYAeRnZ4C8vO6kuTNp7X_SGhpLXuY0n4ln4/edit"",""11!e39"")"),0.0)</f>
        <v>0</v>
      </c>
      <c r="I288" s="40">
        <f t="shared" si="765"/>
        <v>1515</v>
      </c>
      <c r="J288" s="40">
        <f>IFERROR(__xludf.DUMMYFUNCTION("IMPORTRANGE(""https://docs.google.com/spreadsheets/d/1AxBmuQEdOYAeRnZ4C8vO6kuTNp7X_SGhpLXuY0n4ln4/edit"",""11!e42"")"),2278.0)</f>
        <v>2278</v>
      </c>
      <c r="K288" s="40">
        <f>IFERROR(__xludf.DUMMYFUNCTION("IMPORTRANGE(""https://docs.google.com/spreadsheets/d/1AxBmuQEdOYAeRnZ4C8vO6kuTNp7X_SGhpLXuY0n4ln4/edit"",""11!e43"")"),0.0)</f>
        <v>0</v>
      </c>
      <c r="L288" s="40">
        <f t="shared" si="795"/>
        <v>2278</v>
      </c>
      <c r="M288" s="40">
        <f t="shared" si="767"/>
        <v>3793</v>
      </c>
      <c r="N288" s="41">
        <f t="shared" si="768"/>
        <v>198.858913</v>
      </c>
      <c r="O288" s="38">
        <v>8345.0</v>
      </c>
      <c r="P288" s="42">
        <f t="shared" si="769"/>
        <v>0.4545236669</v>
      </c>
      <c r="Q288" s="43">
        <v>1.5</v>
      </c>
      <c r="R288" s="42">
        <f t="shared" si="770"/>
        <v>0.5528644771</v>
      </c>
      <c r="S288" s="44">
        <f t="shared" si="771"/>
        <v>0.8292967157</v>
      </c>
      <c r="T288" s="43">
        <f>F288/41.205</f>
        <v>111</v>
      </c>
      <c r="U288" s="43">
        <f t="shared" si="772"/>
        <v>4.826086957</v>
      </c>
      <c r="V288" s="40">
        <f t="shared" si="773"/>
        <v>164.9130435</v>
      </c>
      <c r="X288" s="46" t="s">
        <v>33</v>
      </c>
      <c r="Y288" s="46">
        <v>6.0</v>
      </c>
      <c r="Z288" s="46">
        <f t="shared" ref="Z288:AI288" si="804">SUM(Z282:Z287)</f>
        <v>180</v>
      </c>
      <c r="AA288" s="47">
        <f t="shared" si="804"/>
        <v>175</v>
      </c>
      <c r="AB288" s="49">
        <f t="shared" si="804"/>
        <v>33532.679</v>
      </c>
      <c r="AC288" s="47">
        <f t="shared" si="804"/>
        <v>13019</v>
      </c>
      <c r="AD288" s="47">
        <f t="shared" si="804"/>
        <v>39</v>
      </c>
      <c r="AE288" s="47">
        <f t="shared" si="804"/>
        <v>13058</v>
      </c>
      <c r="AF288" s="47">
        <f t="shared" si="804"/>
        <v>17586</v>
      </c>
      <c r="AG288" s="47">
        <f t="shared" si="804"/>
        <v>154</v>
      </c>
      <c r="AH288" s="47">
        <f t="shared" si="804"/>
        <v>17740</v>
      </c>
      <c r="AI288" s="47">
        <f t="shared" si="804"/>
        <v>30798</v>
      </c>
      <c r="AJ288" s="49">
        <f t="shared" si="785"/>
        <v>191.6153086</v>
      </c>
      <c r="AK288" s="46">
        <f>SUM(AK282:AK287)</f>
        <v>53273</v>
      </c>
      <c r="AL288" s="50">
        <f t="shared" si="787"/>
        <v>0.5781164943</v>
      </c>
      <c r="AM288" s="51">
        <v>1.5</v>
      </c>
      <c r="AN288" s="50">
        <f t="shared" si="789"/>
        <v>0.61229823</v>
      </c>
      <c r="AO288" s="52">
        <f t="shared" si="790"/>
        <v>0.9184473451</v>
      </c>
      <c r="AP288" s="51">
        <f>SUM(AP282:AP287)</f>
        <v>1104.593137</v>
      </c>
      <c r="AQ288" s="51">
        <f>AP288/AA288</f>
        <v>6.311960784</v>
      </c>
      <c r="AR288" s="47">
        <f t="shared" si="792"/>
        <v>175.9885714</v>
      </c>
    </row>
    <row r="289" ht="15.75" customHeight="1">
      <c r="A289" s="21"/>
      <c r="B289" s="38">
        <v>14.0</v>
      </c>
      <c r="C289" s="38" t="s">
        <v>27</v>
      </c>
      <c r="D289" s="39">
        <v>24.0</v>
      </c>
      <c r="E289" s="40">
        <f>IFERROR(__xludf.DUMMYFUNCTION("COUNT(IMPORTRANGE(""https://docs.google.com/spreadsheets/d/1LsL4JuXvBtfJ-TVi4NFml9lV_pmd61b789A_nbO-QrA/edit"",""11!d2:d31""))"),21.0)</f>
        <v>21</v>
      </c>
      <c r="F289" s="45">
        <f>IFERROR(__xludf.DUMMYFUNCTION("SUM(IMPORTRANGE(""https://docs.google.com/spreadsheets/d/1LsL4JuXvBtfJ-TVi4NFml9lV_pmd61b789A_nbO-QrA/edit"",""11!Q2:Q31""))"),4086.7949999999987)</f>
        <v>4086.795</v>
      </c>
      <c r="G289" s="40">
        <f>IFERROR(__xludf.DUMMYFUNCTION("IMPORTRANGE(""https://docs.google.com/spreadsheets/d/1LsL4JuXvBtfJ-TVi4NFml9lV_pmd61b789A_nbO-QrA/edit"",""11!e38"")"),1582.0)</f>
        <v>1582</v>
      </c>
      <c r="H289" s="40">
        <f>IFERROR(__xludf.DUMMYFUNCTION("IMPORTRANGE(""https://docs.google.com/spreadsheets/d/1LsL4JuXvBtfJ-TVi4NFml9lV_pmd61b789A_nbO-QrA/edit"",""11!e39"")"),0.0)</f>
        <v>0</v>
      </c>
      <c r="I289" s="40">
        <f t="shared" si="765"/>
        <v>1582</v>
      </c>
      <c r="J289" s="40">
        <f>IFERROR(__xludf.DUMMYFUNCTION("IMPORTRANGE(""https://docs.google.com/spreadsheets/d/1LsL4JuXvBtfJ-TVi4NFml9lV_pmd61b789A_nbO-QrA/edit"",""11!e42"")"),2548.0)</f>
        <v>2548</v>
      </c>
      <c r="K289" s="40">
        <f>IFERROR(__xludf.DUMMYFUNCTION("IMPORTRANGE(""https://docs.google.com/spreadsheets/d/1LsL4JuXvBtfJ-TVi4NFml9lV_pmd61b789A_nbO-QrA/edit"",""11!e43"")"),0.0)</f>
        <v>0</v>
      </c>
      <c r="L289" s="40">
        <f t="shared" si="795"/>
        <v>2548</v>
      </c>
      <c r="M289" s="40">
        <f t="shared" si="767"/>
        <v>4130</v>
      </c>
      <c r="N289" s="41">
        <f t="shared" si="768"/>
        <v>194.6092857</v>
      </c>
      <c r="O289" s="38">
        <v>8101.0</v>
      </c>
      <c r="P289" s="42">
        <f t="shared" si="769"/>
        <v>0.5098136033</v>
      </c>
      <c r="Q289" s="43">
        <v>1.5</v>
      </c>
      <c r="R289" s="42">
        <f t="shared" si="770"/>
        <v>0.6737145693</v>
      </c>
      <c r="S289" s="44">
        <f t="shared" si="771"/>
        <v>1.010571854</v>
      </c>
      <c r="T289" s="43">
        <f>F289/19.985</f>
        <v>204.4931198</v>
      </c>
      <c r="U289" s="43">
        <f t="shared" si="772"/>
        <v>9.737767611</v>
      </c>
      <c r="V289" s="40">
        <f t="shared" si="773"/>
        <v>196.6666667</v>
      </c>
      <c r="X289" s="59" t="s">
        <v>44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6"/>
    </row>
    <row r="290" ht="15.75" customHeight="1">
      <c r="A290" s="21"/>
      <c r="B290" s="38">
        <v>15.0</v>
      </c>
      <c r="C290" s="38" t="s">
        <v>40</v>
      </c>
      <c r="D290" s="39">
        <v>24.0</v>
      </c>
      <c r="E290" s="40">
        <f>IFERROR(__xludf.DUMMYFUNCTION("COUNT(IMPORTRANGE(""https://docs.google.com/spreadsheets/d/1Krav0MVlY0vbUNsFRDnb_kR72_tyuGnWBYbGjNZrl18/edit"",""11!d2:d31""))"),24.0)</f>
        <v>24</v>
      </c>
      <c r="F290" s="45">
        <f>IFERROR(__xludf.DUMMYFUNCTION("SUM(IMPORTRANGE(""https://docs.google.com/spreadsheets/d/1Krav0MVlY0vbUNsFRDnb_kR72_tyuGnWBYbGjNZrl18/edit"",""11!Q2:Q31""))"),4351.779)</f>
        <v>4351.779</v>
      </c>
      <c r="G290" s="40">
        <f>IFERROR(__xludf.DUMMYFUNCTION("IMPORTRANGE(""https://docs.google.com/spreadsheets/d/1Krav0MVlY0vbUNsFRDnb_kR72_tyuGnWBYbGjNZrl18/edit"",""11!e38"")"),2697.0)</f>
        <v>2697</v>
      </c>
      <c r="H290" s="40">
        <f>IFERROR(__xludf.DUMMYFUNCTION("IMPORTRANGE(""https://docs.google.com/spreadsheets/d/1Krav0MVlY0vbUNsFRDnb_kR72_tyuGnWBYbGjNZrl18/edit"",""11!e39"")"),0.0)</f>
        <v>0</v>
      </c>
      <c r="I290" s="40">
        <f t="shared" si="765"/>
        <v>2697</v>
      </c>
      <c r="J290" s="40">
        <f>IFERROR(__xludf.DUMMYFUNCTION("IMPORTRANGE(""https://docs.google.com/spreadsheets/d/1Krav0MVlY0vbUNsFRDnb_kR72_tyuGnWBYbGjNZrl18/edit"",""11!e42"")"),3115.0)</f>
        <v>3115</v>
      </c>
      <c r="K290" s="40">
        <f>IFERROR(__xludf.DUMMYFUNCTION("IMPORTRANGE(""https://docs.google.com/spreadsheets/d/1Krav0MVlY0vbUNsFRDnb_kR72_tyuGnWBYbGjNZrl18/edit"",""11!e43"")"),0.0)</f>
        <v>0</v>
      </c>
      <c r="L290" s="40">
        <f t="shared" si="795"/>
        <v>3115</v>
      </c>
      <c r="M290" s="40">
        <f t="shared" si="767"/>
        <v>5812</v>
      </c>
      <c r="N290" s="41">
        <f t="shared" si="768"/>
        <v>181.324125</v>
      </c>
      <c r="O290" s="38">
        <v>8239.0</v>
      </c>
      <c r="P290" s="42">
        <f t="shared" si="769"/>
        <v>0.7054254157</v>
      </c>
      <c r="Q290" s="43">
        <v>1.5</v>
      </c>
      <c r="R290" s="42">
        <f t="shared" si="770"/>
        <v>0.8903638412</v>
      </c>
      <c r="S290" s="44">
        <f t="shared" si="771"/>
        <v>1.335545762</v>
      </c>
      <c r="T290" s="43">
        <f>F290/28.443</f>
        <v>153</v>
      </c>
      <c r="U290" s="43">
        <f t="shared" si="772"/>
        <v>6.375</v>
      </c>
      <c r="V290" s="40">
        <f t="shared" si="773"/>
        <v>242.1666667</v>
      </c>
      <c r="X290" s="14" t="s">
        <v>2</v>
      </c>
      <c r="Y290" s="14" t="s">
        <v>3</v>
      </c>
      <c r="Z290" s="14" t="s">
        <v>4</v>
      </c>
      <c r="AA290" s="14" t="s">
        <v>5</v>
      </c>
      <c r="AB290" s="15" t="s">
        <v>6</v>
      </c>
      <c r="AC290" s="14" t="s">
        <v>7</v>
      </c>
      <c r="AD290" s="14" t="s">
        <v>8</v>
      </c>
      <c r="AE290" s="14" t="s">
        <v>9</v>
      </c>
      <c r="AF290" s="14" t="s">
        <v>10</v>
      </c>
      <c r="AG290" s="14" t="s">
        <v>11</v>
      </c>
      <c r="AH290" s="14" t="s">
        <v>12</v>
      </c>
      <c r="AI290" s="14" t="s">
        <v>13</v>
      </c>
      <c r="AJ290" s="15" t="s">
        <v>14</v>
      </c>
      <c r="AK290" s="14" t="s">
        <v>15</v>
      </c>
      <c r="AL290" s="14" t="s">
        <v>16</v>
      </c>
      <c r="AM290" s="16" t="s">
        <v>17</v>
      </c>
      <c r="AN290" s="17" t="s">
        <v>18</v>
      </c>
      <c r="AO290" s="18" t="s">
        <v>19</v>
      </c>
      <c r="AP290" s="19" t="s">
        <v>20</v>
      </c>
      <c r="AQ290" s="19" t="s">
        <v>21</v>
      </c>
      <c r="AR290" s="20" t="s">
        <v>22</v>
      </c>
    </row>
    <row r="291" ht="15.75" customHeight="1">
      <c r="A291" s="21"/>
      <c r="B291" s="38">
        <v>16.0</v>
      </c>
      <c r="C291" s="38" t="s">
        <v>42</v>
      </c>
      <c r="D291" s="39">
        <v>26.0</v>
      </c>
      <c r="E291" s="40">
        <f>IFERROR(__xludf.DUMMYFUNCTION("COUNT(IMPORTRANGE(""https://docs.google.com/spreadsheets/d/1uXtm-E8PG0CetlFmSpTX3RK0LNEMnpR-mxbET9AGD6w/edit"",""11!d2:d34""))"),26.0)</f>
        <v>26</v>
      </c>
      <c r="F291" s="45">
        <f>IFERROR(__xludf.DUMMYFUNCTION("SUM(IMPORTRANGE(""https://docs.google.com/spreadsheets/d/1uXtm-E8PG0CetlFmSpTX3RK0LNEMnpR-mxbET9AGD6w/edit"",""11!Q2:Q34""))"),5309.4649999999965)</f>
        <v>5309.465</v>
      </c>
      <c r="G291" s="40">
        <f>IFERROR(__xludf.DUMMYFUNCTION("IMPORTRANGE(""https://docs.google.com/spreadsheets/d/1uXtm-E8PG0CetlFmSpTX3RK0LNEMnpR-mxbET9AGD6w/edit"",""11!e41"")"),2437.0)</f>
        <v>2437</v>
      </c>
      <c r="H291" s="40">
        <f>IFERROR(__xludf.DUMMYFUNCTION("IMPORTRANGE(""https://docs.google.com/spreadsheets/d/1uXtm-E8PG0CetlFmSpTX3RK0LNEMnpR-mxbET9AGD6w/edit"",""11!e42"")"),0.0)</f>
        <v>0</v>
      </c>
      <c r="I291" s="40">
        <f t="shared" si="765"/>
        <v>2437</v>
      </c>
      <c r="J291" s="40">
        <f>IFERROR(__xludf.DUMMYFUNCTION("IMPORTRANGE(""https://docs.google.com/spreadsheets/d/1uXtm-E8PG0CetlFmSpTX3RK0LNEMnpR-mxbET9AGD6w/edit"",""11!e45"")"),3444.0)</f>
        <v>3444</v>
      </c>
      <c r="K291" s="40">
        <f>IFERROR(__xludf.DUMMYFUNCTION("IMPORTRANGE(""https://docs.google.com/spreadsheets/d/1uXtm-E8PG0CetlFmSpTX3RK0LNEMnpR-mxbET9AGD6w/edit"",""11!e46"")"),103.0)</f>
        <v>103</v>
      </c>
      <c r="L291" s="40">
        <f t="shared" si="795"/>
        <v>3547</v>
      </c>
      <c r="M291" s="40">
        <f t="shared" si="767"/>
        <v>5984</v>
      </c>
      <c r="N291" s="41">
        <f t="shared" si="768"/>
        <v>204.2101923</v>
      </c>
      <c r="O291" s="38">
        <v>9877.0</v>
      </c>
      <c r="P291" s="42">
        <f t="shared" si="769"/>
        <v>0.6058519793</v>
      </c>
      <c r="Q291" s="43">
        <v>1.5</v>
      </c>
      <c r="R291" s="42">
        <f t="shared" si="770"/>
        <v>0.7513625824</v>
      </c>
      <c r="S291" s="44">
        <f t="shared" si="771"/>
        <v>1.127043874</v>
      </c>
      <c r="T291" s="43">
        <f>F291/26.155</f>
        <v>203</v>
      </c>
      <c r="U291" s="43">
        <f t="shared" si="772"/>
        <v>7.807692308</v>
      </c>
      <c r="V291" s="40">
        <f t="shared" si="773"/>
        <v>230.1538462</v>
      </c>
      <c r="X291" s="31">
        <v>1.0</v>
      </c>
      <c r="Y291" s="31" t="s">
        <v>26</v>
      </c>
      <c r="Z291" s="31">
        <f t="shared" ref="Z291:AI291" si="805">SUM(D276)</f>
        <v>16</v>
      </c>
      <c r="AA291" s="32">
        <f t="shared" si="805"/>
        <v>16</v>
      </c>
      <c r="AB291" s="34">
        <f t="shared" si="805"/>
        <v>3042.024</v>
      </c>
      <c r="AC291" s="32">
        <f t="shared" si="805"/>
        <v>1506</v>
      </c>
      <c r="AD291" s="32">
        <f t="shared" si="805"/>
        <v>0</v>
      </c>
      <c r="AE291" s="32">
        <f t="shared" si="805"/>
        <v>1506</v>
      </c>
      <c r="AF291" s="32">
        <f t="shared" si="805"/>
        <v>2374</v>
      </c>
      <c r="AG291" s="32">
        <f t="shared" si="805"/>
        <v>0</v>
      </c>
      <c r="AH291" s="32">
        <f t="shared" si="805"/>
        <v>2374</v>
      </c>
      <c r="AI291" s="32">
        <f t="shared" si="805"/>
        <v>3880</v>
      </c>
      <c r="AJ291" s="34">
        <f t="shared" ref="AJ291:AJ297" si="808">AB291/AA291</f>
        <v>190.1265</v>
      </c>
      <c r="AK291" s="31">
        <f>SUM(O276)</f>
        <v>5161</v>
      </c>
      <c r="AL291" s="35">
        <f t="shared" ref="AL291:AL297" si="809">AI291/AK291</f>
        <v>0.7517922883</v>
      </c>
      <c r="AM291" s="36">
        <f>SUM(Q276)</f>
        <v>1.5</v>
      </c>
      <c r="AN291" s="35">
        <f t="shared" ref="AN291:AN297" si="810">AO291/AM291</f>
        <v>0.8503110648</v>
      </c>
      <c r="AO291" s="37">
        <f t="shared" ref="AO291:AO297" si="811">AI291/AB291</f>
        <v>1.275466597</v>
      </c>
      <c r="AP291" s="36">
        <f t="shared" ref="AP291:AQ291" si="806">SUM(T276)</f>
        <v>211.0318418</v>
      </c>
      <c r="AQ291" s="36">
        <f t="shared" si="806"/>
        <v>13.18949011</v>
      </c>
      <c r="AR291" s="32">
        <f t="shared" ref="AR291:AR297" si="813">AI291/AA291</f>
        <v>242.5</v>
      </c>
    </row>
    <row r="292" ht="15.75" customHeight="1">
      <c r="A292" s="21"/>
      <c r="B292" s="38">
        <v>17.0</v>
      </c>
      <c r="C292" s="38" t="s">
        <v>29</v>
      </c>
      <c r="D292" s="39">
        <v>24.0</v>
      </c>
      <c r="E292" s="40">
        <f>IFERROR(__xludf.DUMMYFUNCTION("COUNT(IMPORTRANGE(""https://docs.google.com/spreadsheets/d/12xcKI0lSnAsjEsxfm9K8Qx0B_89Gzsh816mowItkQao/edit"",""11!d2:d31""))"),23.0)</f>
        <v>23</v>
      </c>
      <c r="F292" s="45">
        <f>IFERROR(__xludf.DUMMYFUNCTION("SUM(IMPORTRANGE(""https://docs.google.com/spreadsheets/d/12xcKI0lSnAsjEsxfm9K8Qx0B_89Gzsh816mowItkQao/edit"",""11!Q2:Q31""))"),4452.4980000000005)</f>
        <v>4452.498</v>
      </c>
      <c r="G292" s="40">
        <f>IFERROR(__xludf.DUMMYFUNCTION("IMPORTRANGE(""https://docs.google.com/spreadsheets/d/12xcKI0lSnAsjEsxfm9K8Qx0B_89Gzsh816mowItkQao/edit"",""11!e38"")"),2243.0)</f>
        <v>2243</v>
      </c>
      <c r="H292" s="40">
        <f>IFERROR(__xludf.DUMMYFUNCTION("IMPORTRANGE(""https://docs.google.com/spreadsheets/d/12xcKI0lSnAsjEsxfm9K8Qx0B_89Gzsh816mowItkQao/edit"",""11!e39"")"),0.0)</f>
        <v>0</v>
      </c>
      <c r="I292" s="40">
        <f t="shared" si="765"/>
        <v>2243</v>
      </c>
      <c r="J292" s="40">
        <f>IFERROR(__xludf.DUMMYFUNCTION("IMPORTRANGE(""https://docs.google.com/spreadsheets/d/12xcKI0lSnAsjEsxfm9K8Qx0B_89Gzsh816mowItkQao/edit"",""11!e42"")"),2856.0)</f>
        <v>2856</v>
      </c>
      <c r="K292" s="40">
        <f>IFERROR(__xludf.DUMMYFUNCTION("IMPORTRANGE(""https://docs.google.com/spreadsheets/d/12xcKI0lSnAsjEsxfm9K8Qx0B_89Gzsh816mowItkQao/edit"",""11!e43"")"),0.0)</f>
        <v>0</v>
      </c>
      <c r="L292" s="40">
        <f t="shared" si="795"/>
        <v>2856</v>
      </c>
      <c r="M292" s="40">
        <f t="shared" si="767"/>
        <v>5099</v>
      </c>
      <c r="N292" s="41">
        <f t="shared" si="768"/>
        <v>193.5868696</v>
      </c>
      <c r="O292" s="38">
        <v>9201.0</v>
      </c>
      <c r="P292" s="42">
        <f t="shared" si="769"/>
        <v>0.5541788936</v>
      </c>
      <c r="Q292" s="43">
        <v>1.5</v>
      </c>
      <c r="R292" s="42">
        <f t="shared" si="770"/>
        <v>0.7634665604</v>
      </c>
      <c r="S292" s="44">
        <f t="shared" si="771"/>
        <v>1.145199841</v>
      </c>
      <c r="T292" s="43">
        <f>F292/26.038</f>
        <v>171</v>
      </c>
      <c r="U292" s="43">
        <f t="shared" si="772"/>
        <v>7.434782609</v>
      </c>
      <c r="V292" s="40">
        <f t="shared" si="773"/>
        <v>221.6956522</v>
      </c>
      <c r="X292" s="31">
        <v>2.0</v>
      </c>
      <c r="Y292" s="31" t="s">
        <v>32</v>
      </c>
      <c r="Z292" s="31">
        <f t="shared" ref="Z292:AI292" si="807">SUM(D279)</f>
        <v>33</v>
      </c>
      <c r="AA292" s="32">
        <f t="shared" si="807"/>
        <v>33</v>
      </c>
      <c r="AB292" s="33">
        <f t="shared" si="807"/>
        <v>6126.014</v>
      </c>
      <c r="AC292" s="31">
        <f t="shared" si="807"/>
        <v>3675</v>
      </c>
      <c r="AD292" s="31">
        <f t="shared" si="807"/>
        <v>143</v>
      </c>
      <c r="AE292" s="32">
        <f t="shared" si="807"/>
        <v>3818</v>
      </c>
      <c r="AF292" s="31">
        <f t="shared" si="807"/>
        <v>4297</v>
      </c>
      <c r="AG292" s="31">
        <f t="shared" si="807"/>
        <v>120</v>
      </c>
      <c r="AH292" s="32">
        <f t="shared" si="807"/>
        <v>4417</v>
      </c>
      <c r="AI292" s="32">
        <f t="shared" si="807"/>
        <v>8235</v>
      </c>
      <c r="AJ292" s="34">
        <f t="shared" si="808"/>
        <v>185.6367879</v>
      </c>
      <c r="AK292" s="31">
        <f>SUM(O279)</f>
        <v>13817</v>
      </c>
      <c r="AL292" s="35">
        <f t="shared" si="809"/>
        <v>0.5960049215</v>
      </c>
      <c r="AM292" s="36">
        <f>SUM(Q279)</f>
        <v>1.5</v>
      </c>
      <c r="AN292" s="35">
        <f t="shared" si="810"/>
        <v>0.8961781674</v>
      </c>
      <c r="AO292" s="37">
        <f t="shared" si="811"/>
        <v>1.344267251</v>
      </c>
      <c r="AP292" s="36">
        <f t="shared" ref="AP292:AQ292" si="812">SUM(T279)</f>
        <v>244.1713101</v>
      </c>
      <c r="AQ292" s="36">
        <f t="shared" si="812"/>
        <v>7.39913061</v>
      </c>
      <c r="AR292" s="32">
        <f t="shared" si="813"/>
        <v>249.5454545</v>
      </c>
    </row>
    <row r="293" ht="15.75" customHeight="1">
      <c r="A293" s="21"/>
      <c r="B293" s="38">
        <v>18.0</v>
      </c>
      <c r="C293" s="38" t="s">
        <v>31</v>
      </c>
      <c r="D293" s="39">
        <v>12.0</v>
      </c>
      <c r="E293" s="40">
        <f>IFERROR(__xludf.DUMMYFUNCTION("COUNT(IMPORTRANGE(""https://docs.google.com/spreadsheets/d/1fgCFOFzOla4Qim6_-zG-lbYhLCItqv_kZiAHoErRgcM/edit"",""11!d2:d16""))"),12.0)</f>
        <v>12</v>
      </c>
      <c r="F293" s="41">
        <f>IFERROR(__xludf.DUMMYFUNCTION("SUM(IMPORTRANGE(""https://docs.google.com/spreadsheets/d/1fgCFOFzOla4Qim6_-zG-lbYhLCItqv_kZiAHoErRgcM/edit"",""11!Q2:Q16""))"),2303.6450000000004)</f>
        <v>2303.645</v>
      </c>
      <c r="G293" s="40">
        <f>IFERROR(__xludf.DUMMYFUNCTION("IMPORTRANGE(""https://docs.google.com/spreadsheets/d/1fgCFOFzOla4Qim6_-zG-lbYhLCItqv_kZiAHoErRgcM/edit"",""11!e23"")"),648.0)</f>
        <v>648</v>
      </c>
      <c r="H293" s="40">
        <f>IFERROR(__xludf.DUMMYFUNCTION("IMPORTRANGE(""https://docs.google.com/spreadsheets/d/1fgCFOFzOla4Qim6_-zG-lbYhLCItqv_kZiAHoErRgcM/edit"",""11!e24"")"),9.0)</f>
        <v>9</v>
      </c>
      <c r="I293" s="40">
        <f t="shared" si="765"/>
        <v>657</v>
      </c>
      <c r="J293" s="40">
        <f>IFERROR(__xludf.DUMMYFUNCTION("IMPORTRANGE(""https://docs.google.com/spreadsheets/d/1fgCFOFzOla4Qim6_-zG-lbYhLCItqv_kZiAHoErRgcM/edit"",""11!e27"")"),838.0)</f>
        <v>838</v>
      </c>
      <c r="K293" s="40">
        <f>IFERROR(__xludf.DUMMYFUNCTION("IMPORTRANGE(""https://docs.google.com/spreadsheets/d/1fgCFOFzOla4Qim6_-zG-lbYhLCItqv_kZiAHoErRgcM/edit"",""11!e28"")"),0.0)</f>
        <v>0</v>
      </c>
      <c r="L293" s="40">
        <f t="shared" si="795"/>
        <v>838</v>
      </c>
      <c r="M293" s="40">
        <f t="shared" si="767"/>
        <v>1495</v>
      </c>
      <c r="N293" s="41">
        <f t="shared" si="768"/>
        <v>191.9704167</v>
      </c>
      <c r="O293" s="38">
        <v>2717.0</v>
      </c>
      <c r="P293" s="42">
        <f t="shared" si="769"/>
        <v>0.5502392344</v>
      </c>
      <c r="Q293" s="43">
        <v>1.5</v>
      </c>
      <c r="R293" s="42">
        <f t="shared" si="770"/>
        <v>0.4326476808</v>
      </c>
      <c r="S293" s="44">
        <f t="shared" si="771"/>
        <v>0.6489715212</v>
      </c>
      <c r="T293" s="43">
        <f>F293/43.465</f>
        <v>53</v>
      </c>
      <c r="U293" s="43">
        <f t="shared" si="772"/>
        <v>4.416666667</v>
      </c>
      <c r="V293" s="40">
        <f t="shared" si="773"/>
        <v>124.5833333</v>
      </c>
      <c r="X293" s="31">
        <v>3.0</v>
      </c>
      <c r="Y293" s="31" t="s">
        <v>36</v>
      </c>
      <c r="Z293" s="31">
        <f t="shared" ref="Z293:AI293" si="814">SUM(D284)</f>
        <v>24</v>
      </c>
      <c r="AA293" s="32">
        <f t="shared" si="814"/>
        <v>24</v>
      </c>
      <c r="AB293" s="33">
        <f t="shared" si="814"/>
        <v>4608.306</v>
      </c>
      <c r="AC293" s="32">
        <f t="shared" si="814"/>
        <v>1105</v>
      </c>
      <c r="AD293" s="32">
        <f t="shared" si="814"/>
        <v>0</v>
      </c>
      <c r="AE293" s="32">
        <f t="shared" si="814"/>
        <v>1105</v>
      </c>
      <c r="AF293" s="32">
        <f t="shared" si="814"/>
        <v>1650</v>
      </c>
      <c r="AG293" s="32">
        <f t="shared" si="814"/>
        <v>0</v>
      </c>
      <c r="AH293" s="32">
        <f t="shared" si="814"/>
        <v>1650</v>
      </c>
      <c r="AI293" s="32">
        <f t="shared" si="814"/>
        <v>2755</v>
      </c>
      <c r="AJ293" s="34">
        <f t="shared" si="808"/>
        <v>192.01275</v>
      </c>
      <c r="AK293" s="31">
        <f t="shared" ref="AK293:AK296" si="818">SUM(O284)</f>
        <v>4796</v>
      </c>
      <c r="AL293" s="35">
        <f t="shared" si="809"/>
        <v>0.5744370309</v>
      </c>
      <c r="AM293" s="36">
        <f t="shared" ref="AM293:AM296" si="819">SUM(Q284)</f>
        <v>1.5</v>
      </c>
      <c r="AN293" s="35">
        <f t="shared" si="810"/>
        <v>0.3985557093</v>
      </c>
      <c r="AO293" s="37">
        <f t="shared" si="811"/>
        <v>0.597833564</v>
      </c>
      <c r="AP293" s="36">
        <f t="shared" ref="AP293:AQ293" si="815">SUM(T284)</f>
        <v>123.1706313</v>
      </c>
      <c r="AQ293" s="36">
        <f t="shared" si="815"/>
        <v>5.132109638</v>
      </c>
      <c r="AR293" s="32">
        <f t="shared" si="813"/>
        <v>114.7916667</v>
      </c>
    </row>
    <row r="294" ht="15.75" customHeight="1">
      <c r="A294" s="21"/>
      <c r="B294" s="60" t="s">
        <v>33</v>
      </c>
      <c r="C294" s="60">
        <v>18.0</v>
      </c>
      <c r="D294" s="60">
        <f t="shared" ref="D294:M294" si="816">SUM(D276:D293)</f>
        <v>471</v>
      </c>
      <c r="E294" s="61">
        <f t="shared" si="816"/>
        <v>460</v>
      </c>
      <c r="F294" s="62">
        <f t="shared" si="816"/>
        <v>87805.984</v>
      </c>
      <c r="G294" s="61">
        <f t="shared" si="816"/>
        <v>31335</v>
      </c>
      <c r="H294" s="61">
        <f t="shared" si="816"/>
        <v>563</v>
      </c>
      <c r="I294" s="61">
        <f t="shared" si="816"/>
        <v>31898</v>
      </c>
      <c r="J294" s="61">
        <f t="shared" si="816"/>
        <v>43229</v>
      </c>
      <c r="K294" s="61">
        <f t="shared" si="816"/>
        <v>662</v>
      </c>
      <c r="L294" s="61">
        <f t="shared" si="816"/>
        <v>43891</v>
      </c>
      <c r="M294" s="61">
        <f t="shared" si="816"/>
        <v>75789</v>
      </c>
      <c r="N294" s="62">
        <f t="shared" si="768"/>
        <v>190.8825739</v>
      </c>
      <c r="O294" s="60">
        <f>SUM(O276:O293)</f>
        <v>126399</v>
      </c>
      <c r="P294" s="63">
        <f t="shared" si="769"/>
        <v>0.5996012627</v>
      </c>
      <c r="Q294" s="64">
        <v>1.5</v>
      </c>
      <c r="R294" s="63">
        <f t="shared" si="770"/>
        <v>0.5754277522</v>
      </c>
      <c r="S294" s="65">
        <f t="shared" si="771"/>
        <v>0.8631416283</v>
      </c>
      <c r="T294" s="64">
        <f>SUM(T276:T293)</f>
        <v>3238.261208</v>
      </c>
      <c r="U294" s="64">
        <f t="shared" si="772"/>
        <v>7.039698279</v>
      </c>
      <c r="V294" s="61">
        <f t="shared" si="773"/>
        <v>164.7586957</v>
      </c>
      <c r="X294" s="31">
        <v>4.0</v>
      </c>
      <c r="Y294" s="31" t="s">
        <v>37</v>
      </c>
      <c r="Z294" s="31">
        <f t="shared" ref="Z294:AI294" si="817">SUM(D285)</f>
        <v>24</v>
      </c>
      <c r="AA294" s="32">
        <f t="shared" si="817"/>
        <v>24</v>
      </c>
      <c r="AB294" s="33">
        <f t="shared" si="817"/>
        <v>4707.858</v>
      </c>
      <c r="AC294" s="32">
        <f t="shared" si="817"/>
        <v>1401</v>
      </c>
      <c r="AD294" s="32">
        <f t="shared" si="817"/>
        <v>0</v>
      </c>
      <c r="AE294" s="32">
        <f t="shared" si="817"/>
        <v>1401</v>
      </c>
      <c r="AF294" s="32">
        <f t="shared" si="817"/>
        <v>2317</v>
      </c>
      <c r="AG294" s="32">
        <f t="shared" si="817"/>
        <v>0</v>
      </c>
      <c r="AH294" s="32">
        <f t="shared" si="817"/>
        <v>2317</v>
      </c>
      <c r="AI294" s="32">
        <f t="shared" si="817"/>
        <v>3718</v>
      </c>
      <c r="AJ294" s="34">
        <f t="shared" si="808"/>
        <v>196.16075</v>
      </c>
      <c r="AK294" s="31">
        <f t="shared" si="818"/>
        <v>5887</v>
      </c>
      <c r="AL294" s="35">
        <f t="shared" si="809"/>
        <v>0.6315610668</v>
      </c>
      <c r="AM294" s="36">
        <f t="shared" si="819"/>
        <v>1.5</v>
      </c>
      <c r="AN294" s="35">
        <f t="shared" si="810"/>
        <v>0.5264956306</v>
      </c>
      <c r="AO294" s="37">
        <f t="shared" si="811"/>
        <v>0.789743446</v>
      </c>
      <c r="AP294" s="36">
        <f t="shared" ref="AP294:AQ294" si="820">SUM(T285)</f>
        <v>189.8942401</v>
      </c>
      <c r="AQ294" s="36">
        <f t="shared" si="820"/>
        <v>7.912260003</v>
      </c>
      <c r="AR294" s="32">
        <f t="shared" si="813"/>
        <v>154.9166667</v>
      </c>
    </row>
    <row r="295" ht="15.7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X295" s="31">
        <v>5.0</v>
      </c>
      <c r="Y295" s="31" t="s">
        <v>39</v>
      </c>
      <c r="Z295" s="31">
        <f t="shared" ref="Z295:AI295" si="821">SUM(D286)</f>
        <v>22</v>
      </c>
      <c r="AA295" s="32">
        <f t="shared" si="821"/>
        <v>22</v>
      </c>
      <c r="AB295" s="33">
        <f t="shared" si="821"/>
        <v>4147.816</v>
      </c>
      <c r="AC295" s="32">
        <f t="shared" si="821"/>
        <v>867</v>
      </c>
      <c r="AD295" s="32">
        <f t="shared" si="821"/>
        <v>0</v>
      </c>
      <c r="AE295" s="32">
        <f t="shared" si="821"/>
        <v>867</v>
      </c>
      <c r="AF295" s="32">
        <f t="shared" si="821"/>
        <v>1786</v>
      </c>
      <c r="AG295" s="32">
        <f t="shared" si="821"/>
        <v>0</v>
      </c>
      <c r="AH295" s="32">
        <f t="shared" si="821"/>
        <v>1786</v>
      </c>
      <c r="AI295" s="32">
        <f t="shared" si="821"/>
        <v>2653</v>
      </c>
      <c r="AJ295" s="34">
        <f t="shared" si="808"/>
        <v>188.5370909</v>
      </c>
      <c r="AK295" s="31">
        <f t="shared" si="818"/>
        <v>3569</v>
      </c>
      <c r="AL295" s="35">
        <f t="shared" si="809"/>
        <v>0.7433454749</v>
      </c>
      <c r="AM295" s="36">
        <f t="shared" si="819"/>
        <v>1.5</v>
      </c>
      <c r="AN295" s="35">
        <f t="shared" si="810"/>
        <v>0.4264091432</v>
      </c>
      <c r="AO295" s="37">
        <f t="shared" si="811"/>
        <v>0.6396137148</v>
      </c>
      <c r="AP295" s="36">
        <f t="shared" ref="AP295:AQ295" si="822">SUM(T286)</f>
        <v>193.2542515</v>
      </c>
      <c r="AQ295" s="36">
        <f t="shared" si="822"/>
        <v>8.784284159</v>
      </c>
      <c r="AR295" s="32">
        <f t="shared" si="813"/>
        <v>120.5909091</v>
      </c>
    </row>
    <row r="296" ht="15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X296" s="31">
        <v>6.0</v>
      </c>
      <c r="Y296" s="31" t="s">
        <v>41</v>
      </c>
      <c r="Z296" s="31">
        <f t="shared" ref="Z296:AI296" si="823">SUM(D287)</f>
        <v>20</v>
      </c>
      <c r="AA296" s="32">
        <f t="shared" si="823"/>
        <v>20</v>
      </c>
      <c r="AB296" s="33">
        <f t="shared" si="823"/>
        <v>3993.196</v>
      </c>
      <c r="AC296" s="32">
        <f t="shared" si="823"/>
        <v>930</v>
      </c>
      <c r="AD296" s="32">
        <f t="shared" si="823"/>
        <v>0</v>
      </c>
      <c r="AE296" s="32">
        <f t="shared" si="823"/>
        <v>930</v>
      </c>
      <c r="AF296" s="32">
        <f t="shared" si="823"/>
        <v>1436</v>
      </c>
      <c r="AG296" s="32">
        <f t="shared" si="823"/>
        <v>0</v>
      </c>
      <c r="AH296" s="32">
        <f t="shared" si="823"/>
        <v>1436</v>
      </c>
      <c r="AI296" s="32">
        <f t="shared" si="823"/>
        <v>2366</v>
      </c>
      <c r="AJ296" s="34">
        <f t="shared" si="808"/>
        <v>199.6598</v>
      </c>
      <c r="AK296" s="31">
        <f t="shared" si="818"/>
        <v>3801</v>
      </c>
      <c r="AL296" s="35">
        <f t="shared" si="809"/>
        <v>0.6224677716</v>
      </c>
      <c r="AM296" s="36">
        <f t="shared" si="819"/>
        <v>1.5</v>
      </c>
      <c r="AN296" s="35">
        <f t="shared" si="810"/>
        <v>0.3950052372</v>
      </c>
      <c r="AO296" s="37">
        <f t="shared" si="811"/>
        <v>0.5925078559</v>
      </c>
      <c r="AP296" s="36">
        <f t="shared" ref="AP296:AQ296" si="824">SUM(T287)</f>
        <v>134.7777778</v>
      </c>
      <c r="AQ296" s="36">
        <f t="shared" si="824"/>
        <v>6.738888889</v>
      </c>
      <c r="AR296" s="32">
        <f t="shared" si="813"/>
        <v>118.3</v>
      </c>
    </row>
    <row r="297" ht="15.75" customHeight="1">
      <c r="A297" s="1" t="s">
        <v>45</v>
      </c>
      <c r="D297" s="2"/>
      <c r="X297" s="46" t="s">
        <v>33</v>
      </c>
      <c r="Y297" s="46">
        <v>6.0</v>
      </c>
      <c r="Z297" s="46">
        <f t="shared" ref="Z297:AI297" si="825">SUM(Z291:Z296)</f>
        <v>139</v>
      </c>
      <c r="AA297" s="47">
        <f t="shared" si="825"/>
        <v>139</v>
      </c>
      <c r="AB297" s="49">
        <f t="shared" si="825"/>
        <v>26625.214</v>
      </c>
      <c r="AC297" s="47">
        <f t="shared" si="825"/>
        <v>9484</v>
      </c>
      <c r="AD297" s="47">
        <f t="shared" si="825"/>
        <v>143</v>
      </c>
      <c r="AE297" s="47">
        <f t="shared" si="825"/>
        <v>9627</v>
      </c>
      <c r="AF297" s="47">
        <f t="shared" si="825"/>
        <v>13860</v>
      </c>
      <c r="AG297" s="47">
        <f t="shared" si="825"/>
        <v>120</v>
      </c>
      <c r="AH297" s="47">
        <f t="shared" si="825"/>
        <v>13980</v>
      </c>
      <c r="AI297" s="47">
        <f t="shared" si="825"/>
        <v>23607</v>
      </c>
      <c r="AJ297" s="49">
        <f t="shared" si="808"/>
        <v>191.5483022</v>
      </c>
      <c r="AK297" s="46">
        <f>SUM(AK291:AK296)</f>
        <v>37031</v>
      </c>
      <c r="AL297" s="50">
        <f t="shared" si="809"/>
        <v>0.6374929113</v>
      </c>
      <c r="AM297" s="51">
        <v>1.5</v>
      </c>
      <c r="AN297" s="50">
        <f t="shared" si="810"/>
        <v>0.5910938406</v>
      </c>
      <c r="AO297" s="52">
        <f t="shared" si="811"/>
        <v>0.8866407609</v>
      </c>
      <c r="AP297" s="51">
        <f>SUM(AP291:AP296)</f>
        <v>1096.300053</v>
      </c>
      <c r="AQ297" s="51">
        <f>AP297/AA297</f>
        <v>7.887050738</v>
      </c>
      <c r="AR297" s="47">
        <f t="shared" si="813"/>
        <v>169.8345324</v>
      </c>
    </row>
    <row r="298" ht="15.75" customHeight="1">
      <c r="A298" s="1" t="s">
        <v>45</v>
      </c>
      <c r="D298" s="2"/>
      <c r="X298" s="66" t="s">
        <v>1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6"/>
    </row>
    <row r="299" ht="15.75" customHeight="1">
      <c r="A299" s="10">
        <v>46215.0</v>
      </c>
      <c r="B299" s="8" t="s">
        <v>2</v>
      </c>
      <c r="C299" s="8" t="s">
        <v>3</v>
      </c>
      <c r="D299" s="8" t="s">
        <v>4</v>
      </c>
      <c r="E299" s="8" t="s">
        <v>5</v>
      </c>
      <c r="F299" s="9" t="s">
        <v>6</v>
      </c>
      <c r="G299" s="8" t="s">
        <v>7</v>
      </c>
      <c r="H299" s="8" t="s">
        <v>8</v>
      </c>
      <c r="I299" s="8" t="s">
        <v>9</v>
      </c>
      <c r="J299" s="8" t="s">
        <v>10</v>
      </c>
      <c r="K299" s="8" t="s">
        <v>11</v>
      </c>
      <c r="L299" s="8" t="s">
        <v>12</v>
      </c>
      <c r="M299" s="8" t="s">
        <v>13</v>
      </c>
      <c r="N299" s="9" t="s">
        <v>14</v>
      </c>
      <c r="O299" s="8" t="s">
        <v>15</v>
      </c>
      <c r="P299" s="8" t="s">
        <v>16</v>
      </c>
      <c r="Q299" s="8" t="s">
        <v>17</v>
      </c>
      <c r="R299" s="8" t="s">
        <v>18</v>
      </c>
      <c r="S299" s="11" t="s">
        <v>19</v>
      </c>
      <c r="T299" s="12" t="s">
        <v>20</v>
      </c>
      <c r="U299" s="12" t="s">
        <v>21</v>
      </c>
      <c r="V299" s="13" t="s">
        <v>22</v>
      </c>
      <c r="X299" s="14" t="s">
        <v>2</v>
      </c>
      <c r="Y299" s="14" t="s">
        <v>3</v>
      </c>
      <c r="Z299" s="14" t="s">
        <v>4</v>
      </c>
      <c r="AA299" s="14" t="s">
        <v>5</v>
      </c>
      <c r="AB299" s="15" t="s">
        <v>6</v>
      </c>
      <c r="AC299" s="14" t="s">
        <v>7</v>
      </c>
      <c r="AD299" s="14" t="s">
        <v>8</v>
      </c>
      <c r="AE299" s="14" t="s">
        <v>9</v>
      </c>
      <c r="AF299" s="14" t="s">
        <v>10</v>
      </c>
      <c r="AG299" s="14" t="s">
        <v>11</v>
      </c>
      <c r="AH299" s="14" t="s">
        <v>12</v>
      </c>
      <c r="AI299" s="14" t="s">
        <v>13</v>
      </c>
      <c r="AJ299" s="15" t="s">
        <v>14</v>
      </c>
      <c r="AK299" s="14" t="s">
        <v>15</v>
      </c>
      <c r="AL299" s="14" t="s">
        <v>16</v>
      </c>
      <c r="AM299" s="16" t="s">
        <v>17</v>
      </c>
      <c r="AN299" s="17" t="s">
        <v>18</v>
      </c>
      <c r="AO299" s="18" t="s">
        <v>19</v>
      </c>
      <c r="AP299" s="19" t="s">
        <v>20</v>
      </c>
      <c r="AQ299" s="19" t="s">
        <v>21</v>
      </c>
      <c r="AR299" s="20" t="s">
        <v>22</v>
      </c>
    </row>
    <row r="300" ht="15.7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X300" s="22">
        <v>1.0</v>
      </c>
      <c r="Y300" s="22" t="s">
        <v>23</v>
      </c>
      <c r="Z300" s="22">
        <f t="shared" ref="Z300:AI300" si="826">SUM(D308)</f>
        <v>26</v>
      </c>
      <c r="AA300" s="23">
        <f t="shared" si="826"/>
        <v>26</v>
      </c>
      <c r="AB300" s="24">
        <f t="shared" si="826"/>
        <v>5027.26</v>
      </c>
      <c r="AC300" s="23">
        <f t="shared" si="826"/>
        <v>910</v>
      </c>
      <c r="AD300" s="23">
        <f t="shared" si="826"/>
        <v>0</v>
      </c>
      <c r="AE300" s="23">
        <f t="shared" si="826"/>
        <v>910</v>
      </c>
      <c r="AF300" s="23">
        <f t="shared" si="826"/>
        <v>2142</v>
      </c>
      <c r="AG300" s="23">
        <f t="shared" si="826"/>
        <v>0</v>
      </c>
      <c r="AH300" s="23">
        <f t="shared" si="826"/>
        <v>2142</v>
      </c>
      <c r="AI300" s="23">
        <f t="shared" si="826"/>
        <v>3052</v>
      </c>
      <c r="AJ300" s="25">
        <f t="shared" ref="AJ300:AJ302" si="829">AB300/AA300</f>
        <v>193.3561538</v>
      </c>
      <c r="AK300" s="22">
        <f>SUM(O308)</f>
        <v>6853</v>
      </c>
      <c r="AL300" s="26">
        <f t="shared" ref="AL300:AL306" si="830">AI300/AK300</f>
        <v>0.4453524004</v>
      </c>
      <c r="AM300" s="27">
        <f t="shared" ref="AM300:AM302" si="831">SUM(Q308)</f>
        <v>1.5</v>
      </c>
      <c r="AN300" s="26">
        <f t="shared" ref="AN300:AN306" si="832">AO300/AM300</f>
        <v>0.404726763</v>
      </c>
      <c r="AO300" s="28">
        <f t="shared" ref="AO300:AO306" si="833">AI300/AB300</f>
        <v>0.6070901445</v>
      </c>
      <c r="AP300" s="27">
        <f t="shared" ref="AP300:AQ300" si="827">SUM(T308)</f>
        <v>149</v>
      </c>
      <c r="AQ300" s="27">
        <f t="shared" si="827"/>
        <v>5.730769231</v>
      </c>
      <c r="AR300" s="23">
        <f t="shared" ref="AR300:AR306" si="835">AI300/AA300</f>
        <v>117.3846154</v>
      </c>
    </row>
    <row r="301" ht="15.7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X301" s="22">
        <v>2.0</v>
      </c>
      <c r="Y301" s="22" t="s">
        <v>24</v>
      </c>
      <c r="Z301" s="22">
        <f t="shared" ref="Z301:AI301" si="828">SUM(D309)</f>
        <v>35</v>
      </c>
      <c r="AA301" s="23">
        <f t="shared" si="828"/>
        <v>35</v>
      </c>
      <c r="AB301" s="24">
        <f t="shared" si="828"/>
        <v>6557.53</v>
      </c>
      <c r="AC301" s="23">
        <f t="shared" si="828"/>
        <v>690</v>
      </c>
      <c r="AD301" s="23">
        <f t="shared" si="828"/>
        <v>7</v>
      </c>
      <c r="AE301" s="23">
        <f t="shared" si="828"/>
        <v>697</v>
      </c>
      <c r="AF301" s="23">
        <f t="shared" si="828"/>
        <v>853</v>
      </c>
      <c r="AG301" s="23">
        <f t="shared" si="828"/>
        <v>25</v>
      </c>
      <c r="AH301" s="23">
        <f t="shared" si="828"/>
        <v>878</v>
      </c>
      <c r="AI301" s="23">
        <f t="shared" si="828"/>
        <v>1575</v>
      </c>
      <c r="AJ301" s="25">
        <f t="shared" si="829"/>
        <v>187.358</v>
      </c>
      <c r="AK301" s="22">
        <v>1580.0</v>
      </c>
      <c r="AL301" s="26">
        <f t="shared" si="830"/>
        <v>0.996835443</v>
      </c>
      <c r="AM301" s="27">
        <f t="shared" si="831"/>
        <v>1.5</v>
      </c>
      <c r="AN301" s="26">
        <f t="shared" si="832"/>
        <v>0.1601212652</v>
      </c>
      <c r="AO301" s="28">
        <f t="shared" si="833"/>
        <v>0.2401818978</v>
      </c>
      <c r="AP301" s="27">
        <f t="shared" ref="AP301:AQ301" si="834">SUM(T309)</f>
        <v>244.6383137</v>
      </c>
      <c r="AQ301" s="27">
        <f t="shared" si="834"/>
        <v>6.989666107</v>
      </c>
      <c r="AR301" s="23">
        <f t="shared" si="835"/>
        <v>45</v>
      </c>
    </row>
    <row r="302" ht="15.75" customHeight="1">
      <c r="A302" s="21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X302" s="31">
        <v>3.0</v>
      </c>
      <c r="Y302" s="31" t="s">
        <v>25</v>
      </c>
      <c r="Z302" s="31">
        <f t="shared" ref="Z302:AI302" si="836">SUM(D310)</f>
        <v>26</v>
      </c>
      <c r="AA302" s="32">
        <f t="shared" si="836"/>
        <v>24</v>
      </c>
      <c r="AB302" s="33">
        <f t="shared" si="836"/>
        <v>4475.76</v>
      </c>
      <c r="AC302" s="32">
        <f t="shared" si="836"/>
        <v>1501</v>
      </c>
      <c r="AD302" s="32">
        <f t="shared" si="836"/>
        <v>326</v>
      </c>
      <c r="AE302" s="32">
        <f t="shared" si="836"/>
        <v>1827</v>
      </c>
      <c r="AF302" s="32">
        <f t="shared" si="836"/>
        <v>2175</v>
      </c>
      <c r="AG302" s="32">
        <f t="shared" si="836"/>
        <v>131</v>
      </c>
      <c r="AH302" s="32">
        <f t="shared" si="836"/>
        <v>2306</v>
      </c>
      <c r="AI302" s="32">
        <f t="shared" si="836"/>
        <v>4133</v>
      </c>
      <c r="AJ302" s="34">
        <f t="shared" si="829"/>
        <v>186.49</v>
      </c>
      <c r="AK302" s="31">
        <f>SUM(O310)</f>
        <v>6622</v>
      </c>
      <c r="AL302" s="35">
        <f t="shared" si="830"/>
        <v>0.6241316823</v>
      </c>
      <c r="AM302" s="36">
        <f t="shared" si="831"/>
        <v>1.5</v>
      </c>
      <c r="AN302" s="35">
        <f t="shared" si="832"/>
        <v>0.6156123951</v>
      </c>
      <c r="AO302" s="37">
        <f t="shared" si="833"/>
        <v>0.9234185926</v>
      </c>
      <c r="AP302" s="36">
        <f t="shared" ref="AP302:AQ302" si="837">SUM(T310)</f>
        <v>187.7416107</v>
      </c>
      <c r="AQ302" s="36">
        <f t="shared" si="837"/>
        <v>7.822567114</v>
      </c>
      <c r="AR302" s="32">
        <f t="shared" si="835"/>
        <v>172.2083333</v>
      </c>
    </row>
    <row r="303" ht="15.75" customHeight="1">
      <c r="A303" s="21"/>
      <c r="B303" s="38">
        <v>1.0</v>
      </c>
      <c r="C303" s="38" t="s">
        <v>26</v>
      </c>
      <c r="D303" s="39">
        <v>15.0</v>
      </c>
      <c r="E303" s="40">
        <f>IFERROR(__xludf.DUMMYFUNCTION("COUNT(IMPORTRANGE(""https://docs.google.com/spreadsheets/d/1z0o91thOT38lgejTE_Bd2p3v_9VCDdQRkUsMIVqpQCk/edit"",""12!d2:d21""))"),14.0)</f>
        <v>14</v>
      </c>
      <c r="F303" s="41">
        <f>IFERROR(__xludf.DUMMYFUNCTION("SUM(IMPORTRANGE(""https://docs.google.com/spreadsheets/d/1z0o91thOT38lgejTE_Bd2p3v_9VCDdQRkUsMIVqpQCk/edit"",""12!Q2:Q21""))"),2587.875)</f>
        <v>2587.875</v>
      </c>
      <c r="G303" s="40">
        <f>IFERROR(__xludf.DUMMYFUNCTION("IMPORTRANGE(""https://docs.google.com/spreadsheets/d/1z0o91thOT38lgejTE_Bd2p3v_9VCDdQRkUsMIVqpQCk/edit"",""12!e28"")"),1379.0)</f>
        <v>1379</v>
      </c>
      <c r="H303" s="40">
        <f>IFERROR(__xludf.DUMMYFUNCTION("IMPORTRANGE(""https://docs.google.com/spreadsheets/d/1z0o91thOT38lgejTE_Bd2p3v_9VCDdQRkUsMIVqpQCk/edit"",""12!e29"")"),0.0)</f>
        <v>0</v>
      </c>
      <c r="I303" s="40">
        <f t="shared" ref="I303:I320" si="840">SUM(G303:H303)</f>
        <v>1379</v>
      </c>
      <c r="J303" s="40">
        <f>IFERROR(__xludf.DUMMYFUNCTION("IMPORTRANGE(""https://docs.google.com/spreadsheets/d/1z0o91thOT38lgejTE_Bd2p3v_9VCDdQRkUsMIVqpQCk/edit"",""12!e32"")"),2145.0)</f>
        <v>2145</v>
      </c>
      <c r="K303" s="40">
        <f>IFERROR(__xludf.DUMMYFUNCTION("IMPORTRANGE(""https://docs.google.com/spreadsheets/d/1z0o91thOT38lgejTE_Bd2p3v_9VCDdQRkUsMIVqpQCk/edit"",""12!e33"")"),0.0)</f>
        <v>0</v>
      </c>
      <c r="L303" s="40">
        <f t="shared" ref="L303:L309" si="841">SUM(J303:K303)</f>
        <v>2145</v>
      </c>
      <c r="M303" s="40">
        <f t="shared" ref="M303:M320" si="842">SUM(I303+L303)</f>
        <v>3524</v>
      </c>
      <c r="N303" s="41">
        <f t="shared" ref="N303:N321" si="843">F303/E303</f>
        <v>184.8482143</v>
      </c>
      <c r="O303" s="38">
        <v>5161.0</v>
      </c>
      <c r="P303" s="42">
        <f t="shared" ref="P303:P321" si="844">M303/O303</f>
        <v>0.6828134083</v>
      </c>
      <c r="Q303" s="43">
        <v>1.5</v>
      </c>
      <c r="R303" s="42">
        <f t="shared" ref="R303:R321" si="845">S303/Q303</f>
        <v>0.9078233428</v>
      </c>
      <c r="S303" s="44">
        <f t="shared" ref="S303:S321" si="846">M303/F303</f>
        <v>1.361735014</v>
      </c>
      <c r="T303" s="43">
        <f>F303/14.415</f>
        <v>179.5265349</v>
      </c>
      <c r="U303" s="43">
        <f t="shared" ref="U303:U321" si="847">T303/E303</f>
        <v>12.82332392</v>
      </c>
      <c r="V303" s="40">
        <f t="shared" ref="V303:V321" si="848">M303/E303</f>
        <v>251.7142857</v>
      </c>
      <c r="X303" s="22">
        <v>4.0</v>
      </c>
      <c r="Y303" s="22" t="s">
        <v>27</v>
      </c>
      <c r="Z303" s="22">
        <f t="shared" ref="Z303:AK303" si="838">SUM(D316)</f>
        <v>23</v>
      </c>
      <c r="AA303" s="23">
        <f t="shared" si="838"/>
        <v>23</v>
      </c>
      <c r="AB303" s="24">
        <f t="shared" si="838"/>
        <v>4192.743</v>
      </c>
      <c r="AC303" s="23">
        <f t="shared" si="838"/>
        <v>1280</v>
      </c>
      <c r="AD303" s="23">
        <f t="shared" si="838"/>
        <v>0</v>
      </c>
      <c r="AE303" s="23">
        <f t="shared" si="838"/>
        <v>1280</v>
      </c>
      <c r="AF303" s="23">
        <f t="shared" si="838"/>
        <v>2525</v>
      </c>
      <c r="AG303" s="23">
        <f t="shared" si="838"/>
        <v>0</v>
      </c>
      <c r="AH303" s="23">
        <f t="shared" si="838"/>
        <v>2525</v>
      </c>
      <c r="AI303" s="23">
        <f t="shared" si="838"/>
        <v>3805</v>
      </c>
      <c r="AJ303" s="25">
        <f t="shared" si="838"/>
        <v>182.2931739</v>
      </c>
      <c r="AK303" s="22">
        <f t="shared" si="838"/>
        <v>8101</v>
      </c>
      <c r="AL303" s="26">
        <f t="shared" si="830"/>
        <v>0.4696950994</v>
      </c>
      <c r="AM303" s="27">
        <f>SUM(Q316)</f>
        <v>1.5</v>
      </c>
      <c r="AN303" s="26">
        <f t="shared" si="832"/>
        <v>0.6050136311</v>
      </c>
      <c r="AO303" s="28">
        <f t="shared" si="833"/>
        <v>0.9075204466</v>
      </c>
      <c r="AP303" s="27">
        <f t="shared" ref="AP303:AQ303" si="839">SUM(T316)</f>
        <v>209.7944959</v>
      </c>
      <c r="AQ303" s="27">
        <f t="shared" si="839"/>
        <v>9.121499821</v>
      </c>
      <c r="AR303" s="23">
        <f t="shared" si="835"/>
        <v>165.4347826</v>
      </c>
    </row>
    <row r="304" ht="15.75" customHeight="1">
      <c r="A304" s="21"/>
      <c r="B304" s="38">
        <v>2.0</v>
      </c>
      <c r="C304" s="38" t="s">
        <v>28</v>
      </c>
      <c r="D304" s="39">
        <v>24.0</v>
      </c>
      <c r="E304" s="40">
        <f>IFERROR(__xludf.DUMMYFUNCTION("COUNT(IMPORTRANGE(""https://docs.google.com/spreadsheets/d/10a85iNN0y9GF6ngQfF1JXGAzFk-T7ywH4-TZtQcOTaE/edit"",""12!d2:d34""))"),24.0)</f>
        <v>24</v>
      </c>
      <c r="F304" s="41">
        <f>IFERROR(__xludf.DUMMYFUNCTION("SUM(IMPORTRANGE(""https://docs.google.com/spreadsheets/d/10a85iNN0y9GF6ngQfF1JXGAzFk-T7ywH4-TZtQcOTaE/edit"",""12!Q2:Q34""))"),4705.909999999999)</f>
        <v>4705.91</v>
      </c>
      <c r="G304" s="40">
        <f>IFERROR(__xludf.DUMMYFUNCTION("IMPORTRANGE(""https://docs.google.com/spreadsheets/d/10a85iNN0y9GF6ngQfF1JXGAzFk-T7ywH4-TZtQcOTaE/edit"",""12!e41"")"),1660.0)</f>
        <v>1660</v>
      </c>
      <c r="H304" s="40">
        <f>IFERROR(__xludf.DUMMYFUNCTION("IMPORTRANGE(""https://docs.google.com/spreadsheets/d/10a85iNN0y9GF6ngQfF1JXGAzFk-T7ywH4-TZtQcOTaE/edit"",""12!e42"")"),81.0)</f>
        <v>81</v>
      </c>
      <c r="I304" s="40">
        <f t="shared" si="840"/>
        <v>1741</v>
      </c>
      <c r="J304" s="40">
        <f>IFERROR(__xludf.DUMMYFUNCTION("IMPORTRANGE(""https://docs.google.com/spreadsheets/d/10a85iNN0y9GF6ngQfF1JXGAzFk-T7ywH4-TZtQcOTaE/edit"",""12!e45"")"),1928.0)</f>
        <v>1928</v>
      </c>
      <c r="K304" s="40">
        <f>IFERROR(__xludf.DUMMYFUNCTION("IMPORTRANGE(""https://docs.google.com/spreadsheets/d/10a85iNN0y9GF6ngQfF1JXGAzFk-T7ywH4-TZtQcOTaE/edit"",""12!e46"")"),85.0)</f>
        <v>85</v>
      </c>
      <c r="L304" s="40">
        <f t="shared" si="841"/>
        <v>2013</v>
      </c>
      <c r="M304" s="40">
        <f t="shared" si="842"/>
        <v>3754</v>
      </c>
      <c r="N304" s="41">
        <f t="shared" si="843"/>
        <v>196.0795833</v>
      </c>
      <c r="O304" s="38">
        <v>7315.0</v>
      </c>
      <c r="P304" s="42">
        <f t="shared" si="844"/>
        <v>0.5131920711</v>
      </c>
      <c r="Q304" s="43">
        <v>1.5</v>
      </c>
      <c r="R304" s="42">
        <f t="shared" si="845"/>
        <v>0.5318135423</v>
      </c>
      <c r="S304" s="44">
        <f t="shared" si="846"/>
        <v>0.7977203134</v>
      </c>
      <c r="T304" s="43">
        <f>F304/30.897</f>
        <v>152.3096093</v>
      </c>
      <c r="U304" s="43">
        <f t="shared" si="847"/>
        <v>6.346233723</v>
      </c>
      <c r="V304" s="40">
        <f t="shared" si="848"/>
        <v>156.4166667</v>
      </c>
      <c r="X304" s="22">
        <v>5.0</v>
      </c>
      <c r="Y304" s="22" t="s">
        <v>29</v>
      </c>
      <c r="Z304" s="22">
        <f t="shared" ref="Z304:AI304" si="849">SUM(D319)</f>
        <v>23</v>
      </c>
      <c r="AA304" s="23">
        <f t="shared" si="849"/>
        <v>22</v>
      </c>
      <c r="AB304" s="24">
        <f t="shared" si="849"/>
        <v>4322.308</v>
      </c>
      <c r="AC304" s="23">
        <f t="shared" si="849"/>
        <v>1587</v>
      </c>
      <c r="AD304" s="23">
        <f t="shared" si="849"/>
        <v>0</v>
      </c>
      <c r="AE304" s="23">
        <f t="shared" si="849"/>
        <v>1587</v>
      </c>
      <c r="AF304" s="23">
        <f t="shared" si="849"/>
        <v>2585</v>
      </c>
      <c r="AG304" s="23">
        <f t="shared" si="849"/>
        <v>0</v>
      </c>
      <c r="AH304" s="23">
        <f t="shared" si="849"/>
        <v>2585</v>
      </c>
      <c r="AI304" s="23">
        <f t="shared" si="849"/>
        <v>4172</v>
      </c>
      <c r="AJ304" s="25">
        <f t="shared" ref="AJ304:AJ306" si="852">AB304/AA304</f>
        <v>196.4685455</v>
      </c>
      <c r="AK304" s="22">
        <f t="shared" ref="AK304:AK305" si="853">SUM(O319)</f>
        <v>9201</v>
      </c>
      <c r="AL304" s="26">
        <f t="shared" si="830"/>
        <v>0.4534289751</v>
      </c>
      <c r="AM304" s="27">
        <f t="shared" ref="AM304:AM305" si="854">SUM(Q319)</f>
        <v>1.5</v>
      </c>
      <c r="AN304" s="26">
        <f t="shared" si="832"/>
        <v>0.6434833735</v>
      </c>
      <c r="AO304" s="28">
        <f t="shared" si="833"/>
        <v>0.9652250603</v>
      </c>
      <c r="AP304" s="27">
        <f t="shared" ref="AP304:AQ304" si="850">SUM(T319)</f>
        <v>166</v>
      </c>
      <c r="AQ304" s="27">
        <f t="shared" si="850"/>
        <v>7.545454545</v>
      </c>
      <c r="AR304" s="23">
        <f t="shared" si="835"/>
        <v>189.6363636</v>
      </c>
    </row>
    <row r="305" ht="15.75" customHeight="1">
      <c r="A305" s="21"/>
      <c r="B305" s="38">
        <v>3.0</v>
      </c>
      <c r="C305" s="38" t="s">
        <v>30</v>
      </c>
      <c r="D305" s="39">
        <v>45.0</v>
      </c>
      <c r="E305" s="40">
        <f>IFERROR(__xludf.DUMMYFUNCTION("COUNT(IMPORTRANGE(""https://docs.google.com/spreadsheets/d/1WojVzHhpzodJL1e5UDHeu3A3u5MTSZwvxHu0BrwvL9w/edit"",""12!d2:d61""))"),44.0)</f>
        <v>44</v>
      </c>
      <c r="F305" s="45">
        <f>IFERROR(__xludf.DUMMYFUNCTION("SUM(IMPORTRANGE(""https://docs.google.com/spreadsheets/d/1WojVzHhpzodJL1e5UDHeu3A3u5MTSZwvxHu0BrwvL9w/edit"",""12!Q2:Q61""))"),8690.582999999995)</f>
        <v>8690.583</v>
      </c>
      <c r="G305" s="40">
        <f>IFERROR(__xludf.DUMMYFUNCTION("IMPORTRANGE(""https://docs.google.com/spreadsheets/d/1WojVzHhpzodJL1e5UDHeu3A3u5MTSZwvxHu0BrwvL9w/edit"",""12!e68"")"),2379.0)</f>
        <v>2379</v>
      </c>
      <c r="H305" s="40">
        <f>IFERROR(__xludf.DUMMYFUNCTION("IMPORTRANGE(""https://docs.google.com/spreadsheets/d/1WojVzHhpzodJL1e5UDHeu3A3u5MTSZwvxHu0BrwvL9w/edit"",""12!e69"")"),0.0)</f>
        <v>0</v>
      </c>
      <c r="I305" s="40">
        <f t="shared" si="840"/>
        <v>2379</v>
      </c>
      <c r="J305" s="40">
        <f>IFERROR(__xludf.DUMMYFUNCTION("IMPORTRANGE(""https://docs.google.com/spreadsheets/d/1WojVzHhpzodJL1e5UDHeu3A3u5MTSZwvxHu0BrwvL9w/edit"",""12!e72"")"),4222.0)</f>
        <v>4222</v>
      </c>
      <c r="K305" s="40">
        <f>IFERROR(__xludf.DUMMYFUNCTION("IMPORTRANGE(""https://docs.google.com/spreadsheets/d/1WojVzHhpzodJL1e5UDHeu3A3u5MTSZwvxHu0BrwvL9w/edit"",""12!e73"")"),0.0)</f>
        <v>0</v>
      </c>
      <c r="L305" s="40">
        <f t="shared" si="841"/>
        <v>4222</v>
      </c>
      <c r="M305" s="40">
        <f t="shared" si="842"/>
        <v>6601</v>
      </c>
      <c r="N305" s="41">
        <f t="shared" si="843"/>
        <v>197.51325</v>
      </c>
      <c r="O305" s="38">
        <v>11164.0</v>
      </c>
      <c r="P305" s="42">
        <f t="shared" si="844"/>
        <v>0.5912755285</v>
      </c>
      <c r="Q305" s="43">
        <v>1.5</v>
      </c>
      <c r="R305" s="42">
        <f t="shared" si="845"/>
        <v>0.5063718587</v>
      </c>
      <c r="S305" s="44">
        <f t="shared" si="846"/>
        <v>0.759557788</v>
      </c>
      <c r="T305" s="43">
        <f>F305/29.603</f>
        <v>293.5710232</v>
      </c>
      <c r="U305" s="43">
        <f t="shared" si="847"/>
        <v>6.672068709</v>
      </c>
      <c r="V305" s="40">
        <f t="shared" si="848"/>
        <v>150.0227273</v>
      </c>
      <c r="X305" s="22">
        <v>6.0</v>
      </c>
      <c r="Y305" s="22" t="s">
        <v>31</v>
      </c>
      <c r="Z305" s="22">
        <f t="shared" ref="Z305:AI305" si="851">SUM(D320)</f>
        <v>11</v>
      </c>
      <c r="AA305" s="23">
        <f t="shared" si="851"/>
        <v>11</v>
      </c>
      <c r="AB305" s="25">
        <f t="shared" si="851"/>
        <v>1979.379</v>
      </c>
      <c r="AC305" s="23">
        <f t="shared" si="851"/>
        <v>417</v>
      </c>
      <c r="AD305" s="23">
        <f t="shared" si="851"/>
        <v>24</v>
      </c>
      <c r="AE305" s="23">
        <f t="shared" si="851"/>
        <v>441</v>
      </c>
      <c r="AF305" s="23">
        <f t="shared" si="851"/>
        <v>679</v>
      </c>
      <c r="AG305" s="23">
        <f t="shared" si="851"/>
        <v>0</v>
      </c>
      <c r="AH305" s="23">
        <f t="shared" si="851"/>
        <v>679</v>
      </c>
      <c r="AI305" s="23">
        <f t="shared" si="851"/>
        <v>1120</v>
      </c>
      <c r="AJ305" s="25">
        <f t="shared" si="852"/>
        <v>179.9435455</v>
      </c>
      <c r="AK305" s="22">
        <f t="shared" si="853"/>
        <v>2717</v>
      </c>
      <c r="AL305" s="26">
        <f t="shared" si="830"/>
        <v>0.4122193596</v>
      </c>
      <c r="AM305" s="27">
        <f t="shared" si="854"/>
        <v>1.5</v>
      </c>
      <c r="AN305" s="26">
        <f t="shared" si="832"/>
        <v>0.3772226879</v>
      </c>
      <c r="AO305" s="28">
        <f t="shared" si="833"/>
        <v>0.5658340318</v>
      </c>
      <c r="AP305" s="27">
        <f t="shared" ref="AP305:AQ305" si="855">SUM(T320)</f>
        <v>45.53960658</v>
      </c>
      <c r="AQ305" s="27">
        <f t="shared" si="855"/>
        <v>4.139964235</v>
      </c>
      <c r="AR305" s="23">
        <f t="shared" si="835"/>
        <v>101.8181818</v>
      </c>
    </row>
    <row r="306" ht="15.75" customHeight="1">
      <c r="A306" s="21"/>
      <c r="B306" s="38">
        <v>4.0</v>
      </c>
      <c r="C306" s="38" t="s">
        <v>32</v>
      </c>
      <c r="D306" s="39">
        <v>32.0</v>
      </c>
      <c r="E306" s="40">
        <f>IFERROR(__xludf.DUMMYFUNCTION("COUNT(IMPORTRANGE(""https://docs.google.com/spreadsheets/d/1vmCj5YcMSPHj1m64syDndQ6cqVL3yolcU03Y8KHmvdc/edit"",""12!d2:d43""))"),32.0)</f>
        <v>32</v>
      </c>
      <c r="F306" s="45">
        <f>IFERROR(__xludf.DUMMYFUNCTION("SUM(IMPORTRANGE(""https://docs.google.com/spreadsheets/d/1vmCj5YcMSPHj1m64syDndQ6cqVL3yolcU03Y8KHmvdc/edit"",""12!Q2:Q43""))"),6160.423999999995)</f>
        <v>6160.424</v>
      </c>
      <c r="G306" s="38">
        <f>IFERROR(__xludf.DUMMYFUNCTION("IMPORTRANGE(""https://docs.google.com/spreadsheets/d/1vmCj5YcMSPHj1m64syDndQ6cqVL3yolcU03Y8KHmvdc/edit"",""12!e50"")"),3124.0)</f>
        <v>3124</v>
      </c>
      <c r="H306" s="38">
        <f>IFERROR(__xludf.DUMMYFUNCTION("IMPORTRANGE(""https://docs.google.com/spreadsheets/d/1vmCj5YcMSPHj1m64syDndQ6cqVL3yolcU03Y8KHmvdc/edit"",""12!e51"")"),0.0)</f>
        <v>0</v>
      </c>
      <c r="I306" s="40">
        <f t="shared" si="840"/>
        <v>3124</v>
      </c>
      <c r="J306" s="38">
        <f>IFERROR(__xludf.DUMMYFUNCTION("IMPORTRANGE(""https://docs.google.com/spreadsheets/d/1vmCj5YcMSPHj1m64syDndQ6cqVL3yolcU03Y8KHmvdc/edit"",""12!e54"")"),4153.0)</f>
        <v>4153</v>
      </c>
      <c r="K306" s="38">
        <f>IFERROR(__xludf.DUMMYFUNCTION("IMPORTRANGE(""https://docs.google.com/spreadsheets/d/1vmCj5YcMSPHj1m64syDndQ6cqVL3yolcU03Y8KHmvdc/edit"",""12!e55"")"),0.0)</f>
        <v>0</v>
      </c>
      <c r="L306" s="40">
        <f t="shared" si="841"/>
        <v>4153</v>
      </c>
      <c r="M306" s="40">
        <f t="shared" si="842"/>
        <v>7277</v>
      </c>
      <c r="N306" s="41">
        <f t="shared" si="843"/>
        <v>192.51325</v>
      </c>
      <c r="O306" s="38">
        <v>13817.0</v>
      </c>
      <c r="P306" s="42">
        <f t="shared" si="844"/>
        <v>0.5266700441</v>
      </c>
      <c r="Q306" s="43">
        <v>1.5</v>
      </c>
      <c r="R306" s="42">
        <f t="shared" si="845"/>
        <v>0.787499908</v>
      </c>
      <c r="S306" s="44">
        <f t="shared" si="846"/>
        <v>1.181249862</v>
      </c>
      <c r="T306" s="43">
        <f>F306/25.089</f>
        <v>245.5428275</v>
      </c>
      <c r="U306" s="43">
        <f t="shared" si="847"/>
        <v>7.67321336</v>
      </c>
      <c r="V306" s="40">
        <f t="shared" si="848"/>
        <v>227.40625</v>
      </c>
      <c r="X306" s="68" t="s">
        <v>33</v>
      </c>
      <c r="Y306" s="46">
        <v>6.0</v>
      </c>
      <c r="Z306" s="46">
        <f t="shared" ref="Z306:AI306" si="856">SUM(Z300:Z305)</f>
        <v>144</v>
      </c>
      <c r="AA306" s="47">
        <f t="shared" si="856"/>
        <v>141</v>
      </c>
      <c r="AB306" s="48">
        <f t="shared" si="856"/>
        <v>26554.98</v>
      </c>
      <c r="AC306" s="47">
        <f t="shared" si="856"/>
        <v>6385</v>
      </c>
      <c r="AD306" s="47">
        <f t="shared" si="856"/>
        <v>357</v>
      </c>
      <c r="AE306" s="47">
        <f t="shared" si="856"/>
        <v>6742</v>
      </c>
      <c r="AF306" s="47">
        <f t="shared" si="856"/>
        <v>10959</v>
      </c>
      <c r="AG306" s="47">
        <f t="shared" si="856"/>
        <v>156</v>
      </c>
      <c r="AH306" s="47">
        <f t="shared" si="856"/>
        <v>11115</v>
      </c>
      <c r="AI306" s="47">
        <f t="shared" si="856"/>
        <v>17857</v>
      </c>
      <c r="AJ306" s="49">
        <f t="shared" si="852"/>
        <v>188.3331915</v>
      </c>
      <c r="AK306" s="46">
        <f>SUM(AK300:AK305)</f>
        <v>35074</v>
      </c>
      <c r="AL306" s="50">
        <f t="shared" si="830"/>
        <v>0.5091235673</v>
      </c>
      <c r="AM306" s="51">
        <v>1.5</v>
      </c>
      <c r="AN306" s="50">
        <f t="shared" si="832"/>
        <v>0.4483026034</v>
      </c>
      <c r="AO306" s="52">
        <f t="shared" si="833"/>
        <v>0.6724539051</v>
      </c>
      <c r="AP306" s="51">
        <f>SUM(AP300:AP305)</f>
        <v>1002.714027</v>
      </c>
      <c r="AQ306" s="51">
        <f>AP306/AA306</f>
        <v>7.111447</v>
      </c>
      <c r="AR306" s="47">
        <f t="shared" si="835"/>
        <v>126.6453901</v>
      </c>
    </row>
    <row r="307" ht="15.75" customHeight="1">
      <c r="A307" s="21"/>
      <c r="B307" s="38">
        <v>5.0</v>
      </c>
      <c r="C307" s="38" t="s">
        <v>34</v>
      </c>
      <c r="D307" s="39">
        <v>30.0</v>
      </c>
      <c r="E307" s="40">
        <f>IFERROR(__xludf.DUMMYFUNCTION("COUNT(IMPORTRANGE(""https://docs.google.com/spreadsheets/d/14_Y-fpuq1wcec3DlT_1PBYekOC0YblQMrWVfO12YO3k/edit"",""12!d2:d41""))"),29.0)</f>
        <v>29</v>
      </c>
      <c r="F307" s="45">
        <f>IFERROR(__xludf.DUMMYFUNCTION("SUM(IMPORTRANGE(""https://docs.google.com/spreadsheets/d/14_Y-fpuq1wcec3DlT_1PBYekOC0YblQMrWVfO12YO3k/edit"",""12!Q2:Q41""))"),5740.9710000000005)</f>
        <v>5740.971</v>
      </c>
      <c r="G307" s="40">
        <f>IFERROR(__xludf.DUMMYFUNCTION("IMPORTRANGE(""https://docs.google.com/spreadsheets/d/14_Y-fpuq1wcec3DlT_1PBYekOC0YblQMrWVfO12YO3k/edit"",""12!e48"")"),1806.0)</f>
        <v>1806</v>
      </c>
      <c r="H307" s="40">
        <f>IFERROR(__xludf.DUMMYFUNCTION("IMPORTRANGE(""https://docs.google.com/spreadsheets/d/14_Y-fpuq1wcec3DlT_1PBYekOC0YblQMrWVfO12YO3k/edit"",""12!e49"")"),0.0)</f>
        <v>0</v>
      </c>
      <c r="I307" s="40">
        <f t="shared" si="840"/>
        <v>1806</v>
      </c>
      <c r="J307" s="40">
        <f>IFERROR(__xludf.DUMMYFUNCTION("IMPORTRANGE(""https://docs.google.com/spreadsheets/d/14_Y-fpuq1wcec3DlT_1PBYekOC0YblQMrWVfO12YO3k/edit"",""12!e52"")"),2492.0)</f>
        <v>2492</v>
      </c>
      <c r="K307" s="40">
        <f>IFERROR(__xludf.DUMMYFUNCTION("IMPORTRANGE(""https://docs.google.com/spreadsheets/d/14_Y-fpuq1wcec3DlT_1PBYekOC0YblQMrWVfO12YO3k/edit"",""12!e53"")"),0.0)</f>
        <v>0</v>
      </c>
      <c r="L307" s="40">
        <f t="shared" si="841"/>
        <v>2492</v>
      </c>
      <c r="M307" s="40">
        <f t="shared" si="842"/>
        <v>4298</v>
      </c>
      <c r="N307" s="41">
        <f t="shared" si="843"/>
        <v>197.9645172</v>
      </c>
      <c r="O307" s="38">
        <v>9354.0</v>
      </c>
      <c r="P307" s="42">
        <f t="shared" si="844"/>
        <v>0.4594825743</v>
      </c>
      <c r="Q307" s="43">
        <v>1.5</v>
      </c>
      <c r="R307" s="42">
        <f t="shared" si="845"/>
        <v>0.4991025618</v>
      </c>
      <c r="S307" s="44">
        <f t="shared" si="846"/>
        <v>0.7486538427</v>
      </c>
      <c r="T307" s="43">
        <f>F307/30.713</f>
        <v>186.9231596</v>
      </c>
      <c r="U307" s="43">
        <f t="shared" si="847"/>
        <v>6.445626192</v>
      </c>
      <c r="V307" s="40">
        <f t="shared" si="848"/>
        <v>148.2068966</v>
      </c>
      <c r="X307" s="53" t="s">
        <v>35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6"/>
    </row>
    <row r="308" ht="15.75" customHeight="1">
      <c r="A308" s="21"/>
      <c r="B308" s="38">
        <v>6.0</v>
      </c>
      <c r="C308" s="38" t="s">
        <v>23</v>
      </c>
      <c r="D308" s="39">
        <v>26.0</v>
      </c>
      <c r="E308" s="40">
        <f>IFERROR(__xludf.DUMMYFUNCTION("COUNT(IMPORTRANGE(""https://docs.google.com/spreadsheets/d/1lJqjdj05V4LOXuBOiTdE65GV4ZITyx1cMLcDdcuoUnE/edit"",""12!d2:d36""))"),26.0)</f>
        <v>26</v>
      </c>
      <c r="F308" s="45">
        <f>IFERROR(__xludf.DUMMYFUNCTION("SUM(IMPORTRANGE(""https://docs.google.com/spreadsheets/d/1lJqjdj05V4LOXuBOiTdE65GV4ZITyx1cMLcDdcuoUnE/edit"",""12!Q2:Q36""))"),5027.259999999998)</f>
        <v>5027.26</v>
      </c>
      <c r="G308" s="40">
        <f>IFERROR(__xludf.DUMMYFUNCTION("IMPORTRANGE(""https://docs.google.com/spreadsheets/d/1lJqjdj05V4LOXuBOiTdE65GV4ZITyx1cMLcDdcuoUnE/edit"",""12!e43"")"),910.0)</f>
        <v>910</v>
      </c>
      <c r="H308" s="40">
        <f>IFERROR(__xludf.DUMMYFUNCTION("IMPORTRANGE(""https://docs.google.com/spreadsheets/d/1lJqjdj05V4LOXuBOiTdE65GV4ZITyx1cMLcDdcuoUnE/edit"",""12!e44"")"),0.0)</f>
        <v>0</v>
      </c>
      <c r="I308" s="40">
        <f t="shared" si="840"/>
        <v>910</v>
      </c>
      <c r="J308" s="40">
        <f>IFERROR(__xludf.DUMMYFUNCTION("IMPORTRANGE(""https://docs.google.com/spreadsheets/d/1lJqjdj05V4LOXuBOiTdE65GV4ZITyx1cMLcDdcuoUnE/edit"",""12!e47"")"),2142.0)</f>
        <v>2142</v>
      </c>
      <c r="K308" s="40">
        <f>IFERROR(__xludf.DUMMYFUNCTION("IMPORTRANGE(""https://docs.google.com/spreadsheets/d/1lJqjdj05V4LOXuBOiTdE65GV4ZITyx1cMLcDdcuoUnE/edit"",""12!e48"")"),0.0)</f>
        <v>0</v>
      </c>
      <c r="L308" s="40">
        <f t="shared" si="841"/>
        <v>2142</v>
      </c>
      <c r="M308" s="40">
        <f t="shared" si="842"/>
        <v>3052</v>
      </c>
      <c r="N308" s="41">
        <f t="shared" si="843"/>
        <v>193.3561538</v>
      </c>
      <c r="O308" s="38">
        <v>6853.0</v>
      </c>
      <c r="P308" s="42">
        <f t="shared" si="844"/>
        <v>0.4453524004</v>
      </c>
      <c r="Q308" s="43">
        <v>1.5</v>
      </c>
      <c r="R308" s="42">
        <f t="shared" si="845"/>
        <v>0.404726763</v>
      </c>
      <c r="S308" s="44">
        <f t="shared" si="846"/>
        <v>0.6070901445</v>
      </c>
      <c r="T308" s="43">
        <f>F308/33.74</f>
        <v>149</v>
      </c>
      <c r="U308" s="43">
        <f t="shared" si="847"/>
        <v>5.730769231</v>
      </c>
      <c r="V308" s="40">
        <f t="shared" si="848"/>
        <v>117.3846154</v>
      </c>
      <c r="X308" s="14" t="s">
        <v>2</v>
      </c>
      <c r="Y308" s="14" t="s">
        <v>3</v>
      </c>
      <c r="Z308" s="14" t="s">
        <v>4</v>
      </c>
      <c r="AA308" s="14" t="s">
        <v>5</v>
      </c>
      <c r="AB308" s="15" t="s">
        <v>6</v>
      </c>
      <c r="AC308" s="14" t="s">
        <v>7</v>
      </c>
      <c r="AD308" s="14" t="s">
        <v>8</v>
      </c>
      <c r="AE308" s="14" t="s">
        <v>9</v>
      </c>
      <c r="AF308" s="14" t="s">
        <v>10</v>
      </c>
      <c r="AG308" s="14" t="s">
        <v>11</v>
      </c>
      <c r="AH308" s="14" t="s">
        <v>12</v>
      </c>
      <c r="AI308" s="14" t="s">
        <v>13</v>
      </c>
      <c r="AJ308" s="15" t="s">
        <v>14</v>
      </c>
      <c r="AK308" s="14" t="s">
        <v>15</v>
      </c>
      <c r="AL308" s="14" t="s">
        <v>16</v>
      </c>
      <c r="AM308" s="16" t="s">
        <v>17</v>
      </c>
      <c r="AN308" s="17" t="s">
        <v>18</v>
      </c>
      <c r="AO308" s="18" t="s">
        <v>19</v>
      </c>
      <c r="AP308" s="19" t="s">
        <v>20</v>
      </c>
      <c r="AQ308" s="19" t="s">
        <v>21</v>
      </c>
      <c r="AR308" s="20" t="s">
        <v>22</v>
      </c>
    </row>
    <row r="309" ht="15.75" customHeight="1">
      <c r="A309" s="21"/>
      <c r="B309" s="38">
        <v>7.0</v>
      </c>
      <c r="C309" s="38" t="s">
        <v>24</v>
      </c>
      <c r="D309" s="39">
        <v>35.0</v>
      </c>
      <c r="E309" s="54">
        <f>IFERROR(__xludf.DUMMYFUNCTION("COUNT(IMPORTRANGE(""https://docs.google.com/spreadsheets/d/1_7EEO26q9Yq-XhNFiy7I6Zh4Yg6uGjTs9y0UqNvPKcQ/edit"",""12!d2:d45""))"),35.0)</f>
        <v>35</v>
      </c>
      <c r="F309" s="55">
        <f>IFERROR(__xludf.DUMMYFUNCTION("SUM(IMPORTRANGE(""https://docs.google.com/spreadsheets/d/1_7EEO26q9Yq-XhNFiy7I6Zh4Yg6uGjTs9y0UqNvPKcQ/edit"",""12!Q2:Q45""))"),6557.529999999996)</f>
        <v>6557.53</v>
      </c>
      <c r="G309" s="54">
        <f>IFERROR(__xludf.DUMMYFUNCTION("IMPORTRANGE(""https://docs.google.com/spreadsheets/d/1_7EEO26q9Yq-XhNFiy7I6Zh4Yg6uGjTs9y0UqNvPKcQ/edit"",""12!e53"")"),690.0)</f>
        <v>690</v>
      </c>
      <c r="H309" s="54">
        <f>IFERROR(__xludf.DUMMYFUNCTION("IMPORTRANGE(""https://docs.google.com/spreadsheets/d/1_7EEO26q9Yq-XhNFiy7I6Zh4Yg6uGjTs9y0UqNvPKcQ/edit"",""12!e54"")"),7.0)</f>
        <v>7</v>
      </c>
      <c r="I309" s="54">
        <f t="shared" si="840"/>
        <v>697</v>
      </c>
      <c r="J309" s="54">
        <f>IFERROR(__xludf.DUMMYFUNCTION("IMPORTRANGE(""https://docs.google.com/spreadsheets/d/1_7EEO26q9Yq-XhNFiy7I6Zh4Yg6uGjTs9y0UqNvPKcQ/edit"",""12!e57"")"),853.0)</f>
        <v>853</v>
      </c>
      <c r="K309" s="54">
        <f>IFERROR(__xludf.DUMMYFUNCTION("IMPORTRANGE(""https://docs.google.com/spreadsheets/d/1_7EEO26q9Yq-XhNFiy7I6Zh4Yg6uGjTs9y0UqNvPKcQ/edit"",""12!e58"")"),25.0)</f>
        <v>25</v>
      </c>
      <c r="L309" s="40">
        <f t="shared" si="841"/>
        <v>878</v>
      </c>
      <c r="M309" s="40">
        <f t="shared" si="842"/>
        <v>1575</v>
      </c>
      <c r="N309" s="41">
        <f t="shared" si="843"/>
        <v>187.358</v>
      </c>
      <c r="O309" s="38">
        <v>1580.0</v>
      </c>
      <c r="P309" s="42">
        <f t="shared" si="844"/>
        <v>0.996835443</v>
      </c>
      <c r="Q309" s="43">
        <v>1.5</v>
      </c>
      <c r="R309" s="42">
        <f t="shared" si="845"/>
        <v>0.1601212652</v>
      </c>
      <c r="S309" s="44">
        <f t="shared" si="846"/>
        <v>0.2401818978</v>
      </c>
      <c r="T309" s="43">
        <f>F309/26.805</f>
        <v>244.6383137</v>
      </c>
      <c r="U309" s="43">
        <f t="shared" si="847"/>
        <v>6.989666107</v>
      </c>
      <c r="V309" s="40">
        <f t="shared" si="848"/>
        <v>45</v>
      </c>
      <c r="X309" s="22">
        <v>1.0</v>
      </c>
      <c r="Y309" s="22" t="s">
        <v>28</v>
      </c>
      <c r="Z309" s="22">
        <f t="shared" ref="Z309:AI309" si="857">SUM(D304)</f>
        <v>24</v>
      </c>
      <c r="AA309" s="23">
        <f t="shared" si="857"/>
        <v>24</v>
      </c>
      <c r="AB309" s="25">
        <f t="shared" si="857"/>
        <v>4705.91</v>
      </c>
      <c r="AC309" s="23">
        <f t="shared" si="857"/>
        <v>1660</v>
      </c>
      <c r="AD309" s="23">
        <f t="shared" si="857"/>
        <v>81</v>
      </c>
      <c r="AE309" s="23">
        <f t="shared" si="857"/>
        <v>1741</v>
      </c>
      <c r="AF309" s="23">
        <f t="shared" si="857"/>
        <v>1928</v>
      </c>
      <c r="AG309" s="23">
        <f t="shared" si="857"/>
        <v>85</v>
      </c>
      <c r="AH309" s="23">
        <f t="shared" si="857"/>
        <v>2013</v>
      </c>
      <c r="AI309" s="23">
        <f t="shared" si="857"/>
        <v>3754</v>
      </c>
      <c r="AJ309" s="25">
        <f t="shared" ref="AJ309:AJ315" si="860">AB309/AA309</f>
        <v>196.0795833</v>
      </c>
      <c r="AK309" s="22">
        <f t="shared" ref="AK309:AK310" si="861">SUM(O304)</f>
        <v>7315</v>
      </c>
      <c r="AL309" s="26">
        <f t="shared" ref="AL309:AL315" si="862">AI309/AK309</f>
        <v>0.5131920711</v>
      </c>
      <c r="AM309" s="27">
        <f t="shared" ref="AM309:AM310" si="863">SUM(Q304)</f>
        <v>1.5</v>
      </c>
      <c r="AN309" s="26">
        <f t="shared" ref="AN309:AN315" si="864">AO309/AM309</f>
        <v>0.5318135423</v>
      </c>
      <c r="AO309" s="28">
        <f t="shared" ref="AO309:AO315" si="865">AI309/AB309</f>
        <v>0.7977203134</v>
      </c>
      <c r="AP309" s="27">
        <f t="shared" ref="AP309:AQ309" si="858">SUM(T304)</f>
        <v>152.3096093</v>
      </c>
      <c r="AQ309" s="27">
        <f t="shared" si="858"/>
        <v>6.346233723</v>
      </c>
      <c r="AR309" s="23">
        <f t="shared" ref="AR309:AR315" si="867">AI309/AA309</f>
        <v>156.4166667</v>
      </c>
    </row>
    <row r="310" ht="15.75" customHeight="1">
      <c r="A310" s="21"/>
      <c r="B310" s="38">
        <v>8.0</v>
      </c>
      <c r="C310" s="38" t="s">
        <v>25</v>
      </c>
      <c r="D310" s="57">
        <v>26.0</v>
      </c>
      <c r="E310" s="40">
        <f>IFERROR(__xludf.DUMMYFUNCTION("COUNT(IMPORTRANGE(""https://docs.google.com/spreadsheets/d/1vLOLpiE-XsbnCnwWPcoi87PlUSXfqIAAQn3kvqHfO6s/edit"",""12!d2:D33""))"),24.0)</f>
        <v>24</v>
      </c>
      <c r="F310" s="45">
        <f>IFERROR(__xludf.DUMMYFUNCTION("SUM(IMPORTRANGE(""https://docs.google.com/spreadsheets/d/1vLOLpiE-XsbnCnwWPcoi87PlUSXfqIAAQn3kvqHfO6s/edit"",""12!Q2:Q33""))"),4475.759999999999)</f>
        <v>4475.76</v>
      </c>
      <c r="G310" s="40">
        <f>IFERROR(__xludf.DUMMYFUNCTION("IMPORTRANGE(""https://docs.google.com/spreadsheets/d/1vLOLpiE-XsbnCnwWPcoi87PlUSXfqIAAQn3kvqHfO6s/edit"",""12!e40"")"),1501.0)</f>
        <v>1501</v>
      </c>
      <c r="H310" s="40">
        <f>IFERROR(__xludf.DUMMYFUNCTION("IMPORTRANGE(""https://docs.google.com/spreadsheets/d/1vLOLpiE-XsbnCnwWPcoi87PlUSXfqIAAQn3kvqHfO6s/edit"",""12!e41"")"),326.0)</f>
        <v>326</v>
      </c>
      <c r="I310" s="40">
        <f t="shared" si="840"/>
        <v>1827</v>
      </c>
      <c r="J310" s="40">
        <f>IFERROR(__xludf.DUMMYFUNCTION("IMPORTRANGE(""https://docs.google.com/spreadsheets/d/1vLOLpiE-XsbnCnwWPcoi87PlUSXfqIAAQn3kvqHfO6s/edit"",""12!e44"")"),2175.0)</f>
        <v>2175</v>
      </c>
      <c r="K310" s="40">
        <f>IFERROR(__xludf.DUMMYFUNCTION("IMPORTRANGE(""https://docs.google.com/spreadsheets/d/1vLOLpiE-XsbnCnwWPcoi87PlUSXfqIAAQn3kvqHfO6s/edit"",""12!e45"")"),131.0)</f>
        <v>131</v>
      </c>
      <c r="L310" s="40">
        <f>J310+K310</f>
        <v>2306</v>
      </c>
      <c r="M310" s="40">
        <f t="shared" si="842"/>
        <v>4133</v>
      </c>
      <c r="N310" s="41">
        <f t="shared" si="843"/>
        <v>186.49</v>
      </c>
      <c r="O310" s="38">
        <v>6622.0</v>
      </c>
      <c r="P310" s="42">
        <f t="shared" si="844"/>
        <v>0.6241316823</v>
      </c>
      <c r="Q310" s="43">
        <v>1.5</v>
      </c>
      <c r="R310" s="42">
        <f t="shared" si="845"/>
        <v>0.6156123951</v>
      </c>
      <c r="S310" s="44">
        <f t="shared" si="846"/>
        <v>0.9234185926</v>
      </c>
      <c r="T310" s="43">
        <f>F310/23.84</f>
        <v>187.7416107</v>
      </c>
      <c r="U310" s="43">
        <f t="shared" si="847"/>
        <v>7.822567114</v>
      </c>
      <c r="V310" s="40">
        <f t="shared" si="848"/>
        <v>172.2083333</v>
      </c>
      <c r="X310" s="31">
        <v>2.0</v>
      </c>
      <c r="Y310" s="31" t="s">
        <v>30</v>
      </c>
      <c r="Z310" s="31">
        <f t="shared" ref="Z310:AI310" si="859">SUM(D305)</f>
        <v>45</v>
      </c>
      <c r="AA310" s="32">
        <f t="shared" si="859"/>
        <v>44</v>
      </c>
      <c r="AB310" s="33">
        <f t="shared" si="859"/>
        <v>8690.583</v>
      </c>
      <c r="AC310" s="32">
        <f t="shared" si="859"/>
        <v>2379</v>
      </c>
      <c r="AD310" s="32">
        <f t="shared" si="859"/>
        <v>0</v>
      </c>
      <c r="AE310" s="32">
        <f t="shared" si="859"/>
        <v>2379</v>
      </c>
      <c r="AF310" s="32">
        <f t="shared" si="859"/>
        <v>4222</v>
      </c>
      <c r="AG310" s="32">
        <f t="shared" si="859"/>
        <v>0</v>
      </c>
      <c r="AH310" s="32">
        <f t="shared" si="859"/>
        <v>4222</v>
      </c>
      <c r="AI310" s="32">
        <f t="shared" si="859"/>
        <v>6601</v>
      </c>
      <c r="AJ310" s="34">
        <f t="shared" si="860"/>
        <v>197.51325</v>
      </c>
      <c r="AK310" s="31">
        <f t="shared" si="861"/>
        <v>11164</v>
      </c>
      <c r="AL310" s="35">
        <f t="shared" si="862"/>
        <v>0.5912755285</v>
      </c>
      <c r="AM310" s="36">
        <f t="shared" si="863"/>
        <v>1.5</v>
      </c>
      <c r="AN310" s="35">
        <f t="shared" si="864"/>
        <v>0.5063718587</v>
      </c>
      <c r="AO310" s="37">
        <f t="shared" si="865"/>
        <v>0.759557788</v>
      </c>
      <c r="AP310" s="36">
        <f t="shared" ref="AP310:AQ310" si="866">SUM(T305)</f>
        <v>293.5710232</v>
      </c>
      <c r="AQ310" s="36">
        <f t="shared" si="866"/>
        <v>6.672068709</v>
      </c>
      <c r="AR310" s="32">
        <f t="shared" si="867"/>
        <v>150.0227273</v>
      </c>
    </row>
    <row r="311" ht="15.75" customHeight="1">
      <c r="A311" s="21"/>
      <c r="B311" s="38">
        <v>9.0</v>
      </c>
      <c r="C311" s="38" t="s">
        <v>36</v>
      </c>
      <c r="D311" s="57">
        <v>24.0</v>
      </c>
      <c r="E311" s="40">
        <f>IFERROR(__xludf.DUMMYFUNCTION("COUNT(IMPORTRANGE(""https://docs.google.com/spreadsheets/d/1WJJVq25XDtGjt-J2JPxeKs3jIvDZtkIREC0lFPXwf74/edit"",""12!d2:d31""))"),24.0)</f>
        <v>24</v>
      </c>
      <c r="F311" s="45">
        <f>IFERROR(__xludf.DUMMYFUNCTION("SUM(IMPORTRANGE(""https://docs.google.com/spreadsheets/d/1WJJVq25XDtGjt-J2JPxeKs3jIvDZtkIREC0lFPXwf74/edit"",""12!Q2:Q31""))"),4501.205)</f>
        <v>4501.205</v>
      </c>
      <c r="G311" s="40">
        <f>IFERROR(__xludf.DUMMYFUNCTION("IMPORTRANGE(""https://docs.google.com/spreadsheets/d/1WJJVq25XDtGjt-J2JPxeKs3jIvDZtkIREC0lFPXwf74/edit"",""12!e38"")"),906.0)</f>
        <v>906</v>
      </c>
      <c r="H311" s="40">
        <f>IFERROR(__xludf.DUMMYFUNCTION("IMPORTRANGE(""https://docs.google.com/spreadsheets/d/1WJJVq25XDtGjt-J2JPxeKs3jIvDZtkIREC0lFPXwf74/edit"",""12!e39"")"),0.0)</f>
        <v>0</v>
      </c>
      <c r="I311" s="40">
        <f t="shared" si="840"/>
        <v>906</v>
      </c>
      <c r="J311" s="40">
        <f>IFERROR(__xludf.DUMMYFUNCTION("IMPORTRANGE(""https://docs.google.com/spreadsheets/d/1WJJVq25XDtGjt-J2JPxeKs3jIvDZtkIREC0lFPXwf74/edit"",""12!e42"")"),1447.0)</f>
        <v>1447</v>
      </c>
      <c r="K311" s="40">
        <f>IFERROR(__xludf.DUMMYFUNCTION("IMPORTRANGE(""https://docs.google.com/spreadsheets/d/1WJJVq25XDtGjt-J2JPxeKs3jIvDZtkIREC0lFPXwf74/edit"",""12!e43"")"),0.0)</f>
        <v>0</v>
      </c>
      <c r="L311" s="40">
        <f t="shared" ref="L311:L320" si="870">SUM(J311:K311)</f>
        <v>1447</v>
      </c>
      <c r="M311" s="40">
        <f t="shared" si="842"/>
        <v>2353</v>
      </c>
      <c r="N311" s="41">
        <f t="shared" si="843"/>
        <v>187.5502083</v>
      </c>
      <c r="O311" s="38">
        <v>4796.0</v>
      </c>
      <c r="P311" s="42">
        <f t="shared" si="844"/>
        <v>0.490617181</v>
      </c>
      <c r="Q311" s="43">
        <v>1.5</v>
      </c>
      <c r="R311" s="42">
        <f t="shared" si="845"/>
        <v>0.3484992722</v>
      </c>
      <c r="S311" s="44">
        <f t="shared" si="846"/>
        <v>0.5227489083</v>
      </c>
      <c r="T311" s="43">
        <f>F311/37.414</f>
        <v>120.3080398</v>
      </c>
      <c r="U311" s="43">
        <f t="shared" si="847"/>
        <v>5.01283499</v>
      </c>
      <c r="V311" s="40">
        <f t="shared" si="848"/>
        <v>98.04166667</v>
      </c>
      <c r="X311" s="22">
        <v>3.0</v>
      </c>
      <c r="Y311" s="22" t="s">
        <v>34</v>
      </c>
      <c r="Z311" s="22">
        <f t="shared" ref="Z311:AI311" si="868">SUM(D307)</f>
        <v>30</v>
      </c>
      <c r="AA311" s="23">
        <f t="shared" si="868"/>
        <v>29</v>
      </c>
      <c r="AB311" s="24">
        <f t="shared" si="868"/>
        <v>5740.971</v>
      </c>
      <c r="AC311" s="23">
        <f t="shared" si="868"/>
        <v>1806</v>
      </c>
      <c r="AD311" s="23">
        <f t="shared" si="868"/>
        <v>0</v>
      </c>
      <c r="AE311" s="23">
        <f t="shared" si="868"/>
        <v>1806</v>
      </c>
      <c r="AF311" s="23">
        <f t="shared" si="868"/>
        <v>2492</v>
      </c>
      <c r="AG311" s="23">
        <f t="shared" si="868"/>
        <v>0</v>
      </c>
      <c r="AH311" s="23">
        <f t="shared" si="868"/>
        <v>2492</v>
      </c>
      <c r="AI311" s="23">
        <f t="shared" si="868"/>
        <v>4298</v>
      </c>
      <c r="AJ311" s="25">
        <f t="shared" si="860"/>
        <v>197.9645172</v>
      </c>
      <c r="AK311" s="22">
        <f>SUM(O307)</f>
        <v>9354</v>
      </c>
      <c r="AL311" s="26">
        <f t="shared" si="862"/>
        <v>0.4594825743</v>
      </c>
      <c r="AM311" s="27">
        <f>SUM(Q307)</f>
        <v>1.5</v>
      </c>
      <c r="AN311" s="26">
        <f t="shared" si="864"/>
        <v>0.4991025618</v>
      </c>
      <c r="AO311" s="28">
        <f t="shared" si="865"/>
        <v>0.7486538427</v>
      </c>
      <c r="AP311" s="27">
        <f t="shared" ref="AP311:AQ311" si="869">SUM(T307)</f>
        <v>186.9231596</v>
      </c>
      <c r="AQ311" s="27">
        <f t="shared" si="869"/>
        <v>6.445626192</v>
      </c>
      <c r="AR311" s="23">
        <f t="shared" si="867"/>
        <v>148.2068966</v>
      </c>
    </row>
    <row r="312" ht="15.75" customHeight="1">
      <c r="A312" s="21"/>
      <c r="B312" s="38">
        <v>10.0</v>
      </c>
      <c r="C312" s="38" t="s">
        <v>37</v>
      </c>
      <c r="D312" s="39">
        <v>23.0</v>
      </c>
      <c r="E312" s="40">
        <f>IFERROR(__xludf.DUMMYFUNCTION("COUNT(IMPORTRANGE(""https://docs.google.com/spreadsheets/d/1rJyYfywRpWJW0zvDJHLOJtqUQqffoCGaqTVxxTDgV0k/edit"",""12!d2:d31""))"),20.0)</f>
        <v>20</v>
      </c>
      <c r="F312" s="45">
        <f>IFERROR(__xludf.DUMMYFUNCTION("SUM(IMPORTRANGE(""https://docs.google.com/spreadsheets/d/1rJyYfywRpWJW0zvDJHLOJtqUQqffoCGaqTVxxTDgV0k/edit"",""12!Q2:Q31""))"),4000.2)</f>
        <v>4000.2</v>
      </c>
      <c r="G312" s="40">
        <f>IFERROR(__xludf.DUMMYFUNCTION("(IMPORTRANGE(""https://docs.google.com/spreadsheets/d/1rJyYfywRpWJW0zvDJHLOJtqUQqffoCGaqTVxxTDgV0k/edit"",""12!e38""))"),919.0)</f>
        <v>919</v>
      </c>
      <c r="H312" s="40">
        <f>IFERROR(__xludf.DUMMYFUNCTION("(IMPORTRANGE(""https://docs.google.com/spreadsheets/d/1rJyYfywRpWJW0zvDJHLOJtqUQqffoCGaqTVxxTDgV0k/edit"",""12!e39""))"),0.0)</f>
        <v>0</v>
      </c>
      <c r="I312" s="40">
        <f t="shared" si="840"/>
        <v>919</v>
      </c>
      <c r="J312" s="40">
        <f>IFERROR(__xludf.DUMMYFUNCTION("(IMPORTRANGE(""https://docs.google.com/spreadsheets/d/1rJyYfywRpWJW0zvDJHLOJtqUQqffoCGaqTVxxTDgV0k/edit"",""12!e42""))"),1858.0)</f>
        <v>1858</v>
      </c>
      <c r="K312" s="40">
        <f>IFERROR(__xludf.DUMMYFUNCTION("(IMPORTRANGE(""https://docs.google.com/spreadsheets/d/1rJyYfywRpWJW0zvDJHLOJtqUQqffoCGaqTVxxTDgV0k/edit"",""12!e43""))"),0.0)</f>
        <v>0</v>
      </c>
      <c r="L312" s="40">
        <f t="shared" si="870"/>
        <v>1858</v>
      </c>
      <c r="M312" s="40">
        <f t="shared" si="842"/>
        <v>2777</v>
      </c>
      <c r="N312" s="41">
        <f t="shared" si="843"/>
        <v>200.01</v>
      </c>
      <c r="O312" s="38">
        <v>5887.0</v>
      </c>
      <c r="P312" s="42">
        <f t="shared" si="844"/>
        <v>0.4717173433</v>
      </c>
      <c r="Q312" s="43">
        <v>1.5</v>
      </c>
      <c r="R312" s="42">
        <f t="shared" si="845"/>
        <v>0.4628101928</v>
      </c>
      <c r="S312" s="44">
        <f t="shared" si="846"/>
        <v>0.6942152892</v>
      </c>
      <c r="T312" s="43">
        <f>F312/24.792</f>
        <v>161.3504356</v>
      </c>
      <c r="U312" s="43">
        <f t="shared" si="847"/>
        <v>8.067521781</v>
      </c>
      <c r="V312" s="40">
        <f t="shared" si="848"/>
        <v>138.85</v>
      </c>
      <c r="X312" s="31">
        <v>4.0</v>
      </c>
      <c r="Y312" s="31" t="s">
        <v>38</v>
      </c>
      <c r="Z312" s="31">
        <f t="shared" ref="Z312:AI312" si="871">SUM(D315)</f>
        <v>23</v>
      </c>
      <c r="AA312" s="32">
        <f t="shared" si="871"/>
        <v>23</v>
      </c>
      <c r="AB312" s="33">
        <f t="shared" si="871"/>
        <v>4387.817</v>
      </c>
      <c r="AC312" s="32">
        <f t="shared" si="871"/>
        <v>1172</v>
      </c>
      <c r="AD312" s="32">
        <f t="shared" si="871"/>
        <v>0</v>
      </c>
      <c r="AE312" s="32">
        <f t="shared" si="871"/>
        <v>1172</v>
      </c>
      <c r="AF312" s="32">
        <f t="shared" si="871"/>
        <v>2398</v>
      </c>
      <c r="AG312" s="32">
        <f t="shared" si="871"/>
        <v>149</v>
      </c>
      <c r="AH312" s="32">
        <f t="shared" si="871"/>
        <v>2547</v>
      </c>
      <c r="AI312" s="32">
        <f t="shared" si="871"/>
        <v>3719</v>
      </c>
      <c r="AJ312" s="34">
        <f t="shared" si="860"/>
        <v>190.7746522</v>
      </c>
      <c r="AK312" s="31">
        <v>7324.0</v>
      </c>
      <c r="AL312" s="35">
        <f t="shared" si="862"/>
        <v>0.5077826324</v>
      </c>
      <c r="AM312" s="36">
        <f>SUM(Q315)</f>
        <v>1.5</v>
      </c>
      <c r="AN312" s="35">
        <f t="shared" si="864"/>
        <v>0.5650493932</v>
      </c>
      <c r="AO312" s="37">
        <f t="shared" si="865"/>
        <v>0.8475740898</v>
      </c>
      <c r="AP312" s="36">
        <f t="shared" ref="AP312:AQ312" si="872">SUM(T315)</f>
        <v>106.4874894</v>
      </c>
      <c r="AQ312" s="36">
        <f t="shared" si="872"/>
        <v>4.629890843</v>
      </c>
      <c r="AR312" s="32">
        <f t="shared" si="867"/>
        <v>161.6956522</v>
      </c>
    </row>
    <row r="313" ht="15.75" customHeight="1">
      <c r="A313" s="21"/>
      <c r="B313" s="38">
        <v>12.0</v>
      </c>
      <c r="C313" s="38" t="s">
        <v>39</v>
      </c>
      <c r="D313" s="39">
        <v>21.0</v>
      </c>
      <c r="E313" s="40">
        <f>IFERROR(__xludf.DUMMYFUNCTION("COUNT(IMPORTRANGE(""https://docs.google.com/spreadsheets/d/1uaTn2DZCfr7O1PvovOd0wElzVz8kpl_iPfnrkNPp0Is/edit"",""12!d2:d29""))"),21.0)</f>
        <v>21</v>
      </c>
      <c r="F313" s="45">
        <f>IFERROR(__xludf.DUMMYFUNCTION("SUM(IMPORTRANGE(""https://docs.google.com/spreadsheets/d/1uaTn2DZCfr7O1PvovOd0wElzVz8kpl_iPfnrkNPp0Is/edit"",""12!Q2:Q29""))"),3954.6489999999994)</f>
        <v>3954.649</v>
      </c>
      <c r="G313" s="40">
        <f>IFERROR(__xludf.DUMMYFUNCTION("IMPORTRANGE(""https://docs.google.com/spreadsheets/d/1uaTn2DZCfr7O1PvovOd0wElzVz8kpl_iPfnrkNPp0Is/edit"",""12!e36"")"),730.0)</f>
        <v>730</v>
      </c>
      <c r="H313" s="40">
        <f>IFERROR(__xludf.DUMMYFUNCTION("(IMPORTRANGE(""https://docs.google.com/spreadsheets/d/1uaTn2DZCfr7O1PvovOd0wElzVz8kpl_iPfnrkNPp0Is/edit"",""12!e37""))"),0.0)</f>
        <v>0</v>
      </c>
      <c r="I313" s="40">
        <f t="shared" si="840"/>
        <v>730</v>
      </c>
      <c r="J313" s="40">
        <f>IFERROR(__xludf.DUMMYFUNCTION("IMPORTRANGE(""https://docs.google.com/spreadsheets/d/1uaTn2DZCfr7O1PvovOd0wElzVz8kpl_iPfnrkNPp0Is/edit"",""12!e40"")"),1840.0)</f>
        <v>1840</v>
      </c>
      <c r="K313" s="40">
        <f>IFERROR(__xludf.DUMMYFUNCTION("IMPORTRANGE(""https://docs.google.com/spreadsheets/d/1uaTn2DZCfr7O1PvovOd0wElzVz8kpl_iPfnrkNPp0Is/edit"",""12!e41"")"),0.0)</f>
        <v>0</v>
      </c>
      <c r="L313" s="40">
        <f t="shared" si="870"/>
        <v>1840</v>
      </c>
      <c r="M313" s="40">
        <f t="shared" si="842"/>
        <v>2570</v>
      </c>
      <c r="N313" s="41">
        <f t="shared" si="843"/>
        <v>188.316619</v>
      </c>
      <c r="O313" s="38">
        <v>3569.0</v>
      </c>
      <c r="P313" s="42">
        <f t="shared" si="844"/>
        <v>0.720089661</v>
      </c>
      <c r="Q313" s="43">
        <v>1.5</v>
      </c>
      <c r="R313" s="42">
        <f t="shared" si="845"/>
        <v>0.4332453609</v>
      </c>
      <c r="S313" s="44">
        <f t="shared" si="846"/>
        <v>0.6498680414</v>
      </c>
      <c r="T313" s="43">
        <f>F313/21.463</f>
        <v>184.2542515</v>
      </c>
      <c r="U313" s="43">
        <f t="shared" si="847"/>
        <v>8.774011976</v>
      </c>
      <c r="V313" s="40">
        <f t="shared" si="848"/>
        <v>122.3809524</v>
      </c>
      <c r="X313" s="31">
        <v>5.0</v>
      </c>
      <c r="Y313" s="31" t="s">
        <v>40</v>
      </c>
      <c r="Z313" s="31">
        <f t="shared" ref="Z313:AI313" si="873">SUM(D317)</f>
        <v>23</v>
      </c>
      <c r="AA313" s="32">
        <f t="shared" si="873"/>
        <v>23</v>
      </c>
      <c r="AB313" s="33">
        <f t="shared" si="873"/>
        <v>4380.222</v>
      </c>
      <c r="AC313" s="32">
        <f t="shared" si="873"/>
        <v>2018</v>
      </c>
      <c r="AD313" s="32">
        <f t="shared" si="873"/>
        <v>65</v>
      </c>
      <c r="AE313" s="32">
        <f t="shared" si="873"/>
        <v>2083</v>
      </c>
      <c r="AF313" s="32">
        <f t="shared" si="873"/>
        <v>2686</v>
      </c>
      <c r="AG313" s="32">
        <f t="shared" si="873"/>
        <v>125</v>
      </c>
      <c r="AH313" s="32">
        <f t="shared" si="873"/>
        <v>2811</v>
      </c>
      <c r="AI313" s="32">
        <f t="shared" si="873"/>
        <v>4894</v>
      </c>
      <c r="AJ313" s="34">
        <f t="shared" si="860"/>
        <v>190.4444348</v>
      </c>
      <c r="AK313" s="31">
        <f t="shared" ref="AK313:AK314" si="876">SUM(O317)</f>
        <v>8239</v>
      </c>
      <c r="AL313" s="35">
        <f t="shared" si="862"/>
        <v>0.5940041267</v>
      </c>
      <c r="AM313" s="36">
        <f t="shared" ref="AM313:AM314" si="877">SUM(Q317)</f>
        <v>1.5</v>
      </c>
      <c r="AN313" s="35">
        <f t="shared" si="864"/>
        <v>0.7448633121</v>
      </c>
      <c r="AO313" s="37">
        <f t="shared" si="865"/>
        <v>1.117294968</v>
      </c>
      <c r="AP313" s="36">
        <f t="shared" ref="AP313:AQ313" si="874">SUM(T317)</f>
        <v>154</v>
      </c>
      <c r="AQ313" s="36">
        <f t="shared" si="874"/>
        <v>6.695652174</v>
      </c>
      <c r="AR313" s="32">
        <f t="shared" si="867"/>
        <v>212.7826087</v>
      </c>
    </row>
    <row r="314" ht="15.75" customHeight="1">
      <c r="A314" s="21"/>
      <c r="B314" s="38">
        <v>12.0</v>
      </c>
      <c r="C314" s="38" t="s">
        <v>41</v>
      </c>
      <c r="D314" s="39">
        <v>19.0</v>
      </c>
      <c r="E314" s="40">
        <f>IFERROR(__xludf.DUMMYFUNCTION("COUNT(IMPORTRANGE(""https://docs.google.com/spreadsheets/d/1oYscvfOJW7GMkxt8QcupWuzb3ohaYePd3Mt2V2ufHok/edit"",""12!d2:d25""))"),19.0)</f>
        <v>19</v>
      </c>
      <c r="F314" s="45">
        <f>IFERROR(__xludf.DUMMYFUNCTION("SUM(IMPORTRANGE(""https://docs.google.com/spreadsheets/d/1oYscvfOJW7GMkxt8QcupWuzb3ohaYePd3Mt2V2ufHok/edit"",""12!Q2:Q25""))"),3713.3760000000007)</f>
        <v>3713.376</v>
      </c>
      <c r="G314" s="40">
        <f>IFERROR(__xludf.DUMMYFUNCTION("IMPORTRANGE(""https://docs.google.com/spreadsheets/d/1oYscvfOJW7GMkxt8QcupWuzb3ohaYePd3Mt2V2ufHok/edit"",""12!e32"")"),687.0)</f>
        <v>687</v>
      </c>
      <c r="H314" s="40">
        <f>IFERROR(__xludf.DUMMYFUNCTION("IMPORTRANGE(""https://docs.google.com/spreadsheets/d/1oYscvfOJW7GMkxt8QcupWuzb3ohaYePd3Mt2V2ufHok/edit"",""12!e33"")"),0.0)</f>
        <v>0</v>
      </c>
      <c r="I314" s="40">
        <f t="shared" si="840"/>
        <v>687</v>
      </c>
      <c r="J314" s="40">
        <f>IFERROR(__xludf.DUMMYFUNCTION("IMPORTRANGE(""https://docs.google.com/spreadsheets/d/1oYscvfOJW7GMkxt8QcupWuzb3ohaYePd3Mt2V2ufHok/edit"",""12!e36"")"),1073.0)</f>
        <v>1073</v>
      </c>
      <c r="K314" s="40">
        <f>IFERROR(__xludf.DUMMYFUNCTION("IMPORTRANGE(""https://docs.google.com/spreadsheets/d/1oYscvfOJW7GMkxt8QcupWuzb3ohaYePd3Mt2V2ufHok/edit"",""12!e37"")"),0.0)</f>
        <v>0</v>
      </c>
      <c r="L314" s="40">
        <f t="shared" si="870"/>
        <v>1073</v>
      </c>
      <c r="M314" s="40">
        <f t="shared" si="842"/>
        <v>1760</v>
      </c>
      <c r="N314" s="41">
        <f t="shared" si="843"/>
        <v>195.4408421</v>
      </c>
      <c r="O314" s="38">
        <v>3801.0</v>
      </c>
      <c r="P314" s="42">
        <f t="shared" si="844"/>
        <v>0.4630360431</v>
      </c>
      <c r="Q314" s="43">
        <v>1.5</v>
      </c>
      <c r="R314" s="42">
        <f t="shared" si="845"/>
        <v>0.3159748254</v>
      </c>
      <c r="S314" s="44">
        <f t="shared" si="846"/>
        <v>0.4739622381</v>
      </c>
      <c r="T314" s="43">
        <f>F314/29.628</f>
        <v>125.3333333</v>
      </c>
      <c r="U314" s="43">
        <f t="shared" si="847"/>
        <v>6.596491228</v>
      </c>
      <c r="V314" s="40">
        <f t="shared" si="848"/>
        <v>92.63157895</v>
      </c>
      <c r="X314" s="22">
        <v>6.0</v>
      </c>
      <c r="Y314" s="22" t="s">
        <v>42</v>
      </c>
      <c r="Z314" s="22">
        <f t="shared" ref="Z314:AI314" si="875">SUM(D318)</f>
        <v>24</v>
      </c>
      <c r="AA314" s="23">
        <f t="shared" si="875"/>
        <v>23</v>
      </c>
      <c r="AB314" s="24">
        <f t="shared" si="875"/>
        <v>4681.745</v>
      </c>
      <c r="AC314" s="23">
        <f t="shared" si="875"/>
        <v>1602</v>
      </c>
      <c r="AD314" s="23">
        <f t="shared" si="875"/>
        <v>0</v>
      </c>
      <c r="AE314" s="23">
        <f t="shared" si="875"/>
        <v>1602</v>
      </c>
      <c r="AF314" s="23">
        <f t="shared" si="875"/>
        <v>3551</v>
      </c>
      <c r="AG314" s="23">
        <f t="shared" si="875"/>
        <v>45</v>
      </c>
      <c r="AH314" s="23">
        <f t="shared" si="875"/>
        <v>3596</v>
      </c>
      <c r="AI314" s="23">
        <f t="shared" si="875"/>
        <v>5198</v>
      </c>
      <c r="AJ314" s="25">
        <f t="shared" si="860"/>
        <v>203.5541304</v>
      </c>
      <c r="AK314" s="22">
        <f t="shared" si="876"/>
        <v>9877</v>
      </c>
      <c r="AL314" s="26">
        <f t="shared" si="862"/>
        <v>0.5262731599</v>
      </c>
      <c r="AM314" s="27">
        <f t="shared" si="877"/>
        <v>1.5</v>
      </c>
      <c r="AN314" s="26">
        <f t="shared" si="864"/>
        <v>0.7401798546</v>
      </c>
      <c r="AO314" s="28">
        <f t="shared" si="865"/>
        <v>1.110269782</v>
      </c>
      <c r="AP314" s="27">
        <f t="shared" ref="AP314:AQ314" si="878">SUM(T318)</f>
        <v>179</v>
      </c>
      <c r="AQ314" s="27">
        <f t="shared" si="878"/>
        <v>7.782608696</v>
      </c>
      <c r="AR314" s="23">
        <f t="shared" si="867"/>
        <v>226</v>
      </c>
    </row>
    <row r="315" ht="15.75" customHeight="1">
      <c r="A315" s="21"/>
      <c r="B315" s="38">
        <v>13.0</v>
      </c>
      <c r="C315" s="38" t="s">
        <v>43</v>
      </c>
      <c r="D315" s="39">
        <v>23.0</v>
      </c>
      <c r="E315" s="40">
        <f>IFERROR(__xludf.DUMMYFUNCTION("COUNT(IMPORTRANGE(""https://docs.google.com/spreadsheets/d/1AxBmuQEdOYAeRnZ4C8vO6kuTNp7X_SGhpLXuY0n4ln4/edit"",""12!d2:d31""))"),23.0)</f>
        <v>23</v>
      </c>
      <c r="F315" s="45">
        <f>IFERROR(__xludf.DUMMYFUNCTION("SUM(IMPORTRANGE(""https://docs.google.com/spreadsheets/d/1AxBmuQEdOYAeRnZ4C8vO6kuTNp7X_SGhpLXuY0n4ln4/edit"",""12!Q2:Q31""))"),4387.817)</f>
        <v>4387.817</v>
      </c>
      <c r="G315" s="40">
        <f>IFERROR(__xludf.DUMMYFUNCTION("IMPORTRANGE(""https://docs.google.com/spreadsheets/d/1AxBmuQEdOYAeRnZ4C8vO6kuTNp7X_SGhpLXuY0n4ln4/edit"",""12!e38"")"),1172.0)</f>
        <v>1172</v>
      </c>
      <c r="H315" s="40">
        <f>IFERROR(__xludf.DUMMYFUNCTION("IMPORTRANGE(""https://docs.google.com/spreadsheets/d/1AxBmuQEdOYAeRnZ4C8vO6kuTNp7X_SGhpLXuY0n4ln4/edit"",""12!e39"")"),0.0)</f>
        <v>0</v>
      </c>
      <c r="I315" s="40">
        <f t="shared" si="840"/>
        <v>1172</v>
      </c>
      <c r="J315" s="40">
        <f>IFERROR(__xludf.DUMMYFUNCTION("IMPORTRANGE(""https://docs.google.com/spreadsheets/d/1AxBmuQEdOYAeRnZ4C8vO6kuTNp7X_SGhpLXuY0n4ln4/edit"",""12!e42"")"),2398.0)</f>
        <v>2398</v>
      </c>
      <c r="K315" s="40">
        <f>IFERROR(__xludf.DUMMYFUNCTION("IMPORTRANGE(""https://docs.google.com/spreadsheets/d/1AxBmuQEdOYAeRnZ4C8vO6kuTNp7X_SGhpLXuY0n4ln4/edit"",""12!e43"")"),149.0)</f>
        <v>149</v>
      </c>
      <c r="L315" s="40">
        <f t="shared" si="870"/>
        <v>2547</v>
      </c>
      <c r="M315" s="40">
        <f t="shared" si="842"/>
        <v>3719</v>
      </c>
      <c r="N315" s="41">
        <f t="shared" si="843"/>
        <v>190.7746522</v>
      </c>
      <c r="O315" s="38">
        <v>8345.0</v>
      </c>
      <c r="P315" s="42">
        <f t="shared" si="844"/>
        <v>0.4456560815</v>
      </c>
      <c r="Q315" s="43">
        <v>1.5</v>
      </c>
      <c r="R315" s="42">
        <f t="shared" si="845"/>
        <v>0.5650493932</v>
      </c>
      <c r="S315" s="44">
        <f t="shared" si="846"/>
        <v>0.8475740898</v>
      </c>
      <c r="T315" s="43">
        <f>F315/41.205</f>
        <v>106.4874894</v>
      </c>
      <c r="U315" s="43">
        <f t="shared" si="847"/>
        <v>4.629890843</v>
      </c>
      <c r="V315" s="40">
        <f t="shared" si="848"/>
        <v>161.6956522</v>
      </c>
      <c r="X315" s="46" t="s">
        <v>33</v>
      </c>
      <c r="Y315" s="46">
        <v>6.0</v>
      </c>
      <c r="Z315" s="46">
        <f t="shared" ref="Z315:AI315" si="879">SUM(Z309:Z314)</f>
        <v>169</v>
      </c>
      <c r="AA315" s="47">
        <f t="shared" si="879"/>
        <v>166</v>
      </c>
      <c r="AB315" s="49">
        <f t="shared" si="879"/>
        <v>32587.248</v>
      </c>
      <c r="AC315" s="47">
        <f t="shared" si="879"/>
        <v>10637</v>
      </c>
      <c r="AD315" s="47">
        <f t="shared" si="879"/>
        <v>146</v>
      </c>
      <c r="AE315" s="47">
        <f t="shared" si="879"/>
        <v>10783</v>
      </c>
      <c r="AF315" s="47">
        <f t="shared" si="879"/>
        <v>17277</v>
      </c>
      <c r="AG315" s="47">
        <f t="shared" si="879"/>
        <v>404</v>
      </c>
      <c r="AH315" s="47">
        <f t="shared" si="879"/>
        <v>17681</v>
      </c>
      <c r="AI315" s="47">
        <f t="shared" si="879"/>
        <v>28464</v>
      </c>
      <c r="AJ315" s="49">
        <f t="shared" si="860"/>
        <v>196.3087229</v>
      </c>
      <c r="AK315" s="46">
        <f>SUM(AK309:AK314)</f>
        <v>53273</v>
      </c>
      <c r="AL315" s="50">
        <f t="shared" si="862"/>
        <v>0.5343044319</v>
      </c>
      <c r="AM315" s="51">
        <v>1.5</v>
      </c>
      <c r="AN315" s="50">
        <f t="shared" si="864"/>
        <v>0.5823136707</v>
      </c>
      <c r="AO315" s="52">
        <f t="shared" si="865"/>
        <v>0.873470506</v>
      </c>
      <c r="AP315" s="51">
        <f>SUM(AP309:AP314)</f>
        <v>1072.291282</v>
      </c>
      <c r="AQ315" s="51">
        <f>AP315/AA315</f>
        <v>6.459586033</v>
      </c>
      <c r="AR315" s="47">
        <f t="shared" si="867"/>
        <v>171.4698795</v>
      </c>
    </row>
    <row r="316" ht="15.75" customHeight="1">
      <c r="A316" s="21"/>
      <c r="B316" s="38">
        <v>14.0</v>
      </c>
      <c r="C316" s="38" t="s">
        <v>27</v>
      </c>
      <c r="D316" s="39">
        <v>23.0</v>
      </c>
      <c r="E316" s="40">
        <f>IFERROR(__xludf.DUMMYFUNCTION("COUNT(IMPORTRANGE(""https://docs.google.com/spreadsheets/d/1LsL4JuXvBtfJ-TVi4NFml9lV_pmd61b789A_nbO-QrA/edit"",""12!d2:d31""))"),23.0)</f>
        <v>23</v>
      </c>
      <c r="F316" s="45">
        <f>IFERROR(__xludf.DUMMYFUNCTION("SUM(IMPORTRANGE(""https://docs.google.com/spreadsheets/d/1LsL4JuXvBtfJ-TVi4NFml9lV_pmd61b789A_nbO-QrA/edit"",""12!Q2:Q31""))"),4192.742999999999)</f>
        <v>4192.743</v>
      </c>
      <c r="G316" s="40">
        <f>IFERROR(__xludf.DUMMYFUNCTION("IMPORTRANGE(""https://docs.google.com/spreadsheets/d/1LsL4JuXvBtfJ-TVi4NFml9lV_pmd61b789A_nbO-QrA/edit"",""12!e38"")"),1280.0)</f>
        <v>1280</v>
      </c>
      <c r="H316" s="40">
        <f>IFERROR(__xludf.DUMMYFUNCTION("IMPORTRANGE(""https://docs.google.com/spreadsheets/d/1LsL4JuXvBtfJ-TVi4NFml9lV_pmd61b789A_nbO-QrA/edit"",""12!e39"")"),0.0)</f>
        <v>0</v>
      </c>
      <c r="I316" s="40">
        <f t="shared" si="840"/>
        <v>1280</v>
      </c>
      <c r="J316" s="40">
        <f>IFERROR(__xludf.DUMMYFUNCTION("IMPORTRANGE(""https://docs.google.com/spreadsheets/d/1LsL4JuXvBtfJ-TVi4NFml9lV_pmd61b789A_nbO-QrA/edit"",""12!e42"")"),2525.0)</f>
        <v>2525</v>
      </c>
      <c r="K316" s="40">
        <f>IFERROR(__xludf.DUMMYFUNCTION("IMPORTRANGE(""https://docs.google.com/spreadsheets/d/1LsL4JuXvBtfJ-TVi4NFml9lV_pmd61b789A_nbO-QrA/edit"",""12!e43"")"),0.0)</f>
        <v>0</v>
      </c>
      <c r="L316" s="40">
        <f t="shared" si="870"/>
        <v>2525</v>
      </c>
      <c r="M316" s="40">
        <f t="shared" si="842"/>
        <v>3805</v>
      </c>
      <c r="N316" s="41">
        <f t="shared" si="843"/>
        <v>182.2931739</v>
      </c>
      <c r="O316" s="38">
        <v>8101.0</v>
      </c>
      <c r="P316" s="42">
        <f t="shared" si="844"/>
        <v>0.4696950994</v>
      </c>
      <c r="Q316" s="43">
        <v>1.5</v>
      </c>
      <c r="R316" s="42">
        <f t="shared" si="845"/>
        <v>0.6050136311</v>
      </c>
      <c r="S316" s="44">
        <f t="shared" si="846"/>
        <v>0.9075204466</v>
      </c>
      <c r="T316" s="43">
        <f>F316/19.985</f>
        <v>209.7944959</v>
      </c>
      <c r="U316" s="43">
        <f t="shared" si="847"/>
        <v>9.121499821</v>
      </c>
      <c r="V316" s="40">
        <f t="shared" si="848"/>
        <v>165.4347826</v>
      </c>
      <c r="X316" s="59" t="s">
        <v>44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6"/>
    </row>
    <row r="317" ht="15.75" customHeight="1">
      <c r="A317" s="21"/>
      <c r="B317" s="38">
        <v>15.0</v>
      </c>
      <c r="C317" s="38" t="s">
        <v>40</v>
      </c>
      <c r="D317" s="39">
        <v>23.0</v>
      </c>
      <c r="E317" s="40">
        <f>IFERROR(__xludf.DUMMYFUNCTION("COUNT(IMPORTRANGE(""https://docs.google.com/spreadsheets/d/1Krav0MVlY0vbUNsFRDnb_kR72_tyuGnWBYbGjNZrl18/edit"",""12!d2:d31""))"),23.0)</f>
        <v>23</v>
      </c>
      <c r="F317" s="45">
        <f>IFERROR(__xludf.DUMMYFUNCTION("SUM(IMPORTRANGE(""https://docs.google.com/spreadsheets/d/1Krav0MVlY0vbUNsFRDnb_kR72_tyuGnWBYbGjNZrl18/edit"",""12!Q2:Q31""))"),4380.222000000001)</f>
        <v>4380.222</v>
      </c>
      <c r="G317" s="40">
        <f>IFERROR(__xludf.DUMMYFUNCTION("IMPORTRANGE(""https://docs.google.com/spreadsheets/d/1Krav0MVlY0vbUNsFRDnb_kR72_tyuGnWBYbGjNZrl18/edit"",""12!e38"")"),2018.0)</f>
        <v>2018</v>
      </c>
      <c r="H317" s="40">
        <f>IFERROR(__xludf.DUMMYFUNCTION("IMPORTRANGE(""https://docs.google.com/spreadsheets/d/1Krav0MVlY0vbUNsFRDnb_kR72_tyuGnWBYbGjNZrl18/edit"",""12!e39"")"),65.0)</f>
        <v>65</v>
      </c>
      <c r="I317" s="40">
        <f t="shared" si="840"/>
        <v>2083</v>
      </c>
      <c r="J317" s="40">
        <f>IFERROR(__xludf.DUMMYFUNCTION("IMPORTRANGE(""https://docs.google.com/spreadsheets/d/1Krav0MVlY0vbUNsFRDnb_kR72_tyuGnWBYbGjNZrl18/edit"",""12!e42"")"),2686.0)</f>
        <v>2686</v>
      </c>
      <c r="K317" s="40">
        <f>IFERROR(__xludf.DUMMYFUNCTION("IMPORTRANGE(""https://docs.google.com/spreadsheets/d/1Krav0MVlY0vbUNsFRDnb_kR72_tyuGnWBYbGjNZrl18/edit"",""12!e43"")"),125.0)</f>
        <v>125</v>
      </c>
      <c r="L317" s="40">
        <f t="shared" si="870"/>
        <v>2811</v>
      </c>
      <c r="M317" s="40">
        <f t="shared" si="842"/>
        <v>4894</v>
      </c>
      <c r="N317" s="41">
        <f t="shared" si="843"/>
        <v>190.4444348</v>
      </c>
      <c r="O317" s="38">
        <v>8239.0</v>
      </c>
      <c r="P317" s="42">
        <f t="shared" si="844"/>
        <v>0.5940041267</v>
      </c>
      <c r="Q317" s="43">
        <v>1.5</v>
      </c>
      <c r="R317" s="42">
        <f t="shared" si="845"/>
        <v>0.7448633121</v>
      </c>
      <c r="S317" s="44">
        <f t="shared" si="846"/>
        <v>1.117294968</v>
      </c>
      <c r="T317" s="43">
        <f>F317/28.443</f>
        <v>154</v>
      </c>
      <c r="U317" s="43">
        <f t="shared" si="847"/>
        <v>6.695652174</v>
      </c>
      <c r="V317" s="40">
        <f t="shared" si="848"/>
        <v>212.7826087</v>
      </c>
      <c r="X317" s="14" t="s">
        <v>2</v>
      </c>
      <c r="Y317" s="14" t="s">
        <v>3</v>
      </c>
      <c r="Z317" s="14" t="s">
        <v>4</v>
      </c>
      <c r="AA317" s="14" t="s">
        <v>5</v>
      </c>
      <c r="AB317" s="15" t="s">
        <v>6</v>
      </c>
      <c r="AC317" s="14" t="s">
        <v>7</v>
      </c>
      <c r="AD317" s="14" t="s">
        <v>8</v>
      </c>
      <c r="AE317" s="14" t="s">
        <v>9</v>
      </c>
      <c r="AF317" s="14" t="s">
        <v>10</v>
      </c>
      <c r="AG317" s="14" t="s">
        <v>11</v>
      </c>
      <c r="AH317" s="14" t="s">
        <v>12</v>
      </c>
      <c r="AI317" s="14" t="s">
        <v>13</v>
      </c>
      <c r="AJ317" s="15" t="s">
        <v>14</v>
      </c>
      <c r="AK317" s="14" t="s">
        <v>15</v>
      </c>
      <c r="AL317" s="14" t="s">
        <v>16</v>
      </c>
      <c r="AM317" s="16" t="s">
        <v>17</v>
      </c>
      <c r="AN317" s="17" t="s">
        <v>18</v>
      </c>
      <c r="AO317" s="18" t="s">
        <v>19</v>
      </c>
      <c r="AP317" s="19" t="s">
        <v>20</v>
      </c>
      <c r="AQ317" s="19" t="s">
        <v>21</v>
      </c>
      <c r="AR317" s="20" t="s">
        <v>22</v>
      </c>
    </row>
    <row r="318" ht="15.75" customHeight="1">
      <c r="A318" s="21"/>
      <c r="B318" s="38">
        <v>16.0</v>
      </c>
      <c r="C318" s="38" t="s">
        <v>42</v>
      </c>
      <c r="D318" s="39">
        <v>24.0</v>
      </c>
      <c r="E318" s="40">
        <f>IFERROR(__xludf.DUMMYFUNCTION("COUNT(IMPORTRANGE(""https://docs.google.com/spreadsheets/d/1uXtm-E8PG0CetlFmSpTX3RK0LNEMnpR-mxbET9AGD6w/edit"",""12!d2:d34""))"),23.0)</f>
        <v>23</v>
      </c>
      <c r="F318" s="45">
        <f>IFERROR(__xludf.DUMMYFUNCTION("SUM(IMPORTRANGE(""https://docs.google.com/spreadsheets/d/1uXtm-E8PG0CetlFmSpTX3RK0LNEMnpR-mxbET9AGD6w/edit"",""12!Q2:Q34""))"),4681.744999999998)</f>
        <v>4681.745</v>
      </c>
      <c r="G318" s="40">
        <f>IFERROR(__xludf.DUMMYFUNCTION("IMPORTRANGE(""https://docs.google.com/spreadsheets/d/1uXtm-E8PG0CetlFmSpTX3RK0LNEMnpR-mxbET9AGD6w/edit"",""12!e41"")"),1602.0)</f>
        <v>1602</v>
      </c>
      <c r="H318" s="40">
        <f>IFERROR(__xludf.DUMMYFUNCTION("IMPORTRANGE(""https://docs.google.com/spreadsheets/d/1uXtm-E8PG0CetlFmSpTX3RK0LNEMnpR-mxbET9AGD6w/edit"",""12!e42"")"),0.0)</f>
        <v>0</v>
      </c>
      <c r="I318" s="40">
        <f t="shared" si="840"/>
        <v>1602</v>
      </c>
      <c r="J318" s="40">
        <f>IFERROR(__xludf.DUMMYFUNCTION("IMPORTRANGE(""https://docs.google.com/spreadsheets/d/1uXtm-E8PG0CetlFmSpTX3RK0LNEMnpR-mxbET9AGD6w/edit"",""12!e45"")"),3551.0)</f>
        <v>3551</v>
      </c>
      <c r="K318" s="40">
        <f>IFERROR(__xludf.DUMMYFUNCTION("IMPORTRANGE(""https://docs.google.com/spreadsheets/d/1uXtm-E8PG0CetlFmSpTX3RK0LNEMnpR-mxbET9AGD6w/edit"",""12!e46"")"),45.0)</f>
        <v>45</v>
      </c>
      <c r="L318" s="40">
        <f t="shared" si="870"/>
        <v>3596</v>
      </c>
      <c r="M318" s="40">
        <f t="shared" si="842"/>
        <v>5198</v>
      </c>
      <c r="N318" s="41">
        <f t="shared" si="843"/>
        <v>203.5541304</v>
      </c>
      <c r="O318" s="38">
        <v>9877.0</v>
      </c>
      <c r="P318" s="42">
        <f t="shared" si="844"/>
        <v>0.5262731599</v>
      </c>
      <c r="Q318" s="43">
        <v>1.5</v>
      </c>
      <c r="R318" s="42">
        <f t="shared" si="845"/>
        <v>0.7401798546</v>
      </c>
      <c r="S318" s="44">
        <f t="shared" si="846"/>
        <v>1.110269782</v>
      </c>
      <c r="T318" s="43">
        <f>F318/26.155</f>
        <v>179</v>
      </c>
      <c r="U318" s="43">
        <f t="shared" si="847"/>
        <v>7.782608696</v>
      </c>
      <c r="V318" s="40">
        <f t="shared" si="848"/>
        <v>226</v>
      </c>
      <c r="X318" s="31">
        <v>1.0</v>
      </c>
      <c r="Y318" s="31" t="s">
        <v>26</v>
      </c>
      <c r="Z318" s="31">
        <f t="shared" ref="Z318:AI318" si="880">SUM(D303)</f>
        <v>15</v>
      </c>
      <c r="AA318" s="32">
        <f t="shared" si="880"/>
        <v>14</v>
      </c>
      <c r="AB318" s="34">
        <f t="shared" si="880"/>
        <v>2587.875</v>
      </c>
      <c r="AC318" s="32">
        <f t="shared" si="880"/>
        <v>1379</v>
      </c>
      <c r="AD318" s="32">
        <f t="shared" si="880"/>
        <v>0</v>
      </c>
      <c r="AE318" s="32">
        <f t="shared" si="880"/>
        <v>1379</v>
      </c>
      <c r="AF318" s="32">
        <f t="shared" si="880"/>
        <v>2145</v>
      </c>
      <c r="AG318" s="32">
        <f t="shared" si="880"/>
        <v>0</v>
      </c>
      <c r="AH318" s="32">
        <f t="shared" si="880"/>
        <v>2145</v>
      </c>
      <c r="AI318" s="32">
        <f t="shared" si="880"/>
        <v>3524</v>
      </c>
      <c r="AJ318" s="34">
        <f t="shared" ref="AJ318:AJ324" si="883">AB318/AA318</f>
        <v>184.8482143</v>
      </c>
      <c r="AK318" s="31">
        <f>SUM(O303)</f>
        <v>5161</v>
      </c>
      <c r="AL318" s="35">
        <f t="shared" ref="AL318:AL324" si="884">AI318/AK318</f>
        <v>0.6828134083</v>
      </c>
      <c r="AM318" s="36">
        <f>SUM(Q303)</f>
        <v>1.5</v>
      </c>
      <c r="AN318" s="35">
        <f t="shared" ref="AN318:AN324" si="885">AO318/AM318</f>
        <v>0.9078233428</v>
      </c>
      <c r="AO318" s="37">
        <f t="shared" ref="AO318:AO324" si="886">AI318/AB318</f>
        <v>1.361735014</v>
      </c>
      <c r="AP318" s="36">
        <f t="shared" ref="AP318:AQ318" si="881">SUM(T303)</f>
        <v>179.5265349</v>
      </c>
      <c r="AQ318" s="36">
        <f t="shared" si="881"/>
        <v>12.82332392</v>
      </c>
      <c r="AR318" s="32">
        <f t="shared" ref="AR318:AR324" si="888">AI318/AA318</f>
        <v>251.7142857</v>
      </c>
    </row>
    <row r="319" ht="15.75" customHeight="1">
      <c r="A319" s="21"/>
      <c r="B319" s="38">
        <v>17.0</v>
      </c>
      <c r="C319" s="38" t="s">
        <v>29</v>
      </c>
      <c r="D319" s="39">
        <v>23.0</v>
      </c>
      <c r="E319" s="40">
        <f>IFERROR(__xludf.DUMMYFUNCTION("COUNT(IMPORTRANGE(""https://docs.google.com/spreadsheets/d/12xcKI0lSnAsjEsxfm9K8Qx0B_89Gzsh816mowItkQao/edit"",""12!d2:d31""))"),22.0)</f>
        <v>22</v>
      </c>
      <c r="F319" s="45">
        <f>IFERROR(__xludf.DUMMYFUNCTION("SUM(IMPORTRANGE(""https://docs.google.com/spreadsheets/d/12xcKI0lSnAsjEsxfm9K8Qx0B_89Gzsh816mowItkQao/edit"",""12!Q2:Q31""))"),4322.308000000001)</f>
        <v>4322.308</v>
      </c>
      <c r="G319" s="40">
        <f>IFERROR(__xludf.DUMMYFUNCTION("IMPORTRANGE(""https://docs.google.com/spreadsheets/d/12xcKI0lSnAsjEsxfm9K8Qx0B_89Gzsh816mowItkQao/edit"",""12!e38"")"),1587.0)</f>
        <v>1587</v>
      </c>
      <c r="H319" s="40">
        <f>IFERROR(__xludf.DUMMYFUNCTION("IMPORTRANGE(""https://docs.google.com/spreadsheets/d/12xcKI0lSnAsjEsxfm9K8Qx0B_89Gzsh816mowItkQao/edit"",""12!e39"")"),0.0)</f>
        <v>0</v>
      </c>
      <c r="I319" s="40">
        <f t="shared" si="840"/>
        <v>1587</v>
      </c>
      <c r="J319" s="40">
        <f>IFERROR(__xludf.DUMMYFUNCTION("IMPORTRANGE(""https://docs.google.com/spreadsheets/d/12xcKI0lSnAsjEsxfm9K8Qx0B_89Gzsh816mowItkQao/edit"",""12!e42"")"),2585.0)</f>
        <v>2585</v>
      </c>
      <c r="K319" s="40">
        <f>IFERROR(__xludf.DUMMYFUNCTION("IMPORTRANGE(""https://docs.google.com/spreadsheets/d/12xcKI0lSnAsjEsxfm9K8Qx0B_89Gzsh816mowItkQao/edit"",""12!e43"")"),0.0)</f>
        <v>0</v>
      </c>
      <c r="L319" s="40">
        <f t="shared" si="870"/>
        <v>2585</v>
      </c>
      <c r="M319" s="40">
        <f t="shared" si="842"/>
        <v>4172</v>
      </c>
      <c r="N319" s="41">
        <f t="shared" si="843"/>
        <v>196.4685455</v>
      </c>
      <c r="O319" s="38">
        <v>9201.0</v>
      </c>
      <c r="P319" s="42">
        <f t="shared" si="844"/>
        <v>0.4534289751</v>
      </c>
      <c r="Q319" s="43">
        <v>1.5</v>
      </c>
      <c r="R319" s="42">
        <f t="shared" si="845"/>
        <v>0.6434833735</v>
      </c>
      <c r="S319" s="44">
        <f t="shared" si="846"/>
        <v>0.9652250603</v>
      </c>
      <c r="T319" s="43">
        <f>F319/26.038</f>
        <v>166</v>
      </c>
      <c r="U319" s="43">
        <f t="shared" si="847"/>
        <v>7.545454545</v>
      </c>
      <c r="V319" s="40">
        <f t="shared" si="848"/>
        <v>189.6363636</v>
      </c>
      <c r="X319" s="31">
        <v>2.0</v>
      </c>
      <c r="Y319" s="31" t="s">
        <v>32</v>
      </c>
      <c r="Z319" s="31">
        <f t="shared" ref="Z319:AI319" si="882">SUM(D306)</f>
        <v>32</v>
      </c>
      <c r="AA319" s="32">
        <f t="shared" si="882"/>
        <v>32</v>
      </c>
      <c r="AB319" s="33">
        <f t="shared" si="882"/>
        <v>6160.424</v>
      </c>
      <c r="AC319" s="31">
        <f t="shared" si="882"/>
        <v>3124</v>
      </c>
      <c r="AD319" s="31">
        <f t="shared" si="882"/>
        <v>0</v>
      </c>
      <c r="AE319" s="32">
        <f t="shared" si="882"/>
        <v>3124</v>
      </c>
      <c r="AF319" s="31">
        <f t="shared" si="882"/>
        <v>4153</v>
      </c>
      <c r="AG319" s="31">
        <f t="shared" si="882"/>
        <v>0</v>
      </c>
      <c r="AH319" s="32">
        <f t="shared" si="882"/>
        <v>4153</v>
      </c>
      <c r="AI319" s="32">
        <f t="shared" si="882"/>
        <v>7277</v>
      </c>
      <c r="AJ319" s="34">
        <f t="shared" si="883"/>
        <v>192.51325</v>
      </c>
      <c r="AK319" s="31">
        <f>SUM(O306)</f>
        <v>13817</v>
      </c>
      <c r="AL319" s="35">
        <f t="shared" si="884"/>
        <v>0.5266700441</v>
      </c>
      <c r="AM319" s="36">
        <f>SUM(Q306)</f>
        <v>1.5</v>
      </c>
      <c r="AN319" s="35">
        <f t="shared" si="885"/>
        <v>0.787499908</v>
      </c>
      <c r="AO319" s="37">
        <f t="shared" si="886"/>
        <v>1.181249862</v>
      </c>
      <c r="AP319" s="36">
        <f t="shared" ref="AP319:AQ319" si="887">SUM(T306)</f>
        <v>245.5428275</v>
      </c>
      <c r="AQ319" s="36">
        <f t="shared" si="887"/>
        <v>7.67321336</v>
      </c>
      <c r="AR319" s="32">
        <f t="shared" si="888"/>
        <v>227.40625</v>
      </c>
    </row>
    <row r="320" ht="15.75" customHeight="1">
      <c r="A320" s="21"/>
      <c r="B320" s="38">
        <v>18.0</v>
      </c>
      <c r="C320" s="38" t="s">
        <v>31</v>
      </c>
      <c r="D320" s="39">
        <v>11.0</v>
      </c>
      <c r="E320" s="40">
        <f>IFERROR(__xludf.DUMMYFUNCTION("COUNT(IMPORTRANGE(""https://docs.google.com/spreadsheets/d/1fgCFOFzOla4Qim6_-zG-lbYhLCItqv_kZiAHoErRgcM/edit"",""12!d2:d16""))"),11.0)</f>
        <v>11</v>
      </c>
      <c r="F320" s="41">
        <f>IFERROR(__xludf.DUMMYFUNCTION("SUM(IMPORTRANGE(""https://docs.google.com/spreadsheets/d/1fgCFOFzOla4Qim6_-zG-lbYhLCItqv_kZiAHoErRgcM/edit"",""12!Q2:Q16""))"),1979.3790000000001)</f>
        <v>1979.379</v>
      </c>
      <c r="G320" s="40">
        <f>IFERROR(__xludf.DUMMYFUNCTION("IMPORTRANGE(""https://docs.google.com/spreadsheets/d/1fgCFOFzOla4Qim6_-zG-lbYhLCItqv_kZiAHoErRgcM/edit"",""12!e23"")"),417.0)</f>
        <v>417</v>
      </c>
      <c r="H320" s="40">
        <f>IFERROR(__xludf.DUMMYFUNCTION("IMPORTRANGE(""https://docs.google.com/spreadsheets/d/1fgCFOFzOla4Qim6_-zG-lbYhLCItqv_kZiAHoErRgcM/edit"",""12!e24"")"),24.0)</f>
        <v>24</v>
      </c>
      <c r="I320" s="40">
        <f t="shared" si="840"/>
        <v>441</v>
      </c>
      <c r="J320" s="40">
        <f>IFERROR(__xludf.DUMMYFUNCTION("IMPORTRANGE(""https://docs.google.com/spreadsheets/d/1fgCFOFzOla4Qim6_-zG-lbYhLCItqv_kZiAHoErRgcM/edit"",""12!e27"")"),679.0)</f>
        <v>679</v>
      </c>
      <c r="K320" s="40">
        <f>IFERROR(__xludf.DUMMYFUNCTION("IMPORTRANGE(""https://docs.google.com/spreadsheets/d/1fgCFOFzOla4Qim6_-zG-lbYhLCItqv_kZiAHoErRgcM/edit"",""12!e28"")"),0.0)</f>
        <v>0</v>
      </c>
      <c r="L320" s="40">
        <f t="shared" si="870"/>
        <v>679</v>
      </c>
      <c r="M320" s="40">
        <f t="shared" si="842"/>
        <v>1120</v>
      </c>
      <c r="N320" s="41">
        <f t="shared" si="843"/>
        <v>179.9435455</v>
      </c>
      <c r="O320" s="38">
        <v>2717.0</v>
      </c>
      <c r="P320" s="42">
        <f t="shared" si="844"/>
        <v>0.4122193596</v>
      </c>
      <c r="Q320" s="43">
        <v>1.5</v>
      </c>
      <c r="R320" s="42">
        <f t="shared" si="845"/>
        <v>0.3772226879</v>
      </c>
      <c r="S320" s="44">
        <f t="shared" si="846"/>
        <v>0.5658340318</v>
      </c>
      <c r="T320" s="43">
        <f>F320/43.465</f>
        <v>45.53960658</v>
      </c>
      <c r="U320" s="43">
        <f t="shared" si="847"/>
        <v>4.139964235</v>
      </c>
      <c r="V320" s="40">
        <f t="shared" si="848"/>
        <v>101.8181818</v>
      </c>
      <c r="X320" s="31">
        <v>3.0</v>
      </c>
      <c r="Y320" s="31" t="s">
        <v>36</v>
      </c>
      <c r="Z320" s="31">
        <f t="shared" ref="Z320:AI320" si="889">SUM(D311)</f>
        <v>24</v>
      </c>
      <c r="AA320" s="32">
        <f t="shared" si="889"/>
        <v>24</v>
      </c>
      <c r="AB320" s="33">
        <f t="shared" si="889"/>
        <v>4501.205</v>
      </c>
      <c r="AC320" s="32">
        <f t="shared" si="889"/>
        <v>906</v>
      </c>
      <c r="AD320" s="32">
        <f t="shared" si="889"/>
        <v>0</v>
      </c>
      <c r="AE320" s="32">
        <f t="shared" si="889"/>
        <v>906</v>
      </c>
      <c r="AF320" s="32">
        <f t="shared" si="889"/>
        <v>1447</v>
      </c>
      <c r="AG320" s="32">
        <f t="shared" si="889"/>
        <v>0</v>
      </c>
      <c r="AH320" s="32">
        <f t="shared" si="889"/>
        <v>1447</v>
      </c>
      <c r="AI320" s="32">
        <f t="shared" si="889"/>
        <v>2353</v>
      </c>
      <c r="AJ320" s="34">
        <f t="shared" si="883"/>
        <v>187.5502083</v>
      </c>
      <c r="AK320" s="31">
        <f t="shared" ref="AK320:AK323" si="893">SUM(O311)</f>
        <v>4796</v>
      </c>
      <c r="AL320" s="35">
        <f t="shared" si="884"/>
        <v>0.490617181</v>
      </c>
      <c r="AM320" s="36">
        <f t="shared" ref="AM320:AM323" si="894">SUM(Q311)</f>
        <v>1.5</v>
      </c>
      <c r="AN320" s="35">
        <f t="shared" si="885"/>
        <v>0.3484992722</v>
      </c>
      <c r="AO320" s="37">
        <f t="shared" si="886"/>
        <v>0.5227489083</v>
      </c>
      <c r="AP320" s="36">
        <f t="shared" ref="AP320:AQ320" si="890">SUM(T311)</f>
        <v>120.3080398</v>
      </c>
      <c r="AQ320" s="36">
        <f t="shared" si="890"/>
        <v>5.01283499</v>
      </c>
      <c r="AR320" s="32">
        <f t="shared" si="888"/>
        <v>98.04166667</v>
      </c>
    </row>
    <row r="321" ht="15.75" customHeight="1">
      <c r="A321" s="21"/>
      <c r="B321" s="60" t="s">
        <v>33</v>
      </c>
      <c r="C321" s="60">
        <v>18.0</v>
      </c>
      <c r="D321" s="60">
        <f t="shared" ref="D321:M321" si="891">SUM(D303:D320)</f>
        <v>447</v>
      </c>
      <c r="E321" s="61">
        <f t="shared" si="891"/>
        <v>437</v>
      </c>
      <c r="F321" s="62">
        <f t="shared" si="891"/>
        <v>84059.957</v>
      </c>
      <c r="G321" s="61">
        <f t="shared" si="891"/>
        <v>24767</v>
      </c>
      <c r="H321" s="61">
        <f t="shared" si="891"/>
        <v>503</v>
      </c>
      <c r="I321" s="61">
        <f t="shared" si="891"/>
        <v>25270</v>
      </c>
      <c r="J321" s="61">
        <f t="shared" si="891"/>
        <v>40752</v>
      </c>
      <c r="K321" s="61">
        <f t="shared" si="891"/>
        <v>560</v>
      </c>
      <c r="L321" s="61">
        <f t="shared" si="891"/>
        <v>41312</v>
      </c>
      <c r="M321" s="61">
        <f t="shared" si="891"/>
        <v>66582</v>
      </c>
      <c r="N321" s="62">
        <f t="shared" si="843"/>
        <v>192.356881</v>
      </c>
      <c r="O321" s="60">
        <f>SUM(O303:O320)</f>
        <v>126399</v>
      </c>
      <c r="P321" s="63">
        <f t="shared" si="844"/>
        <v>0.5267604965</v>
      </c>
      <c r="Q321" s="64">
        <v>1.5</v>
      </c>
      <c r="R321" s="63">
        <f t="shared" si="845"/>
        <v>0.528051662</v>
      </c>
      <c r="S321" s="65">
        <f t="shared" si="846"/>
        <v>0.792077493</v>
      </c>
      <c r="T321" s="64">
        <f>SUM(T303:T320)</f>
        <v>3091.320731</v>
      </c>
      <c r="U321" s="64">
        <f t="shared" si="847"/>
        <v>7.073960483</v>
      </c>
      <c r="V321" s="61">
        <f t="shared" si="848"/>
        <v>152.3615561</v>
      </c>
      <c r="X321" s="31">
        <v>4.0</v>
      </c>
      <c r="Y321" s="31" t="s">
        <v>37</v>
      </c>
      <c r="Z321" s="31">
        <f t="shared" ref="Z321:AI321" si="892">SUM(D312)</f>
        <v>23</v>
      </c>
      <c r="AA321" s="32">
        <f t="shared" si="892"/>
        <v>20</v>
      </c>
      <c r="AB321" s="33">
        <f t="shared" si="892"/>
        <v>4000.2</v>
      </c>
      <c r="AC321" s="32">
        <f t="shared" si="892"/>
        <v>919</v>
      </c>
      <c r="AD321" s="32">
        <f t="shared" si="892"/>
        <v>0</v>
      </c>
      <c r="AE321" s="32">
        <f t="shared" si="892"/>
        <v>919</v>
      </c>
      <c r="AF321" s="32">
        <f t="shared" si="892"/>
        <v>1858</v>
      </c>
      <c r="AG321" s="32">
        <f t="shared" si="892"/>
        <v>0</v>
      </c>
      <c r="AH321" s="32">
        <f t="shared" si="892"/>
        <v>1858</v>
      </c>
      <c r="AI321" s="32">
        <f t="shared" si="892"/>
        <v>2777</v>
      </c>
      <c r="AJ321" s="34">
        <f t="shared" si="883"/>
        <v>200.01</v>
      </c>
      <c r="AK321" s="31">
        <f t="shared" si="893"/>
        <v>5887</v>
      </c>
      <c r="AL321" s="35">
        <f t="shared" si="884"/>
        <v>0.4717173433</v>
      </c>
      <c r="AM321" s="36">
        <f t="shared" si="894"/>
        <v>1.5</v>
      </c>
      <c r="AN321" s="35">
        <f t="shared" si="885"/>
        <v>0.4628101928</v>
      </c>
      <c r="AO321" s="37">
        <f t="shared" si="886"/>
        <v>0.6942152892</v>
      </c>
      <c r="AP321" s="36">
        <f t="shared" ref="AP321:AQ321" si="895">SUM(T312)</f>
        <v>161.3504356</v>
      </c>
      <c r="AQ321" s="36">
        <f t="shared" si="895"/>
        <v>8.067521781</v>
      </c>
      <c r="AR321" s="32">
        <f t="shared" si="888"/>
        <v>138.85</v>
      </c>
    </row>
    <row r="322" ht="15.7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X322" s="31">
        <v>5.0</v>
      </c>
      <c r="Y322" s="31" t="s">
        <v>39</v>
      </c>
      <c r="Z322" s="31">
        <f t="shared" ref="Z322:AI322" si="896">SUM(D313)</f>
        <v>21</v>
      </c>
      <c r="AA322" s="32">
        <f t="shared" si="896"/>
        <v>21</v>
      </c>
      <c r="AB322" s="33">
        <f t="shared" si="896"/>
        <v>3954.649</v>
      </c>
      <c r="AC322" s="32">
        <f t="shared" si="896"/>
        <v>730</v>
      </c>
      <c r="AD322" s="32">
        <f t="shared" si="896"/>
        <v>0</v>
      </c>
      <c r="AE322" s="32">
        <f t="shared" si="896"/>
        <v>730</v>
      </c>
      <c r="AF322" s="32">
        <f t="shared" si="896"/>
        <v>1840</v>
      </c>
      <c r="AG322" s="32">
        <f t="shared" si="896"/>
        <v>0</v>
      </c>
      <c r="AH322" s="32">
        <f t="shared" si="896"/>
        <v>1840</v>
      </c>
      <c r="AI322" s="32">
        <f t="shared" si="896"/>
        <v>2570</v>
      </c>
      <c r="AJ322" s="34">
        <f t="shared" si="883"/>
        <v>188.316619</v>
      </c>
      <c r="AK322" s="31">
        <f t="shared" si="893"/>
        <v>3569</v>
      </c>
      <c r="AL322" s="35">
        <f t="shared" si="884"/>
        <v>0.720089661</v>
      </c>
      <c r="AM322" s="36">
        <f t="shared" si="894"/>
        <v>1.5</v>
      </c>
      <c r="AN322" s="35">
        <f t="shared" si="885"/>
        <v>0.4332453609</v>
      </c>
      <c r="AO322" s="37">
        <f t="shared" si="886"/>
        <v>0.6498680414</v>
      </c>
      <c r="AP322" s="36">
        <f t="shared" ref="AP322:AQ322" si="897">SUM(T313)</f>
        <v>184.2542515</v>
      </c>
      <c r="AQ322" s="36">
        <f t="shared" si="897"/>
        <v>8.774011976</v>
      </c>
      <c r="AR322" s="32">
        <f t="shared" si="888"/>
        <v>122.3809524</v>
      </c>
    </row>
    <row r="323" ht="15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X323" s="31">
        <v>6.0</v>
      </c>
      <c r="Y323" s="31" t="s">
        <v>41</v>
      </c>
      <c r="Z323" s="31">
        <f t="shared" ref="Z323:AI323" si="898">SUM(D314)</f>
        <v>19</v>
      </c>
      <c r="AA323" s="32">
        <f t="shared" si="898"/>
        <v>19</v>
      </c>
      <c r="AB323" s="33">
        <f t="shared" si="898"/>
        <v>3713.376</v>
      </c>
      <c r="AC323" s="32">
        <f t="shared" si="898"/>
        <v>687</v>
      </c>
      <c r="AD323" s="32">
        <f t="shared" si="898"/>
        <v>0</v>
      </c>
      <c r="AE323" s="32">
        <f t="shared" si="898"/>
        <v>687</v>
      </c>
      <c r="AF323" s="32">
        <f t="shared" si="898"/>
        <v>1073</v>
      </c>
      <c r="AG323" s="32">
        <f t="shared" si="898"/>
        <v>0</v>
      </c>
      <c r="AH323" s="32">
        <f t="shared" si="898"/>
        <v>1073</v>
      </c>
      <c r="AI323" s="32">
        <f t="shared" si="898"/>
        <v>1760</v>
      </c>
      <c r="AJ323" s="34">
        <f t="shared" si="883"/>
        <v>195.4408421</v>
      </c>
      <c r="AK323" s="31">
        <f t="shared" si="893"/>
        <v>3801</v>
      </c>
      <c r="AL323" s="35">
        <f t="shared" si="884"/>
        <v>0.4630360431</v>
      </c>
      <c r="AM323" s="36">
        <f t="shared" si="894"/>
        <v>1.5</v>
      </c>
      <c r="AN323" s="35">
        <f t="shared" si="885"/>
        <v>0.3159748254</v>
      </c>
      <c r="AO323" s="37">
        <f t="shared" si="886"/>
        <v>0.4739622381</v>
      </c>
      <c r="AP323" s="36">
        <f t="shared" ref="AP323:AQ323" si="899">SUM(T314)</f>
        <v>125.3333333</v>
      </c>
      <c r="AQ323" s="36">
        <f t="shared" si="899"/>
        <v>6.596491228</v>
      </c>
      <c r="AR323" s="32">
        <f t="shared" si="888"/>
        <v>92.63157895</v>
      </c>
    </row>
    <row r="324" ht="15.75" customHeight="1">
      <c r="A324" s="1" t="s">
        <v>45</v>
      </c>
      <c r="D324" s="2"/>
      <c r="X324" s="46" t="s">
        <v>33</v>
      </c>
      <c r="Y324" s="46">
        <v>6.0</v>
      </c>
      <c r="Z324" s="46">
        <f t="shared" ref="Z324:AI324" si="900">SUM(Z318:Z323)</f>
        <v>134</v>
      </c>
      <c r="AA324" s="47">
        <f t="shared" si="900"/>
        <v>130</v>
      </c>
      <c r="AB324" s="49">
        <f t="shared" si="900"/>
        <v>24917.729</v>
      </c>
      <c r="AC324" s="47">
        <f t="shared" si="900"/>
        <v>7745</v>
      </c>
      <c r="AD324" s="47">
        <f t="shared" si="900"/>
        <v>0</v>
      </c>
      <c r="AE324" s="47">
        <f t="shared" si="900"/>
        <v>7745</v>
      </c>
      <c r="AF324" s="47">
        <f t="shared" si="900"/>
        <v>12516</v>
      </c>
      <c r="AG324" s="47">
        <f t="shared" si="900"/>
        <v>0</v>
      </c>
      <c r="AH324" s="47">
        <f t="shared" si="900"/>
        <v>12516</v>
      </c>
      <c r="AI324" s="47">
        <f t="shared" si="900"/>
        <v>20261</v>
      </c>
      <c r="AJ324" s="49">
        <f t="shared" si="883"/>
        <v>191.6748385</v>
      </c>
      <c r="AK324" s="46">
        <f>SUM(AK318:AK323)</f>
        <v>37031</v>
      </c>
      <c r="AL324" s="50">
        <f t="shared" si="884"/>
        <v>0.5471361832</v>
      </c>
      <c r="AM324" s="51">
        <v>1.5</v>
      </c>
      <c r="AN324" s="50">
        <f t="shared" si="885"/>
        <v>0.5420772227</v>
      </c>
      <c r="AO324" s="52">
        <f t="shared" si="886"/>
        <v>0.8131158341</v>
      </c>
      <c r="AP324" s="51">
        <f>SUM(AP318:AP323)</f>
        <v>1016.315423</v>
      </c>
      <c r="AQ324" s="51">
        <f>AP324/AA324</f>
        <v>7.817810943</v>
      </c>
      <c r="AR324" s="47">
        <f t="shared" si="888"/>
        <v>155.8538462</v>
      </c>
    </row>
    <row r="325" ht="15.75" customHeight="1">
      <c r="A325" s="1" t="s">
        <v>45</v>
      </c>
      <c r="D325" s="2"/>
      <c r="X325" s="66" t="s">
        <v>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6"/>
    </row>
    <row r="326" ht="15.75" customHeight="1">
      <c r="A326" s="7">
        <v>46216.0</v>
      </c>
      <c r="B326" s="8" t="s">
        <v>2</v>
      </c>
      <c r="C326" s="8" t="s">
        <v>3</v>
      </c>
      <c r="D326" s="8" t="s">
        <v>4</v>
      </c>
      <c r="E326" s="8" t="s">
        <v>5</v>
      </c>
      <c r="F326" s="9" t="s">
        <v>6</v>
      </c>
      <c r="G326" s="8" t="s">
        <v>7</v>
      </c>
      <c r="H326" s="8" t="s">
        <v>8</v>
      </c>
      <c r="I326" s="8" t="s">
        <v>9</v>
      </c>
      <c r="J326" s="8" t="s">
        <v>10</v>
      </c>
      <c r="K326" s="8" t="s">
        <v>11</v>
      </c>
      <c r="L326" s="8" t="s">
        <v>12</v>
      </c>
      <c r="M326" s="8" t="s">
        <v>13</v>
      </c>
      <c r="N326" s="9" t="s">
        <v>14</v>
      </c>
      <c r="O326" s="8" t="s">
        <v>15</v>
      </c>
      <c r="P326" s="8" t="s">
        <v>16</v>
      </c>
      <c r="Q326" s="8" t="s">
        <v>17</v>
      </c>
      <c r="R326" s="8" t="s">
        <v>18</v>
      </c>
      <c r="S326" s="11" t="s">
        <v>19</v>
      </c>
      <c r="T326" s="12" t="s">
        <v>20</v>
      </c>
      <c r="U326" s="12" t="s">
        <v>21</v>
      </c>
      <c r="V326" s="13" t="s">
        <v>22</v>
      </c>
      <c r="X326" s="14" t="s">
        <v>2</v>
      </c>
      <c r="Y326" s="14" t="s">
        <v>3</v>
      </c>
      <c r="Z326" s="14" t="s">
        <v>4</v>
      </c>
      <c r="AA326" s="14" t="s">
        <v>5</v>
      </c>
      <c r="AB326" s="15" t="s">
        <v>6</v>
      </c>
      <c r="AC326" s="14" t="s">
        <v>7</v>
      </c>
      <c r="AD326" s="14" t="s">
        <v>8</v>
      </c>
      <c r="AE326" s="14" t="s">
        <v>9</v>
      </c>
      <c r="AF326" s="14" t="s">
        <v>10</v>
      </c>
      <c r="AG326" s="14" t="s">
        <v>11</v>
      </c>
      <c r="AH326" s="14" t="s">
        <v>12</v>
      </c>
      <c r="AI326" s="14" t="s">
        <v>13</v>
      </c>
      <c r="AJ326" s="15" t="s">
        <v>14</v>
      </c>
      <c r="AK326" s="14" t="s">
        <v>15</v>
      </c>
      <c r="AL326" s="14" t="s">
        <v>16</v>
      </c>
      <c r="AM326" s="16" t="s">
        <v>17</v>
      </c>
      <c r="AN326" s="17" t="s">
        <v>18</v>
      </c>
      <c r="AO326" s="18" t="s">
        <v>19</v>
      </c>
      <c r="AP326" s="19" t="s">
        <v>20</v>
      </c>
      <c r="AQ326" s="19" t="s">
        <v>21</v>
      </c>
      <c r="AR326" s="20" t="s">
        <v>22</v>
      </c>
    </row>
    <row r="327" ht="15.7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X327" s="22">
        <v>1.0</v>
      </c>
      <c r="Y327" s="22" t="s">
        <v>23</v>
      </c>
      <c r="Z327" s="22">
        <f t="shared" ref="Z327:AI327" si="901">SUM(D335)</f>
        <v>35</v>
      </c>
      <c r="AA327" s="23">
        <f t="shared" si="901"/>
        <v>35</v>
      </c>
      <c r="AB327" s="24">
        <f t="shared" si="901"/>
        <v>6781.74</v>
      </c>
      <c r="AC327" s="23">
        <f t="shared" si="901"/>
        <v>1830</v>
      </c>
      <c r="AD327" s="23">
        <f t="shared" si="901"/>
        <v>0</v>
      </c>
      <c r="AE327" s="23">
        <f t="shared" si="901"/>
        <v>1830</v>
      </c>
      <c r="AF327" s="23">
        <f t="shared" si="901"/>
        <v>3161</v>
      </c>
      <c r="AG327" s="23">
        <f t="shared" si="901"/>
        <v>0</v>
      </c>
      <c r="AH327" s="23">
        <f t="shared" si="901"/>
        <v>3161</v>
      </c>
      <c r="AI327" s="23">
        <f t="shared" si="901"/>
        <v>4991</v>
      </c>
      <c r="AJ327" s="25">
        <f t="shared" ref="AJ327:AJ329" si="904">AB327/AA327</f>
        <v>193.764</v>
      </c>
      <c r="AK327" s="22">
        <f>SUM(O335)</f>
        <v>6853</v>
      </c>
      <c r="AL327" s="26">
        <f t="shared" ref="AL327:AL333" si="905">AI327/AK327</f>
        <v>0.7282941777</v>
      </c>
      <c r="AM327" s="27">
        <f t="shared" ref="AM327:AM329" si="906">SUM(Q335)</f>
        <v>1.5</v>
      </c>
      <c r="AN327" s="26">
        <f t="shared" ref="AN327:AN333" si="907">AO327/AM327</f>
        <v>0.4906312146</v>
      </c>
      <c r="AO327" s="28">
        <f t="shared" ref="AO327:AO333" si="908">AI327/AB327</f>
        <v>0.7359468219</v>
      </c>
      <c r="AP327" s="27">
        <f t="shared" ref="AP327:AQ327" si="902">SUM(T335)</f>
        <v>201</v>
      </c>
      <c r="AQ327" s="27">
        <f t="shared" si="902"/>
        <v>5.742857143</v>
      </c>
      <c r="AR327" s="23">
        <f t="shared" ref="AR327:AR333" si="910">AI327/AA327</f>
        <v>142.6</v>
      </c>
    </row>
    <row r="328" ht="15.7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X328" s="22">
        <v>2.0</v>
      </c>
      <c r="Y328" s="22" t="s">
        <v>24</v>
      </c>
      <c r="Z328" s="22">
        <f t="shared" ref="Z328:AI328" si="903">SUM(D336)</f>
        <v>44</v>
      </c>
      <c r="AA328" s="23">
        <f t="shared" si="903"/>
        <v>42</v>
      </c>
      <c r="AB328" s="24">
        <f t="shared" si="903"/>
        <v>8186.389</v>
      </c>
      <c r="AC328" s="23">
        <f t="shared" si="903"/>
        <v>1068</v>
      </c>
      <c r="AD328" s="23">
        <f t="shared" si="903"/>
        <v>7</v>
      </c>
      <c r="AE328" s="23">
        <f t="shared" si="903"/>
        <v>1075</v>
      </c>
      <c r="AF328" s="23">
        <f t="shared" si="903"/>
        <v>1160</v>
      </c>
      <c r="AG328" s="23">
        <f t="shared" si="903"/>
        <v>0</v>
      </c>
      <c r="AH328" s="23">
        <f t="shared" si="903"/>
        <v>1160</v>
      </c>
      <c r="AI328" s="23">
        <f t="shared" si="903"/>
        <v>2235</v>
      </c>
      <c r="AJ328" s="25">
        <f t="shared" si="904"/>
        <v>194.9140238</v>
      </c>
      <c r="AK328" s="22">
        <v>1580.0</v>
      </c>
      <c r="AL328" s="29">
        <f t="shared" si="905"/>
        <v>1.414556962</v>
      </c>
      <c r="AM328" s="27">
        <f t="shared" si="906"/>
        <v>1.5</v>
      </c>
      <c r="AN328" s="26">
        <f t="shared" si="907"/>
        <v>0.1820094305</v>
      </c>
      <c r="AO328" s="28">
        <f t="shared" si="908"/>
        <v>0.2730141458</v>
      </c>
      <c r="AP328" s="27">
        <f t="shared" ref="AP328:AQ328" si="909">SUM(T336)</f>
        <v>305.4052975</v>
      </c>
      <c r="AQ328" s="27">
        <f t="shared" si="909"/>
        <v>7.271554703</v>
      </c>
      <c r="AR328" s="23">
        <f t="shared" si="910"/>
        <v>53.21428571</v>
      </c>
    </row>
    <row r="329" ht="15.75" customHeight="1">
      <c r="A329" s="21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X329" s="31">
        <v>3.0</v>
      </c>
      <c r="Y329" s="31" t="s">
        <v>25</v>
      </c>
      <c r="Z329" s="31">
        <f t="shared" ref="Z329:AI329" si="911">SUM(D337)</f>
        <v>32</v>
      </c>
      <c r="AA329" s="32">
        <f t="shared" si="911"/>
        <v>31</v>
      </c>
      <c r="AB329" s="33">
        <f t="shared" si="911"/>
        <v>6212.116</v>
      </c>
      <c r="AC329" s="32">
        <f t="shared" si="911"/>
        <v>2344</v>
      </c>
      <c r="AD329" s="32">
        <f t="shared" si="911"/>
        <v>553</v>
      </c>
      <c r="AE329" s="32">
        <f t="shared" si="911"/>
        <v>2897</v>
      </c>
      <c r="AF329" s="32">
        <f t="shared" si="911"/>
        <v>3131</v>
      </c>
      <c r="AG329" s="32">
        <f t="shared" si="911"/>
        <v>441</v>
      </c>
      <c r="AH329" s="32">
        <f t="shared" si="911"/>
        <v>3572</v>
      </c>
      <c r="AI329" s="32">
        <f t="shared" si="911"/>
        <v>6469</v>
      </c>
      <c r="AJ329" s="34">
        <f t="shared" si="904"/>
        <v>200.3908387</v>
      </c>
      <c r="AK329" s="31">
        <f>SUM(O337)</f>
        <v>6622</v>
      </c>
      <c r="AL329" s="35">
        <f t="shared" si="905"/>
        <v>0.9768951978</v>
      </c>
      <c r="AM329" s="36">
        <f t="shared" si="906"/>
        <v>1.5</v>
      </c>
      <c r="AN329" s="35">
        <f t="shared" si="907"/>
        <v>0.6942347288</v>
      </c>
      <c r="AO329" s="37">
        <f t="shared" si="908"/>
        <v>1.041352093</v>
      </c>
      <c r="AP329" s="36">
        <f t="shared" ref="AP329:AQ329" si="912">SUM(T337)</f>
        <v>260.5753356</v>
      </c>
      <c r="AQ329" s="36">
        <f t="shared" si="912"/>
        <v>8.405655986</v>
      </c>
      <c r="AR329" s="32">
        <f t="shared" si="910"/>
        <v>208.6774194</v>
      </c>
    </row>
    <row r="330" ht="15.75" customHeight="1">
      <c r="A330" s="21"/>
      <c r="B330" s="38">
        <v>1.0</v>
      </c>
      <c r="C330" s="38" t="s">
        <v>26</v>
      </c>
      <c r="D330" s="39">
        <v>20.0</v>
      </c>
      <c r="E330" s="40">
        <f>IFERROR(__xludf.DUMMYFUNCTION("COUNT(IMPORTRANGE(""https://docs.google.com/spreadsheets/d/1z0o91thOT38lgejTE_Bd2p3v_9VCDdQRkUsMIVqpQCk/edit"",""13!d2:d21""))"),20.0)</f>
        <v>20</v>
      </c>
      <c r="F330" s="41">
        <f>IFERROR(__xludf.DUMMYFUNCTION("SUM(IMPORTRANGE(""https://docs.google.com/spreadsheets/d/1z0o91thOT38lgejTE_Bd2p3v_9VCDdQRkUsMIVqpQCk/edit"",""13!Q2:Q21""))"),3950.322)</f>
        <v>3950.322</v>
      </c>
      <c r="G330" s="40">
        <f>IFERROR(__xludf.DUMMYFUNCTION("IMPORTRANGE(""https://docs.google.com/spreadsheets/d/1z0o91thOT38lgejTE_Bd2p3v_9VCDdQRkUsMIVqpQCk/edit"",""13!e28"")"),2470.0)</f>
        <v>2470</v>
      </c>
      <c r="H330" s="40">
        <f>IFERROR(__xludf.DUMMYFUNCTION("IMPORTRANGE(""https://docs.google.com/spreadsheets/d/1z0o91thOT38lgejTE_Bd2p3v_9VCDdQRkUsMIVqpQCk/edit"",""13!e29"")"),0.0)</f>
        <v>0</v>
      </c>
      <c r="I330" s="40">
        <f t="shared" ref="I330:I347" si="915">SUM(G330:H330)</f>
        <v>2470</v>
      </c>
      <c r="J330" s="40">
        <f>IFERROR(__xludf.DUMMYFUNCTION("IMPORTRANGE(""https://docs.google.com/spreadsheets/d/1z0o91thOT38lgejTE_Bd2p3v_9VCDdQRkUsMIVqpQCk/edit"",""13!e32"")"),2513.0)</f>
        <v>2513</v>
      </c>
      <c r="K330" s="40">
        <f>IFERROR(__xludf.DUMMYFUNCTION("IMPORTRANGE(""https://docs.google.com/spreadsheets/d/1z0o91thOT38lgejTE_Bd2p3v_9VCDdQRkUsMIVqpQCk/edit"",""13!e33"")"),0.0)</f>
        <v>0</v>
      </c>
      <c r="L330" s="40">
        <f t="shared" ref="L330:L336" si="916">SUM(J330:K330)</f>
        <v>2513</v>
      </c>
      <c r="M330" s="40">
        <f t="shared" ref="M330:M347" si="917">SUM(I330+L330)</f>
        <v>4983</v>
      </c>
      <c r="N330" s="41">
        <f t="shared" ref="N330:N348" si="918">F330/E330</f>
        <v>197.5161</v>
      </c>
      <c r="O330" s="38">
        <v>5161.0</v>
      </c>
      <c r="P330" s="42">
        <f t="shared" ref="P330:P348" si="919">M330/O330</f>
        <v>0.96551056</v>
      </c>
      <c r="Q330" s="43">
        <v>1.5</v>
      </c>
      <c r="R330" s="42">
        <f t="shared" ref="R330:R348" si="920">S330/Q330</f>
        <v>0.8409441053</v>
      </c>
      <c r="S330" s="44">
        <f t="shared" ref="S330:S348" si="921">M330/F330</f>
        <v>1.261416158</v>
      </c>
      <c r="T330" s="43">
        <f>F330/14.415</f>
        <v>274.0424558</v>
      </c>
      <c r="U330" s="43">
        <f t="shared" ref="U330:U348" si="922">T330/E330</f>
        <v>13.70212279</v>
      </c>
      <c r="V330" s="40">
        <f t="shared" ref="V330:V348" si="923">M330/E330</f>
        <v>249.15</v>
      </c>
      <c r="X330" s="22">
        <v>4.0</v>
      </c>
      <c r="Y330" s="22" t="s">
        <v>27</v>
      </c>
      <c r="Z330" s="22">
        <f t="shared" ref="Z330:AK330" si="913">SUM(D343)</f>
        <v>30</v>
      </c>
      <c r="AA330" s="23">
        <f t="shared" si="913"/>
        <v>29</v>
      </c>
      <c r="AB330" s="24">
        <f t="shared" si="913"/>
        <v>5425.79</v>
      </c>
      <c r="AC330" s="23">
        <f t="shared" si="913"/>
        <v>2441</v>
      </c>
      <c r="AD330" s="23">
        <f t="shared" si="913"/>
        <v>0</v>
      </c>
      <c r="AE330" s="23">
        <f t="shared" si="913"/>
        <v>2441</v>
      </c>
      <c r="AF330" s="23">
        <f t="shared" si="913"/>
        <v>3211</v>
      </c>
      <c r="AG330" s="23">
        <f t="shared" si="913"/>
        <v>0</v>
      </c>
      <c r="AH330" s="23">
        <f t="shared" si="913"/>
        <v>3211</v>
      </c>
      <c r="AI330" s="23">
        <f t="shared" si="913"/>
        <v>5652</v>
      </c>
      <c r="AJ330" s="25">
        <f t="shared" si="913"/>
        <v>187.0962069</v>
      </c>
      <c r="AK330" s="22">
        <f t="shared" si="913"/>
        <v>8101</v>
      </c>
      <c r="AL330" s="26">
        <f t="shared" si="905"/>
        <v>0.697691643</v>
      </c>
      <c r="AM330" s="27">
        <f>SUM(Q343)</f>
        <v>1.5</v>
      </c>
      <c r="AN330" s="26">
        <f t="shared" si="907"/>
        <v>0.6944610831</v>
      </c>
      <c r="AO330" s="28">
        <f t="shared" si="908"/>
        <v>1.041691625</v>
      </c>
      <c r="AP330" s="27">
        <f t="shared" ref="AP330:AQ330" si="914">SUM(T343)</f>
        <v>271.4931198</v>
      </c>
      <c r="AQ330" s="27">
        <f t="shared" si="914"/>
        <v>9.361831719</v>
      </c>
      <c r="AR330" s="23">
        <f t="shared" si="910"/>
        <v>194.8965517</v>
      </c>
    </row>
    <row r="331" ht="15.75" customHeight="1">
      <c r="A331" s="21"/>
      <c r="B331" s="38">
        <v>2.0</v>
      </c>
      <c r="C331" s="38" t="s">
        <v>28</v>
      </c>
      <c r="D331" s="39">
        <v>33.0</v>
      </c>
      <c r="E331" s="40">
        <f>IFERROR(__xludf.DUMMYFUNCTION("COUNT(IMPORTRANGE(""https://docs.google.com/spreadsheets/d/10a85iNN0y9GF6ngQfF1JXGAzFk-T7ywH4-TZtQcOTaE/edit"",""13!d2:d34""))"),33.0)</f>
        <v>33</v>
      </c>
      <c r="F331" s="41">
        <f>IFERROR(__xludf.DUMMYFUNCTION("SUM(IMPORTRANGE(""https://docs.google.com/spreadsheets/d/10a85iNN0y9GF6ngQfF1JXGAzFk-T7ywH4-TZtQcOTaE/edit"",""13!Q2:Q34""))"),6497.9360000000015)</f>
        <v>6497.936</v>
      </c>
      <c r="G331" s="40">
        <f>IFERROR(__xludf.DUMMYFUNCTION("IMPORTRANGE(""https://docs.google.com/spreadsheets/d/10a85iNN0y9GF6ngQfF1JXGAzFk-T7ywH4-TZtQcOTaE/edit"",""13!e41"")"),2752.0)</f>
        <v>2752</v>
      </c>
      <c r="H331" s="40">
        <f>IFERROR(__xludf.DUMMYFUNCTION("IMPORTRANGE(""https://docs.google.com/spreadsheets/d/10a85iNN0y9GF6ngQfF1JXGAzFk-T7ywH4-TZtQcOTaE/edit"",""13!e42"")"),131.0)</f>
        <v>131</v>
      </c>
      <c r="I331" s="40">
        <f t="shared" si="915"/>
        <v>2883</v>
      </c>
      <c r="J331" s="40">
        <f>IFERROR(__xludf.DUMMYFUNCTION("IMPORTRANGE(""https://docs.google.com/spreadsheets/d/10a85iNN0y9GF6ngQfF1JXGAzFk-T7ywH4-TZtQcOTaE/edit"",""13!e45"")"),3001.0)</f>
        <v>3001</v>
      </c>
      <c r="K331" s="40">
        <f>IFERROR(__xludf.DUMMYFUNCTION("IMPORTRANGE(""https://docs.google.com/spreadsheets/d/10a85iNN0y9GF6ngQfF1JXGAzFk-T7ywH4-TZtQcOTaE/edit"",""13!e46"")"),126.0)</f>
        <v>126</v>
      </c>
      <c r="L331" s="40">
        <f t="shared" si="916"/>
        <v>3127</v>
      </c>
      <c r="M331" s="40">
        <f t="shared" si="917"/>
        <v>6010</v>
      </c>
      <c r="N331" s="41">
        <f t="shared" si="918"/>
        <v>196.9071515</v>
      </c>
      <c r="O331" s="38">
        <v>7315.0</v>
      </c>
      <c r="P331" s="42">
        <f t="shared" si="919"/>
        <v>0.8215994532</v>
      </c>
      <c r="Q331" s="43">
        <v>1.5</v>
      </c>
      <c r="R331" s="42">
        <f t="shared" si="920"/>
        <v>0.6166060525</v>
      </c>
      <c r="S331" s="44">
        <f t="shared" si="921"/>
        <v>0.9249090788</v>
      </c>
      <c r="T331" s="43">
        <f>F331/30.897</f>
        <v>210.3096093</v>
      </c>
      <c r="U331" s="43">
        <f t="shared" si="922"/>
        <v>6.373018465</v>
      </c>
      <c r="V331" s="40">
        <f t="shared" si="923"/>
        <v>182.1212121</v>
      </c>
      <c r="X331" s="22">
        <v>5.0</v>
      </c>
      <c r="Y331" s="22" t="s">
        <v>29</v>
      </c>
      <c r="Z331" s="22">
        <f t="shared" ref="Z331:AI331" si="924">SUM(D346)</f>
        <v>30</v>
      </c>
      <c r="AA331" s="23">
        <f t="shared" si="924"/>
        <v>29</v>
      </c>
      <c r="AB331" s="24">
        <f t="shared" si="924"/>
        <v>5806.474</v>
      </c>
      <c r="AC331" s="23">
        <f t="shared" si="924"/>
        <v>2946</v>
      </c>
      <c r="AD331" s="23">
        <f t="shared" si="924"/>
        <v>0</v>
      </c>
      <c r="AE331" s="23">
        <f t="shared" si="924"/>
        <v>2946</v>
      </c>
      <c r="AF331" s="23">
        <f t="shared" si="924"/>
        <v>3887</v>
      </c>
      <c r="AG331" s="23">
        <f t="shared" si="924"/>
        <v>0</v>
      </c>
      <c r="AH331" s="23">
        <f t="shared" si="924"/>
        <v>3887</v>
      </c>
      <c r="AI331" s="23">
        <f t="shared" si="924"/>
        <v>6833</v>
      </c>
      <c r="AJ331" s="25">
        <f t="shared" ref="AJ331:AJ333" si="927">AB331/AA331</f>
        <v>200.2232414</v>
      </c>
      <c r="AK331" s="22">
        <f t="shared" ref="AK331:AK332" si="928">SUM(O346)</f>
        <v>9201</v>
      </c>
      <c r="AL331" s="26">
        <f t="shared" si="905"/>
        <v>0.7426366699</v>
      </c>
      <c r="AM331" s="27">
        <f t="shared" ref="AM331:AM332" si="929">SUM(Q346)</f>
        <v>1.5</v>
      </c>
      <c r="AN331" s="26">
        <f t="shared" si="907"/>
        <v>0.7845266048</v>
      </c>
      <c r="AO331" s="28">
        <f t="shared" si="908"/>
        <v>1.176789907</v>
      </c>
      <c r="AP331" s="27">
        <f t="shared" ref="AP331:AQ331" si="925">SUM(T346)</f>
        <v>223</v>
      </c>
      <c r="AQ331" s="27">
        <f t="shared" si="925"/>
        <v>7.689655172</v>
      </c>
      <c r="AR331" s="23">
        <f t="shared" si="910"/>
        <v>235.6206897</v>
      </c>
    </row>
    <row r="332" ht="15.75" customHeight="1">
      <c r="A332" s="21"/>
      <c r="B332" s="38">
        <v>3.0</v>
      </c>
      <c r="C332" s="38" t="s">
        <v>30</v>
      </c>
      <c r="D332" s="39">
        <v>60.0</v>
      </c>
      <c r="E332" s="40">
        <f>IFERROR(__xludf.DUMMYFUNCTION("COUNT(IMPORTRANGE(""https://docs.google.com/spreadsheets/d/1WojVzHhpzodJL1e5UDHeu3A3u5MTSZwvxHu0BrwvL9w/edit"",""13!d2:d61""))"),58.0)</f>
        <v>58</v>
      </c>
      <c r="F332" s="45">
        <f>IFERROR(__xludf.DUMMYFUNCTION("SUM(IMPORTRANGE(""https://docs.google.com/spreadsheets/d/1WojVzHhpzodJL1e5UDHeu3A3u5MTSZwvxHu0BrwvL9w/edit"",""13!Q2:Q61""))"),11143.426999999987)</f>
        <v>11143.427</v>
      </c>
      <c r="G332" s="40">
        <f>IFERROR(__xludf.DUMMYFUNCTION("IMPORTRANGE(""https://docs.google.com/spreadsheets/d/1WojVzHhpzodJL1e5UDHeu3A3u5MTSZwvxHu0BrwvL9w/edit"",""13!e68"")"),3435.0)</f>
        <v>3435</v>
      </c>
      <c r="H332" s="40">
        <f>IFERROR(__xludf.DUMMYFUNCTION("IMPORTRANGE(""https://docs.google.com/spreadsheets/d/1WojVzHhpzodJL1e5UDHeu3A3u5MTSZwvxHu0BrwvL9w/edit"",""13!e69"")"),0.0)</f>
        <v>0</v>
      </c>
      <c r="I332" s="40">
        <f t="shared" si="915"/>
        <v>3435</v>
      </c>
      <c r="J332" s="40">
        <f>IFERROR(__xludf.DUMMYFUNCTION("IMPORTRANGE(""https://docs.google.com/spreadsheets/d/1WojVzHhpzodJL1e5UDHeu3A3u5MTSZwvxHu0BrwvL9w/edit"",""13!e72"")"),5145.0)</f>
        <v>5145</v>
      </c>
      <c r="K332" s="40">
        <f>IFERROR(__xludf.DUMMYFUNCTION("IMPORTRANGE(""https://docs.google.com/spreadsheets/d/1WojVzHhpzodJL1e5UDHeu3A3u5MTSZwvxHu0BrwvL9w/edit"",""13!e73"")"),0.0)</f>
        <v>0</v>
      </c>
      <c r="L332" s="40">
        <f t="shared" si="916"/>
        <v>5145</v>
      </c>
      <c r="M332" s="40">
        <f t="shared" si="917"/>
        <v>8580</v>
      </c>
      <c r="N332" s="41">
        <f t="shared" si="918"/>
        <v>192.1280517</v>
      </c>
      <c r="O332" s="38">
        <v>11164.0</v>
      </c>
      <c r="P332" s="42">
        <f t="shared" si="919"/>
        <v>0.7685417413</v>
      </c>
      <c r="Q332" s="43">
        <v>1.5</v>
      </c>
      <c r="R332" s="42">
        <f t="shared" si="920"/>
        <v>0.5133070823</v>
      </c>
      <c r="S332" s="44">
        <f t="shared" si="921"/>
        <v>0.7699606234</v>
      </c>
      <c r="T332" s="43">
        <f>F332/29.603</f>
        <v>376.4289768</v>
      </c>
      <c r="U332" s="43">
        <f t="shared" si="922"/>
        <v>6.490154772</v>
      </c>
      <c r="V332" s="40">
        <f t="shared" si="923"/>
        <v>147.9310345</v>
      </c>
      <c r="X332" s="22">
        <v>6.0</v>
      </c>
      <c r="Y332" s="22" t="s">
        <v>31</v>
      </c>
      <c r="Z332" s="22">
        <f t="shared" ref="Z332:AI332" si="926">SUM(D347)</f>
        <v>15</v>
      </c>
      <c r="AA332" s="23">
        <f t="shared" si="926"/>
        <v>12</v>
      </c>
      <c r="AB332" s="25">
        <f t="shared" si="926"/>
        <v>2477.505</v>
      </c>
      <c r="AC332" s="23">
        <f t="shared" si="926"/>
        <v>805</v>
      </c>
      <c r="AD332" s="23">
        <f t="shared" si="926"/>
        <v>7</v>
      </c>
      <c r="AE332" s="23">
        <f t="shared" si="926"/>
        <v>812</v>
      </c>
      <c r="AF332" s="23">
        <f t="shared" si="926"/>
        <v>1075</v>
      </c>
      <c r="AG332" s="23">
        <f t="shared" si="926"/>
        <v>0</v>
      </c>
      <c r="AH332" s="23">
        <f t="shared" si="926"/>
        <v>1075</v>
      </c>
      <c r="AI332" s="23">
        <f t="shared" si="926"/>
        <v>1887</v>
      </c>
      <c r="AJ332" s="25">
        <f t="shared" si="927"/>
        <v>206.45875</v>
      </c>
      <c r="AK332" s="22">
        <f t="shared" si="928"/>
        <v>2717</v>
      </c>
      <c r="AL332" s="26">
        <f t="shared" si="905"/>
        <v>0.6945160103</v>
      </c>
      <c r="AM332" s="27">
        <f t="shared" si="929"/>
        <v>1.5</v>
      </c>
      <c r="AN332" s="26">
        <f t="shared" si="907"/>
        <v>0.5077689046</v>
      </c>
      <c r="AO332" s="28">
        <f t="shared" si="908"/>
        <v>0.7616533569</v>
      </c>
      <c r="AP332" s="27">
        <f t="shared" ref="AP332:AQ332" si="930">SUM(T347)</f>
        <v>57</v>
      </c>
      <c r="AQ332" s="27">
        <f t="shared" si="930"/>
        <v>4.75</v>
      </c>
      <c r="AR332" s="23">
        <f t="shared" si="910"/>
        <v>157.25</v>
      </c>
    </row>
    <row r="333" ht="15.75" customHeight="1">
      <c r="A333" s="21"/>
      <c r="B333" s="38">
        <v>4.0</v>
      </c>
      <c r="C333" s="38" t="s">
        <v>32</v>
      </c>
      <c r="D333" s="39">
        <v>42.0</v>
      </c>
      <c r="E333" s="40">
        <f>IFERROR(__xludf.DUMMYFUNCTION("COUNT(IMPORTRANGE(""https://docs.google.com/spreadsheets/d/1vmCj5YcMSPHj1m64syDndQ6cqVL3yolcU03Y8KHmvdc/edit"",""13!d2:d43""))"),42.0)</f>
        <v>42</v>
      </c>
      <c r="F333" s="45">
        <f>IFERROR(__xludf.DUMMYFUNCTION("SUM(IMPORTRANGE(""https://docs.google.com/spreadsheets/d/1vmCj5YcMSPHj1m64syDndQ6cqVL3yolcU03Y8KHmvdc/edit"",""13!Q2:Q43""))"),8265.750999999991)</f>
        <v>8265.751</v>
      </c>
      <c r="G333" s="38">
        <f>IFERROR(__xludf.DUMMYFUNCTION("IMPORTRANGE(""https://docs.google.com/spreadsheets/d/1vmCj5YcMSPHj1m64syDndQ6cqVL3yolcU03Y8KHmvdc/edit"",""13!e50"")"),4750.0)</f>
        <v>4750</v>
      </c>
      <c r="H333" s="38">
        <f>IFERROR(__xludf.DUMMYFUNCTION("IMPORTRANGE(""https://docs.google.com/spreadsheets/d/1vmCj5YcMSPHj1m64syDndQ6cqVL3yolcU03Y8KHmvdc/edit"",""13!e51"")"),204.0)</f>
        <v>204</v>
      </c>
      <c r="I333" s="40">
        <f t="shared" si="915"/>
        <v>4954</v>
      </c>
      <c r="J333" s="38">
        <f>IFERROR(__xludf.DUMMYFUNCTION("IMPORTRANGE(""https://docs.google.com/spreadsheets/d/1vmCj5YcMSPHj1m64syDndQ6cqVL3yolcU03Y8KHmvdc/edit"",""13!e54"")"),5730.0)</f>
        <v>5730</v>
      </c>
      <c r="K333" s="38">
        <f>IFERROR(__xludf.DUMMYFUNCTION("IMPORTRANGE(""https://docs.google.com/spreadsheets/d/1vmCj5YcMSPHj1m64syDndQ6cqVL3yolcU03Y8KHmvdc/edit"",""13!e55"")"),50.0)</f>
        <v>50</v>
      </c>
      <c r="L333" s="40">
        <f t="shared" si="916"/>
        <v>5780</v>
      </c>
      <c r="M333" s="40">
        <f t="shared" si="917"/>
        <v>10734</v>
      </c>
      <c r="N333" s="41">
        <f t="shared" si="918"/>
        <v>196.8035952</v>
      </c>
      <c r="O333" s="38">
        <v>13817.0</v>
      </c>
      <c r="P333" s="42">
        <f t="shared" si="919"/>
        <v>0.7768690743</v>
      </c>
      <c r="Q333" s="43">
        <v>1.5</v>
      </c>
      <c r="R333" s="42">
        <f t="shared" si="920"/>
        <v>0.8657410561</v>
      </c>
      <c r="S333" s="44">
        <f t="shared" si="921"/>
        <v>1.298611584</v>
      </c>
      <c r="T333" s="43">
        <f>F333/25.089</f>
        <v>329.4571725</v>
      </c>
      <c r="U333" s="43">
        <f t="shared" si="922"/>
        <v>7.844218392</v>
      </c>
      <c r="V333" s="40">
        <f t="shared" si="923"/>
        <v>255.5714286</v>
      </c>
      <c r="X333" s="46" t="s">
        <v>33</v>
      </c>
      <c r="Y333" s="46">
        <v>6.0</v>
      </c>
      <c r="Z333" s="46">
        <f t="shared" ref="Z333:AI333" si="931">SUM(Z327:Z332)</f>
        <v>186</v>
      </c>
      <c r="AA333" s="47">
        <f t="shared" si="931"/>
        <v>178</v>
      </c>
      <c r="AB333" s="48">
        <f t="shared" si="931"/>
        <v>34890.014</v>
      </c>
      <c r="AC333" s="47">
        <f t="shared" si="931"/>
        <v>11434</v>
      </c>
      <c r="AD333" s="47">
        <f t="shared" si="931"/>
        <v>567</v>
      </c>
      <c r="AE333" s="47">
        <f t="shared" si="931"/>
        <v>12001</v>
      </c>
      <c r="AF333" s="47">
        <f t="shared" si="931"/>
        <v>15625</v>
      </c>
      <c r="AG333" s="47">
        <f t="shared" si="931"/>
        <v>441</v>
      </c>
      <c r="AH333" s="47">
        <f t="shared" si="931"/>
        <v>16066</v>
      </c>
      <c r="AI333" s="47">
        <f t="shared" si="931"/>
        <v>28067</v>
      </c>
      <c r="AJ333" s="49">
        <f t="shared" si="927"/>
        <v>196.0113146</v>
      </c>
      <c r="AK333" s="46">
        <f>SUM(AK327:AK332)</f>
        <v>35074</v>
      </c>
      <c r="AL333" s="50">
        <f t="shared" si="905"/>
        <v>0.800222387</v>
      </c>
      <c r="AM333" s="51">
        <v>1.5</v>
      </c>
      <c r="AN333" s="50">
        <f t="shared" si="907"/>
        <v>0.5362948073</v>
      </c>
      <c r="AO333" s="52">
        <f t="shared" si="908"/>
        <v>0.8044422109</v>
      </c>
      <c r="AP333" s="51">
        <f>SUM(AP327:AP332)</f>
        <v>1318.473753</v>
      </c>
      <c r="AQ333" s="51">
        <f>AP333/AA333</f>
        <v>7.407155915</v>
      </c>
      <c r="AR333" s="47">
        <f t="shared" si="910"/>
        <v>157.6797753</v>
      </c>
    </row>
    <row r="334" ht="15.75" customHeight="1">
      <c r="A334" s="21"/>
      <c r="B334" s="38">
        <v>5.0</v>
      </c>
      <c r="C334" s="38" t="s">
        <v>34</v>
      </c>
      <c r="D334" s="39">
        <v>40.0</v>
      </c>
      <c r="E334" s="40">
        <f>IFERROR(__xludf.DUMMYFUNCTION("COUNT(IMPORTRANGE(""https://docs.google.com/spreadsheets/d/14_Y-fpuq1wcec3DlT_1PBYekOC0YblQMrWVfO12YO3k/edit"",""13!d2:d41""))"),37.0)</f>
        <v>37</v>
      </c>
      <c r="F334" s="45">
        <f>IFERROR(__xludf.DUMMYFUNCTION("SUM(IMPORTRANGE(""https://docs.google.com/spreadsheets/d/14_Y-fpuq1wcec3DlT_1PBYekOC0YblQMrWVfO12YO3k/edit"",""13!Q2:Q41""))"),7426.914000000002)</f>
        <v>7426.914</v>
      </c>
      <c r="G334" s="40">
        <f>IFERROR(__xludf.DUMMYFUNCTION("IMPORTRANGE(""https://docs.google.com/spreadsheets/d/14_Y-fpuq1wcec3DlT_1PBYekOC0YblQMrWVfO12YO3k/edit"",""13!e48"")"),2956.0)</f>
        <v>2956</v>
      </c>
      <c r="H334" s="40">
        <f>IFERROR(__xludf.DUMMYFUNCTION("IMPORTRANGE(""https://docs.google.com/spreadsheets/d/14_Y-fpuq1wcec3DlT_1PBYekOC0YblQMrWVfO12YO3k/edit"",""13!e49"")"),0.0)</f>
        <v>0</v>
      </c>
      <c r="I334" s="40">
        <f t="shared" si="915"/>
        <v>2956</v>
      </c>
      <c r="J334" s="40">
        <f>IFERROR(__xludf.DUMMYFUNCTION("IMPORTRANGE(""https://docs.google.com/spreadsheets/d/14_Y-fpuq1wcec3DlT_1PBYekOC0YblQMrWVfO12YO3k/edit"",""13!e52"")"),3286.0)</f>
        <v>3286</v>
      </c>
      <c r="K334" s="40">
        <f>IFERROR(__xludf.DUMMYFUNCTION("IMPORTRANGE(""https://docs.google.com/spreadsheets/d/14_Y-fpuq1wcec3DlT_1PBYekOC0YblQMrWVfO12YO3k/edit"",""13!e53"")"),0.0)</f>
        <v>0</v>
      </c>
      <c r="L334" s="40">
        <f t="shared" si="916"/>
        <v>3286</v>
      </c>
      <c r="M334" s="40">
        <f t="shared" si="917"/>
        <v>6242</v>
      </c>
      <c r="N334" s="41">
        <f t="shared" si="918"/>
        <v>200.7274054</v>
      </c>
      <c r="O334" s="38">
        <v>9354.0</v>
      </c>
      <c r="P334" s="42">
        <f t="shared" si="919"/>
        <v>0.6673081035</v>
      </c>
      <c r="Q334" s="43">
        <v>1.5</v>
      </c>
      <c r="R334" s="42">
        <f t="shared" si="920"/>
        <v>0.5603044997</v>
      </c>
      <c r="S334" s="44">
        <f t="shared" si="921"/>
        <v>0.8404567496</v>
      </c>
      <c r="T334" s="43">
        <f>F334/30.713</f>
        <v>241.8166249</v>
      </c>
      <c r="U334" s="43">
        <f t="shared" si="922"/>
        <v>6.535584456</v>
      </c>
      <c r="V334" s="40">
        <f t="shared" si="923"/>
        <v>168.7027027</v>
      </c>
      <c r="X334" s="53" t="s">
        <v>35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6"/>
    </row>
    <row r="335" ht="15.75" customHeight="1">
      <c r="A335" s="21"/>
      <c r="B335" s="38">
        <v>6.0</v>
      </c>
      <c r="C335" s="38" t="s">
        <v>23</v>
      </c>
      <c r="D335" s="39">
        <v>35.0</v>
      </c>
      <c r="E335" s="40">
        <f>IFERROR(__xludf.DUMMYFUNCTION("COUNT(IMPORTRANGE(""https://docs.google.com/spreadsheets/d/1lJqjdj05V4LOXuBOiTdE65GV4ZITyx1cMLcDdcuoUnE/edit"",""13!d2:d36""))"),35.0)</f>
        <v>35</v>
      </c>
      <c r="F335" s="45">
        <f>IFERROR(__xludf.DUMMYFUNCTION("SUM(IMPORTRANGE(""https://docs.google.com/spreadsheets/d/1lJqjdj05V4LOXuBOiTdE65GV4ZITyx1cMLcDdcuoUnE/edit"",""13!Q2:Q36""))"),6781.739999999995)</f>
        <v>6781.74</v>
      </c>
      <c r="G335" s="40">
        <f>IFERROR(__xludf.DUMMYFUNCTION("IMPORTRANGE(""https://docs.google.com/spreadsheets/d/1lJqjdj05V4LOXuBOiTdE65GV4ZITyx1cMLcDdcuoUnE/edit"",""13!e43"")"),1830.0)</f>
        <v>1830</v>
      </c>
      <c r="H335" s="40">
        <f>IFERROR(__xludf.DUMMYFUNCTION("IMPORTRANGE(""https://docs.google.com/spreadsheets/d/1lJqjdj05V4LOXuBOiTdE65GV4ZITyx1cMLcDdcuoUnE/edit"",""13!e44"")"),0.0)</f>
        <v>0</v>
      </c>
      <c r="I335" s="40">
        <f t="shared" si="915"/>
        <v>1830</v>
      </c>
      <c r="J335" s="40">
        <f>IFERROR(__xludf.DUMMYFUNCTION("IMPORTRANGE(""https://docs.google.com/spreadsheets/d/1lJqjdj05V4LOXuBOiTdE65GV4ZITyx1cMLcDdcuoUnE/edit"",""13!e47"")"),3161.0)</f>
        <v>3161</v>
      </c>
      <c r="K335" s="40">
        <f>IFERROR(__xludf.DUMMYFUNCTION("IMPORTRANGE(""https://docs.google.com/spreadsheets/d/1lJqjdj05V4LOXuBOiTdE65GV4ZITyx1cMLcDdcuoUnE/edit"",""13!e48"")"),0.0)</f>
        <v>0</v>
      </c>
      <c r="L335" s="40">
        <f t="shared" si="916"/>
        <v>3161</v>
      </c>
      <c r="M335" s="40">
        <f t="shared" si="917"/>
        <v>4991</v>
      </c>
      <c r="N335" s="41">
        <f t="shared" si="918"/>
        <v>193.764</v>
      </c>
      <c r="O335" s="38">
        <v>6853.0</v>
      </c>
      <c r="P335" s="42">
        <f t="shared" si="919"/>
        <v>0.7282941777</v>
      </c>
      <c r="Q335" s="43">
        <v>1.5</v>
      </c>
      <c r="R335" s="42">
        <f t="shared" si="920"/>
        <v>0.4906312146</v>
      </c>
      <c r="S335" s="44">
        <f t="shared" si="921"/>
        <v>0.7359468219</v>
      </c>
      <c r="T335" s="43">
        <f>F335/33.74</f>
        <v>201</v>
      </c>
      <c r="U335" s="43">
        <f t="shared" si="922"/>
        <v>5.742857143</v>
      </c>
      <c r="V335" s="40">
        <f t="shared" si="923"/>
        <v>142.6</v>
      </c>
      <c r="X335" s="14" t="s">
        <v>2</v>
      </c>
      <c r="Y335" s="14" t="s">
        <v>3</v>
      </c>
      <c r="Z335" s="14" t="s">
        <v>4</v>
      </c>
      <c r="AA335" s="14" t="s">
        <v>5</v>
      </c>
      <c r="AB335" s="15" t="s">
        <v>6</v>
      </c>
      <c r="AC335" s="14" t="s">
        <v>7</v>
      </c>
      <c r="AD335" s="14" t="s">
        <v>8</v>
      </c>
      <c r="AE335" s="14" t="s">
        <v>9</v>
      </c>
      <c r="AF335" s="14" t="s">
        <v>10</v>
      </c>
      <c r="AG335" s="14" t="s">
        <v>11</v>
      </c>
      <c r="AH335" s="14" t="s">
        <v>12</v>
      </c>
      <c r="AI335" s="14" t="s">
        <v>13</v>
      </c>
      <c r="AJ335" s="15" t="s">
        <v>14</v>
      </c>
      <c r="AK335" s="14" t="s">
        <v>15</v>
      </c>
      <c r="AL335" s="14" t="s">
        <v>16</v>
      </c>
      <c r="AM335" s="16" t="s">
        <v>17</v>
      </c>
      <c r="AN335" s="17" t="s">
        <v>18</v>
      </c>
      <c r="AO335" s="18" t="s">
        <v>19</v>
      </c>
      <c r="AP335" s="19" t="s">
        <v>20</v>
      </c>
      <c r="AQ335" s="19" t="s">
        <v>21</v>
      </c>
      <c r="AR335" s="20" t="s">
        <v>22</v>
      </c>
    </row>
    <row r="336" ht="15.75" customHeight="1">
      <c r="A336" s="21"/>
      <c r="B336" s="38">
        <v>7.0</v>
      </c>
      <c r="C336" s="38" t="s">
        <v>24</v>
      </c>
      <c r="D336" s="39">
        <v>44.0</v>
      </c>
      <c r="E336" s="54">
        <f>IFERROR(__xludf.DUMMYFUNCTION("COUNT(IMPORTRANGE(""https://docs.google.com/spreadsheets/d/1_7EEO26q9Yq-XhNFiy7I6Zh4Yg6uGjTs9y0UqNvPKcQ/edit"",""13!d2:d45""))"),42.0)</f>
        <v>42</v>
      </c>
      <c r="F336" s="55">
        <f>IFERROR(__xludf.DUMMYFUNCTION("SUM(IMPORTRANGE(""https://docs.google.com/spreadsheets/d/1_7EEO26q9Yq-XhNFiy7I6Zh4Yg6uGjTs9y0UqNvPKcQ/edit"",""13!Q2:Q45""))"),8186.388999999994)</f>
        <v>8186.389</v>
      </c>
      <c r="G336" s="54">
        <f>IFERROR(__xludf.DUMMYFUNCTION("IMPORTRANGE(""https://docs.google.com/spreadsheets/d/1_7EEO26q9Yq-XhNFiy7I6Zh4Yg6uGjTs9y0UqNvPKcQ/edit"",""13!e53"")"),1068.0)</f>
        <v>1068</v>
      </c>
      <c r="H336" s="54">
        <f>IFERROR(__xludf.DUMMYFUNCTION("IMPORTRANGE(""https://docs.google.com/spreadsheets/d/1_7EEO26q9Yq-XhNFiy7I6Zh4Yg6uGjTs9y0UqNvPKcQ/edit"",""13!e54"")"),7.0)</f>
        <v>7</v>
      </c>
      <c r="I336" s="54">
        <f t="shared" si="915"/>
        <v>1075</v>
      </c>
      <c r="J336" s="54">
        <f>IFERROR(__xludf.DUMMYFUNCTION("IMPORTRANGE(""https://docs.google.com/spreadsheets/d/1_7EEO26q9Yq-XhNFiy7I6Zh4Yg6uGjTs9y0UqNvPKcQ/edit"",""13!e57"")"),1160.0)</f>
        <v>1160</v>
      </c>
      <c r="K336" s="54">
        <f>IFERROR(__xludf.DUMMYFUNCTION("IMPORTRANGE(""https://docs.google.com/spreadsheets/d/1_7EEO26q9Yq-XhNFiy7I6Zh4Yg6uGjTs9y0UqNvPKcQ/edit"",""13!e58"")"),0.0)</f>
        <v>0</v>
      </c>
      <c r="L336" s="40">
        <f t="shared" si="916"/>
        <v>1160</v>
      </c>
      <c r="M336" s="40">
        <f t="shared" si="917"/>
        <v>2235</v>
      </c>
      <c r="N336" s="41">
        <f t="shared" si="918"/>
        <v>194.9140238</v>
      </c>
      <c r="O336" s="38">
        <v>1580.0</v>
      </c>
      <c r="P336" s="56">
        <f t="shared" si="919"/>
        <v>1.414556962</v>
      </c>
      <c r="Q336" s="43">
        <v>1.5</v>
      </c>
      <c r="R336" s="42">
        <f t="shared" si="920"/>
        <v>0.1820094305</v>
      </c>
      <c r="S336" s="44">
        <f t="shared" si="921"/>
        <v>0.2730141458</v>
      </c>
      <c r="T336" s="43">
        <f>F336/26.805</f>
        <v>305.4052975</v>
      </c>
      <c r="U336" s="43">
        <f t="shared" si="922"/>
        <v>7.271554703</v>
      </c>
      <c r="V336" s="40">
        <f t="shared" si="923"/>
        <v>53.21428571</v>
      </c>
      <c r="X336" s="22">
        <v>1.0</v>
      </c>
      <c r="Y336" s="22" t="s">
        <v>28</v>
      </c>
      <c r="Z336" s="22">
        <f t="shared" ref="Z336:AI336" si="932">SUM(D331)</f>
        <v>33</v>
      </c>
      <c r="AA336" s="23">
        <f t="shared" si="932"/>
        <v>33</v>
      </c>
      <c r="AB336" s="25">
        <f t="shared" si="932"/>
        <v>6497.936</v>
      </c>
      <c r="AC336" s="23">
        <f t="shared" si="932"/>
        <v>2752</v>
      </c>
      <c r="AD336" s="23">
        <f t="shared" si="932"/>
        <v>131</v>
      </c>
      <c r="AE336" s="23">
        <f t="shared" si="932"/>
        <v>2883</v>
      </c>
      <c r="AF336" s="23">
        <f t="shared" si="932"/>
        <v>3001</v>
      </c>
      <c r="AG336" s="23">
        <f t="shared" si="932"/>
        <v>126</v>
      </c>
      <c r="AH336" s="23">
        <f t="shared" si="932"/>
        <v>3127</v>
      </c>
      <c r="AI336" s="23">
        <f t="shared" si="932"/>
        <v>6010</v>
      </c>
      <c r="AJ336" s="25">
        <f t="shared" ref="AJ336:AJ342" si="935">AB336/AA336</f>
        <v>196.9071515</v>
      </c>
      <c r="AK336" s="22">
        <f t="shared" ref="AK336:AK337" si="936">SUM(O331)</f>
        <v>7315</v>
      </c>
      <c r="AL336" s="26">
        <f t="shared" ref="AL336:AL342" si="937">AI336/AK336</f>
        <v>0.8215994532</v>
      </c>
      <c r="AM336" s="27">
        <f t="shared" ref="AM336:AM337" si="938">SUM(Q331)</f>
        <v>1.5</v>
      </c>
      <c r="AN336" s="26">
        <f t="shared" ref="AN336:AN342" si="939">AO336/AM336</f>
        <v>0.6166060525</v>
      </c>
      <c r="AO336" s="28">
        <f t="shared" ref="AO336:AO342" si="940">AI336/AB336</f>
        <v>0.9249090788</v>
      </c>
      <c r="AP336" s="27">
        <f t="shared" ref="AP336:AQ336" si="933">SUM(T331)</f>
        <v>210.3096093</v>
      </c>
      <c r="AQ336" s="27">
        <f t="shared" si="933"/>
        <v>6.373018465</v>
      </c>
      <c r="AR336" s="23">
        <f t="shared" ref="AR336:AR342" si="942">AI336/AA336</f>
        <v>182.1212121</v>
      </c>
    </row>
    <row r="337" ht="15.75" customHeight="1">
      <c r="A337" s="21"/>
      <c r="B337" s="38">
        <v>8.0</v>
      </c>
      <c r="C337" s="38" t="s">
        <v>25</v>
      </c>
      <c r="D337" s="57">
        <v>32.0</v>
      </c>
      <c r="E337" s="40">
        <f>IFERROR(__xludf.DUMMYFUNCTION("COUNT(IMPORTRANGE(""https://docs.google.com/spreadsheets/d/1vLOLpiE-XsbnCnwWPcoi87PlUSXfqIAAQn3kvqHfO6s/edit"",""13!d2:D33""))"),31.0)</f>
        <v>31</v>
      </c>
      <c r="F337" s="45">
        <f>IFERROR(__xludf.DUMMYFUNCTION("SUM(IMPORTRANGE(""https://docs.google.com/spreadsheets/d/1vLOLpiE-XsbnCnwWPcoi87PlUSXfqIAAQn3kvqHfO6s/edit"",""13!Q2:Q33""))"),6212.116000000003)</f>
        <v>6212.116</v>
      </c>
      <c r="G337" s="40">
        <f>IFERROR(__xludf.DUMMYFUNCTION("IMPORTRANGE(""https://docs.google.com/spreadsheets/d/1vLOLpiE-XsbnCnwWPcoi87PlUSXfqIAAQn3kvqHfO6s/edit"",""13!e40"")"),2344.0)</f>
        <v>2344</v>
      </c>
      <c r="H337" s="40">
        <f>IFERROR(__xludf.DUMMYFUNCTION("IMPORTRANGE(""https://docs.google.com/spreadsheets/d/1vLOLpiE-XsbnCnwWPcoi87PlUSXfqIAAQn3kvqHfO6s/edit"",""13!e41"")"),553.0)</f>
        <v>553</v>
      </c>
      <c r="I337" s="40">
        <f t="shared" si="915"/>
        <v>2897</v>
      </c>
      <c r="J337" s="40">
        <f>IFERROR(__xludf.DUMMYFUNCTION("IMPORTRANGE(""https://docs.google.com/spreadsheets/d/1vLOLpiE-XsbnCnwWPcoi87PlUSXfqIAAQn3kvqHfO6s/edit"",""13!e44"")"),3131.0)</f>
        <v>3131</v>
      </c>
      <c r="K337" s="40">
        <f>IFERROR(__xludf.DUMMYFUNCTION("IMPORTRANGE(""https://docs.google.com/spreadsheets/d/1vLOLpiE-XsbnCnwWPcoi87PlUSXfqIAAQn3kvqHfO6s/edit"",""13!e45"")"),441.0)</f>
        <v>441</v>
      </c>
      <c r="L337" s="40">
        <f>J337+K337</f>
        <v>3572</v>
      </c>
      <c r="M337" s="40">
        <f t="shared" si="917"/>
        <v>6469</v>
      </c>
      <c r="N337" s="41">
        <f t="shared" si="918"/>
        <v>200.3908387</v>
      </c>
      <c r="O337" s="38">
        <v>6622.0</v>
      </c>
      <c r="P337" s="42">
        <f t="shared" si="919"/>
        <v>0.9768951978</v>
      </c>
      <c r="Q337" s="43">
        <v>1.5</v>
      </c>
      <c r="R337" s="42">
        <f t="shared" si="920"/>
        <v>0.6942347288</v>
      </c>
      <c r="S337" s="44">
        <f t="shared" si="921"/>
        <v>1.041352093</v>
      </c>
      <c r="T337" s="43">
        <f>F337/23.84</f>
        <v>260.5753356</v>
      </c>
      <c r="U337" s="43">
        <f t="shared" si="922"/>
        <v>8.405655986</v>
      </c>
      <c r="V337" s="40">
        <f t="shared" si="923"/>
        <v>208.6774194</v>
      </c>
      <c r="X337" s="31">
        <v>2.0</v>
      </c>
      <c r="Y337" s="31" t="s">
        <v>30</v>
      </c>
      <c r="Z337" s="31">
        <f t="shared" ref="Z337:AI337" si="934">SUM(D332)</f>
        <v>60</v>
      </c>
      <c r="AA337" s="32">
        <f t="shared" si="934"/>
        <v>58</v>
      </c>
      <c r="AB337" s="33">
        <f t="shared" si="934"/>
        <v>11143.427</v>
      </c>
      <c r="AC337" s="32">
        <f t="shared" si="934"/>
        <v>3435</v>
      </c>
      <c r="AD337" s="32">
        <f t="shared" si="934"/>
        <v>0</v>
      </c>
      <c r="AE337" s="32">
        <f t="shared" si="934"/>
        <v>3435</v>
      </c>
      <c r="AF337" s="32">
        <f t="shared" si="934"/>
        <v>5145</v>
      </c>
      <c r="AG337" s="32">
        <f t="shared" si="934"/>
        <v>0</v>
      </c>
      <c r="AH337" s="32">
        <f t="shared" si="934"/>
        <v>5145</v>
      </c>
      <c r="AI337" s="32">
        <f t="shared" si="934"/>
        <v>8580</v>
      </c>
      <c r="AJ337" s="34">
        <f t="shared" si="935"/>
        <v>192.1280517</v>
      </c>
      <c r="AK337" s="31">
        <f t="shared" si="936"/>
        <v>11164</v>
      </c>
      <c r="AL337" s="35">
        <f t="shared" si="937"/>
        <v>0.7685417413</v>
      </c>
      <c r="AM337" s="36">
        <f t="shared" si="938"/>
        <v>1.5</v>
      </c>
      <c r="AN337" s="35">
        <f t="shared" si="939"/>
        <v>0.5133070823</v>
      </c>
      <c r="AO337" s="37">
        <f t="shared" si="940"/>
        <v>0.7699606234</v>
      </c>
      <c r="AP337" s="36">
        <f t="shared" ref="AP337:AQ337" si="941">SUM(T332)</f>
        <v>376.4289768</v>
      </c>
      <c r="AQ337" s="36">
        <f t="shared" si="941"/>
        <v>6.490154772</v>
      </c>
      <c r="AR337" s="32">
        <f t="shared" si="942"/>
        <v>147.9310345</v>
      </c>
    </row>
    <row r="338" ht="15.75" customHeight="1">
      <c r="A338" s="21"/>
      <c r="B338" s="38">
        <v>9.0</v>
      </c>
      <c r="C338" s="38" t="s">
        <v>36</v>
      </c>
      <c r="D338" s="57">
        <v>24.0</v>
      </c>
      <c r="E338" s="40">
        <f>IFERROR(__xludf.DUMMYFUNCTION("COUNT(IMPORTRANGE(""https://docs.google.com/spreadsheets/d/1WJJVq25XDtGjt-J2JPxeKs3jIvDZtkIREC0lFPXwf74/edit"",""13!d2:d31""))"),23.0)</f>
        <v>23</v>
      </c>
      <c r="F338" s="45">
        <f>IFERROR(__xludf.DUMMYFUNCTION("SUM(IMPORTRANGE(""https://docs.google.com/spreadsheets/d/1WJJVq25XDtGjt-J2JPxeKs3jIvDZtkIREC0lFPXwf74/edit"",""13!Q2:Q31""))"),4501.205000000001)</f>
        <v>4501.205</v>
      </c>
      <c r="G338" s="40">
        <f>IFERROR(__xludf.DUMMYFUNCTION("IMPORTRANGE(""https://docs.google.com/spreadsheets/d/1WJJVq25XDtGjt-J2JPxeKs3jIvDZtkIREC0lFPXwf74/edit"",""13!e38"")"),1410.0)</f>
        <v>1410</v>
      </c>
      <c r="H338" s="40">
        <f>IFERROR(__xludf.DUMMYFUNCTION("IMPORTRANGE(""https://docs.google.com/spreadsheets/d/1WJJVq25XDtGjt-J2JPxeKs3jIvDZtkIREC0lFPXwf74/edit"",""13!e39"")"),0.0)</f>
        <v>0</v>
      </c>
      <c r="I338" s="40">
        <f t="shared" si="915"/>
        <v>1410</v>
      </c>
      <c r="J338" s="40">
        <f>IFERROR(__xludf.DUMMYFUNCTION("IMPORTRANGE(""https://docs.google.com/spreadsheets/d/1WJJVq25XDtGjt-J2JPxeKs3jIvDZtkIREC0lFPXwf74/edit"",""13!e42"")"),1917.0)</f>
        <v>1917</v>
      </c>
      <c r="K338" s="40">
        <f>IFERROR(__xludf.DUMMYFUNCTION("IMPORTRANGE(""https://docs.google.com/spreadsheets/d/1WJJVq25XDtGjt-J2JPxeKs3jIvDZtkIREC0lFPXwf74/edit"",""13!e43"")"),0.0)</f>
        <v>0</v>
      </c>
      <c r="L338" s="40">
        <f t="shared" ref="L338:L347" si="945">SUM(J338:K338)</f>
        <v>1917</v>
      </c>
      <c r="M338" s="40">
        <f t="shared" si="917"/>
        <v>3327</v>
      </c>
      <c r="N338" s="41">
        <f t="shared" si="918"/>
        <v>195.7045652</v>
      </c>
      <c r="O338" s="38">
        <v>4796.0</v>
      </c>
      <c r="P338" s="42">
        <f t="shared" si="919"/>
        <v>0.6937030859</v>
      </c>
      <c r="Q338" s="43">
        <v>1.5</v>
      </c>
      <c r="R338" s="42">
        <f t="shared" si="920"/>
        <v>0.4927569395</v>
      </c>
      <c r="S338" s="44">
        <f t="shared" si="921"/>
        <v>0.7391354093</v>
      </c>
      <c r="T338" s="43">
        <f>F338/37.414</f>
        <v>120.3080398</v>
      </c>
      <c r="U338" s="43">
        <f t="shared" si="922"/>
        <v>5.230784338</v>
      </c>
      <c r="V338" s="40">
        <f t="shared" si="923"/>
        <v>144.6521739</v>
      </c>
      <c r="X338" s="22">
        <v>3.0</v>
      </c>
      <c r="Y338" s="22" t="s">
        <v>34</v>
      </c>
      <c r="Z338" s="22">
        <f t="shared" ref="Z338:AI338" si="943">SUM(D334)</f>
        <v>40</v>
      </c>
      <c r="AA338" s="23">
        <f t="shared" si="943"/>
        <v>37</v>
      </c>
      <c r="AB338" s="24">
        <f t="shared" si="943"/>
        <v>7426.914</v>
      </c>
      <c r="AC338" s="23">
        <f t="shared" si="943"/>
        <v>2956</v>
      </c>
      <c r="AD338" s="23">
        <f t="shared" si="943"/>
        <v>0</v>
      </c>
      <c r="AE338" s="23">
        <f t="shared" si="943"/>
        <v>2956</v>
      </c>
      <c r="AF338" s="23">
        <f t="shared" si="943"/>
        <v>3286</v>
      </c>
      <c r="AG338" s="23">
        <f t="shared" si="943"/>
        <v>0</v>
      </c>
      <c r="AH338" s="23">
        <f t="shared" si="943"/>
        <v>3286</v>
      </c>
      <c r="AI338" s="23">
        <f t="shared" si="943"/>
        <v>6242</v>
      </c>
      <c r="AJ338" s="25">
        <f t="shared" si="935"/>
        <v>200.7274054</v>
      </c>
      <c r="AK338" s="22">
        <f>SUM(O334)</f>
        <v>9354</v>
      </c>
      <c r="AL338" s="26">
        <f t="shared" si="937"/>
        <v>0.6673081035</v>
      </c>
      <c r="AM338" s="27">
        <f>SUM(Q334)</f>
        <v>1.5</v>
      </c>
      <c r="AN338" s="26">
        <f t="shared" si="939"/>
        <v>0.5603044997</v>
      </c>
      <c r="AO338" s="28">
        <f t="shared" si="940"/>
        <v>0.8404567496</v>
      </c>
      <c r="AP338" s="27">
        <f t="shared" ref="AP338:AQ338" si="944">SUM(T334)</f>
        <v>241.8166249</v>
      </c>
      <c r="AQ338" s="27">
        <f t="shared" si="944"/>
        <v>6.535584456</v>
      </c>
      <c r="AR338" s="23">
        <f t="shared" si="942"/>
        <v>168.7027027</v>
      </c>
    </row>
    <row r="339" ht="15.75" customHeight="1">
      <c r="A339" s="21"/>
      <c r="B339" s="38">
        <v>10.0</v>
      </c>
      <c r="C339" s="38" t="s">
        <v>37</v>
      </c>
      <c r="D339" s="39">
        <v>30.0</v>
      </c>
      <c r="E339" s="40">
        <f>IFERROR(__xludf.DUMMYFUNCTION("COUNT(IMPORTRANGE(""https://docs.google.com/spreadsheets/d/1rJyYfywRpWJW0zvDJHLOJtqUQqffoCGaqTVxxTDgV0k/edit"",""13!d2:d31""))"),29.0)</f>
        <v>29</v>
      </c>
      <c r="F339" s="45">
        <f>IFERROR(__xludf.DUMMYFUNCTION("SUM(IMPORTRANGE(""https://docs.google.com/spreadsheets/d/1rJyYfywRpWJW0zvDJHLOJtqUQqffoCGaqTVxxTDgV0k/edit"",""13!Q2:Q31""))"),5798.705999999998)</f>
        <v>5798.706</v>
      </c>
      <c r="G339" s="40">
        <f>IFERROR(__xludf.DUMMYFUNCTION("(IMPORTRANGE(""https://docs.google.com/spreadsheets/d/1rJyYfywRpWJW0zvDJHLOJtqUQqffoCGaqTVxxTDgV0k/edit"",""13!e38""))"),2116.0)</f>
        <v>2116</v>
      </c>
      <c r="H339" s="40">
        <f>IFERROR(__xludf.DUMMYFUNCTION("(IMPORTRANGE(""https://docs.google.com/spreadsheets/d/1rJyYfywRpWJW0zvDJHLOJtqUQqffoCGaqTVxxTDgV0k/edit"",""13!e39""))"),28.0)</f>
        <v>28</v>
      </c>
      <c r="I339" s="40">
        <f t="shared" si="915"/>
        <v>2144</v>
      </c>
      <c r="J339" s="40">
        <f>IFERROR(__xludf.DUMMYFUNCTION("(IMPORTRANGE(""https://docs.google.com/spreadsheets/d/1rJyYfywRpWJW0zvDJHLOJtqUQqffoCGaqTVxxTDgV0k/edit"",""13!e42""))"),2912.0)</f>
        <v>2912</v>
      </c>
      <c r="K339" s="40">
        <f>IFERROR(__xludf.DUMMYFUNCTION("(IMPORTRANGE(""https://docs.google.com/spreadsheets/d/1rJyYfywRpWJW0zvDJHLOJtqUQqffoCGaqTVxxTDgV0k/edit"",""13!e43""))"),0.0)</f>
        <v>0</v>
      </c>
      <c r="L339" s="40">
        <f t="shared" si="945"/>
        <v>2912</v>
      </c>
      <c r="M339" s="40">
        <f t="shared" si="917"/>
        <v>5056</v>
      </c>
      <c r="N339" s="41">
        <f t="shared" si="918"/>
        <v>199.9553793</v>
      </c>
      <c r="O339" s="38">
        <v>5887.0</v>
      </c>
      <c r="P339" s="42">
        <f t="shared" si="919"/>
        <v>0.8588415152</v>
      </c>
      <c r="Q339" s="43">
        <v>1.5</v>
      </c>
      <c r="R339" s="42">
        <f t="shared" si="920"/>
        <v>0.5812791107</v>
      </c>
      <c r="S339" s="44">
        <f t="shared" si="921"/>
        <v>0.871918666</v>
      </c>
      <c r="T339" s="43">
        <f>F339/24.792</f>
        <v>233.8942401</v>
      </c>
      <c r="U339" s="43">
        <f t="shared" si="922"/>
        <v>8.065318623</v>
      </c>
      <c r="V339" s="40">
        <f t="shared" si="923"/>
        <v>174.3448276</v>
      </c>
      <c r="X339" s="31">
        <v>4.0</v>
      </c>
      <c r="Y339" s="31" t="s">
        <v>38</v>
      </c>
      <c r="Z339" s="31">
        <f t="shared" ref="Z339:AI339" si="946">SUM(D342)</f>
        <v>30</v>
      </c>
      <c r="AA339" s="32">
        <f t="shared" si="946"/>
        <v>30</v>
      </c>
      <c r="AB339" s="33">
        <f t="shared" si="946"/>
        <v>6456.315</v>
      </c>
      <c r="AC339" s="32">
        <f t="shared" si="946"/>
        <v>2529</v>
      </c>
      <c r="AD339" s="32">
        <f t="shared" si="946"/>
        <v>0</v>
      </c>
      <c r="AE339" s="32">
        <f t="shared" si="946"/>
        <v>2529</v>
      </c>
      <c r="AF339" s="32">
        <f t="shared" si="946"/>
        <v>3001</v>
      </c>
      <c r="AG339" s="32">
        <f t="shared" si="946"/>
        <v>179</v>
      </c>
      <c r="AH339" s="32">
        <f t="shared" si="946"/>
        <v>3180</v>
      </c>
      <c r="AI339" s="32">
        <f t="shared" si="946"/>
        <v>5709</v>
      </c>
      <c r="AJ339" s="34">
        <f t="shared" si="935"/>
        <v>215.2105</v>
      </c>
      <c r="AK339" s="31">
        <v>7324.0</v>
      </c>
      <c r="AL339" s="35">
        <f t="shared" si="937"/>
        <v>0.7794920808</v>
      </c>
      <c r="AM339" s="36">
        <f>SUM(Q342)</f>
        <v>1.5</v>
      </c>
      <c r="AN339" s="35">
        <f t="shared" si="939"/>
        <v>0.5895003574</v>
      </c>
      <c r="AO339" s="37">
        <f t="shared" si="940"/>
        <v>0.8842505361</v>
      </c>
      <c r="AP339" s="36">
        <f t="shared" ref="AP339:AQ339" si="947">SUM(T342)</f>
        <v>156.6876593</v>
      </c>
      <c r="AQ339" s="36">
        <f t="shared" si="947"/>
        <v>5.222921975</v>
      </c>
      <c r="AR339" s="32">
        <f t="shared" si="942"/>
        <v>190.3</v>
      </c>
    </row>
    <row r="340" ht="15.75" customHeight="1">
      <c r="A340" s="21"/>
      <c r="B340" s="38">
        <v>12.0</v>
      </c>
      <c r="C340" s="38" t="s">
        <v>39</v>
      </c>
      <c r="D340" s="39">
        <v>28.0</v>
      </c>
      <c r="E340" s="40">
        <f>IFERROR(__xludf.DUMMYFUNCTION("COUNT(IMPORTRANGE(""https://docs.google.com/spreadsheets/d/1uaTn2DZCfr7O1PvovOd0wElzVz8kpl_iPfnrkNPp0Is/edit"",""13!d2:d29""))"),27.0)</f>
        <v>27</v>
      </c>
      <c r="F340" s="45">
        <f>IFERROR(__xludf.DUMMYFUNCTION("SUM(IMPORTRANGE(""https://docs.google.com/spreadsheets/d/1uaTn2DZCfr7O1PvovOd0wElzVz8kpl_iPfnrkNPp0Is/edit"",""13!Q2:Q29""))"),5008.154999999998)</f>
        <v>5008.155</v>
      </c>
      <c r="G340" s="40">
        <f>IFERROR(__xludf.DUMMYFUNCTION("IMPORTRANGE(""https://docs.google.com/spreadsheets/d/1uaTn2DZCfr7O1PvovOd0wElzVz8kpl_iPfnrkNPp0Is/edit"",""13!e36"")"),1306.0)</f>
        <v>1306</v>
      </c>
      <c r="H340" s="40">
        <f>IFERROR(__xludf.DUMMYFUNCTION("(IMPORTRANGE(""https://docs.google.com/spreadsheets/d/1uaTn2DZCfr7O1PvovOd0wElzVz8kpl_iPfnrkNPp0Is/edit"",""13!e37""))"),0.0)</f>
        <v>0</v>
      </c>
      <c r="I340" s="40">
        <f t="shared" si="915"/>
        <v>1306</v>
      </c>
      <c r="J340" s="40">
        <f>IFERROR(__xludf.DUMMYFUNCTION("IMPORTRANGE(""https://docs.google.com/spreadsheets/d/1uaTn2DZCfr7O1PvovOd0wElzVz8kpl_iPfnrkNPp0Is/edit"",""13!e40"")"),1513.0)</f>
        <v>1513</v>
      </c>
      <c r="K340" s="40">
        <f>IFERROR(__xludf.DUMMYFUNCTION("IMPORTRANGE(""https://docs.google.com/spreadsheets/d/1uaTn2DZCfr7O1PvovOd0wElzVz8kpl_iPfnrkNPp0Is/edit"",""13!e41"")"),348.0)</f>
        <v>348</v>
      </c>
      <c r="L340" s="40">
        <f t="shared" si="945"/>
        <v>1861</v>
      </c>
      <c r="M340" s="40">
        <f t="shared" si="917"/>
        <v>3167</v>
      </c>
      <c r="N340" s="41">
        <f t="shared" si="918"/>
        <v>185.4872222</v>
      </c>
      <c r="O340" s="38">
        <v>3569.0</v>
      </c>
      <c r="P340" s="42">
        <f t="shared" si="919"/>
        <v>0.8873634071</v>
      </c>
      <c r="Q340" s="43">
        <v>1.5</v>
      </c>
      <c r="R340" s="42">
        <f t="shared" si="920"/>
        <v>0.4215790712</v>
      </c>
      <c r="S340" s="44">
        <f t="shared" si="921"/>
        <v>0.6323686068</v>
      </c>
      <c r="T340" s="43">
        <f>F340/21.463</f>
        <v>233.339002</v>
      </c>
      <c r="U340" s="43">
        <f t="shared" si="922"/>
        <v>8.642185259</v>
      </c>
      <c r="V340" s="40">
        <f t="shared" si="923"/>
        <v>117.2962963</v>
      </c>
      <c r="X340" s="31">
        <v>5.0</v>
      </c>
      <c r="Y340" s="31" t="s">
        <v>40</v>
      </c>
      <c r="Z340" s="31">
        <f t="shared" ref="Z340:AI340" si="948">SUM(D344)</f>
        <v>30</v>
      </c>
      <c r="AA340" s="32">
        <f t="shared" si="948"/>
        <v>30</v>
      </c>
      <c r="AB340" s="33">
        <f t="shared" si="948"/>
        <v>5802.372</v>
      </c>
      <c r="AC340" s="32">
        <f t="shared" si="948"/>
        <v>3192</v>
      </c>
      <c r="AD340" s="32">
        <f t="shared" si="948"/>
        <v>100</v>
      </c>
      <c r="AE340" s="32">
        <f t="shared" si="948"/>
        <v>3292</v>
      </c>
      <c r="AF340" s="32">
        <f t="shared" si="948"/>
        <v>3779</v>
      </c>
      <c r="AG340" s="32">
        <f t="shared" si="948"/>
        <v>130</v>
      </c>
      <c r="AH340" s="32">
        <f t="shared" si="948"/>
        <v>3909</v>
      </c>
      <c r="AI340" s="32">
        <f t="shared" si="948"/>
        <v>7201</v>
      </c>
      <c r="AJ340" s="34">
        <f t="shared" si="935"/>
        <v>193.4124</v>
      </c>
      <c r="AK340" s="31">
        <f t="shared" ref="AK340:AK341" si="951">SUM(O344)</f>
        <v>8239</v>
      </c>
      <c r="AL340" s="35">
        <f t="shared" si="937"/>
        <v>0.8740138366</v>
      </c>
      <c r="AM340" s="36">
        <f t="shared" ref="AM340:AM341" si="952">SUM(Q344)</f>
        <v>1.5</v>
      </c>
      <c r="AN340" s="35">
        <f t="shared" si="939"/>
        <v>0.8273627866</v>
      </c>
      <c r="AO340" s="37">
        <f t="shared" si="940"/>
        <v>1.24104418</v>
      </c>
      <c r="AP340" s="36">
        <f t="shared" ref="AP340:AQ340" si="949">SUM(T344)</f>
        <v>204</v>
      </c>
      <c r="AQ340" s="36">
        <f t="shared" si="949"/>
        <v>6.8</v>
      </c>
      <c r="AR340" s="32">
        <f t="shared" si="942"/>
        <v>240.0333333</v>
      </c>
    </row>
    <row r="341" ht="15.75" customHeight="1">
      <c r="A341" s="21"/>
      <c r="B341" s="38">
        <v>12.0</v>
      </c>
      <c r="C341" s="38" t="s">
        <v>41</v>
      </c>
      <c r="D341" s="39">
        <v>24.0</v>
      </c>
      <c r="E341" s="40">
        <f>IFERROR(__xludf.DUMMYFUNCTION("COUNT(IMPORTRANGE(""https://docs.google.com/spreadsheets/d/1oYscvfOJW7GMkxt8QcupWuzb3ohaYePd3Mt2V2ufHok/edit"",""13!d2:d25""))"),24.0)</f>
        <v>24</v>
      </c>
      <c r="F341" s="45">
        <f>IFERROR(__xludf.DUMMYFUNCTION("SUM(IMPORTRANGE(""https://docs.google.com/spreadsheets/d/1oYscvfOJW7GMkxt8QcupWuzb3ohaYePd3Mt2V2ufHok/edit"",""13!Q2:Q25""))"),4779.984)</f>
        <v>4779.984</v>
      </c>
      <c r="G341" s="40">
        <f>IFERROR(__xludf.DUMMYFUNCTION("IMPORTRANGE(""https://docs.google.com/spreadsheets/d/1oYscvfOJW7GMkxt8QcupWuzb3ohaYePd3Mt2V2ufHok/edit"",""13!e32"")"),1237.0)</f>
        <v>1237</v>
      </c>
      <c r="H341" s="40">
        <f>IFERROR(__xludf.DUMMYFUNCTION("IMPORTRANGE(""https://docs.google.com/spreadsheets/d/1oYscvfOJW7GMkxt8QcupWuzb3ohaYePd3Mt2V2ufHok/edit"",""13!e33"")"),0.0)</f>
        <v>0</v>
      </c>
      <c r="I341" s="40">
        <f t="shared" si="915"/>
        <v>1237</v>
      </c>
      <c r="J341" s="40">
        <f>IFERROR(__xludf.DUMMYFUNCTION("IMPORTRANGE(""https://docs.google.com/spreadsheets/d/1oYscvfOJW7GMkxt8QcupWuzb3ohaYePd3Mt2V2ufHok/edit"",""13!e36"")"),1282.0)</f>
        <v>1282</v>
      </c>
      <c r="K341" s="40">
        <f>IFERROR(__xludf.DUMMYFUNCTION("IMPORTRANGE(""https://docs.google.com/spreadsheets/d/1oYscvfOJW7GMkxt8QcupWuzb3ohaYePd3Mt2V2ufHok/edit"",""13!e37"")"),393.0)</f>
        <v>393</v>
      </c>
      <c r="L341" s="40">
        <f t="shared" si="945"/>
        <v>1675</v>
      </c>
      <c r="M341" s="40">
        <f t="shared" si="917"/>
        <v>2912</v>
      </c>
      <c r="N341" s="41">
        <f t="shared" si="918"/>
        <v>199.166</v>
      </c>
      <c r="O341" s="38">
        <v>3801.0</v>
      </c>
      <c r="P341" s="42">
        <f t="shared" si="919"/>
        <v>0.7661141805</v>
      </c>
      <c r="Q341" s="43">
        <v>1.5</v>
      </c>
      <c r="R341" s="42">
        <f t="shared" si="920"/>
        <v>0.4061380401</v>
      </c>
      <c r="S341" s="44">
        <f t="shared" si="921"/>
        <v>0.6092070601</v>
      </c>
      <c r="T341" s="43">
        <f>F341/29.628</f>
        <v>161.3333333</v>
      </c>
      <c r="U341" s="43">
        <f t="shared" si="922"/>
        <v>6.722222222</v>
      </c>
      <c r="V341" s="40">
        <f t="shared" si="923"/>
        <v>121.3333333</v>
      </c>
      <c r="X341" s="22">
        <v>6.0</v>
      </c>
      <c r="Y341" s="22" t="s">
        <v>42</v>
      </c>
      <c r="Z341" s="22">
        <f t="shared" ref="Z341:AI341" si="950">SUM(D345)</f>
        <v>33</v>
      </c>
      <c r="AA341" s="23">
        <f t="shared" si="950"/>
        <v>33</v>
      </c>
      <c r="AB341" s="24">
        <f t="shared" si="950"/>
        <v>6309.51</v>
      </c>
      <c r="AC341" s="23">
        <f t="shared" si="950"/>
        <v>3226</v>
      </c>
      <c r="AD341" s="23">
        <f t="shared" si="950"/>
        <v>0</v>
      </c>
      <c r="AE341" s="23">
        <f t="shared" si="950"/>
        <v>3226</v>
      </c>
      <c r="AF341" s="23">
        <f t="shared" si="950"/>
        <v>4194</v>
      </c>
      <c r="AG341" s="23">
        <f t="shared" si="950"/>
        <v>90</v>
      </c>
      <c r="AH341" s="23">
        <f t="shared" si="950"/>
        <v>4284</v>
      </c>
      <c r="AI341" s="23">
        <f t="shared" si="950"/>
        <v>7510</v>
      </c>
      <c r="AJ341" s="25">
        <f t="shared" si="935"/>
        <v>191.1972727</v>
      </c>
      <c r="AK341" s="22">
        <f t="shared" si="951"/>
        <v>9877</v>
      </c>
      <c r="AL341" s="26">
        <f t="shared" si="937"/>
        <v>0.7603523337</v>
      </c>
      <c r="AM341" s="27">
        <f t="shared" si="952"/>
        <v>1.5</v>
      </c>
      <c r="AN341" s="26">
        <f t="shared" si="939"/>
        <v>0.7935111707</v>
      </c>
      <c r="AO341" s="28">
        <f t="shared" si="940"/>
        <v>1.190266756</v>
      </c>
      <c r="AP341" s="27">
        <f t="shared" ref="AP341:AQ341" si="953">SUM(T345)</f>
        <v>241.2353279</v>
      </c>
      <c r="AQ341" s="27">
        <f t="shared" si="953"/>
        <v>7.31016145</v>
      </c>
      <c r="AR341" s="23">
        <f t="shared" si="942"/>
        <v>227.5757576</v>
      </c>
    </row>
    <row r="342" ht="15.75" customHeight="1">
      <c r="A342" s="21"/>
      <c r="B342" s="38">
        <v>13.0</v>
      </c>
      <c r="C342" s="38" t="s">
        <v>43</v>
      </c>
      <c r="D342" s="39">
        <v>30.0</v>
      </c>
      <c r="E342" s="40">
        <f>IFERROR(__xludf.DUMMYFUNCTION("COUNT(IMPORTRANGE(""https://docs.google.com/spreadsheets/d/1AxBmuQEdOYAeRnZ4C8vO6kuTNp7X_SGhpLXuY0n4ln4/edit"",""13!d2:d31""))"),30.0)</f>
        <v>30</v>
      </c>
      <c r="F342" s="45">
        <f>IFERROR(__xludf.DUMMYFUNCTION("SUM(IMPORTRANGE(""https://docs.google.com/spreadsheets/d/1AxBmuQEdOYAeRnZ4C8vO6kuTNp7X_SGhpLXuY0n4ln4/edit"",""13!Q2:Q31""))"),6456.315)</f>
        <v>6456.315</v>
      </c>
      <c r="G342" s="40">
        <f>IFERROR(__xludf.DUMMYFUNCTION("IMPORTRANGE(""https://docs.google.com/spreadsheets/d/1AxBmuQEdOYAeRnZ4C8vO6kuTNp7X_SGhpLXuY0n4ln4/edit"",""13!e38"")"),2529.0)</f>
        <v>2529</v>
      </c>
      <c r="H342" s="40">
        <f>IFERROR(__xludf.DUMMYFUNCTION("IMPORTRANGE(""https://docs.google.com/spreadsheets/d/1AxBmuQEdOYAeRnZ4C8vO6kuTNp7X_SGhpLXuY0n4ln4/edit"",""13!e39"")"),0.0)</f>
        <v>0</v>
      </c>
      <c r="I342" s="40">
        <f t="shared" si="915"/>
        <v>2529</v>
      </c>
      <c r="J342" s="40">
        <f>IFERROR(__xludf.DUMMYFUNCTION("IMPORTRANGE(""https://docs.google.com/spreadsheets/d/1AxBmuQEdOYAeRnZ4C8vO6kuTNp7X_SGhpLXuY0n4ln4/edit"",""13!e42"")"),3001.0)</f>
        <v>3001</v>
      </c>
      <c r="K342" s="40">
        <f>IFERROR(__xludf.DUMMYFUNCTION("IMPORTRANGE(""https://docs.google.com/spreadsheets/d/1AxBmuQEdOYAeRnZ4C8vO6kuTNp7X_SGhpLXuY0n4ln4/edit"",""13!e43"")"),179.0)</f>
        <v>179</v>
      </c>
      <c r="L342" s="40">
        <f t="shared" si="945"/>
        <v>3180</v>
      </c>
      <c r="M342" s="40">
        <f t="shared" si="917"/>
        <v>5709</v>
      </c>
      <c r="N342" s="41">
        <f t="shared" si="918"/>
        <v>215.2105</v>
      </c>
      <c r="O342" s="38">
        <v>8345.0</v>
      </c>
      <c r="P342" s="42">
        <f t="shared" si="919"/>
        <v>0.6841222289</v>
      </c>
      <c r="Q342" s="43">
        <v>1.5</v>
      </c>
      <c r="R342" s="42">
        <f t="shared" si="920"/>
        <v>0.5895003574</v>
      </c>
      <c r="S342" s="44">
        <f t="shared" si="921"/>
        <v>0.8842505361</v>
      </c>
      <c r="T342" s="43">
        <f>F342/41.205</f>
        <v>156.6876593</v>
      </c>
      <c r="U342" s="43">
        <f t="shared" si="922"/>
        <v>5.222921975</v>
      </c>
      <c r="V342" s="40">
        <f t="shared" si="923"/>
        <v>190.3</v>
      </c>
      <c r="X342" s="46" t="s">
        <v>33</v>
      </c>
      <c r="Y342" s="46">
        <v>6.0</v>
      </c>
      <c r="Z342" s="46">
        <f t="shared" ref="Z342:AI342" si="954">SUM(Z336:Z341)</f>
        <v>226</v>
      </c>
      <c r="AA342" s="47">
        <f t="shared" si="954"/>
        <v>221</v>
      </c>
      <c r="AB342" s="49">
        <f t="shared" si="954"/>
        <v>43636.474</v>
      </c>
      <c r="AC342" s="47">
        <f t="shared" si="954"/>
        <v>18090</v>
      </c>
      <c r="AD342" s="47">
        <f t="shared" si="954"/>
        <v>231</v>
      </c>
      <c r="AE342" s="47">
        <f t="shared" si="954"/>
        <v>18321</v>
      </c>
      <c r="AF342" s="47">
        <f t="shared" si="954"/>
        <v>22406</v>
      </c>
      <c r="AG342" s="47">
        <f t="shared" si="954"/>
        <v>525</v>
      </c>
      <c r="AH342" s="47">
        <f t="shared" si="954"/>
        <v>22931</v>
      </c>
      <c r="AI342" s="47">
        <f t="shared" si="954"/>
        <v>41252</v>
      </c>
      <c r="AJ342" s="49">
        <f t="shared" si="935"/>
        <v>197.4501086</v>
      </c>
      <c r="AK342" s="46">
        <f>SUM(AK336:AK341)</f>
        <v>53273</v>
      </c>
      <c r="AL342" s="50">
        <f t="shared" si="937"/>
        <v>0.7743509846</v>
      </c>
      <c r="AM342" s="51">
        <v>1.5</v>
      </c>
      <c r="AN342" s="50">
        <f t="shared" si="939"/>
        <v>0.6302372949</v>
      </c>
      <c r="AO342" s="52">
        <f t="shared" si="940"/>
        <v>0.9453559424</v>
      </c>
      <c r="AP342" s="51">
        <f>SUM(AP336:AP341)</f>
        <v>1430.478198</v>
      </c>
      <c r="AQ342" s="51">
        <f>AP342/AA342</f>
        <v>6.472752028</v>
      </c>
      <c r="AR342" s="47">
        <f t="shared" si="942"/>
        <v>186.6606335</v>
      </c>
    </row>
    <row r="343" ht="15.75" customHeight="1">
      <c r="A343" s="21"/>
      <c r="B343" s="38">
        <v>14.0</v>
      </c>
      <c r="C343" s="38" t="s">
        <v>27</v>
      </c>
      <c r="D343" s="39">
        <v>30.0</v>
      </c>
      <c r="E343" s="40">
        <f>IFERROR(__xludf.DUMMYFUNCTION("COUNT(IMPORTRANGE(""https://docs.google.com/spreadsheets/d/1LsL4JuXvBtfJ-TVi4NFml9lV_pmd61b789A_nbO-QrA/edit"",""13!d2:d31""))"),29.0)</f>
        <v>29</v>
      </c>
      <c r="F343" s="45">
        <f>IFERROR(__xludf.DUMMYFUNCTION("SUM(IMPORTRANGE(""https://docs.google.com/spreadsheets/d/1LsL4JuXvBtfJ-TVi4NFml9lV_pmd61b789A_nbO-QrA/edit"",""13!Q2:Q31""))"),5425.79)</f>
        <v>5425.79</v>
      </c>
      <c r="G343" s="40">
        <f>IFERROR(__xludf.DUMMYFUNCTION("IMPORTRANGE(""https://docs.google.com/spreadsheets/d/1LsL4JuXvBtfJ-TVi4NFml9lV_pmd61b789A_nbO-QrA/edit"",""13!e38"")"),2441.0)</f>
        <v>2441</v>
      </c>
      <c r="H343" s="40">
        <f>IFERROR(__xludf.DUMMYFUNCTION("IMPORTRANGE(""https://docs.google.com/spreadsheets/d/1LsL4JuXvBtfJ-TVi4NFml9lV_pmd61b789A_nbO-QrA/edit"",""13!e39"")"),0.0)</f>
        <v>0</v>
      </c>
      <c r="I343" s="40">
        <f t="shared" si="915"/>
        <v>2441</v>
      </c>
      <c r="J343" s="40">
        <f>IFERROR(__xludf.DUMMYFUNCTION("IMPORTRANGE(""https://docs.google.com/spreadsheets/d/1LsL4JuXvBtfJ-TVi4NFml9lV_pmd61b789A_nbO-QrA/edit"",""13!e42"")"),3211.0)</f>
        <v>3211</v>
      </c>
      <c r="K343" s="40">
        <f>IFERROR(__xludf.DUMMYFUNCTION("IMPORTRANGE(""https://docs.google.com/spreadsheets/d/1LsL4JuXvBtfJ-TVi4NFml9lV_pmd61b789A_nbO-QrA/edit"",""13!e43"")"),0.0)</f>
        <v>0</v>
      </c>
      <c r="L343" s="40">
        <f t="shared" si="945"/>
        <v>3211</v>
      </c>
      <c r="M343" s="40">
        <f t="shared" si="917"/>
        <v>5652</v>
      </c>
      <c r="N343" s="41">
        <f t="shared" si="918"/>
        <v>187.0962069</v>
      </c>
      <c r="O343" s="38">
        <v>8101.0</v>
      </c>
      <c r="P343" s="42">
        <f t="shared" si="919"/>
        <v>0.697691643</v>
      </c>
      <c r="Q343" s="43">
        <v>1.5</v>
      </c>
      <c r="R343" s="42">
        <f t="shared" si="920"/>
        <v>0.6944610831</v>
      </c>
      <c r="S343" s="44">
        <f t="shared" si="921"/>
        <v>1.041691625</v>
      </c>
      <c r="T343" s="43">
        <f>F343/19.985</f>
        <v>271.4931198</v>
      </c>
      <c r="U343" s="43">
        <f t="shared" si="922"/>
        <v>9.361831719</v>
      </c>
      <c r="V343" s="40">
        <f t="shared" si="923"/>
        <v>194.8965517</v>
      </c>
      <c r="X343" s="59" t="s">
        <v>44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6"/>
    </row>
    <row r="344" ht="15.75" customHeight="1">
      <c r="A344" s="21"/>
      <c r="B344" s="38">
        <v>15.0</v>
      </c>
      <c r="C344" s="38" t="s">
        <v>40</v>
      </c>
      <c r="D344" s="39">
        <v>30.0</v>
      </c>
      <c r="E344" s="40">
        <f>IFERROR(__xludf.DUMMYFUNCTION("COUNT(IMPORTRANGE(""https://docs.google.com/spreadsheets/d/1Krav0MVlY0vbUNsFRDnb_kR72_tyuGnWBYbGjNZrl18/edit"",""13!d2:d31""))"),30.0)</f>
        <v>30</v>
      </c>
      <c r="F344" s="45">
        <f>IFERROR(__xludf.DUMMYFUNCTION("SUM(IMPORTRANGE(""https://docs.google.com/spreadsheets/d/1Krav0MVlY0vbUNsFRDnb_kR72_tyuGnWBYbGjNZrl18/edit"",""13!Q2:Q31""))"),5802.371999999998)</f>
        <v>5802.372</v>
      </c>
      <c r="G344" s="40">
        <f>IFERROR(__xludf.DUMMYFUNCTION("IMPORTRANGE(""https://docs.google.com/spreadsheets/d/1Krav0MVlY0vbUNsFRDnb_kR72_tyuGnWBYbGjNZrl18/edit"",""13!e38"")"),3192.0)</f>
        <v>3192</v>
      </c>
      <c r="H344" s="40">
        <f>IFERROR(__xludf.DUMMYFUNCTION("IMPORTRANGE(""https://docs.google.com/spreadsheets/d/1Krav0MVlY0vbUNsFRDnb_kR72_tyuGnWBYbGjNZrl18/edit"",""13!e39"")"),100.0)</f>
        <v>100</v>
      </c>
      <c r="I344" s="40">
        <f t="shared" si="915"/>
        <v>3292</v>
      </c>
      <c r="J344" s="40">
        <f>IFERROR(__xludf.DUMMYFUNCTION("IMPORTRANGE(""https://docs.google.com/spreadsheets/d/1Krav0MVlY0vbUNsFRDnb_kR72_tyuGnWBYbGjNZrl18/edit"",""13!e42"")"),3779.0)</f>
        <v>3779</v>
      </c>
      <c r="K344" s="40">
        <f>IFERROR(__xludf.DUMMYFUNCTION("IMPORTRANGE(""https://docs.google.com/spreadsheets/d/1Krav0MVlY0vbUNsFRDnb_kR72_tyuGnWBYbGjNZrl18/edit"",""13!e43"")"),130.0)</f>
        <v>130</v>
      </c>
      <c r="L344" s="40">
        <f t="shared" si="945"/>
        <v>3909</v>
      </c>
      <c r="M344" s="40">
        <f t="shared" si="917"/>
        <v>7201</v>
      </c>
      <c r="N344" s="41">
        <f t="shared" si="918"/>
        <v>193.4124</v>
      </c>
      <c r="O344" s="38">
        <v>8239.0</v>
      </c>
      <c r="P344" s="42">
        <f t="shared" si="919"/>
        <v>0.8740138366</v>
      </c>
      <c r="Q344" s="43">
        <v>1.5</v>
      </c>
      <c r="R344" s="42">
        <f t="shared" si="920"/>
        <v>0.8273627866</v>
      </c>
      <c r="S344" s="44">
        <f t="shared" si="921"/>
        <v>1.24104418</v>
      </c>
      <c r="T344" s="43">
        <f>F344/28.443</f>
        <v>204</v>
      </c>
      <c r="U344" s="43">
        <f t="shared" si="922"/>
        <v>6.8</v>
      </c>
      <c r="V344" s="40">
        <f t="shared" si="923"/>
        <v>240.0333333</v>
      </c>
      <c r="X344" s="14" t="s">
        <v>2</v>
      </c>
      <c r="Y344" s="14" t="s">
        <v>3</v>
      </c>
      <c r="Z344" s="14" t="s">
        <v>4</v>
      </c>
      <c r="AA344" s="14" t="s">
        <v>5</v>
      </c>
      <c r="AB344" s="15" t="s">
        <v>6</v>
      </c>
      <c r="AC344" s="14" t="s">
        <v>7</v>
      </c>
      <c r="AD344" s="14" t="s">
        <v>8</v>
      </c>
      <c r="AE344" s="14" t="s">
        <v>9</v>
      </c>
      <c r="AF344" s="14" t="s">
        <v>10</v>
      </c>
      <c r="AG344" s="14" t="s">
        <v>11</v>
      </c>
      <c r="AH344" s="14" t="s">
        <v>12</v>
      </c>
      <c r="AI344" s="14" t="s">
        <v>13</v>
      </c>
      <c r="AJ344" s="15" t="s">
        <v>14</v>
      </c>
      <c r="AK344" s="14" t="s">
        <v>15</v>
      </c>
      <c r="AL344" s="14" t="s">
        <v>16</v>
      </c>
      <c r="AM344" s="16" t="s">
        <v>17</v>
      </c>
      <c r="AN344" s="17" t="s">
        <v>18</v>
      </c>
      <c r="AO344" s="18" t="s">
        <v>19</v>
      </c>
      <c r="AP344" s="19" t="s">
        <v>20</v>
      </c>
      <c r="AQ344" s="19" t="s">
        <v>21</v>
      </c>
      <c r="AR344" s="20" t="s">
        <v>22</v>
      </c>
    </row>
    <row r="345" ht="15.75" customHeight="1">
      <c r="A345" s="21"/>
      <c r="B345" s="38">
        <v>16.0</v>
      </c>
      <c r="C345" s="38" t="s">
        <v>42</v>
      </c>
      <c r="D345" s="39">
        <v>33.0</v>
      </c>
      <c r="E345" s="40">
        <f>IFERROR(__xludf.DUMMYFUNCTION("COUNT(IMPORTRANGE(""https://docs.google.com/spreadsheets/d/1uXtm-E8PG0CetlFmSpTX3RK0LNEMnpR-mxbET9AGD6w/edit"",""13!d2:d34""))"),33.0)</f>
        <v>33</v>
      </c>
      <c r="F345" s="45">
        <f>IFERROR(__xludf.DUMMYFUNCTION("SUM(IMPORTRANGE(""https://docs.google.com/spreadsheets/d/1uXtm-E8PG0CetlFmSpTX3RK0LNEMnpR-mxbET9AGD6w/edit"",""13!Q2:Q34""))"),6309.5099999999975)</f>
        <v>6309.51</v>
      </c>
      <c r="G345" s="40">
        <f>IFERROR(__xludf.DUMMYFUNCTION("IMPORTRANGE(""https://docs.google.com/spreadsheets/d/1uXtm-E8PG0CetlFmSpTX3RK0LNEMnpR-mxbET9AGD6w/edit"",""13!e41"")"),3226.0)</f>
        <v>3226</v>
      </c>
      <c r="H345" s="40">
        <f>IFERROR(__xludf.DUMMYFUNCTION("IMPORTRANGE(""https://docs.google.com/spreadsheets/d/1uXtm-E8PG0CetlFmSpTX3RK0LNEMnpR-mxbET9AGD6w/edit"",""13!e42"")"),0.0)</f>
        <v>0</v>
      </c>
      <c r="I345" s="40">
        <f t="shared" si="915"/>
        <v>3226</v>
      </c>
      <c r="J345" s="40">
        <f>IFERROR(__xludf.DUMMYFUNCTION("IMPORTRANGE(""https://docs.google.com/spreadsheets/d/1uXtm-E8PG0CetlFmSpTX3RK0LNEMnpR-mxbET9AGD6w/edit"",""13!e45"")"),4194.0)</f>
        <v>4194</v>
      </c>
      <c r="K345" s="40">
        <f>IFERROR(__xludf.DUMMYFUNCTION("IMPORTRANGE(""https://docs.google.com/spreadsheets/d/1uXtm-E8PG0CetlFmSpTX3RK0LNEMnpR-mxbET9AGD6w/edit"",""13!e46"")"),90.0)</f>
        <v>90</v>
      </c>
      <c r="L345" s="40">
        <f t="shared" si="945"/>
        <v>4284</v>
      </c>
      <c r="M345" s="40">
        <f t="shared" si="917"/>
        <v>7510</v>
      </c>
      <c r="N345" s="41">
        <f t="shared" si="918"/>
        <v>191.1972727</v>
      </c>
      <c r="O345" s="38">
        <v>9877.0</v>
      </c>
      <c r="P345" s="42">
        <f t="shared" si="919"/>
        <v>0.7603523337</v>
      </c>
      <c r="Q345" s="43">
        <v>1.5</v>
      </c>
      <c r="R345" s="42">
        <f t="shared" si="920"/>
        <v>0.7935111707</v>
      </c>
      <c r="S345" s="44">
        <f t="shared" si="921"/>
        <v>1.190266756</v>
      </c>
      <c r="T345" s="43">
        <f>F345/26.155</f>
        <v>241.2353279</v>
      </c>
      <c r="U345" s="43">
        <f t="shared" si="922"/>
        <v>7.31016145</v>
      </c>
      <c r="V345" s="40">
        <f t="shared" si="923"/>
        <v>227.5757576</v>
      </c>
      <c r="X345" s="31">
        <v>1.0</v>
      </c>
      <c r="Y345" s="31" t="s">
        <v>26</v>
      </c>
      <c r="Z345" s="31">
        <f t="shared" ref="Z345:AI345" si="955">SUM(D330)</f>
        <v>20</v>
      </c>
      <c r="AA345" s="32">
        <f t="shared" si="955"/>
        <v>20</v>
      </c>
      <c r="AB345" s="34">
        <f t="shared" si="955"/>
        <v>3950.322</v>
      </c>
      <c r="AC345" s="32">
        <f t="shared" si="955"/>
        <v>2470</v>
      </c>
      <c r="AD345" s="32">
        <f t="shared" si="955"/>
        <v>0</v>
      </c>
      <c r="AE345" s="32">
        <f t="shared" si="955"/>
        <v>2470</v>
      </c>
      <c r="AF345" s="32">
        <f t="shared" si="955"/>
        <v>2513</v>
      </c>
      <c r="AG345" s="32">
        <f t="shared" si="955"/>
        <v>0</v>
      </c>
      <c r="AH345" s="32">
        <f t="shared" si="955"/>
        <v>2513</v>
      </c>
      <c r="AI345" s="32">
        <f t="shared" si="955"/>
        <v>4983</v>
      </c>
      <c r="AJ345" s="34">
        <f t="shared" ref="AJ345:AJ351" si="958">AB345/AA345</f>
        <v>197.5161</v>
      </c>
      <c r="AK345" s="31">
        <f>SUM(O330)</f>
        <v>5161</v>
      </c>
      <c r="AL345" s="35">
        <f t="shared" ref="AL345:AL351" si="959">AI345/AK345</f>
        <v>0.96551056</v>
      </c>
      <c r="AM345" s="36">
        <f>SUM(Q330)</f>
        <v>1.5</v>
      </c>
      <c r="AN345" s="35">
        <f t="shared" ref="AN345:AN351" si="960">AO345/AM345</f>
        <v>0.8409441053</v>
      </c>
      <c r="AO345" s="37">
        <f t="shared" ref="AO345:AO351" si="961">AI345/AB345</f>
        <v>1.261416158</v>
      </c>
      <c r="AP345" s="36">
        <f t="shared" ref="AP345:AQ345" si="956">SUM(T330)</f>
        <v>274.0424558</v>
      </c>
      <c r="AQ345" s="36">
        <f t="shared" si="956"/>
        <v>13.70212279</v>
      </c>
      <c r="AR345" s="32">
        <f t="shared" ref="AR345:AR351" si="963">AI345/AA345</f>
        <v>249.15</v>
      </c>
    </row>
    <row r="346" ht="15.75" customHeight="1">
      <c r="A346" s="21"/>
      <c r="B346" s="38">
        <v>17.0</v>
      </c>
      <c r="C346" s="38" t="s">
        <v>29</v>
      </c>
      <c r="D346" s="39">
        <v>30.0</v>
      </c>
      <c r="E346" s="40">
        <f>IFERROR(__xludf.DUMMYFUNCTION("COUNT(IMPORTRANGE(""https://docs.google.com/spreadsheets/d/12xcKI0lSnAsjEsxfm9K8Qx0B_89Gzsh816mowItkQao/edit"",""13!d2:d31""))"),29.0)</f>
        <v>29</v>
      </c>
      <c r="F346" s="45">
        <f>IFERROR(__xludf.DUMMYFUNCTION("SUM(IMPORTRANGE(""https://docs.google.com/spreadsheets/d/12xcKI0lSnAsjEsxfm9K8Qx0B_89Gzsh816mowItkQao/edit"",""13!Q2:Q31""))"),5806.474)</f>
        <v>5806.474</v>
      </c>
      <c r="G346" s="40">
        <f>IFERROR(__xludf.DUMMYFUNCTION("IMPORTRANGE(""https://docs.google.com/spreadsheets/d/12xcKI0lSnAsjEsxfm9K8Qx0B_89Gzsh816mowItkQao/edit"",""13!e38"")"),2946.0)</f>
        <v>2946</v>
      </c>
      <c r="H346" s="40">
        <f>IFERROR(__xludf.DUMMYFUNCTION("IMPORTRANGE(""https://docs.google.com/spreadsheets/d/12xcKI0lSnAsjEsxfm9K8Qx0B_89Gzsh816mowItkQao/edit"",""13!e39"")"),0.0)</f>
        <v>0</v>
      </c>
      <c r="I346" s="40">
        <f t="shared" si="915"/>
        <v>2946</v>
      </c>
      <c r="J346" s="40">
        <f>IFERROR(__xludf.DUMMYFUNCTION("IMPORTRANGE(""https://docs.google.com/spreadsheets/d/12xcKI0lSnAsjEsxfm9K8Qx0B_89Gzsh816mowItkQao/edit"",""13!e42"")"),3887.0)</f>
        <v>3887</v>
      </c>
      <c r="K346" s="40">
        <f>IFERROR(__xludf.DUMMYFUNCTION("IMPORTRANGE(""https://docs.google.com/spreadsheets/d/12xcKI0lSnAsjEsxfm9K8Qx0B_89Gzsh816mowItkQao/edit"",""13!e43"")"),0.0)</f>
        <v>0</v>
      </c>
      <c r="L346" s="40">
        <f t="shared" si="945"/>
        <v>3887</v>
      </c>
      <c r="M346" s="40">
        <f t="shared" si="917"/>
        <v>6833</v>
      </c>
      <c r="N346" s="41">
        <f t="shared" si="918"/>
        <v>200.2232414</v>
      </c>
      <c r="O346" s="38">
        <v>9201.0</v>
      </c>
      <c r="P346" s="42">
        <f t="shared" si="919"/>
        <v>0.7426366699</v>
      </c>
      <c r="Q346" s="43">
        <v>1.5</v>
      </c>
      <c r="R346" s="42">
        <f t="shared" si="920"/>
        <v>0.7845266048</v>
      </c>
      <c r="S346" s="44">
        <f t="shared" si="921"/>
        <v>1.176789907</v>
      </c>
      <c r="T346" s="43">
        <f>F346/26.038</f>
        <v>223</v>
      </c>
      <c r="U346" s="43">
        <f t="shared" si="922"/>
        <v>7.689655172</v>
      </c>
      <c r="V346" s="40">
        <f t="shared" si="923"/>
        <v>235.6206897</v>
      </c>
      <c r="X346" s="31">
        <v>2.0</v>
      </c>
      <c r="Y346" s="31" t="s">
        <v>32</v>
      </c>
      <c r="Z346" s="31">
        <f t="shared" ref="Z346:AI346" si="957">SUM(D333)</f>
        <v>42</v>
      </c>
      <c r="AA346" s="32">
        <f t="shared" si="957"/>
        <v>42</v>
      </c>
      <c r="AB346" s="33">
        <f t="shared" si="957"/>
        <v>8265.751</v>
      </c>
      <c r="AC346" s="31">
        <f t="shared" si="957"/>
        <v>4750</v>
      </c>
      <c r="AD346" s="31">
        <f t="shared" si="957"/>
        <v>204</v>
      </c>
      <c r="AE346" s="32">
        <f t="shared" si="957"/>
        <v>4954</v>
      </c>
      <c r="AF346" s="31">
        <f t="shared" si="957"/>
        <v>5730</v>
      </c>
      <c r="AG346" s="31">
        <f t="shared" si="957"/>
        <v>50</v>
      </c>
      <c r="AH346" s="32">
        <f t="shared" si="957"/>
        <v>5780</v>
      </c>
      <c r="AI346" s="32">
        <f t="shared" si="957"/>
        <v>10734</v>
      </c>
      <c r="AJ346" s="34">
        <f t="shared" si="958"/>
        <v>196.8035952</v>
      </c>
      <c r="AK346" s="31">
        <f>SUM(O333)</f>
        <v>13817</v>
      </c>
      <c r="AL346" s="35">
        <f t="shared" si="959"/>
        <v>0.7768690743</v>
      </c>
      <c r="AM346" s="36">
        <f>SUM(Q333)</f>
        <v>1.5</v>
      </c>
      <c r="AN346" s="35">
        <f t="shared" si="960"/>
        <v>0.8657410561</v>
      </c>
      <c r="AO346" s="37">
        <f t="shared" si="961"/>
        <v>1.298611584</v>
      </c>
      <c r="AP346" s="36">
        <f t="shared" ref="AP346:AQ346" si="962">SUM(T333)</f>
        <v>329.4571725</v>
      </c>
      <c r="AQ346" s="36">
        <f t="shared" si="962"/>
        <v>7.844218392</v>
      </c>
      <c r="AR346" s="32">
        <f t="shared" si="963"/>
        <v>255.5714286</v>
      </c>
    </row>
    <row r="347" ht="15.75" customHeight="1">
      <c r="A347" s="21"/>
      <c r="B347" s="38">
        <v>18.0</v>
      </c>
      <c r="C347" s="38" t="s">
        <v>31</v>
      </c>
      <c r="D347" s="39">
        <v>15.0</v>
      </c>
      <c r="E347" s="40">
        <f>IFERROR(__xludf.DUMMYFUNCTION("COUNT(IMPORTRANGE(""https://docs.google.com/spreadsheets/d/1fgCFOFzOla4Qim6_-zG-lbYhLCItqv_kZiAHoErRgcM/edit"",""13!d2:d16""))"),12.0)</f>
        <v>12</v>
      </c>
      <c r="F347" s="41">
        <f>IFERROR(__xludf.DUMMYFUNCTION("SUM(IMPORTRANGE(""https://docs.google.com/spreadsheets/d/1fgCFOFzOla4Qim6_-zG-lbYhLCItqv_kZiAHoErRgcM/edit"",""13!Q2:Q16""))"),2477.505)</f>
        <v>2477.505</v>
      </c>
      <c r="G347" s="40">
        <f>IFERROR(__xludf.DUMMYFUNCTION("IMPORTRANGE(""https://docs.google.com/spreadsheets/d/1fgCFOFzOla4Qim6_-zG-lbYhLCItqv_kZiAHoErRgcM/edit"",""13!e23"")"),805.0)</f>
        <v>805</v>
      </c>
      <c r="H347" s="40">
        <f>IFERROR(__xludf.DUMMYFUNCTION("IMPORTRANGE(""https://docs.google.com/spreadsheets/d/1fgCFOFzOla4Qim6_-zG-lbYhLCItqv_kZiAHoErRgcM/edit"",""13!e24"")"),7.0)</f>
        <v>7</v>
      </c>
      <c r="I347" s="40">
        <f t="shared" si="915"/>
        <v>812</v>
      </c>
      <c r="J347" s="40">
        <f>IFERROR(__xludf.DUMMYFUNCTION("IMPORTRANGE(""https://docs.google.com/spreadsheets/d/1fgCFOFzOla4Qim6_-zG-lbYhLCItqv_kZiAHoErRgcM/edit"",""13!e27"")"),1075.0)</f>
        <v>1075</v>
      </c>
      <c r="K347" s="40">
        <f>IFERROR(__xludf.DUMMYFUNCTION("IMPORTRANGE(""https://docs.google.com/spreadsheets/d/1fgCFOFzOla4Qim6_-zG-lbYhLCItqv_kZiAHoErRgcM/edit"",""13!e28"")"),0.0)</f>
        <v>0</v>
      </c>
      <c r="L347" s="40">
        <f t="shared" si="945"/>
        <v>1075</v>
      </c>
      <c r="M347" s="40">
        <f t="shared" si="917"/>
        <v>1887</v>
      </c>
      <c r="N347" s="41">
        <f t="shared" si="918"/>
        <v>206.45875</v>
      </c>
      <c r="O347" s="38">
        <v>2717.0</v>
      </c>
      <c r="P347" s="42">
        <f t="shared" si="919"/>
        <v>0.6945160103</v>
      </c>
      <c r="Q347" s="43">
        <v>1.5</v>
      </c>
      <c r="R347" s="42">
        <f t="shared" si="920"/>
        <v>0.5077689046</v>
      </c>
      <c r="S347" s="44">
        <f t="shared" si="921"/>
        <v>0.7616533569</v>
      </c>
      <c r="T347" s="43">
        <f>F347/43.465</f>
        <v>57</v>
      </c>
      <c r="U347" s="43">
        <f t="shared" si="922"/>
        <v>4.75</v>
      </c>
      <c r="V347" s="40">
        <f t="shared" si="923"/>
        <v>157.25</v>
      </c>
      <c r="X347" s="31">
        <v>3.0</v>
      </c>
      <c r="Y347" s="31" t="s">
        <v>36</v>
      </c>
      <c r="Z347" s="31">
        <f t="shared" ref="Z347:AI347" si="964">SUM(D338)</f>
        <v>24</v>
      </c>
      <c r="AA347" s="32">
        <f t="shared" si="964"/>
        <v>23</v>
      </c>
      <c r="AB347" s="33">
        <f t="shared" si="964"/>
        <v>4501.205</v>
      </c>
      <c r="AC347" s="32">
        <f t="shared" si="964"/>
        <v>1410</v>
      </c>
      <c r="AD347" s="32">
        <f t="shared" si="964"/>
        <v>0</v>
      </c>
      <c r="AE347" s="32">
        <f t="shared" si="964"/>
        <v>1410</v>
      </c>
      <c r="AF347" s="32">
        <f t="shared" si="964"/>
        <v>1917</v>
      </c>
      <c r="AG347" s="32">
        <f t="shared" si="964"/>
        <v>0</v>
      </c>
      <c r="AH347" s="32">
        <f t="shared" si="964"/>
        <v>1917</v>
      </c>
      <c r="AI347" s="32">
        <f t="shared" si="964"/>
        <v>3327</v>
      </c>
      <c r="AJ347" s="34">
        <f t="shared" si="958"/>
        <v>195.7045652</v>
      </c>
      <c r="AK347" s="31">
        <f t="shared" ref="AK347:AK350" si="968">SUM(O338)</f>
        <v>4796</v>
      </c>
      <c r="AL347" s="35">
        <f t="shared" si="959"/>
        <v>0.6937030859</v>
      </c>
      <c r="AM347" s="36">
        <f t="shared" ref="AM347:AM350" si="969">SUM(Q338)</f>
        <v>1.5</v>
      </c>
      <c r="AN347" s="35">
        <f t="shared" si="960"/>
        <v>0.4927569395</v>
      </c>
      <c r="AO347" s="37">
        <f t="shared" si="961"/>
        <v>0.7391354093</v>
      </c>
      <c r="AP347" s="36">
        <f t="shared" ref="AP347:AQ347" si="965">SUM(T338)</f>
        <v>120.3080398</v>
      </c>
      <c r="AQ347" s="36">
        <f t="shared" si="965"/>
        <v>5.230784338</v>
      </c>
      <c r="AR347" s="32">
        <f t="shared" si="963"/>
        <v>144.6521739</v>
      </c>
    </row>
    <row r="348" ht="15.75" customHeight="1">
      <c r="A348" s="21"/>
      <c r="B348" s="60" t="s">
        <v>33</v>
      </c>
      <c r="C348" s="60">
        <v>18.0</v>
      </c>
      <c r="D348" s="60">
        <f t="shared" ref="D348:M348" si="966">SUM(D330:D347)</f>
        <v>580</v>
      </c>
      <c r="E348" s="61">
        <f t="shared" si="966"/>
        <v>564</v>
      </c>
      <c r="F348" s="62">
        <f t="shared" si="966"/>
        <v>110830.611</v>
      </c>
      <c r="G348" s="61">
        <f t="shared" si="966"/>
        <v>42813</v>
      </c>
      <c r="H348" s="61">
        <f t="shared" si="966"/>
        <v>1030</v>
      </c>
      <c r="I348" s="61">
        <f t="shared" si="966"/>
        <v>43843</v>
      </c>
      <c r="J348" s="61">
        <f t="shared" si="966"/>
        <v>53898</v>
      </c>
      <c r="K348" s="61">
        <f t="shared" si="966"/>
        <v>1757</v>
      </c>
      <c r="L348" s="61">
        <f t="shared" si="966"/>
        <v>55655</v>
      </c>
      <c r="M348" s="61">
        <f t="shared" si="966"/>
        <v>99498</v>
      </c>
      <c r="N348" s="62">
        <f t="shared" si="918"/>
        <v>196.5081755</v>
      </c>
      <c r="O348" s="60">
        <f>SUM(O330:O347)</f>
        <v>126399</v>
      </c>
      <c r="P348" s="63">
        <f t="shared" si="919"/>
        <v>0.7871739492</v>
      </c>
      <c r="Q348" s="64">
        <v>1.5</v>
      </c>
      <c r="R348" s="63">
        <f t="shared" si="920"/>
        <v>0.5984989111</v>
      </c>
      <c r="S348" s="65">
        <f t="shared" si="921"/>
        <v>0.8977483666</v>
      </c>
      <c r="T348" s="64">
        <f>SUM(T330:T347)</f>
        <v>4101.326194</v>
      </c>
      <c r="U348" s="64">
        <f t="shared" si="922"/>
        <v>7.271854955</v>
      </c>
      <c r="V348" s="61">
        <f t="shared" si="923"/>
        <v>176.4148936</v>
      </c>
      <c r="X348" s="31">
        <v>4.0</v>
      </c>
      <c r="Y348" s="31" t="s">
        <v>37</v>
      </c>
      <c r="Z348" s="31">
        <f t="shared" ref="Z348:AI348" si="967">SUM(D339)</f>
        <v>30</v>
      </c>
      <c r="AA348" s="32">
        <f t="shared" si="967"/>
        <v>29</v>
      </c>
      <c r="AB348" s="33">
        <f t="shared" si="967"/>
        <v>5798.706</v>
      </c>
      <c r="AC348" s="32">
        <f t="shared" si="967"/>
        <v>2116</v>
      </c>
      <c r="AD348" s="32">
        <f t="shared" si="967"/>
        <v>28</v>
      </c>
      <c r="AE348" s="32">
        <f t="shared" si="967"/>
        <v>2144</v>
      </c>
      <c r="AF348" s="32">
        <f t="shared" si="967"/>
        <v>2912</v>
      </c>
      <c r="AG348" s="32">
        <f t="shared" si="967"/>
        <v>0</v>
      </c>
      <c r="AH348" s="32">
        <f t="shared" si="967"/>
        <v>2912</v>
      </c>
      <c r="AI348" s="32">
        <f t="shared" si="967"/>
        <v>5056</v>
      </c>
      <c r="AJ348" s="34">
        <f t="shared" si="958"/>
        <v>199.9553793</v>
      </c>
      <c r="AK348" s="31">
        <f t="shared" si="968"/>
        <v>5887</v>
      </c>
      <c r="AL348" s="35">
        <f t="shared" si="959"/>
        <v>0.8588415152</v>
      </c>
      <c r="AM348" s="36">
        <f t="shared" si="969"/>
        <v>1.5</v>
      </c>
      <c r="AN348" s="35">
        <f t="shared" si="960"/>
        <v>0.5812791107</v>
      </c>
      <c r="AO348" s="37">
        <f t="shared" si="961"/>
        <v>0.871918666</v>
      </c>
      <c r="AP348" s="36">
        <f t="shared" ref="AP348:AQ348" si="970">SUM(T339)</f>
        <v>233.8942401</v>
      </c>
      <c r="AQ348" s="36">
        <f t="shared" si="970"/>
        <v>8.065318623</v>
      </c>
      <c r="AR348" s="32">
        <f t="shared" si="963"/>
        <v>174.3448276</v>
      </c>
    </row>
    <row r="349" ht="15.7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X349" s="31">
        <v>5.0</v>
      </c>
      <c r="Y349" s="31" t="s">
        <v>39</v>
      </c>
      <c r="Z349" s="31">
        <f t="shared" ref="Z349:AI349" si="971">SUM(D340)</f>
        <v>28</v>
      </c>
      <c r="AA349" s="32">
        <f t="shared" si="971"/>
        <v>27</v>
      </c>
      <c r="AB349" s="33">
        <f t="shared" si="971"/>
        <v>5008.155</v>
      </c>
      <c r="AC349" s="32">
        <f t="shared" si="971"/>
        <v>1306</v>
      </c>
      <c r="AD349" s="32">
        <f t="shared" si="971"/>
        <v>0</v>
      </c>
      <c r="AE349" s="32">
        <f t="shared" si="971"/>
        <v>1306</v>
      </c>
      <c r="AF349" s="32">
        <f t="shared" si="971"/>
        <v>1513</v>
      </c>
      <c r="AG349" s="32">
        <f t="shared" si="971"/>
        <v>348</v>
      </c>
      <c r="AH349" s="32">
        <f t="shared" si="971"/>
        <v>1861</v>
      </c>
      <c r="AI349" s="32">
        <f t="shared" si="971"/>
        <v>3167</v>
      </c>
      <c r="AJ349" s="34">
        <f t="shared" si="958"/>
        <v>185.4872222</v>
      </c>
      <c r="AK349" s="31">
        <f t="shared" si="968"/>
        <v>3569</v>
      </c>
      <c r="AL349" s="35">
        <f t="shared" si="959"/>
        <v>0.8873634071</v>
      </c>
      <c r="AM349" s="36">
        <f t="shared" si="969"/>
        <v>1.5</v>
      </c>
      <c r="AN349" s="35">
        <f t="shared" si="960"/>
        <v>0.4215790712</v>
      </c>
      <c r="AO349" s="37">
        <f t="shared" si="961"/>
        <v>0.6323686068</v>
      </c>
      <c r="AP349" s="36">
        <f t="shared" ref="AP349:AQ349" si="972">SUM(T340)</f>
        <v>233.339002</v>
      </c>
      <c r="AQ349" s="36">
        <f t="shared" si="972"/>
        <v>8.642185259</v>
      </c>
      <c r="AR349" s="32">
        <f t="shared" si="963"/>
        <v>117.2962963</v>
      </c>
    </row>
    <row r="350" ht="15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X350" s="31">
        <v>6.0</v>
      </c>
      <c r="Y350" s="31" t="s">
        <v>41</v>
      </c>
      <c r="Z350" s="31">
        <f t="shared" ref="Z350:AI350" si="973">SUM(D341)</f>
        <v>24</v>
      </c>
      <c r="AA350" s="32">
        <f t="shared" si="973"/>
        <v>24</v>
      </c>
      <c r="AB350" s="33">
        <f t="shared" si="973"/>
        <v>4779.984</v>
      </c>
      <c r="AC350" s="32">
        <f t="shared" si="973"/>
        <v>1237</v>
      </c>
      <c r="AD350" s="32">
        <f t="shared" si="973"/>
        <v>0</v>
      </c>
      <c r="AE350" s="32">
        <f t="shared" si="973"/>
        <v>1237</v>
      </c>
      <c r="AF350" s="32">
        <f t="shared" si="973"/>
        <v>1282</v>
      </c>
      <c r="AG350" s="32">
        <f t="shared" si="973"/>
        <v>393</v>
      </c>
      <c r="AH350" s="32">
        <f t="shared" si="973"/>
        <v>1675</v>
      </c>
      <c r="AI350" s="32">
        <f t="shared" si="973"/>
        <v>2912</v>
      </c>
      <c r="AJ350" s="34">
        <f t="shared" si="958"/>
        <v>199.166</v>
      </c>
      <c r="AK350" s="31">
        <f t="shared" si="968"/>
        <v>3801</v>
      </c>
      <c r="AL350" s="35">
        <f t="shared" si="959"/>
        <v>0.7661141805</v>
      </c>
      <c r="AM350" s="36">
        <f t="shared" si="969"/>
        <v>1.5</v>
      </c>
      <c r="AN350" s="35">
        <f t="shared" si="960"/>
        <v>0.4061380401</v>
      </c>
      <c r="AO350" s="37">
        <f t="shared" si="961"/>
        <v>0.6092070601</v>
      </c>
      <c r="AP350" s="36">
        <f t="shared" ref="AP350:AQ350" si="974">SUM(T341)</f>
        <v>161.3333333</v>
      </c>
      <c r="AQ350" s="36">
        <f t="shared" si="974"/>
        <v>6.722222222</v>
      </c>
      <c r="AR350" s="32">
        <f t="shared" si="963"/>
        <v>121.3333333</v>
      </c>
    </row>
    <row r="351" ht="15.75" customHeight="1">
      <c r="A351" s="1" t="s">
        <v>45</v>
      </c>
      <c r="D351" s="2"/>
      <c r="X351" s="46" t="s">
        <v>33</v>
      </c>
      <c r="Y351" s="46">
        <v>6.0</v>
      </c>
      <c r="Z351" s="46">
        <f t="shared" ref="Z351:AI351" si="975">SUM(Z345:Z350)</f>
        <v>168</v>
      </c>
      <c r="AA351" s="47">
        <f t="shared" si="975"/>
        <v>165</v>
      </c>
      <c r="AB351" s="49">
        <f t="shared" si="975"/>
        <v>32304.123</v>
      </c>
      <c r="AC351" s="47">
        <f t="shared" si="975"/>
        <v>13289</v>
      </c>
      <c r="AD351" s="47">
        <f t="shared" si="975"/>
        <v>232</v>
      </c>
      <c r="AE351" s="47">
        <f t="shared" si="975"/>
        <v>13521</v>
      </c>
      <c r="AF351" s="47">
        <f t="shared" si="975"/>
        <v>15867</v>
      </c>
      <c r="AG351" s="47">
        <f t="shared" si="975"/>
        <v>791</v>
      </c>
      <c r="AH351" s="47">
        <f t="shared" si="975"/>
        <v>16658</v>
      </c>
      <c r="AI351" s="47">
        <f t="shared" si="975"/>
        <v>30179</v>
      </c>
      <c r="AJ351" s="49">
        <f t="shared" si="958"/>
        <v>195.7825636</v>
      </c>
      <c r="AK351" s="46">
        <f>SUM(AK345:AK350)</f>
        <v>37031</v>
      </c>
      <c r="AL351" s="50">
        <f t="shared" si="959"/>
        <v>0.8149658394</v>
      </c>
      <c r="AM351" s="51">
        <v>1.5</v>
      </c>
      <c r="AN351" s="50">
        <f t="shared" si="960"/>
        <v>0.622810077</v>
      </c>
      <c r="AO351" s="52">
        <f t="shared" si="961"/>
        <v>0.9342151155</v>
      </c>
      <c r="AP351" s="51">
        <f>SUM(AP345:AP350)</f>
        <v>1352.374243</v>
      </c>
      <c r="AQ351" s="51">
        <f>AP351/AA351</f>
        <v>8.196207536</v>
      </c>
      <c r="AR351" s="47">
        <f t="shared" si="963"/>
        <v>182.9030303</v>
      </c>
    </row>
    <row r="352" ht="15.75" customHeight="1">
      <c r="A352" s="1" t="s">
        <v>45</v>
      </c>
      <c r="D352" s="2"/>
      <c r="X352" s="66" t="s">
        <v>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6"/>
    </row>
    <row r="353" ht="15.75" customHeight="1">
      <c r="A353" s="7">
        <v>46217.0</v>
      </c>
      <c r="B353" s="8" t="s">
        <v>2</v>
      </c>
      <c r="C353" s="8" t="s">
        <v>3</v>
      </c>
      <c r="D353" s="8" t="s">
        <v>4</v>
      </c>
      <c r="E353" s="8" t="s">
        <v>5</v>
      </c>
      <c r="F353" s="9" t="s">
        <v>6</v>
      </c>
      <c r="G353" s="8" t="s">
        <v>7</v>
      </c>
      <c r="H353" s="8" t="s">
        <v>8</v>
      </c>
      <c r="I353" s="8" t="s">
        <v>9</v>
      </c>
      <c r="J353" s="8" t="s">
        <v>10</v>
      </c>
      <c r="K353" s="8" t="s">
        <v>11</v>
      </c>
      <c r="L353" s="8" t="s">
        <v>12</v>
      </c>
      <c r="M353" s="8" t="s">
        <v>13</v>
      </c>
      <c r="N353" s="9" t="s">
        <v>14</v>
      </c>
      <c r="O353" s="8" t="s">
        <v>15</v>
      </c>
      <c r="P353" s="8" t="s">
        <v>16</v>
      </c>
      <c r="Q353" s="8" t="s">
        <v>17</v>
      </c>
      <c r="R353" s="8" t="s">
        <v>18</v>
      </c>
      <c r="S353" s="11" t="s">
        <v>19</v>
      </c>
      <c r="T353" s="12" t="s">
        <v>20</v>
      </c>
      <c r="U353" s="12" t="s">
        <v>21</v>
      </c>
      <c r="V353" s="13" t="s">
        <v>22</v>
      </c>
      <c r="X353" s="14" t="s">
        <v>2</v>
      </c>
      <c r="Y353" s="14" t="s">
        <v>3</v>
      </c>
      <c r="Z353" s="14" t="s">
        <v>4</v>
      </c>
      <c r="AA353" s="14" t="s">
        <v>5</v>
      </c>
      <c r="AB353" s="15" t="s">
        <v>6</v>
      </c>
      <c r="AC353" s="14" t="s">
        <v>7</v>
      </c>
      <c r="AD353" s="14" t="s">
        <v>8</v>
      </c>
      <c r="AE353" s="14" t="s">
        <v>9</v>
      </c>
      <c r="AF353" s="14" t="s">
        <v>10</v>
      </c>
      <c r="AG353" s="14" t="s">
        <v>11</v>
      </c>
      <c r="AH353" s="14" t="s">
        <v>12</v>
      </c>
      <c r="AI353" s="14" t="s">
        <v>13</v>
      </c>
      <c r="AJ353" s="15" t="s">
        <v>14</v>
      </c>
      <c r="AK353" s="14" t="s">
        <v>15</v>
      </c>
      <c r="AL353" s="14" t="s">
        <v>16</v>
      </c>
      <c r="AM353" s="16" t="s">
        <v>17</v>
      </c>
      <c r="AN353" s="17" t="s">
        <v>18</v>
      </c>
      <c r="AO353" s="18" t="s">
        <v>19</v>
      </c>
      <c r="AP353" s="19" t="s">
        <v>20</v>
      </c>
      <c r="AQ353" s="19" t="s">
        <v>21</v>
      </c>
      <c r="AR353" s="20" t="s">
        <v>22</v>
      </c>
    </row>
    <row r="354" ht="15.7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X354" s="22">
        <v>1.0</v>
      </c>
      <c r="Y354" s="22" t="s">
        <v>23</v>
      </c>
      <c r="Z354" s="22">
        <f t="shared" ref="Z354:AI354" si="976">SUM(D362)</f>
        <v>35</v>
      </c>
      <c r="AA354" s="23">
        <f t="shared" si="976"/>
        <v>35</v>
      </c>
      <c r="AB354" s="24">
        <f t="shared" si="976"/>
        <v>6815.48</v>
      </c>
      <c r="AC354" s="23">
        <f t="shared" si="976"/>
        <v>1862</v>
      </c>
      <c r="AD354" s="23">
        <f t="shared" si="976"/>
        <v>0</v>
      </c>
      <c r="AE354" s="23">
        <f t="shared" si="976"/>
        <v>1862</v>
      </c>
      <c r="AF354" s="23">
        <f t="shared" si="976"/>
        <v>3349</v>
      </c>
      <c r="AG354" s="23">
        <f t="shared" si="976"/>
        <v>0</v>
      </c>
      <c r="AH354" s="23">
        <f t="shared" si="976"/>
        <v>3349</v>
      </c>
      <c r="AI354" s="23">
        <f t="shared" si="976"/>
        <v>5211</v>
      </c>
      <c r="AJ354" s="25">
        <f t="shared" ref="AJ354:AJ356" si="979">AB354/AA354</f>
        <v>194.728</v>
      </c>
      <c r="AK354" s="22">
        <f>SUM(O362)</f>
        <v>6853</v>
      </c>
      <c r="AL354" s="26">
        <f t="shared" ref="AL354:AL360" si="980">AI354/AK354</f>
        <v>0.7603969065</v>
      </c>
      <c r="AM354" s="27">
        <f t="shared" ref="AM354:AM356" si="981">SUM(Q362)</f>
        <v>1.5</v>
      </c>
      <c r="AN354" s="26">
        <f t="shared" ref="AN354:AN360" si="982">AO354/AM354</f>
        <v>0.5097219858</v>
      </c>
      <c r="AO354" s="28">
        <f t="shared" ref="AO354:AO360" si="983">AI354/AB354</f>
        <v>0.7645829787</v>
      </c>
      <c r="AP354" s="27">
        <f t="shared" ref="AP354:AQ354" si="977">SUM(T362)</f>
        <v>202</v>
      </c>
      <c r="AQ354" s="27">
        <f t="shared" si="977"/>
        <v>5.771428571</v>
      </c>
      <c r="AR354" s="23">
        <f t="shared" ref="AR354:AR360" si="985">AI354/AA354</f>
        <v>148.8857143</v>
      </c>
    </row>
    <row r="355" ht="15.7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X355" s="22">
        <v>2.0</v>
      </c>
      <c r="Y355" s="22" t="s">
        <v>24</v>
      </c>
      <c r="Z355" s="22">
        <f t="shared" ref="Z355:AI355" si="978">SUM(D363)</f>
        <v>44</v>
      </c>
      <c r="AA355" s="23">
        <f t="shared" si="978"/>
        <v>42</v>
      </c>
      <c r="AB355" s="24">
        <f t="shared" si="978"/>
        <v>8312.549</v>
      </c>
      <c r="AC355" s="23">
        <f t="shared" si="978"/>
        <v>1247</v>
      </c>
      <c r="AD355" s="23">
        <f t="shared" si="978"/>
        <v>0</v>
      </c>
      <c r="AE355" s="23">
        <f t="shared" si="978"/>
        <v>1247</v>
      </c>
      <c r="AF355" s="23">
        <f t="shared" si="978"/>
        <v>1306</v>
      </c>
      <c r="AG355" s="23">
        <f t="shared" si="978"/>
        <v>0</v>
      </c>
      <c r="AH355" s="23">
        <f t="shared" si="978"/>
        <v>1306</v>
      </c>
      <c r="AI355" s="23">
        <f t="shared" si="978"/>
        <v>2553</v>
      </c>
      <c r="AJ355" s="25">
        <f t="shared" si="979"/>
        <v>197.9178333</v>
      </c>
      <c r="AK355" s="22">
        <v>1580.0</v>
      </c>
      <c r="AL355" s="29">
        <f t="shared" si="980"/>
        <v>1.615822785</v>
      </c>
      <c r="AM355" s="27">
        <f t="shared" si="981"/>
        <v>1.5</v>
      </c>
      <c r="AN355" s="26">
        <f t="shared" si="982"/>
        <v>0.2047506727</v>
      </c>
      <c r="AO355" s="28">
        <f t="shared" si="983"/>
        <v>0.3071260091</v>
      </c>
      <c r="AP355" s="27">
        <f t="shared" ref="AP355:AQ355" si="984">SUM(T363)</f>
        <v>310.1118821</v>
      </c>
      <c r="AQ355" s="27">
        <f t="shared" si="984"/>
        <v>7.383616241</v>
      </c>
      <c r="AR355" s="23">
        <f t="shared" si="985"/>
        <v>60.78571429</v>
      </c>
    </row>
    <row r="356" ht="15.75" customHeight="1">
      <c r="A356" s="21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X356" s="31">
        <v>3.0</v>
      </c>
      <c r="Y356" s="31" t="s">
        <v>25</v>
      </c>
      <c r="Z356" s="31">
        <f t="shared" ref="Z356:AI356" si="986">SUM(D364)</f>
        <v>32</v>
      </c>
      <c r="AA356" s="32">
        <f t="shared" si="986"/>
        <v>32</v>
      </c>
      <c r="AB356" s="33">
        <f t="shared" si="986"/>
        <v>6046.092</v>
      </c>
      <c r="AC356" s="32">
        <f t="shared" si="986"/>
        <v>2394</v>
      </c>
      <c r="AD356" s="32">
        <f t="shared" si="986"/>
        <v>515</v>
      </c>
      <c r="AE356" s="32">
        <f t="shared" si="986"/>
        <v>2909</v>
      </c>
      <c r="AF356" s="32">
        <f t="shared" si="986"/>
        <v>2821</v>
      </c>
      <c r="AG356" s="32">
        <f t="shared" si="986"/>
        <v>541</v>
      </c>
      <c r="AH356" s="32">
        <f t="shared" si="986"/>
        <v>3362</v>
      </c>
      <c r="AI356" s="32">
        <f t="shared" si="986"/>
        <v>6271</v>
      </c>
      <c r="AJ356" s="34">
        <f t="shared" si="979"/>
        <v>188.940375</v>
      </c>
      <c r="AK356" s="31">
        <f>SUM(O364)</f>
        <v>6622</v>
      </c>
      <c r="AL356" s="35">
        <f t="shared" si="980"/>
        <v>0.9469948656</v>
      </c>
      <c r="AM356" s="36">
        <f t="shared" si="981"/>
        <v>1.5</v>
      </c>
      <c r="AN356" s="35">
        <f t="shared" si="982"/>
        <v>0.6914659365</v>
      </c>
      <c r="AO356" s="37">
        <f t="shared" si="983"/>
        <v>1.037198905</v>
      </c>
      <c r="AP356" s="36">
        <f t="shared" ref="AP356:AQ356" si="987">SUM(T364)</f>
        <v>253.6112416</v>
      </c>
      <c r="AQ356" s="36">
        <f t="shared" si="987"/>
        <v>7.9253513</v>
      </c>
      <c r="AR356" s="32">
        <f t="shared" si="985"/>
        <v>195.96875</v>
      </c>
    </row>
    <row r="357" ht="15.75" customHeight="1">
      <c r="A357" s="21"/>
      <c r="B357" s="38">
        <v>1.0</v>
      </c>
      <c r="C357" s="38" t="s">
        <v>26</v>
      </c>
      <c r="D357" s="39">
        <v>20.0</v>
      </c>
      <c r="E357" s="40">
        <f>IFERROR(__xludf.DUMMYFUNCTION("COUNT(IMPORTRANGE(""https://docs.google.com/spreadsheets/d/1z0o91thOT38lgejTE_Bd2p3v_9VCDdQRkUsMIVqpQCk/edit"",""14!d2:d21""))"),20.0)</f>
        <v>20</v>
      </c>
      <c r="F357" s="41">
        <f>IFERROR(__xludf.DUMMYFUNCTION("SUM(IMPORTRANGE(""https://docs.google.com/spreadsheets/d/1z0o91thOT38lgejTE_Bd2p3v_9VCDdQRkUsMIVqpQCk/edit"",""14!Q2:Q21""))"),3878.2470000000003)</f>
        <v>3878.247</v>
      </c>
      <c r="G357" s="40">
        <f>IFERROR(__xludf.DUMMYFUNCTION("IMPORTRANGE(""https://docs.google.com/spreadsheets/d/1z0o91thOT38lgejTE_Bd2p3v_9VCDdQRkUsMIVqpQCk/edit"",""14!e28"")"),2071.0)</f>
        <v>2071</v>
      </c>
      <c r="H357" s="40">
        <f>IFERROR(__xludf.DUMMYFUNCTION("IMPORTRANGE(""https://docs.google.com/spreadsheets/d/1z0o91thOT38lgejTE_Bd2p3v_9VCDdQRkUsMIVqpQCk/edit"",""14!e29"")"),0.0)</f>
        <v>0</v>
      </c>
      <c r="I357" s="40">
        <f t="shared" ref="I357:I374" si="990">SUM(G357:H357)</f>
        <v>2071</v>
      </c>
      <c r="J357" s="40">
        <f>IFERROR(__xludf.DUMMYFUNCTION("IMPORTRANGE(""https://docs.google.com/spreadsheets/d/1z0o91thOT38lgejTE_Bd2p3v_9VCDdQRkUsMIVqpQCk/edit"",""14!e32"")"),3050.0)</f>
        <v>3050</v>
      </c>
      <c r="K357" s="40">
        <f>IFERROR(__xludf.DUMMYFUNCTION("IMPORTRANGE(""https://docs.google.com/spreadsheets/d/1z0o91thOT38lgejTE_Bd2p3v_9VCDdQRkUsMIVqpQCk/edit"",""14!e33"")"),0.0)</f>
        <v>0</v>
      </c>
      <c r="L357" s="40">
        <f t="shared" ref="L357:L363" si="991">SUM(J357:K357)</f>
        <v>3050</v>
      </c>
      <c r="M357" s="40">
        <f t="shared" ref="M357:M374" si="992">SUM(I357+L357)</f>
        <v>5121</v>
      </c>
      <c r="N357" s="41">
        <f t="shared" ref="N357:N375" si="993">F357/E357</f>
        <v>193.91235</v>
      </c>
      <c r="O357" s="38">
        <v>5161.0</v>
      </c>
      <c r="P357" s="42">
        <f t="shared" ref="P357:P375" si="994">M357/O357</f>
        <v>0.992249564</v>
      </c>
      <c r="Q357" s="43">
        <v>1.5</v>
      </c>
      <c r="R357" s="42">
        <f t="shared" ref="R357:R375" si="995">S357/Q357</f>
        <v>0.880294628</v>
      </c>
      <c r="S357" s="44">
        <f t="shared" ref="S357:S375" si="996">M357/F357</f>
        <v>1.320441942</v>
      </c>
      <c r="T357" s="43">
        <f>F357/14.415</f>
        <v>269.0424558</v>
      </c>
      <c r="U357" s="43">
        <f t="shared" ref="U357:U375" si="997">T357/E357</f>
        <v>13.45212279</v>
      </c>
      <c r="V357" s="40">
        <f t="shared" ref="V357:V375" si="998">M357/E357</f>
        <v>256.05</v>
      </c>
      <c r="X357" s="22">
        <v>4.0</v>
      </c>
      <c r="Y357" s="22" t="s">
        <v>27</v>
      </c>
      <c r="Z357" s="22">
        <f t="shared" ref="Z357:AK357" si="988">SUM(D370)</f>
        <v>30</v>
      </c>
      <c r="AA357" s="23">
        <f t="shared" si="988"/>
        <v>29</v>
      </c>
      <c r="AB357" s="24">
        <f t="shared" si="988"/>
        <v>5345.85</v>
      </c>
      <c r="AC357" s="23">
        <f t="shared" si="988"/>
        <v>2973</v>
      </c>
      <c r="AD357" s="23">
        <f t="shared" si="988"/>
        <v>0</v>
      </c>
      <c r="AE357" s="23">
        <f t="shared" si="988"/>
        <v>2973</v>
      </c>
      <c r="AF357" s="23">
        <f t="shared" si="988"/>
        <v>2407</v>
      </c>
      <c r="AG357" s="23">
        <f t="shared" si="988"/>
        <v>0</v>
      </c>
      <c r="AH357" s="23">
        <f t="shared" si="988"/>
        <v>2407</v>
      </c>
      <c r="AI357" s="23">
        <f t="shared" si="988"/>
        <v>5380</v>
      </c>
      <c r="AJ357" s="25">
        <f t="shared" si="988"/>
        <v>184.3396552</v>
      </c>
      <c r="AK357" s="22">
        <f t="shared" si="988"/>
        <v>8101</v>
      </c>
      <c r="AL357" s="26">
        <f t="shared" si="980"/>
        <v>0.6641155413</v>
      </c>
      <c r="AM357" s="27">
        <f>SUM(Q370)</f>
        <v>1.5</v>
      </c>
      <c r="AN357" s="26">
        <f t="shared" si="982"/>
        <v>0.6709254219</v>
      </c>
      <c r="AO357" s="28">
        <f t="shared" si="983"/>
        <v>1.006388133</v>
      </c>
      <c r="AP357" s="27">
        <f t="shared" ref="AP357:AQ357" si="989">SUM(T370)</f>
        <v>267.4931198</v>
      </c>
      <c r="AQ357" s="27">
        <f t="shared" si="989"/>
        <v>9.223900684</v>
      </c>
      <c r="AR357" s="23">
        <f t="shared" si="985"/>
        <v>185.5172414</v>
      </c>
    </row>
    <row r="358" ht="15.75" customHeight="1">
      <c r="A358" s="21"/>
      <c r="B358" s="38">
        <v>2.0</v>
      </c>
      <c r="C358" s="38" t="s">
        <v>28</v>
      </c>
      <c r="D358" s="39">
        <v>33.0</v>
      </c>
      <c r="E358" s="40">
        <f>IFERROR(__xludf.DUMMYFUNCTION("COUNT(IMPORTRANGE(""https://docs.google.com/spreadsheets/d/10a85iNN0y9GF6ngQfF1JXGAzFk-T7ywH4-TZtQcOTaE/edit"",""14!d2:d34""))"),33.0)</f>
        <v>33</v>
      </c>
      <c r="F358" s="41">
        <f>IFERROR(__xludf.DUMMYFUNCTION("SUM(IMPORTRANGE(""https://docs.google.com/spreadsheets/d/10a85iNN0y9GF6ngQfF1JXGAzFk-T7ywH4-TZtQcOTaE/edit"",""14!Q2:Q34""))"),6497.936)</f>
        <v>6497.936</v>
      </c>
      <c r="G358" s="40">
        <f>IFERROR(__xludf.DUMMYFUNCTION("IMPORTRANGE(""https://docs.google.com/spreadsheets/d/10a85iNN0y9GF6ngQfF1JXGAzFk-T7ywH4-TZtQcOTaE/edit"",""14!e41"")"),2750.0)</f>
        <v>2750</v>
      </c>
      <c r="H358" s="40">
        <f>IFERROR(__xludf.DUMMYFUNCTION("IMPORTRANGE(""https://docs.google.com/spreadsheets/d/10a85iNN0y9GF6ngQfF1JXGAzFk-T7ywH4-TZtQcOTaE/edit"",""14!e42"")"),99.0)</f>
        <v>99</v>
      </c>
      <c r="I358" s="40">
        <f t="shared" si="990"/>
        <v>2849</v>
      </c>
      <c r="J358" s="40">
        <f>IFERROR(__xludf.DUMMYFUNCTION("IMPORTRANGE(""https://docs.google.com/spreadsheets/d/10a85iNN0y9GF6ngQfF1JXGAzFk-T7ywH4-TZtQcOTaE/edit"",""14!e45"")"),3035.0)</f>
        <v>3035</v>
      </c>
      <c r="K358" s="40">
        <f>IFERROR(__xludf.DUMMYFUNCTION("IMPORTRANGE(""https://docs.google.com/spreadsheets/d/10a85iNN0y9GF6ngQfF1JXGAzFk-T7ywH4-TZtQcOTaE/edit"",""14!e46"")"),143.0)</f>
        <v>143</v>
      </c>
      <c r="L358" s="40">
        <f t="shared" si="991"/>
        <v>3178</v>
      </c>
      <c r="M358" s="40">
        <f t="shared" si="992"/>
        <v>6027</v>
      </c>
      <c r="N358" s="41">
        <f t="shared" si="993"/>
        <v>196.9071515</v>
      </c>
      <c r="O358" s="38">
        <v>7315.0</v>
      </c>
      <c r="P358" s="42">
        <f t="shared" si="994"/>
        <v>0.823923445</v>
      </c>
      <c r="Q358" s="43">
        <v>1.5</v>
      </c>
      <c r="R358" s="42">
        <f t="shared" si="995"/>
        <v>0.6183501961</v>
      </c>
      <c r="S358" s="44">
        <f t="shared" si="996"/>
        <v>0.9275252942</v>
      </c>
      <c r="T358" s="43">
        <f>F358/30.897</f>
        <v>210.3096093</v>
      </c>
      <c r="U358" s="43">
        <f t="shared" si="997"/>
        <v>6.373018465</v>
      </c>
      <c r="V358" s="40">
        <f t="shared" si="998"/>
        <v>182.6363636</v>
      </c>
      <c r="X358" s="22">
        <v>5.0</v>
      </c>
      <c r="Y358" s="22" t="s">
        <v>29</v>
      </c>
      <c r="Z358" s="22">
        <f t="shared" ref="Z358:AI358" si="999">SUM(D373)</f>
        <v>30</v>
      </c>
      <c r="AA358" s="23">
        <f t="shared" si="999"/>
        <v>28</v>
      </c>
      <c r="AB358" s="24">
        <f t="shared" si="999"/>
        <v>5572.132</v>
      </c>
      <c r="AC358" s="23">
        <f t="shared" si="999"/>
        <v>2895</v>
      </c>
      <c r="AD358" s="23">
        <f t="shared" si="999"/>
        <v>0</v>
      </c>
      <c r="AE358" s="23">
        <f t="shared" si="999"/>
        <v>2895</v>
      </c>
      <c r="AF358" s="23">
        <f t="shared" si="999"/>
        <v>4023</v>
      </c>
      <c r="AG358" s="23">
        <f t="shared" si="999"/>
        <v>0</v>
      </c>
      <c r="AH358" s="23">
        <f t="shared" si="999"/>
        <v>4023</v>
      </c>
      <c r="AI358" s="23">
        <f t="shared" si="999"/>
        <v>6918</v>
      </c>
      <c r="AJ358" s="25">
        <f t="shared" ref="AJ358:AJ360" si="1002">AB358/AA358</f>
        <v>199.0047143</v>
      </c>
      <c r="AK358" s="22">
        <f t="shared" ref="AK358:AK359" si="1003">SUM(O373)</f>
        <v>9201</v>
      </c>
      <c r="AL358" s="26">
        <f t="shared" si="980"/>
        <v>0.7518747962</v>
      </c>
      <c r="AM358" s="27">
        <f t="shared" ref="AM358:AM359" si="1004">SUM(Q373)</f>
        <v>1.5</v>
      </c>
      <c r="AN358" s="26">
        <f t="shared" si="982"/>
        <v>0.8276903706</v>
      </c>
      <c r="AO358" s="28">
        <f t="shared" si="983"/>
        <v>1.241535556</v>
      </c>
      <c r="AP358" s="27">
        <f t="shared" ref="AP358:AQ358" si="1000">SUM(T373)</f>
        <v>214</v>
      </c>
      <c r="AQ358" s="27">
        <f t="shared" si="1000"/>
        <v>7.642857143</v>
      </c>
      <c r="AR358" s="23">
        <f t="shared" si="985"/>
        <v>247.0714286</v>
      </c>
    </row>
    <row r="359" ht="15.75" customHeight="1">
      <c r="A359" s="21"/>
      <c r="B359" s="38">
        <v>3.0</v>
      </c>
      <c r="C359" s="38" t="s">
        <v>30</v>
      </c>
      <c r="D359" s="39">
        <v>60.0</v>
      </c>
      <c r="E359" s="40">
        <f>IFERROR(__xludf.DUMMYFUNCTION("COUNT(IMPORTRANGE(""https://docs.google.com/spreadsheets/d/1WojVzHhpzodJL1e5UDHeu3A3u5MTSZwvxHu0BrwvL9w/edit"",""14!d2:d61""))"),57.0)</f>
        <v>57</v>
      </c>
      <c r="F359" s="45">
        <f>IFERROR(__xludf.DUMMYFUNCTION("SUM(IMPORTRANGE(""https://docs.google.com/spreadsheets/d/1WojVzHhpzodJL1e5UDHeu3A3u5MTSZwvxHu0BrwvL9w/edit"",""14!Q2:Q61""))"),11591.676999999989)</f>
        <v>11591.677</v>
      </c>
      <c r="G359" s="40">
        <f>IFERROR(__xludf.DUMMYFUNCTION("IMPORTRANGE(""https://docs.google.com/spreadsheets/d/1WojVzHhpzodJL1e5UDHeu3A3u5MTSZwvxHu0BrwvL9w/edit"",""14!e68"")"),3706.0)</f>
        <v>3706</v>
      </c>
      <c r="H359" s="40">
        <f>IFERROR(__xludf.DUMMYFUNCTION("IMPORTRANGE(""https://docs.google.com/spreadsheets/d/1WojVzHhpzodJL1e5UDHeu3A3u5MTSZwvxHu0BrwvL9w/edit"",""14!e69"")"),50.0)</f>
        <v>50</v>
      </c>
      <c r="I359" s="40">
        <f t="shared" si="990"/>
        <v>3756</v>
      </c>
      <c r="J359" s="40">
        <f>IFERROR(__xludf.DUMMYFUNCTION("IMPORTRANGE(""https://docs.google.com/spreadsheets/d/1WojVzHhpzodJL1e5UDHeu3A3u5MTSZwvxHu0BrwvL9w/edit"",""14!e72"")"),5295.0)</f>
        <v>5295</v>
      </c>
      <c r="K359" s="40">
        <f>IFERROR(__xludf.DUMMYFUNCTION("IMPORTRANGE(""https://docs.google.com/spreadsheets/d/1WojVzHhpzodJL1e5UDHeu3A3u5MTSZwvxHu0BrwvL9w/edit"",""14!e73"")"),62.0)</f>
        <v>62</v>
      </c>
      <c r="L359" s="40">
        <f t="shared" si="991"/>
        <v>5357</v>
      </c>
      <c r="M359" s="40">
        <f t="shared" si="992"/>
        <v>9113</v>
      </c>
      <c r="N359" s="41">
        <f t="shared" si="993"/>
        <v>203.3627544</v>
      </c>
      <c r="O359" s="38">
        <v>11164.0</v>
      </c>
      <c r="P359" s="42">
        <f t="shared" si="994"/>
        <v>0.8162844858</v>
      </c>
      <c r="Q359" s="43">
        <v>1.5</v>
      </c>
      <c r="R359" s="42">
        <f t="shared" si="995"/>
        <v>0.5241116823</v>
      </c>
      <c r="S359" s="44">
        <f t="shared" si="996"/>
        <v>0.7861675235</v>
      </c>
      <c r="T359" s="43">
        <f>F359/29.603</f>
        <v>391.5710232</v>
      </c>
      <c r="U359" s="43">
        <f t="shared" si="997"/>
        <v>6.869667074</v>
      </c>
      <c r="V359" s="40">
        <f t="shared" si="998"/>
        <v>159.877193</v>
      </c>
      <c r="X359" s="22">
        <v>6.0</v>
      </c>
      <c r="Y359" s="22" t="s">
        <v>31</v>
      </c>
      <c r="Z359" s="22">
        <f t="shared" ref="Z359:AI359" si="1001">SUM(D374)</f>
        <v>15</v>
      </c>
      <c r="AA359" s="23">
        <f t="shared" si="1001"/>
        <v>14</v>
      </c>
      <c r="AB359" s="25">
        <f t="shared" si="1001"/>
        <v>2651.365</v>
      </c>
      <c r="AC359" s="23">
        <f t="shared" si="1001"/>
        <v>737</v>
      </c>
      <c r="AD359" s="23">
        <f t="shared" si="1001"/>
        <v>59</v>
      </c>
      <c r="AE359" s="23">
        <f t="shared" si="1001"/>
        <v>796</v>
      </c>
      <c r="AF359" s="23">
        <f t="shared" si="1001"/>
        <v>1167</v>
      </c>
      <c r="AG359" s="23">
        <f t="shared" si="1001"/>
        <v>30</v>
      </c>
      <c r="AH359" s="23">
        <f t="shared" si="1001"/>
        <v>1197</v>
      </c>
      <c r="AI359" s="23">
        <f t="shared" si="1001"/>
        <v>1993</v>
      </c>
      <c r="AJ359" s="25">
        <f t="shared" si="1002"/>
        <v>189.3832143</v>
      </c>
      <c r="AK359" s="22">
        <f t="shared" si="1003"/>
        <v>2717</v>
      </c>
      <c r="AL359" s="26">
        <f t="shared" si="980"/>
        <v>0.7335296283</v>
      </c>
      <c r="AM359" s="27">
        <f t="shared" si="1004"/>
        <v>1.5</v>
      </c>
      <c r="AN359" s="26">
        <f t="shared" si="982"/>
        <v>0.5011255209</v>
      </c>
      <c r="AO359" s="28">
        <f t="shared" si="983"/>
        <v>0.7516882813</v>
      </c>
      <c r="AP359" s="27">
        <f t="shared" ref="AP359:AQ359" si="1005">SUM(T374)</f>
        <v>61</v>
      </c>
      <c r="AQ359" s="27">
        <f t="shared" si="1005"/>
        <v>4.357142857</v>
      </c>
      <c r="AR359" s="23">
        <f t="shared" si="985"/>
        <v>142.3571429</v>
      </c>
    </row>
    <row r="360" ht="15.75" customHeight="1">
      <c r="A360" s="21"/>
      <c r="B360" s="38">
        <v>4.0</v>
      </c>
      <c r="C360" s="38" t="s">
        <v>32</v>
      </c>
      <c r="D360" s="39">
        <v>42.0</v>
      </c>
      <c r="E360" s="40">
        <f>IFERROR(__xludf.DUMMYFUNCTION("COUNT(IMPORTRANGE(""https://docs.google.com/spreadsheets/d/1vmCj5YcMSPHj1m64syDndQ6cqVL3yolcU03Y8KHmvdc/edit"",""14!d2:d43""))"),41.0)</f>
        <v>41</v>
      </c>
      <c r="F360" s="45">
        <f>IFERROR(__xludf.DUMMYFUNCTION("SUM(IMPORTRANGE(""https://docs.google.com/spreadsheets/d/1vmCj5YcMSPHj1m64syDndQ6cqVL3yolcU03Y8KHmvdc/edit"",""14!Q2:Q43""))"),8179.01399999999)</f>
        <v>8179.014</v>
      </c>
      <c r="G360" s="38">
        <f>IFERROR(__xludf.DUMMYFUNCTION("IMPORTRANGE(""https://docs.google.com/spreadsheets/d/1vmCj5YcMSPHj1m64syDndQ6cqVL3yolcU03Y8KHmvdc/edit"",""14!e50"")"),4663.0)</f>
        <v>4663</v>
      </c>
      <c r="H360" s="38">
        <f>IFERROR(__xludf.DUMMYFUNCTION("IMPORTRANGE(""https://docs.google.com/spreadsheets/d/1vmCj5YcMSPHj1m64syDndQ6cqVL3yolcU03Y8KHmvdc/edit"",""14!e51"")"),170.0)</f>
        <v>170</v>
      </c>
      <c r="I360" s="40">
        <f t="shared" si="990"/>
        <v>4833</v>
      </c>
      <c r="J360" s="38">
        <f>IFERROR(__xludf.DUMMYFUNCTION("IMPORTRANGE(""https://docs.google.com/spreadsheets/d/1vmCj5YcMSPHj1m64syDndQ6cqVL3yolcU03Y8KHmvdc/edit"",""14!e54"")"),5127.0)</f>
        <v>5127</v>
      </c>
      <c r="K360" s="38">
        <f>IFERROR(__xludf.DUMMYFUNCTION("IMPORTRANGE(""https://docs.google.com/spreadsheets/d/1vmCj5YcMSPHj1m64syDndQ6cqVL3yolcU03Y8KHmvdc/edit"",""14!e55"")"),343.0)</f>
        <v>343</v>
      </c>
      <c r="L360" s="40">
        <f t="shared" si="991"/>
        <v>5470</v>
      </c>
      <c r="M360" s="40">
        <f t="shared" si="992"/>
        <v>10303</v>
      </c>
      <c r="N360" s="41">
        <f t="shared" si="993"/>
        <v>199.4881463</v>
      </c>
      <c r="O360" s="38">
        <v>13817.0</v>
      </c>
      <c r="P360" s="42">
        <f t="shared" si="994"/>
        <v>0.745675617</v>
      </c>
      <c r="Q360" s="43">
        <v>1.5</v>
      </c>
      <c r="R360" s="42">
        <f t="shared" si="995"/>
        <v>0.8397915283</v>
      </c>
      <c r="S360" s="44">
        <f t="shared" si="996"/>
        <v>1.259687292</v>
      </c>
      <c r="T360" s="43">
        <f>F360/25.089</f>
        <v>326</v>
      </c>
      <c r="U360" s="43">
        <f t="shared" si="997"/>
        <v>7.951219512</v>
      </c>
      <c r="V360" s="40">
        <f t="shared" si="998"/>
        <v>251.2926829</v>
      </c>
      <c r="X360" s="46" t="s">
        <v>33</v>
      </c>
      <c r="Y360" s="46">
        <v>6.0</v>
      </c>
      <c r="Z360" s="46">
        <f t="shared" ref="Z360:AI360" si="1006">SUM(Z354:Z359)</f>
        <v>186</v>
      </c>
      <c r="AA360" s="47">
        <f t="shared" si="1006"/>
        <v>180</v>
      </c>
      <c r="AB360" s="48">
        <f t="shared" si="1006"/>
        <v>34743.468</v>
      </c>
      <c r="AC360" s="47">
        <f t="shared" si="1006"/>
        <v>12108</v>
      </c>
      <c r="AD360" s="47">
        <f t="shared" si="1006"/>
        <v>574</v>
      </c>
      <c r="AE360" s="47">
        <f t="shared" si="1006"/>
        <v>12682</v>
      </c>
      <c r="AF360" s="47">
        <f t="shared" si="1006"/>
        <v>15073</v>
      </c>
      <c r="AG360" s="47">
        <f t="shared" si="1006"/>
        <v>571</v>
      </c>
      <c r="AH360" s="47">
        <f t="shared" si="1006"/>
        <v>15644</v>
      </c>
      <c r="AI360" s="47">
        <f t="shared" si="1006"/>
        <v>28326</v>
      </c>
      <c r="AJ360" s="49">
        <f t="shared" si="1002"/>
        <v>193.0192667</v>
      </c>
      <c r="AK360" s="46">
        <f>SUM(AK354:AK359)</f>
        <v>35074</v>
      </c>
      <c r="AL360" s="50">
        <f t="shared" si="980"/>
        <v>0.8076067742</v>
      </c>
      <c r="AM360" s="51">
        <v>1.5</v>
      </c>
      <c r="AN360" s="50">
        <f t="shared" si="982"/>
        <v>0.5435266278</v>
      </c>
      <c r="AO360" s="52">
        <f t="shared" si="983"/>
        <v>0.8152899417</v>
      </c>
      <c r="AP360" s="51">
        <f>SUM(AP354:AP359)</f>
        <v>1308.216244</v>
      </c>
      <c r="AQ360" s="51">
        <f>AP360/AA360</f>
        <v>7.26786802</v>
      </c>
      <c r="AR360" s="47">
        <f t="shared" si="985"/>
        <v>157.3666667</v>
      </c>
    </row>
    <row r="361" ht="15.75" customHeight="1">
      <c r="A361" s="21"/>
      <c r="B361" s="38">
        <v>5.0</v>
      </c>
      <c r="C361" s="38" t="s">
        <v>34</v>
      </c>
      <c r="D361" s="39">
        <v>40.0</v>
      </c>
      <c r="E361" s="40">
        <f>IFERROR(__xludf.DUMMYFUNCTION("COUNT(IMPORTRANGE(""https://docs.google.com/spreadsheets/d/14_Y-fpuq1wcec3DlT_1PBYekOC0YblQMrWVfO12YO3k/edit"",""14!d2:d41""))"),39.0)</f>
        <v>39</v>
      </c>
      <c r="F361" s="45">
        <f>IFERROR(__xludf.DUMMYFUNCTION("SUM(IMPORTRANGE(""https://docs.google.com/spreadsheets/d/14_Y-fpuq1wcec3DlT_1PBYekOC0YblQMrWVfO12YO3k/edit"",""14!Q2:Q41""))"),7765.671000000003)</f>
        <v>7765.671</v>
      </c>
      <c r="G361" s="40">
        <f>IFERROR(__xludf.DUMMYFUNCTION("IMPORTRANGE(""https://docs.google.com/spreadsheets/d/14_Y-fpuq1wcec3DlT_1PBYekOC0YblQMrWVfO12YO3k/edit"",""14!e48"")"),2928.0)</f>
        <v>2928</v>
      </c>
      <c r="H361" s="40">
        <f>IFERROR(__xludf.DUMMYFUNCTION("IMPORTRANGE(""https://docs.google.com/spreadsheets/d/14_Y-fpuq1wcec3DlT_1PBYekOC0YblQMrWVfO12YO3k/edit"",""14!e49"")"),0.0)</f>
        <v>0</v>
      </c>
      <c r="I361" s="40">
        <f t="shared" si="990"/>
        <v>2928</v>
      </c>
      <c r="J361" s="40">
        <f>IFERROR(__xludf.DUMMYFUNCTION("IMPORTRANGE(""https://docs.google.com/spreadsheets/d/14_Y-fpuq1wcec3DlT_1PBYekOC0YblQMrWVfO12YO3k/edit"",""14!e52"")"),3346.0)</f>
        <v>3346</v>
      </c>
      <c r="K361" s="40">
        <f>IFERROR(__xludf.DUMMYFUNCTION("IMPORTRANGE(""https://docs.google.com/spreadsheets/d/14_Y-fpuq1wcec3DlT_1PBYekOC0YblQMrWVfO12YO3k/edit"",""14!e53"")"),0.0)</f>
        <v>0</v>
      </c>
      <c r="L361" s="40">
        <f t="shared" si="991"/>
        <v>3346</v>
      </c>
      <c r="M361" s="40">
        <f t="shared" si="992"/>
        <v>6274</v>
      </c>
      <c r="N361" s="41">
        <f t="shared" si="993"/>
        <v>199.1197692</v>
      </c>
      <c r="O361" s="38">
        <v>9354.0</v>
      </c>
      <c r="P361" s="42">
        <f t="shared" si="994"/>
        <v>0.6707290999</v>
      </c>
      <c r="Q361" s="43">
        <v>1.5</v>
      </c>
      <c r="R361" s="42">
        <f t="shared" si="995"/>
        <v>0.5386098209</v>
      </c>
      <c r="S361" s="44">
        <f t="shared" si="996"/>
        <v>0.8079147314</v>
      </c>
      <c r="T361" s="43">
        <f>F361/30.713</f>
        <v>252.8463843</v>
      </c>
      <c r="U361" s="43">
        <f t="shared" si="997"/>
        <v>6.483240622</v>
      </c>
      <c r="V361" s="40">
        <f t="shared" si="998"/>
        <v>160.8717949</v>
      </c>
      <c r="X361" s="53" t="s">
        <v>35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6"/>
    </row>
    <row r="362" ht="15.75" customHeight="1">
      <c r="A362" s="21"/>
      <c r="B362" s="38">
        <v>6.0</v>
      </c>
      <c r="C362" s="38" t="s">
        <v>23</v>
      </c>
      <c r="D362" s="39">
        <v>35.0</v>
      </c>
      <c r="E362" s="40">
        <f>IFERROR(__xludf.DUMMYFUNCTION("COUNT(IMPORTRANGE(""https://docs.google.com/spreadsheets/d/1lJqjdj05V4LOXuBOiTdE65GV4ZITyx1cMLcDdcuoUnE/edit"",""14!d2:d36""))"),35.0)</f>
        <v>35</v>
      </c>
      <c r="F362" s="45">
        <f>IFERROR(__xludf.DUMMYFUNCTION("SUM(IMPORTRANGE(""https://docs.google.com/spreadsheets/d/1lJqjdj05V4LOXuBOiTdE65GV4ZITyx1cMLcDdcuoUnE/edit"",""14!Q2:Q36""))"),6815.479999999995)</f>
        <v>6815.48</v>
      </c>
      <c r="G362" s="40">
        <f>IFERROR(__xludf.DUMMYFUNCTION("IMPORTRANGE(""https://docs.google.com/spreadsheets/d/1lJqjdj05V4LOXuBOiTdE65GV4ZITyx1cMLcDdcuoUnE/edit"",""14!e43"")"),1862.0)</f>
        <v>1862</v>
      </c>
      <c r="H362" s="40">
        <f>IFERROR(__xludf.DUMMYFUNCTION("IMPORTRANGE(""https://docs.google.com/spreadsheets/d/1lJqjdj05V4LOXuBOiTdE65GV4ZITyx1cMLcDdcuoUnE/edit"",""14!e44"")"),0.0)</f>
        <v>0</v>
      </c>
      <c r="I362" s="40">
        <f t="shared" si="990"/>
        <v>1862</v>
      </c>
      <c r="J362" s="40">
        <f>IFERROR(__xludf.DUMMYFUNCTION("IMPORTRANGE(""https://docs.google.com/spreadsheets/d/1lJqjdj05V4LOXuBOiTdE65GV4ZITyx1cMLcDdcuoUnE/edit"",""14!e47"")"),3349.0)</f>
        <v>3349</v>
      </c>
      <c r="K362" s="40">
        <f>IFERROR(__xludf.DUMMYFUNCTION("IMPORTRANGE(""https://docs.google.com/spreadsheets/d/1lJqjdj05V4LOXuBOiTdE65GV4ZITyx1cMLcDdcuoUnE/edit"",""14!e48"")"),0.0)</f>
        <v>0</v>
      </c>
      <c r="L362" s="40">
        <f t="shared" si="991"/>
        <v>3349</v>
      </c>
      <c r="M362" s="40">
        <f t="shared" si="992"/>
        <v>5211</v>
      </c>
      <c r="N362" s="41">
        <f t="shared" si="993"/>
        <v>194.728</v>
      </c>
      <c r="O362" s="38">
        <v>6853.0</v>
      </c>
      <c r="P362" s="42">
        <f t="shared" si="994"/>
        <v>0.7603969065</v>
      </c>
      <c r="Q362" s="43">
        <v>1.5</v>
      </c>
      <c r="R362" s="42">
        <f t="shared" si="995"/>
        <v>0.5097219858</v>
      </c>
      <c r="S362" s="44">
        <f t="shared" si="996"/>
        <v>0.7645829787</v>
      </c>
      <c r="T362" s="43">
        <f>F362/33.74</f>
        <v>202</v>
      </c>
      <c r="U362" s="43">
        <f t="shared" si="997"/>
        <v>5.771428571</v>
      </c>
      <c r="V362" s="40">
        <f t="shared" si="998"/>
        <v>148.8857143</v>
      </c>
      <c r="X362" s="14" t="s">
        <v>2</v>
      </c>
      <c r="Y362" s="14" t="s">
        <v>3</v>
      </c>
      <c r="Z362" s="14" t="s">
        <v>4</v>
      </c>
      <c r="AA362" s="14" t="s">
        <v>5</v>
      </c>
      <c r="AB362" s="15" t="s">
        <v>6</v>
      </c>
      <c r="AC362" s="14" t="s">
        <v>7</v>
      </c>
      <c r="AD362" s="14" t="s">
        <v>8</v>
      </c>
      <c r="AE362" s="14" t="s">
        <v>9</v>
      </c>
      <c r="AF362" s="14" t="s">
        <v>10</v>
      </c>
      <c r="AG362" s="14" t="s">
        <v>11</v>
      </c>
      <c r="AH362" s="14" t="s">
        <v>12</v>
      </c>
      <c r="AI362" s="14" t="s">
        <v>13</v>
      </c>
      <c r="AJ362" s="15" t="s">
        <v>14</v>
      </c>
      <c r="AK362" s="14" t="s">
        <v>15</v>
      </c>
      <c r="AL362" s="14" t="s">
        <v>16</v>
      </c>
      <c r="AM362" s="16" t="s">
        <v>17</v>
      </c>
      <c r="AN362" s="17" t="s">
        <v>18</v>
      </c>
      <c r="AO362" s="18" t="s">
        <v>19</v>
      </c>
      <c r="AP362" s="19" t="s">
        <v>20</v>
      </c>
      <c r="AQ362" s="19" t="s">
        <v>21</v>
      </c>
      <c r="AR362" s="20" t="s">
        <v>22</v>
      </c>
    </row>
    <row r="363" ht="15.75" customHeight="1">
      <c r="A363" s="21"/>
      <c r="B363" s="38">
        <v>7.0</v>
      </c>
      <c r="C363" s="38" t="s">
        <v>24</v>
      </c>
      <c r="D363" s="39">
        <v>44.0</v>
      </c>
      <c r="E363" s="54">
        <f>IFERROR(__xludf.DUMMYFUNCTION("COUNT(IMPORTRANGE(""https://docs.google.com/spreadsheets/d/1_7EEO26q9Yq-XhNFiy7I6Zh4Yg6uGjTs9y0UqNvPKcQ/edit"",""14!d2:d45""))"),42.0)</f>
        <v>42</v>
      </c>
      <c r="F363" s="55">
        <f>IFERROR(__xludf.DUMMYFUNCTION("SUM(IMPORTRANGE(""https://docs.google.com/spreadsheets/d/1_7EEO26q9Yq-XhNFiy7I6Zh4Yg6uGjTs9y0UqNvPKcQ/edit"",""14!Q2:Q45""))"),8312.548999999995)</f>
        <v>8312.549</v>
      </c>
      <c r="G363" s="54">
        <f>IFERROR(__xludf.DUMMYFUNCTION("IMPORTRANGE(""https://docs.google.com/spreadsheets/d/1_7EEO26q9Yq-XhNFiy7I6Zh4Yg6uGjTs9y0UqNvPKcQ/edit"",""14!e53"")"),1247.0)</f>
        <v>1247</v>
      </c>
      <c r="H363" s="54">
        <f>IFERROR(__xludf.DUMMYFUNCTION("IMPORTRANGE(""https://docs.google.com/spreadsheets/d/1_7EEO26q9Yq-XhNFiy7I6Zh4Yg6uGjTs9y0UqNvPKcQ/edit"",""14!e54"")"),0.0)</f>
        <v>0</v>
      </c>
      <c r="I363" s="54">
        <f t="shared" si="990"/>
        <v>1247</v>
      </c>
      <c r="J363" s="54">
        <f>IFERROR(__xludf.DUMMYFUNCTION("IMPORTRANGE(""https://docs.google.com/spreadsheets/d/1_7EEO26q9Yq-XhNFiy7I6Zh4Yg6uGjTs9y0UqNvPKcQ/edit"",""14!e57"")"),1306.0)</f>
        <v>1306</v>
      </c>
      <c r="K363" s="54">
        <f>IFERROR(__xludf.DUMMYFUNCTION("IMPORTRANGE(""https://docs.google.com/spreadsheets/d/1_7EEO26q9Yq-XhNFiy7I6Zh4Yg6uGjTs9y0UqNvPKcQ/edit"",""14!e58"")"),0.0)</f>
        <v>0</v>
      </c>
      <c r="L363" s="40">
        <f t="shared" si="991"/>
        <v>1306</v>
      </c>
      <c r="M363" s="40">
        <f t="shared" si="992"/>
        <v>2553</v>
      </c>
      <c r="N363" s="41">
        <f t="shared" si="993"/>
        <v>197.9178333</v>
      </c>
      <c r="O363" s="38">
        <v>1580.0</v>
      </c>
      <c r="P363" s="56">
        <f t="shared" si="994"/>
        <v>1.615822785</v>
      </c>
      <c r="Q363" s="43">
        <v>1.5</v>
      </c>
      <c r="R363" s="42">
        <f t="shared" si="995"/>
        <v>0.2047506727</v>
      </c>
      <c r="S363" s="44">
        <f t="shared" si="996"/>
        <v>0.3071260091</v>
      </c>
      <c r="T363" s="43">
        <f>F363/26.805</f>
        <v>310.1118821</v>
      </c>
      <c r="U363" s="43">
        <f t="shared" si="997"/>
        <v>7.383616241</v>
      </c>
      <c r="V363" s="40">
        <f t="shared" si="998"/>
        <v>60.78571429</v>
      </c>
      <c r="X363" s="22">
        <v>1.0</v>
      </c>
      <c r="Y363" s="22" t="s">
        <v>28</v>
      </c>
      <c r="Z363" s="22">
        <f t="shared" ref="Z363:AI363" si="1007">SUM(D358)</f>
        <v>33</v>
      </c>
      <c r="AA363" s="23">
        <f t="shared" si="1007"/>
        <v>33</v>
      </c>
      <c r="AB363" s="25">
        <f t="shared" si="1007"/>
        <v>6497.936</v>
      </c>
      <c r="AC363" s="23">
        <f t="shared" si="1007"/>
        <v>2750</v>
      </c>
      <c r="AD363" s="23">
        <f t="shared" si="1007"/>
        <v>99</v>
      </c>
      <c r="AE363" s="23">
        <f t="shared" si="1007"/>
        <v>2849</v>
      </c>
      <c r="AF363" s="23">
        <f t="shared" si="1007"/>
        <v>3035</v>
      </c>
      <c r="AG363" s="23">
        <f t="shared" si="1007"/>
        <v>143</v>
      </c>
      <c r="AH363" s="23">
        <f t="shared" si="1007"/>
        <v>3178</v>
      </c>
      <c r="AI363" s="23">
        <f t="shared" si="1007"/>
        <v>6027</v>
      </c>
      <c r="AJ363" s="25">
        <f t="shared" ref="AJ363:AJ369" si="1010">AB363/AA363</f>
        <v>196.9071515</v>
      </c>
      <c r="AK363" s="22">
        <f t="shared" ref="AK363:AK364" si="1011">SUM(O358)</f>
        <v>7315</v>
      </c>
      <c r="AL363" s="26">
        <f t="shared" ref="AL363:AL369" si="1012">AI363/AK363</f>
        <v>0.823923445</v>
      </c>
      <c r="AM363" s="27">
        <f t="shared" ref="AM363:AM364" si="1013">SUM(Q358)</f>
        <v>1.5</v>
      </c>
      <c r="AN363" s="26">
        <f t="shared" ref="AN363:AN369" si="1014">AO363/AM363</f>
        <v>0.6183501961</v>
      </c>
      <c r="AO363" s="28">
        <f t="shared" ref="AO363:AO369" si="1015">AI363/AB363</f>
        <v>0.9275252942</v>
      </c>
      <c r="AP363" s="27">
        <f t="shared" ref="AP363:AQ363" si="1008">SUM(T358)</f>
        <v>210.3096093</v>
      </c>
      <c r="AQ363" s="27">
        <f t="shared" si="1008"/>
        <v>6.373018465</v>
      </c>
      <c r="AR363" s="23">
        <f t="shared" ref="AR363:AR369" si="1017">AI363/AA363</f>
        <v>182.6363636</v>
      </c>
    </row>
    <row r="364" ht="15.75" customHeight="1">
      <c r="A364" s="21"/>
      <c r="B364" s="38">
        <v>8.0</v>
      </c>
      <c r="C364" s="38" t="s">
        <v>25</v>
      </c>
      <c r="D364" s="57">
        <v>32.0</v>
      </c>
      <c r="E364" s="40">
        <f>IFERROR(__xludf.DUMMYFUNCTION("COUNT(IMPORTRANGE(""https://docs.google.com/spreadsheets/d/1vLOLpiE-XsbnCnwWPcoi87PlUSXfqIAAQn3kvqHfO6s/edit"",""14!d2:D33""))"),32.0)</f>
        <v>32</v>
      </c>
      <c r="F364" s="45">
        <f>IFERROR(__xludf.DUMMYFUNCTION("SUM(IMPORTRANGE(""https://docs.google.com/spreadsheets/d/1vLOLpiE-XsbnCnwWPcoi87PlUSXfqIAAQn3kvqHfO6s/edit"",""14!Q2:Q33""))"),6046.0920000000015)</f>
        <v>6046.092</v>
      </c>
      <c r="G364" s="40">
        <f>IFERROR(__xludf.DUMMYFUNCTION("IMPORTRANGE(""https://docs.google.com/spreadsheets/d/1vLOLpiE-XsbnCnwWPcoi87PlUSXfqIAAQn3kvqHfO6s/edit"",""14!e40"")"),2394.0)</f>
        <v>2394</v>
      </c>
      <c r="H364" s="40">
        <f>IFERROR(__xludf.DUMMYFUNCTION("IMPORTRANGE(""https://docs.google.com/spreadsheets/d/1vLOLpiE-XsbnCnwWPcoi87PlUSXfqIAAQn3kvqHfO6s/edit"",""14!e41"")"),515.0)</f>
        <v>515</v>
      </c>
      <c r="I364" s="40">
        <f t="shared" si="990"/>
        <v>2909</v>
      </c>
      <c r="J364" s="40">
        <f>IFERROR(__xludf.DUMMYFUNCTION("IMPORTRANGE(""https://docs.google.com/spreadsheets/d/1vLOLpiE-XsbnCnwWPcoi87PlUSXfqIAAQn3kvqHfO6s/edit"",""14!e44"")"),2821.0)</f>
        <v>2821</v>
      </c>
      <c r="K364" s="40">
        <f>IFERROR(__xludf.DUMMYFUNCTION("IMPORTRANGE(""https://docs.google.com/spreadsheets/d/1vLOLpiE-XsbnCnwWPcoi87PlUSXfqIAAQn3kvqHfO6s/edit"",""14!e45"")"),541.0)</f>
        <v>541</v>
      </c>
      <c r="L364" s="40">
        <f>J364+K364</f>
        <v>3362</v>
      </c>
      <c r="M364" s="40">
        <f t="shared" si="992"/>
        <v>6271</v>
      </c>
      <c r="N364" s="41">
        <f t="shared" si="993"/>
        <v>188.940375</v>
      </c>
      <c r="O364" s="38">
        <v>6622.0</v>
      </c>
      <c r="P364" s="42">
        <f t="shared" si="994"/>
        <v>0.9469948656</v>
      </c>
      <c r="Q364" s="43">
        <v>1.5</v>
      </c>
      <c r="R364" s="42">
        <f t="shared" si="995"/>
        <v>0.6914659365</v>
      </c>
      <c r="S364" s="44">
        <f t="shared" si="996"/>
        <v>1.037198905</v>
      </c>
      <c r="T364" s="43">
        <f>F364/23.84</f>
        <v>253.6112416</v>
      </c>
      <c r="U364" s="43">
        <f t="shared" si="997"/>
        <v>7.9253513</v>
      </c>
      <c r="V364" s="40">
        <f t="shared" si="998"/>
        <v>195.96875</v>
      </c>
      <c r="X364" s="31">
        <v>2.0</v>
      </c>
      <c r="Y364" s="31" t="s">
        <v>30</v>
      </c>
      <c r="Z364" s="31">
        <f t="shared" ref="Z364:AI364" si="1009">SUM(D359)</f>
        <v>60</v>
      </c>
      <c r="AA364" s="32">
        <f t="shared" si="1009"/>
        <v>57</v>
      </c>
      <c r="AB364" s="33">
        <f t="shared" si="1009"/>
        <v>11591.677</v>
      </c>
      <c r="AC364" s="32">
        <f t="shared" si="1009"/>
        <v>3706</v>
      </c>
      <c r="AD364" s="32">
        <f t="shared" si="1009"/>
        <v>50</v>
      </c>
      <c r="AE364" s="32">
        <f t="shared" si="1009"/>
        <v>3756</v>
      </c>
      <c r="AF364" s="32">
        <f t="shared" si="1009"/>
        <v>5295</v>
      </c>
      <c r="AG364" s="32">
        <f t="shared" si="1009"/>
        <v>62</v>
      </c>
      <c r="AH364" s="32">
        <f t="shared" si="1009"/>
        <v>5357</v>
      </c>
      <c r="AI364" s="32">
        <f t="shared" si="1009"/>
        <v>9113</v>
      </c>
      <c r="AJ364" s="34">
        <f t="shared" si="1010"/>
        <v>203.3627544</v>
      </c>
      <c r="AK364" s="31">
        <f t="shared" si="1011"/>
        <v>11164</v>
      </c>
      <c r="AL364" s="35">
        <f t="shared" si="1012"/>
        <v>0.8162844858</v>
      </c>
      <c r="AM364" s="36">
        <f t="shared" si="1013"/>
        <v>1.5</v>
      </c>
      <c r="AN364" s="35">
        <f t="shared" si="1014"/>
        <v>0.5241116823</v>
      </c>
      <c r="AO364" s="37">
        <f t="shared" si="1015"/>
        <v>0.7861675235</v>
      </c>
      <c r="AP364" s="36">
        <f t="shared" ref="AP364:AQ364" si="1016">SUM(T359)</f>
        <v>391.5710232</v>
      </c>
      <c r="AQ364" s="36">
        <f t="shared" si="1016"/>
        <v>6.869667074</v>
      </c>
      <c r="AR364" s="32">
        <f t="shared" si="1017"/>
        <v>159.877193</v>
      </c>
    </row>
    <row r="365" ht="15.75" customHeight="1">
      <c r="A365" s="21"/>
      <c r="B365" s="38">
        <v>9.0</v>
      </c>
      <c r="C365" s="38" t="s">
        <v>36</v>
      </c>
      <c r="D365" s="57">
        <v>24.0</v>
      </c>
      <c r="E365" s="40">
        <f>IFERROR(__xludf.DUMMYFUNCTION("COUNT(IMPORTRANGE(""https://docs.google.com/spreadsheets/d/1WJJVq25XDtGjt-J2JPxeKs3jIvDZtkIREC0lFPXwf74/edit"",""14!d2:d31""))"),23.0)</f>
        <v>23</v>
      </c>
      <c r="F365" s="45">
        <f>IFERROR(__xludf.DUMMYFUNCTION("SUM(IMPORTRANGE(""https://docs.google.com/spreadsheets/d/1WJJVq25XDtGjt-J2JPxeKs3jIvDZtkIREC0lFPXwf74/edit"",""14!Q2:Q31""))"),4593.942000000001)</f>
        <v>4593.942</v>
      </c>
      <c r="G365" s="40">
        <f>IFERROR(__xludf.DUMMYFUNCTION("IMPORTRANGE(""https://docs.google.com/spreadsheets/d/1WJJVq25XDtGjt-J2JPxeKs3jIvDZtkIREC0lFPXwf74/edit"",""14!e38"")"),1582.0)</f>
        <v>1582</v>
      </c>
      <c r="H365" s="40">
        <f>IFERROR(__xludf.DUMMYFUNCTION("IMPORTRANGE(""https://docs.google.com/spreadsheets/d/1WJJVq25XDtGjt-J2JPxeKs3jIvDZtkIREC0lFPXwf74/edit"",""14!e39"")"),0.0)</f>
        <v>0</v>
      </c>
      <c r="I365" s="40">
        <f t="shared" si="990"/>
        <v>1582</v>
      </c>
      <c r="J365" s="40">
        <f>IFERROR(__xludf.DUMMYFUNCTION("IMPORTRANGE(""https://docs.google.com/spreadsheets/d/1WJJVq25XDtGjt-J2JPxeKs3jIvDZtkIREC0lFPXwf74/edit"",""14!e42"")"),1998.0)</f>
        <v>1998</v>
      </c>
      <c r="K365" s="40">
        <f>IFERROR(__xludf.DUMMYFUNCTION("IMPORTRANGE(""https://docs.google.com/spreadsheets/d/1WJJVq25XDtGjt-J2JPxeKs3jIvDZtkIREC0lFPXwf74/edit"",""14!e43"")"),0.0)</f>
        <v>0</v>
      </c>
      <c r="L365" s="40">
        <f t="shared" ref="L365:L374" si="1020">SUM(J365:K365)</f>
        <v>1998</v>
      </c>
      <c r="M365" s="40">
        <f t="shared" si="992"/>
        <v>3580</v>
      </c>
      <c r="N365" s="41">
        <f t="shared" si="993"/>
        <v>199.7366087</v>
      </c>
      <c r="O365" s="38">
        <v>4796.0</v>
      </c>
      <c r="P365" s="42">
        <f t="shared" si="994"/>
        <v>0.7464553795</v>
      </c>
      <c r="Q365" s="43">
        <v>1.5</v>
      </c>
      <c r="R365" s="42">
        <f t="shared" si="995"/>
        <v>0.5195247712</v>
      </c>
      <c r="S365" s="44">
        <f t="shared" si="996"/>
        <v>0.7792871569</v>
      </c>
      <c r="T365" s="43">
        <f>F365/37.414</f>
        <v>122.7867109</v>
      </c>
      <c r="U365" s="43">
        <f t="shared" si="997"/>
        <v>5.338552646</v>
      </c>
      <c r="V365" s="40">
        <f t="shared" si="998"/>
        <v>155.6521739</v>
      </c>
      <c r="X365" s="22">
        <v>3.0</v>
      </c>
      <c r="Y365" s="22" t="s">
        <v>34</v>
      </c>
      <c r="Z365" s="22">
        <f t="shared" ref="Z365:AI365" si="1018">SUM(D361)</f>
        <v>40</v>
      </c>
      <c r="AA365" s="23">
        <f t="shared" si="1018"/>
        <v>39</v>
      </c>
      <c r="AB365" s="24">
        <f t="shared" si="1018"/>
        <v>7765.671</v>
      </c>
      <c r="AC365" s="23">
        <f t="shared" si="1018"/>
        <v>2928</v>
      </c>
      <c r="AD365" s="23">
        <f t="shared" si="1018"/>
        <v>0</v>
      </c>
      <c r="AE365" s="23">
        <f t="shared" si="1018"/>
        <v>2928</v>
      </c>
      <c r="AF365" s="23">
        <f t="shared" si="1018"/>
        <v>3346</v>
      </c>
      <c r="AG365" s="23">
        <f t="shared" si="1018"/>
        <v>0</v>
      </c>
      <c r="AH365" s="23">
        <f t="shared" si="1018"/>
        <v>3346</v>
      </c>
      <c r="AI365" s="23">
        <f t="shared" si="1018"/>
        <v>6274</v>
      </c>
      <c r="AJ365" s="25">
        <f t="shared" si="1010"/>
        <v>199.1197692</v>
      </c>
      <c r="AK365" s="22">
        <f>SUM(O361)</f>
        <v>9354</v>
      </c>
      <c r="AL365" s="26">
        <f t="shared" si="1012"/>
        <v>0.6707290999</v>
      </c>
      <c r="AM365" s="27">
        <f>SUM(Q361)</f>
        <v>1.5</v>
      </c>
      <c r="AN365" s="26">
        <f t="shared" si="1014"/>
        <v>0.5386098209</v>
      </c>
      <c r="AO365" s="28">
        <f t="shared" si="1015"/>
        <v>0.8079147314</v>
      </c>
      <c r="AP365" s="27">
        <f t="shared" ref="AP365:AQ365" si="1019">SUM(T361)</f>
        <v>252.8463843</v>
      </c>
      <c r="AQ365" s="27">
        <f t="shared" si="1019"/>
        <v>6.483240622</v>
      </c>
      <c r="AR365" s="23">
        <f t="shared" si="1017"/>
        <v>160.8717949</v>
      </c>
    </row>
    <row r="366" ht="15.75" customHeight="1">
      <c r="A366" s="21"/>
      <c r="B366" s="38">
        <v>10.0</v>
      </c>
      <c r="C366" s="38" t="s">
        <v>37</v>
      </c>
      <c r="D366" s="39">
        <v>30.0</v>
      </c>
      <c r="E366" s="40">
        <f>IFERROR(__xludf.DUMMYFUNCTION("COUNT(IMPORTRANGE(""https://docs.google.com/spreadsheets/d/1rJyYfywRpWJW0zvDJHLOJtqUQqffoCGaqTVxxTDgV0k/edit"",""14!d2:d31""))"),29.0)</f>
        <v>29</v>
      </c>
      <c r="F366" s="45">
        <f>IFERROR(__xludf.DUMMYFUNCTION("SUM(IMPORTRANGE(""https://docs.google.com/spreadsheets/d/1rJyYfywRpWJW0zvDJHLOJtqUQqffoCGaqTVxxTDgV0k/edit"",""14!Q2:Q31""))"),5798.705999999998)</f>
        <v>5798.706</v>
      </c>
      <c r="G366" s="40">
        <f>IFERROR(__xludf.DUMMYFUNCTION("(IMPORTRANGE(""https://docs.google.com/spreadsheets/d/1rJyYfywRpWJW0zvDJHLOJtqUQqffoCGaqTVxxTDgV0k/edit"",""14!e38""))"),2085.0)</f>
        <v>2085</v>
      </c>
      <c r="H366" s="40">
        <f>IFERROR(__xludf.DUMMYFUNCTION("(IMPORTRANGE(""https://docs.google.com/spreadsheets/d/1rJyYfywRpWJW0zvDJHLOJtqUQqffoCGaqTVxxTDgV0k/edit"",""14!e39""))"),0.0)</f>
        <v>0</v>
      </c>
      <c r="I366" s="40">
        <f t="shared" si="990"/>
        <v>2085</v>
      </c>
      <c r="J366" s="40">
        <f>IFERROR(__xludf.DUMMYFUNCTION("(IMPORTRANGE(""https://docs.google.com/spreadsheets/d/1rJyYfywRpWJW0zvDJHLOJtqUQqffoCGaqTVxxTDgV0k/edit"",""14!e42""))"),2864.0)</f>
        <v>2864</v>
      </c>
      <c r="K366" s="40">
        <f>IFERROR(__xludf.DUMMYFUNCTION("(IMPORTRANGE(""https://docs.google.com/spreadsheets/d/1rJyYfywRpWJW0zvDJHLOJtqUQqffoCGaqTVxxTDgV0k/edit"",""14!e43""))"),0.0)</f>
        <v>0</v>
      </c>
      <c r="L366" s="40">
        <f t="shared" si="1020"/>
        <v>2864</v>
      </c>
      <c r="M366" s="40">
        <f t="shared" si="992"/>
        <v>4949</v>
      </c>
      <c r="N366" s="41">
        <f t="shared" si="993"/>
        <v>199.9553793</v>
      </c>
      <c r="O366" s="38">
        <v>5887.0</v>
      </c>
      <c r="P366" s="42">
        <f t="shared" si="994"/>
        <v>0.840665874</v>
      </c>
      <c r="Q366" s="43">
        <v>1.5</v>
      </c>
      <c r="R366" s="42">
        <f t="shared" si="995"/>
        <v>0.5689775156</v>
      </c>
      <c r="S366" s="44">
        <f t="shared" si="996"/>
        <v>0.8534662733</v>
      </c>
      <c r="T366" s="43">
        <f>F366/24.792</f>
        <v>233.8942401</v>
      </c>
      <c r="U366" s="43">
        <f t="shared" si="997"/>
        <v>8.065318623</v>
      </c>
      <c r="V366" s="40">
        <f t="shared" si="998"/>
        <v>170.6551724</v>
      </c>
      <c r="X366" s="31">
        <v>4.0</v>
      </c>
      <c r="Y366" s="31" t="s">
        <v>38</v>
      </c>
      <c r="Z366" s="31">
        <f t="shared" ref="Z366:AI366" si="1021">SUM(D369)</f>
        <v>30</v>
      </c>
      <c r="AA366" s="32">
        <f t="shared" si="1021"/>
        <v>30</v>
      </c>
      <c r="AB366" s="33">
        <f t="shared" si="1021"/>
        <v>6304.365</v>
      </c>
      <c r="AC366" s="32">
        <f t="shared" si="1021"/>
        <v>2227</v>
      </c>
      <c r="AD366" s="32">
        <f t="shared" si="1021"/>
        <v>0</v>
      </c>
      <c r="AE366" s="32">
        <f t="shared" si="1021"/>
        <v>2227</v>
      </c>
      <c r="AF366" s="32">
        <f t="shared" si="1021"/>
        <v>3063</v>
      </c>
      <c r="AG366" s="32">
        <f t="shared" si="1021"/>
        <v>350</v>
      </c>
      <c r="AH366" s="32">
        <f t="shared" si="1021"/>
        <v>3413</v>
      </c>
      <c r="AI366" s="32">
        <f t="shared" si="1021"/>
        <v>5640</v>
      </c>
      <c r="AJ366" s="34">
        <f t="shared" si="1010"/>
        <v>210.1455</v>
      </c>
      <c r="AK366" s="31">
        <v>7324.0</v>
      </c>
      <c r="AL366" s="35">
        <f t="shared" si="1012"/>
        <v>0.7700709995</v>
      </c>
      <c r="AM366" s="36">
        <f>SUM(Q369)</f>
        <v>1.5</v>
      </c>
      <c r="AN366" s="35">
        <f t="shared" si="1014"/>
        <v>0.5964121684</v>
      </c>
      <c r="AO366" s="37">
        <f t="shared" si="1015"/>
        <v>0.8946182526</v>
      </c>
      <c r="AP366" s="36">
        <f t="shared" ref="AP366:AQ366" si="1022">SUM(T369)</f>
        <v>153</v>
      </c>
      <c r="AQ366" s="36">
        <f t="shared" si="1022"/>
        <v>5.1</v>
      </c>
      <c r="AR366" s="32">
        <f t="shared" si="1017"/>
        <v>188</v>
      </c>
    </row>
    <row r="367" ht="15.75" customHeight="1">
      <c r="A367" s="21"/>
      <c r="B367" s="38">
        <v>12.0</v>
      </c>
      <c r="C367" s="38" t="s">
        <v>39</v>
      </c>
      <c r="D367" s="39">
        <v>28.0</v>
      </c>
      <c r="E367" s="40">
        <f>IFERROR(__xludf.DUMMYFUNCTION("COUNT(IMPORTRANGE(""https://docs.google.com/spreadsheets/d/1uaTn2DZCfr7O1PvovOd0wElzVz8kpl_iPfnrkNPp0Is/edit"",""14!d2:d29""))"),28.0)</f>
        <v>28</v>
      </c>
      <c r="F367" s="45">
        <f>IFERROR(__xludf.DUMMYFUNCTION("SUM(IMPORTRANGE(""https://docs.google.com/spreadsheets/d/1uaTn2DZCfr7O1PvovOd0wElzVz8kpl_iPfnrkNPp0Is/edit"",""14!Q2:Q29""))"),5415.951999999999)</f>
        <v>5415.952</v>
      </c>
      <c r="G367" s="40">
        <f>IFERROR(__xludf.DUMMYFUNCTION("IMPORTRANGE(""https://docs.google.com/spreadsheets/d/1uaTn2DZCfr7O1PvovOd0wElzVz8kpl_iPfnrkNPp0Is/edit"",""14!e36"")"),1228.0)</f>
        <v>1228</v>
      </c>
      <c r="H367" s="40">
        <f>IFERROR(__xludf.DUMMYFUNCTION("(IMPORTRANGE(""https://docs.google.com/spreadsheets/d/1uaTn2DZCfr7O1PvovOd0wElzVz8kpl_iPfnrkNPp0Is/edit"",""14!e37""))"),0.0)</f>
        <v>0</v>
      </c>
      <c r="I367" s="40">
        <f t="shared" si="990"/>
        <v>1228</v>
      </c>
      <c r="J367" s="40">
        <f>IFERROR(__xludf.DUMMYFUNCTION("IMPORTRANGE(""https://docs.google.com/spreadsheets/d/1uaTn2DZCfr7O1PvovOd0wElzVz8kpl_iPfnrkNPp0Is/edit"",""14!e40"")"),1609.0)</f>
        <v>1609</v>
      </c>
      <c r="K367" s="40">
        <f>IFERROR(__xludf.DUMMYFUNCTION("IMPORTRANGE(""https://docs.google.com/spreadsheets/d/1uaTn2DZCfr7O1PvovOd0wElzVz8kpl_iPfnrkNPp0Is/edit"",""14!e41"")"),177.0)</f>
        <v>177</v>
      </c>
      <c r="L367" s="40">
        <f t="shared" si="1020"/>
        <v>1786</v>
      </c>
      <c r="M367" s="40">
        <f t="shared" si="992"/>
        <v>3014</v>
      </c>
      <c r="N367" s="41">
        <f t="shared" si="993"/>
        <v>193.4268571</v>
      </c>
      <c r="O367" s="38">
        <v>3569.0</v>
      </c>
      <c r="P367" s="42">
        <f t="shared" si="994"/>
        <v>0.8444942561</v>
      </c>
      <c r="Q367" s="43">
        <v>1.5</v>
      </c>
      <c r="R367" s="42">
        <f t="shared" si="995"/>
        <v>0.3710027957</v>
      </c>
      <c r="S367" s="44">
        <f t="shared" si="996"/>
        <v>0.5565041935</v>
      </c>
      <c r="T367" s="43">
        <f>F367/21.463</f>
        <v>252.339002</v>
      </c>
      <c r="U367" s="43">
        <f t="shared" si="997"/>
        <v>9.012107214</v>
      </c>
      <c r="V367" s="40">
        <f t="shared" si="998"/>
        <v>107.6428571</v>
      </c>
      <c r="X367" s="31">
        <v>5.0</v>
      </c>
      <c r="Y367" s="31" t="s">
        <v>40</v>
      </c>
      <c r="Z367" s="31">
        <f t="shared" ref="Z367:AI367" si="1023">SUM(D371)</f>
        <v>30</v>
      </c>
      <c r="AA367" s="32">
        <f t="shared" si="1023"/>
        <v>30</v>
      </c>
      <c r="AB367" s="33">
        <f t="shared" si="1023"/>
        <v>5916.144</v>
      </c>
      <c r="AC367" s="32">
        <f t="shared" si="1023"/>
        <v>3501</v>
      </c>
      <c r="AD367" s="32">
        <f t="shared" si="1023"/>
        <v>123</v>
      </c>
      <c r="AE367" s="32">
        <f t="shared" si="1023"/>
        <v>3624</v>
      </c>
      <c r="AF367" s="32">
        <f t="shared" si="1023"/>
        <v>3579</v>
      </c>
      <c r="AG367" s="32">
        <f t="shared" si="1023"/>
        <v>162</v>
      </c>
      <c r="AH367" s="32">
        <f t="shared" si="1023"/>
        <v>3741</v>
      </c>
      <c r="AI367" s="32">
        <f t="shared" si="1023"/>
        <v>7365</v>
      </c>
      <c r="AJ367" s="34">
        <f t="shared" si="1010"/>
        <v>197.2048</v>
      </c>
      <c r="AK367" s="31">
        <f t="shared" ref="AK367:AK368" si="1026">SUM(O371)</f>
        <v>8239</v>
      </c>
      <c r="AL367" s="35">
        <f t="shared" si="1012"/>
        <v>0.8939191649</v>
      </c>
      <c r="AM367" s="36">
        <f t="shared" ref="AM367:AM368" si="1027">SUM(Q371)</f>
        <v>1.5</v>
      </c>
      <c r="AN367" s="35">
        <f t="shared" si="1014"/>
        <v>0.8299324695</v>
      </c>
      <c r="AO367" s="37">
        <f t="shared" si="1015"/>
        <v>1.244898704</v>
      </c>
      <c r="AP367" s="36">
        <f t="shared" ref="AP367:AQ367" si="1024">SUM(T371)</f>
        <v>208</v>
      </c>
      <c r="AQ367" s="36">
        <f t="shared" si="1024"/>
        <v>6.933333333</v>
      </c>
      <c r="AR367" s="32">
        <f t="shared" si="1017"/>
        <v>245.5</v>
      </c>
    </row>
    <row r="368" ht="15.75" customHeight="1">
      <c r="A368" s="21"/>
      <c r="B368" s="38">
        <v>12.0</v>
      </c>
      <c r="C368" s="38" t="s">
        <v>41</v>
      </c>
      <c r="D368" s="39">
        <v>24.0</v>
      </c>
      <c r="E368" s="40">
        <f>IFERROR(__xludf.DUMMYFUNCTION("COUNT(IMPORTRANGE(""https://docs.google.com/spreadsheets/d/1oYscvfOJW7GMkxt8QcupWuzb3ohaYePd3Mt2V2ufHok/edit"",""14!d2:d25""))"),24.0)</f>
        <v>24</v>
      </c>
      <c r="F368" s="45">
        <f>IFERROR(__xludf.DUMMYFUNCTION("SUM(IMPORTRANGE(""https://docs.google.com/spreadsheets/d/1oYscvfOJW7GMkxt8QcupWuzb3ohaYePd3Mt2V2ufHok/edit"",""14!Q2:Q25""))"),4704.268000000001)</f>
        <v>4704.268</v>
      </c>
      <c r="G368" s="40">
        <f>IFERROR(__xludf.DUMMYFUNCTION("IMPORTRANGE(""https://docs.google.com/spreadsheets/d/1oYscvfOJW7GMkxt8QcupWuzb3ohaYePd3Mt2V2ufHok/edit"",""14!e32"")"),1336.0)</f>
        <v>1336</v>
      </c>
      <c r="H368" s="40">
        <f>IFERROR(__xludf.DUMMYFUNCTION("IMPORTRANGE(""https://docs.google.com/spreadsheets/d/1oYscvfOJW7GMkxt8QcupWuzb3ohaYePd3Mt2V2ufHok/edit"",""14!e33"")"),0.0)</f>
        <v>0</v>
      </c>
      <c r="I368" s="40">
        <f t="shared" si="990"/>
        <v>1336</v>
      </c>
      <c r="J368" s="40">
        <f>IFERROR(__xludf.DUMMYFUNCTION("IMPORTRANGE(""https://docs.google.com/spreadsheets/d/1oYscvfOJW7GMkxt8QcupWuzb3ohaYePd3Mt2V2ufHok/edit"",""14!e36"")"),1449.0)</f>
        <v>1449</v>
      </c>
      <c r="K368" s="40">
        <f>IFERROR(__xludf.DUMMYFUNCTION("IMPORTRANGE(""https://docs.google.com/spreadsheets/d/1oYscvfOJW7GMkxt8QcupWuzb3ohaYePd3Mt2V2ufHok/edit"",""14!e37"")"),840.0)</f>
        <v>840</v>
      </c>
      <c r="L368" s="40">
        <f t="shared" si="1020"/>
        <v>2289</v>
      </c>
      <c r="M368" s="40">
        <f t="shared" si="992"/>
        <v>3625</v>
      </c>
      <c r="N368" s="41">
        <f t="shared" si="993"/>
        <v>196.0111667</v>
      </c>
      <c r="O368" s="38">
        <v>3801.0</v>
      </c>
      <c r="P368" s="42">
        <f t="shared" si="994"/>
        <v>0.9536963957</v>
      </c>
      <c r="Q368" s="43">
        <v>1.5</v>
      </c>
      <c r="R368" s="42">
        <f t="shared" si="995"/>
        <v>0.5137178976</v>
      </c>
      <c r="S368" s="44">
        <f t="shared" si="996"/>
        <v>0.7705768464</v>
      </c>
      <c r="T368" s="43">
        <f>F368/29.628</f>
        <v>158.7777778</v>
      </c>
      <c r="U368" s="43">
        <f t="shared" si="997"/>
        <v>6.615740741</v>
      </c>
      <c r="V368" s="40">
        <f t="shared" si="998"/>
        <v>151.0416667</v>
      </c>
      <c r="X368" s="22">
        <v>6.0</v>
      </c>
      <c r="Y368" s="22" t="s">
        <v>42</v>
      </c>
      <c r="Z368" s="22">
        <f t="shared" ref="Z368:AI368" si="1025">SUM(D372)</f>
        <v>33</v>
      </c>
      <c r="AA368" s="23">
        <f t="shared" si="1025"/>
        <v>33</v>
      </c>
      <c r="AB368" s="24">
        <f t="shared" si="1025"/>
        <v>6458.747</v>
      </c>
      <c r="AC368" s="23">
        <f t="shared" si="1025"/>
        <v>3620</v>
      </c>
      <c r="AD368" s="23">
        <f t="shared" si="1025"/>
        <v>0</v>
      </c>
      <c r="AE368" s="23">
        <f t="shared" si="1025"/>
        <v>3620</v>
      </c>
      <c r="AF368" s="23">
        <f t="shared" si="1025"/>
        <v>3895</v>
      </c>
      <c r="AG368" s="23">
        <f t="shared" si="1025"/>
        <v>216</v>
      </c>
      <c r="AH368" s="23">
        <f t="shared" si="1025"/>
        <v>4111</v>
      </c>
      <c r="AI368" s="23">
        <f t="shared" si="1025"/>
        <v>7731</v>
      </c>
      <c r="AJ368" s="25">
        <f t="shared" si="1010"/>
        <v>195.7196061</v>
      </c>
      <c r="AK368" s="22">
        <f t="shared" si="1026"/>
        <v>9877</v>
      </c>
      <c r="AL368" s="26">
        <f t="shared" si="1012"/>
        <v>0.7827275489</v>
      </c>
      <c r="AM368" s="27">
        <f t="shared" si="1027"/>
        <v>1.5</v>
      </c>
      <c r="AN368" s="26">
        <f t="shared" si="1014"/>
        <v>0.7979875973</v>
      </c>
      <c r="AO368" s="28">
        <f t="shared" si="1015"/>
        <v>1.196981396</v>
      </c>
      <c r="AP368" s="27">
        <f t="shared" ref="AP368:AQ368" si="1028">SUM(T372)</f>
        <v>246.9411967</v>
      </c>
      <c r="AQ368" s="27">
        <f t="shared" si="1028"/>
        <v>7.483066567</v>
      </c>
      <c r="AR368" s="23">
        <f t="shared" si="1017"/>
        <v>234.2727273</v>
      </c>
    </row>
    <row r="369" ht="15.75" customHeight="1">
      <c r="A369" s="21"/>
      <c r="B369" s="38">
        <v>13.0</v>
      </c>
      <c r="C369" s="38" t="s">
        <v>43</v>
      </c>
      <c r="D369" s="39">
        <v>30.0</v>
      </c>
      <c r="E369" s="40">
        <f>IFERROR(__xludf.DUMMYFUNCTION("COUNT(IMPORTRANGE(""https://docs.google.com/spreadsheets/d/1AxBmuQEdOYAeRnZ4C8vO6kuTNp7X_SGhpLXuY0n4ln4/edit"",""14!d2:d31""))"),30.0)</f>
        <v>30</v>
      </c>
      <c r="F369" s="45">
        <f>IFERROR(__xludf.DUMMYFUNCTION("SUM(IMPORTRANGE(""https://docs.google.com/spreadsheets/d/1AxBmuQEdOYAeRnZ4C8vO6kuTNp7X_SGhpLXuY0n4ln4/edit"",""14!Q2:Q31""))"),6304.365)</f>
        <v>6304.365</v>
      </c>
      <c r="G369" s="40">
        <f>IFERROR(__xludf.DUMMYFUNCTION("IMPORTRANGE(""https://docs.google.com/spreadsheets/d/1AxBmuQEdOYAeRnZ4C8vO6kuTNp7X_SGhpLXuY0n4ln4/edit"",""14!e38"")"),2227.0)</f>
        <v>2227</v>
      </c>
      <c r="H369" s="40">
        <f>IFERROR(__xludf.DUMMYFUNCTION("IMPORTRANGE(""https://docs.google.com/spreadsheets/d/1AxBmuQEdOYAeRnZ4C8vO6kuTNp7X_SGhpLXuY0n4ln4/edit"",""14!e39"")"),0.0)</f>
        <v>0</v>
      </c>
      <c r="I369" s="40">
        <f t="shared" si="990"/>
        <v>2227</v>
      </c>
      <c r="J369" s="40">
        <f>IFERROR(__xludf.DUMMYFUNCTION("IMPORTRANGE(""https://docs.google.com/spreadsheets/d/1AxBmuQEdOYAeRnZ4C8vO6kuTNp7X_SGhpLXuY0n4ln4/edit"",""14!e42"")"),3063.0)</f>
        <v>3063</v>
      </c>
      <c r="K369" s="40">
        <f>IFERROR(__xludf.DUMMYFUNCTION("IMPORTRANGE(""https://docs.google.com/spreadsheets/d/1AxBmuQEdOYAeRnZ4C8vO6kuTNp7X_SGhpLXuY0n4ln4/edit"",""14!e43"")"),350.0)</f>
        <v>350</v>
      </c>
      <c r="L369" s="40">
        <f t="shared" si="1020"/>
        <v>3413</v>
      </c>
      <c r="M369" s="40">
        <f t="shared" si="992"/>
        <v>5640</v>
      </c>
      <c r="N369" s="41">
        <f t="shared" si="993"/>
        <v>210.1455</v>
      </c>
      <c r="O369" s="38">
        <v>8345.0</v>
      </c>
      <c r="P369" s="42">
        <f t="shared" si="994"/>
        <v>0.6758538047</v>
      </c>
      <c r="Q369" s="43">
        <v>1.5</v>
      </c>
      <c r="R369" s="42">
        <f t="shared" si="995"/>
        <v>0.5964121684</v>
      </c>
      <c r="S369" s="44">
        <f t="shared" si="996"/>
        <v>0.8946182526</v>
      </c>
      <c r="T369" s="43">
        <f>F369/41.205</f>
        <v>153</v>
      </c>
      <c r="U369" s="43">
        <f t="shared" si="997"/>
        <v>5.1</v>
      </c>
      <c r="V369" s="40">
        <f t="shared" si="998"/>
        <v>188</v>
      </c>
      <c r="X369" s="46" t="s">
        <v>33</v>
      </c>
      <c r="Y369" s="46">
        <v>6.0</v>
      </c>
      <c r="Z369" s="46">
        <f t="shared" ref="Z369:AI369" si="1029">SUM(Z363:Z368)</f>
        <v>226</v>
      </c>
      <c r="AA369" s="47">
        <f t="shared" si="1029"/>
        <v>222</v>
      </c>
      <c r="AB369" s="49">
        <f t="shared" si="1029"/>
        <v>44534.54</v>
      </c>
      <c r="AC369" s="47">
        <f t="shared" si="1029"/>
        <v>18732</v>
      </c>
      <c r="AD369" s="47">
        <f t="shared" si="1029"/>
        <v>272</v>
      </c>
      <c r="AE369" s="47">
        <f t="shared" si="1029"/>
        <v>19004</v>
      </c>
      <c r="AF369" s="47">
        <f t="shared" si="1029"/>
        <v>22213</v>
      </c>
      <c r="AG369" s="47">
        <f t="shared" si="1029"/>
        <v>933</v>
      </c>
      <c r="AH369" s="47">
        <f t="shared" si="1029"/>
        <v>23146</v>
      </c>
      <c r="AI369" s="47">
        <f t="shared" si="1029"/>
        <v>42150</v>
      </c>
      <c r="AJ369" s="49">
        <f t="shared" si="1010"/>
        <v>200.606036</v>
      </c>
      <c r="AK369" s="46">
        <f>SUM(AK363:AK368)</f>
        <v>53273</v>
      </c>
      <c r="AL369" s="50">
        <f t="shared" si="1012"/>
        <v>0.7912075535</v>
      </c>
      <c r="AM369" s="51">
        <v>1.5</v>
      </c>
      <c r="AN369" s="50">
        <f t="shared" si="1014"/>
        <v>0.6309709273</v>
      </c>
      <c r="AO369" s="52">
        <f t="shared" si="1015"/>
        <v>0.9464563909</v>
      </c>
      <c r="AP369" s="51">
        <f>SUM(AP363:AP368)</f>
        <v>1462.668214</v>
      </c>
      <c r="AQ369" s="51">
        <f>AP369/AA369</f>
        <v>6.588595556</v>
      </c>
      <c r="AR369" s="47">
        <f t="shared" si="1017"/>
        <v>189.8648649</v>
      </c>
    </row>
    <row r="370" ht="15.75" customHeight="1">
      <c r="A370" s="21"/>
      <c r="B370" s="38">
        <v>14.0</v>
      </c>
      <c r="C370" s="38" t="s">
        <v>27</v>
      </c>
      <c r="D370" s="39">
        <v>30.0</v>
      </c>
      <c r="E370" s="40">
        <f>IFERROR(__xludf.DUMMYFUNCTION("COUNT(IMPORTRANGE(""https://docs.google.com/spreadsheets/d/1LsL4JuXvBtfJ-TVi4NFml9lV_pmd61b789A_nbO-QrA/edit"",""14!d2:d31""))"),29.0)</f>
        <v>29</v>
      </c>
      <c r="F370" s="45">
        <f>IFERROR(__xludf.DUMMYFUNCTION("SUM(IMPORTRANGE(""https://docs.google.com/spreadsheets/d/1LsL4JuXvBtfJ-TVi4NFml9lV_pmd61b789A_nbO-QrA/edit"",""14!Q2:Q31""))"),5345.849999999999)</f>
        <v>5345.85</v>
      </c>
      <c r="G370" s="40">
        <f>IFERROR(__xludf.DUMMYFUNCTION("IMPORTRANGE(""https://docs.google.com/spreadsheets/d/1LsL4JuXvBtfJ-TVi4NFml9lV_pmd61b789A_nbO-QrA/edit"",""14!e38"")"),2973.0)</f>
        <v>2973</v>
      </c>
      <c r="H370" s="40">
        <f>IFERROR(__xludf.DUMMYFUNCTION("IMPORTRANGE(""https://docs.google.com/spreadsheets/d/1LsL4JuXvBtfJ-TVi4NFml9lV_pmd61b789A_nbO-QrA/edit"",""14!e39"")"),0.0)</f>
        <v>0</v>
      </c>
      <c r="I370" s="40">
        <f t="shared" si="990"/>
        <v>2973</v>
      </c>
      <c r="J370" s="40">
        <f>IFERROR(__xludf.DUMMYFUNCTION("IMPORTRANGE(""https://docs.google.com/spreadsheets/d/1LsL4JuXvBtfJ-TVi4NFml9lV_pmd61b789A_nbO-QrA/edit"",""14!e42"")"),2407.0)</f>
        <v>2407</v>
      </c>
      <c r="K370" s="40">
        <f>IFERROR(__xludf.DUMMYFUNCTION("IMPORTRANGE(""https://docs.google.com/spreadsheets/d/1LsL4JuXvBtfJ-TVi4NFml9lV_pmd61b789A_nbO-QrA/edit"",""14!e43"")"),0.0)</f>
        <v>0</v>
      </c>
      <c r="L370" s="40">
        <f t="shared" si="1020"/>
        <v>2407</v>
      </c>
      <c r="M370" s="40">
        <f t="shared" si="992"/>
        <v>5380</v>
      </c>
      <c r="N370" s="41">
        <f t="shared" si="993"/>
        <v>184.3396552</v>
      </c>
      <c r="O370" s="38">
        <v>8101.0</v>
      </c>
      <c r="P370" s="42">
        <f t="shared" si="994"/>
        <v>0.6641155413</v>
      </c>
      <c r="Q370" s="43">
        <v>1.5</v>
      </c>
      <c r="R370" s="42">
        <f t="shared" si="995"/>
        <v>0.6709254219</v>
      </c>
      <c r="S370" s="44">
        <f t="shared" si="996"/>
        <v>1.006388133</v>
      </c>
      <c r="T370" s="43">
        <f>F370/19.985</f>
        <v>267.4931198</v>
      </c>
      <c r="U370" s="43">
        <f t="shared" si="997"/>
        <v>9.223900684</v>
      </c>
      <c r="V370" s="40">
        <f t="shared" si="998"/>
        <v>185.5172414</v>
      </c>
      <c r="X370" s="59" t="s">
        <v>44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6"/>
    </row>
    <row r="371" ht="15.75" customHeight="1">
      <c r="A371" s="21"/>
      <c r="B371" s="38">
        <v>15.0</v>
      </c>
      <c r="C371" s="38" t="s">
        <v>40</v>
      </c>
      <c r="D371" s="39">
        <v>30.0</v>
      </c>
      <c r="E371" s="40">
        <f>IFERROR(__xludf.DUMMYFUNCTION("COUNT(IMPORTRANGE(""https://docs.google.com/spreadsheets/d/1Krav0MVlY0vbUNsFRDnb_kR72_tyuGnWBYbGjNZrl18/edit"",""14!d2:d31""))"),30.0)</f>
        <v>30</v>
      </c>
      <c r="F371" s="45">
        <f>IFERROR(__xludf.DUMMYFUNCTION("SUM(IMPORTRANGE(""https://docs.google.com/spreadsheets/d/1Krav0MVlY0vbUNsFRDnb_kR72_tyuGnWBYbGjNZrl18/edit"",""14!Q2:Q31""))"),5916.143999999999)</f>
        <v>5916.144</v>
      </c>
      <c r="G371" s="40">
        <f>IFERROR(__xludf.DUMMYFUNCTION("IMPORTRANGE(""https://docs.google.com/spreadsheets/d/1Krav0MVlY0vbUNsFRDnb_kR72_tyuGnWBYbGjNZrl18/edit"",""14!e38"")"),3501.0)</f>
        <v>3501</v>
      </c>
      <c r="H371" s="40">
        <f>IFERROR(__xludf.DUMMYFUNCTION("IMPORTRANGE(""https://docs.google.com/spreadsheets/d/1Krav0MVlY0vbUNsFRDnb_kR72_tyuGnWBYbGjNZrl18/edit"",""14!e39"")"),123.0)</f>
        <v>123</v>
      </c>
      <c r="I371" s="40">
        <f t="shared" si="990"/>
        <v>3624</v>
      </c>
      <c r="J371" s="40">
        <f>IFERROR(__xludf.DUMMYFUNCTION("IMPORTRANGE(""https://docs.google.com/spreadsheets/d/1Krav0MVlY0vbUNsFRDnb_kR72_tyuGnWBYbGjNZrl18/edit"",""14!e42"")"),3579.0)</f>
        <v>3579</v>
      </c>
      <c r="K371" s="40">
        <f>IFERROR(__xludf.DUMMYFUNCTION("IMPORTRANGE(""https://docs.google.com/spreadsheets/d/1Krav0MVlY0vbUNsFRDnb_kR72_tyuGnWBYbGjNZrl18/edit"",""14!e43"")"),162.0)</f>
        <v>162</v>
      </c>
      <c r="L371" s="40">
        <f t="shared" si="1020"/>
        <v>3741</v>
      </c>
      <c r="M371" s="40">
        <f t="shared" si="992"/>
        <v>7365</v>
      </c>
      <c r="N371" s="41">
        <f t="shared" si="993"/>
        <v>197.2048</v>
      </c>
      <c r="O371" s="38">
        <v>8239.0</v>
      </c>
      <c r="P371" s="42">
        <f t="shared" si="994"/>
        <v>0.8939191649</v>
      </c>
      <c r="Q371" s="43">
        <v>1.5</v>
      </c>
      <c r="R371" s="42">
        <f t="shared" si="995"/>
        <v>0.8299324695</v>
      </c>
      <c r="S371" s="44">
        <f t="shared" si="996"/>
        <v>1.244898704</v>
      </c>
      <c r="T371" s="43">
        <f>F371/28.443</f>
        <v>208</v>
      </c>
      <c r="U371" s="43">
        <f t="shared" si="997"/>
        <v>6.933333333</v>
      </c>
      <c r="V371" s="40">
        <f t="shared" si="998"/>
        <v>245.5</v>
      </c>
      <c r="X371" s="14" t="s">
        <v>2</v>
      </c>
      <c r="Y371" s="14" t="s">
        <v>3</v>
      </c>
      <c r="Z371" s="14" t="s">
        <v>4</v>
      </c>
      <c r="AA371" s="14" t="s">
        <v>5</v>
      </c>
      <c r="AB371" s="15" t="s">
        <v>6</v>
      </c>
      <c r="AC371" s="14" t="s">
        <v>7</v>
      </c>
      <c r="AD371" s="14" t="s">
        <v>8</v>
      </c>
      <c r="AE371" s="14" t="s">
        <v>9</v>
      </c>
      <c r="AF371" s="14" t="s">
        <v>10</v>
      </c>
      <c r="AG371" s="14" t="s">
        <v>11</v>
      </c>
      <c r="AH371" s="14" t="s">
        <v>12</v>
      </c>
      <c r="AI371" s="14" t="s">
        <v>13</v>
      </c>
      <c r="AJ371" s="15" t="s">
        <v>14</v>
      </c>
      <c r="AK371" s="14" t="s">
        <v>15</v>
      </c>
      <c r="AL371" s="14" t="s">
        <v>16</v>
      </c>
      <c r="AM371" s="16" t="s">
        <v>17</v>
      </c>
      <c r="AN371" s="17" t="s">
        <v>18</v>
      </c>
      <c r="AO371" s="18" t="s">
        <v>19</v>
      </c>
      <c r="AP371" s="19" t="s">
        <v>20</v>
      </c>
      <c r="AQ371" s="19" t="s">
        <v>21</v>
      </c>
      <c r="AR371" s="20" t="s">
        <v>22</v>
      </c>
    </row>
    <row r="372" ht="15.75" customHeight="1">
      <c r="A372" s="21"/>
      <c r="B372" s="38">
        <v>16.0</v>
      </c>
      <c r="C372" s="38" t="s">
        <v>42</v>
      </c>
      <c r="D372" s="39">
        <v>33.0</v>
      </c>
      <c r="E372" s="40">
        <f>IFERROR(__xludf.DUMMYFUNCTION("COUNT(IMPORTRANGE(""https://docs.google.com/spreadsheets/d/1uXtm-E8PG0CetlFmSpTX3RK0LNEMnpR-mxbET9AGD6w/edit"",""14!d2:d34""))"),33.0)</f>
        <v>33</v>
      </c>
      <c r="F372" s="45">
        <f>IFERROR(__xludf.DUMMYFUNCTION("SUM(IMPORTRANGE(""https://docs.google.com/spreadsheets/d/1uXtm-E8PG0CetlFmSpTX3RK0LNEMnpR-mxbET9AGD6w/edit"",""14!Q2:Q34""))"),6458.7469999999985)</f>
        <v>6458.747</v>
      </c>
      <c r="G372" s="40">
        <f>IFERROR(__xludf.DUMMYFUNCTION("IMPORTRANGE(""https://docs.google.com/spreadsheets/d/1uXtm-E8PG0CetlFmSpTX3RK0LNEMnpR-mxbET9AGD6w/edit"",""14!e41"")"),3620.0)</f>
        <v>3620</v>
      </c>
      <c r="H372" s="40">
        <f>IFERROR(__xludf.DUMMYFUNCTION("IMPORTRANGE(""https://docs.google.com/spreadsheets/d/1uXtm-E8PG0CetlFmSpTX3RK0LNEMnpR-mxbET9AGD6w/edit"",""14!e42"")"),0.0)</f>
        <v>0</v>
      </c>
      <c r="I372" s="40">
        <f t="shared" si="990"/>
        <v>3620</v>
      </c>
      <c r="J372" s="40">
        <f>IFERROR(__xludf.DUMMYFUNCTION("IMPORTRANGE(""https://docs.google.com/spreadsheets/d/1uXtm-E8PG0CetlFmSpTX3RK0LNEMnpR-mxbET9AGD6w/edit"",""14!e45"")"),3895.0)</f>
        <v>3895</v>
      </c>
      <c r="K372" s="40">
        <f>IFERROR(__xludf.DUMMYFUNCTION("IMPORTRANGE(""https://docs.google.com/spreadsheets/d/1uXtm-E8PG0CetlFmSpTX3RK0LNEMnpR-mxbET9AGD6w/edit"",""14!e46"")"),216.0)</f>
        <v>216</v>
      </c>
      <c r="L372" s="40">
        <f t="shared" si="1020"/>
        <v>4111</v>
      </c>
      <c r="M372" s="40">
        <f t="shared" si="992"/>
        <v>7731</v>
      </c>
      <c r="N372" s="41">
        <f t="shared" si="993"/>
        <v>195.7196061</v>
      </c>
      <c r="O372" s="38">
        <v>9877.0</v>
      </c>
      <c r="P372" s="42">
        <f t="shared" si="994"/>
        <v>0.7827275489</v>
      </c>
      <c r="Q372" s="43">
        <v>1.5</v>
      </c>
      <c r="R372" s="42">
        <f t="shared" si="995"/>
        <v>0.7979875973</v>
      </c>
      <c r="S372" s="44">
        <f t="shared" si="996"/>
        <v>1.196981396</v>
      </c>
      <c r="T372" s="43">
        <f>F372/26.155</f>
        <v>246.9411967</v>
      </c>
      <c r="U372" s="43">
        <f t="shared" si="997"/>
        <v>7.483066567</v>
      </c>
      <c r="V372" s="40">
        <f t="shared" si="998"/>
        <v>234.2727273</v>
      </c>
      <c r="X372" s="31">
        <v>1.0</v>
      </c>
      <c r="Y372" s="31" t="s">
        <v>26</v>
      </c>
      <c r="Z372" s="31">
        <f t="shared" ref="Z372:AI372" si="1030">SUM(D357)</f>
        <v>20</v>
      </c>
      <c r="AA372" s="32">
        <f t="shared" si="1030"/>
        <v>20</v>
      </c>
      <c r="AB372" s="34">
        <f t="shared" si="1030"/>
        <v>3878.247</v>
      </c>
      <c r="AC372" s="32">
        <f t="shared" si="1030"/>
        <v>2071</v>
      </c>
      <c r="AD372" s="32">
        <f t="shared" si="1030"/>
        <v>0</v>
      </c>
      <c r="AE372" s="32">
        <f t="shared" si="1030"/>
        <v>2071</v>
      </c>
      <c r="AF372" s="32">
        <f t="shared" si="1030"/>
        <v>3050</v>
      </c>
      <c r="AG372" s="32">
        <f t="shared" si="1030"/>
        <v>0</v>
      </c>
      <c r="AH372" s="32">
        <f t="shared" si="1030"/>
        <v>3050</v>
      </c>
      <c r="AI372" s="32">
        <f t="shared" si="1030"/>
        <v>5121</v>
      </c>
      <c r="AJ372" s="34">
        <f t="shared" ref="AJ372:AJ378" si="1033">AB372/AA372</f>
        <v>193.91235</v>
      </c>
      <c r="AK372" s="31">
        <f>SUM(O357)</f>
        <v>5161</v>
      </c>
      <c r="AL372" s="35">
        <f t="shared" ref="AL372:AL378" si="1034">AI372/AK372</f>
        <v>0.992249564</v>
      </c>
      <c r="AM372" s="36">
        <f>SUM(Q357)</f>
        <v>1.5</v>
      </c>
      <c r="AN372" s="35">
        <f t="shared" ref="AN372:AN378" si="1035">AO372/AM372</f>
        <v>0.880294628</v>
      </c>
      <c r="AO372" s="37">
        <f t="shared" ref="AO372:AO378" si="1036">AI372/AB372</f>
        <v>1.320441942</v>
      </c>
      <c r="AP372" s="36">
        <f t="shared" ref="AP372:AQ372" si="1031">SUM(T357)</f>
        <v>269.0424558</v>
      </c>
      <c r="AQ372" s="36">
        <f t="shared" si="1031"/>
        <v>13.45212279</v>
      </c>
      <c r="AR372" s="32">
        <f t="shared" ref="AR372:AR378" si="1038">AI372/AA372</f>
        <v>256.05</v>
      </c>
    </row>
    <row r="373" ht="15.75" customHeight="1">
      <c r="A373" s="21"/>
      <c r="B373" s="38">
        <v>17.0</v>
      </c>
      <c r="C373" s="38" t="s">
        <v>29</v>
      </c>
      <c r="D373" s="39">
        <v>30.0</v>
      </c>
      <c r="E373" s="40">
        <f>IFERROR(__xludf.DUMMYFUNCTION("COUNT(IMPORTRANGE(""https://docs.google.com/spreadsheets/d/12xcKI0lSnAsjEsxfm9K8Qx0B_89Gzsh816mowItkQao/edit"",""14!d2:d31""))"),28.0)</f>
        <v>28</v>
      </c>
      <c r="F373" s="45">
        <f>IFERROR(__xludf.DUMMYFUNCTION("SUM(IMPORTRANGE(""https://docs.google.com/spreadsheets/d/12xcKI0lSnAsjEsxfm9K8Qx0B_89Gzsh816mowItkQao/edit"",""14!Q2:Q31""))"),5572.1320000000005)</f>
        <v>5572.132</v>
      </c>
      <c r="G373" s="40">
        <f>IFERROR(__xludf.DUMMYFUNCTION("IMPORTRANGE(""https://docs.google.com/spreadsheets/d/12xcKI0lSnAsjEsxfm9K8Qx0B_89Gzsh816mowItkQao/edit"",""14!e38"")"),2895.0)</f>
        <v>2895</v>
      </c>
      <c r="H373" s="40">
        <f>IFERROR(__xludf.DUMMYFUNCTION("IMPORTRANGE(""https://docs.google.com/spreadsheets/d/12xcKI0lSnAsjEsxfm9K8Qx0B_89Gzsh816mowItkQao/edit"",""14!e39"")"),0.0)</f>
        <v>0</v>
      </c>
      <c r="I373" s="40">
        <f t="shared" si="990"/>
        <v>2895</v>
      </c>
      <c r="J373" s="40">
        <f>IFERROR(__xludf.DUMMYFUNCTION("IMPORTRANGE(""https://docs.google.com/spreadsheets/d/12xcKI0lSnAsjEsxfm9K8Qx0B_89Gzsh816mowItkQao/edit"",""14!e42"")"),4023.0)</f>
        <v>4023</v>
      </c>
      <c r="K373" s="40">
        <f>IFERROR(__xludf.DUMMYFUNCTION("IMPORTRANGE(""https://docs.google.com/spreadsheets/d/12xcKI0lSnAsjEsxfm9K8Qx0B_89Gzsh816mowItkQao/edit"",""14!e43"")"),0.0)</f>
        <v>0</v>
      </c>
      <c r="L373" s="40">
        <f t="shared" si="1020"/>
        <v>4023</v>
      </c>
      <c r="M373" s="40">
        <f t="shared" si="992"/>
        <v>6918</v>
      </c>
      <c r="N373" s="41">
        <f t="shared" si="993"/>
        <v>199.0047143</v>
      </c>
      <c r="O373" s="38">
        <v>9201.0</v>
      </c>
      <c r="P373" s="42">
        <f t="shared" si="994"/>
        <v>0.7518747962</v>
      </c>
      <c r="Q373" s="43">
        <v>1.5</v>
      </c>
      <c r="R373" s="42">
        <f t="shared" si="995"/>
        <v>0.8276903706</v>
      </c>
      <c r="S373" s="44">
        <f t="shared" si="996"/>
        <v>1.241535556</v>
      </c>
      <c r="T373" s="43">
        <f>F373/26.038</f>
        <v>214</v>
      </c>
      <c r="U373" s="43">
        <f t="shared" si="997"/>
        <v>7.642857143</v>
      </c>
      <c r="V373" s="40">
        <f t="shared" si="998"/>
        <v>247.0714286</v>
      </c>
      <c r="X373" s="31">
        <v>2.0</v>
      </c>
      <c r="Y373" s="31" t="s">
        <v>32</v>
      </c>
      <c r="Z373" s="31">
        <f t="shared" ref="Z373:AI373" si="1032">SUM(D360)</f>
        <v>42</v>
      </c>
      <c r="AA373" s="32">
        <f t="shared" si="1032"/>
        <v>41</v>
      </c>
      <c r="AB373" s="33">
        <f t="shared" si="1032"/>
        <v>8179.014</v>
      </c>
      <c r="AC373" s="31">
        <f t="shared" si="1032"/>
        <v>4663</v>
      </c>
      <c r="AD373" s="31">
        <f t="shared" si="1032"/>
        <v>170</v>
      </c>
      <c r="AE373" s="32">
        <f t="shared" si="1032"/>
        <v>4833</v>
      </c>
      <c r="AF373" s="31">
        <f t="shared" si="1032"/>
        <v>5127</v>
      </c>
      <c r="AG373" s="31">
        <f t="shared" si="1032"/>
        <v>343</v>
      </c>
      <c r="AH373" s="32">
        <f t="shared" si="1032"/>
        <v>5470</v>
      </c>
      <c r="AI373" s="32">
        <f t="shared" si="1032"/>
        <v>10303</v>
      </c>
      <c r="AJ373" s="34">
        <f t="shared" si="1033"/>
        <v>199.4881463</v>
      </c>
      <c r="AK373" s="31">
        <f>SUM(O360)</f>
        <v>13817</v>
      </c>
      <c r="AL373" s="35">
        <f t="shared" si="1034"/>
        <v>0.745675617</v>
      </c>
      <c r="AM373" s="36">
        <f>SUM(Q360)</f>
        <v>1.5</v>
      </c>
      <c r="AN373" s="35">
        <f t="shared" si="1035"/>
        <v>0.8397915283</v>
      </c>
      <c r="AO373" s="37">
        <f t="shared" si="1036"/>
        <v>1.259687292</v>
      </c>
      <c r="AP373" s="36">
        <f t="shared" ref="AP373:AQ373" si="1037">SUM(T360)</f>
        <v>326</v>
      </c>
      <c r="AQ373" s="36">
        <f t="shared" si="1037"/>
        <v>7.951219512</v>
      </c>
      <c r="AR373" s="32">
        <f t="shared" si="1038"/>
        <v>251.2926829</v>
      </c>
    </row>
    <row r="374" ht="15.75" customHeight="1">
      <c r="A374" s="21"/>
      <c r="B374" s="38">
        <v>18.0</v>
      </c>
      <c r="C374" s="38" t="s">
        <v>31</v>
      </c>
      <c r="D374" s="39">
        <v>15.0</v>
      </c>
      <c r="E374" s="40">
        <f>IFERROR(__xludf.DUMMYFUNCTION("COUNT(IMPORTRANGE(""https://docs.google.com/spreadsheets/d/1fgCFOFzOla4Qim6_-zG-lbYhLCItqv_kZiAHoErRgcM/edit"",""14!d2:d16""))"),14.0)</f>
        <v>14</v>
      </c>
      <c r="F374" s="41">
        <f>IFERROR(__xludf.DUMMYFUNCTION("SUM(IMPORTRANGE(""https://docs.google.com/spreadsheets/d/1fgCFOFzOla4Qim6_-zG-lbYhLCItqv_kZiAHoErRgcM/edit"",""14!Q2:Q16""))"),2651.365)</f>
        <v>2651.365</v>
      </c>
      <c r="G374" s="40">
        <f>IFERROR(__xludf.DUMMYFUNCTION("IMPORTRANGE(""https://docs.google.com/spreadsheets/d/1fgCFOFzOla4Qim6_-zG-lbYhLCItqv_kZiAHoErRgcM/edit"",""14!e23"")"),737.0)</f>
        <v>737</v>
      </c>
      <c r="H374" s="40">
        <f>IFERROR(__xludf.DUMMYFUNCTION("IMPORTRANGE(""https://docs.google.com/spreadsheets/d/1fgCFOFzOla4Qim6_-zG-lbYhLCItqv_kZiAHoErRgcM/edit"",""14!e24"")"),59.0)</f>
        <v>59</v>
      </c>
      <c r="I374" s="40">
        <f t="shared" si="990"/>
        <v>796</v>
      </c>
      <c r="J374" s="40">
        <f>IFERROR(__xludf.DUMMYFUNCTION("IMPORTRANGE(""https://docs.google.com/spreadsheets/d/1fgCFOFzOla4Qim6_-zG-lbYhLCItqv_kZiAHoErRgcM/edit"",""14!e27"")"),1167.0)</f>
        <v>1167</v>
      </c>
      <c r="K374" s="40">
        <f>IFERROR(__xludf.DUMMYFUNCTION("IMPORTRANGE(""https://docs.google.com/spreadsheets/d/1fgCFOFzOla4Qim6_-zG-lbYhLCItqv_kZiAHoErRgcM/edit"",""14!e28"")"),30.0)</f>
        <v>30</v>
      </c>
      <c r="L374" s="40">
        <f t="shared" si="1020"/>
        <v>1197</v>
      </c>
      <c r="M374" s="40">
        <f t="shared" si="992"/>
        <v>1993</v>
      </c>
      <c r="N374" s="41">
        <f t="shared" si="993"/>
        <v>189.3832143</v>
      </c>
      <c r="O374" s="38">
        <v>2717.0</v>
      </c>
      <c r="P374" s="42">
        <f t="shared" si="994"/>
        <v>0.7335296283</v>
      </c>
      <c r="Q374" s="43">
        <v>1.5</v>
      </c>
      <c r="R374" s="42">
        <f t="shared" si="995"/>
        <v>0.5011255209</v>
      </c>
      <c r="S374" s="44">
        <f t="shared" si="996"/>
        <v>0.7516882813</v>
      </c>
      <c r="T374" s="43">
        <f>F374/43.465</f>
        <v>61</v>
      </c>
      <c r="U374" s="43">
        <f t="shared" si="997"/>
        <v>4.357142857</v>
      </c>
      <c r="V374" s="40">
        <f t="shared" si="998"/>
        <v>142.3571429</v>
      </c>
      <c r="X374" s="31">
        <v>3.0</v>
      </c>
      <c r="Y374" s="31" t="s">
        <v>36</v>
      </c>
      <c r="Z374" s="31">
        <f t="shared" ref="Z374:AI374" si="1039">SUM(D365)</f>
        <v>24</v>
      </c>
      <c r="AA374" s="32">
        <f t="shared" si="1039"/>
        <v>23</v>
      </c>
      <c r="AB374" s="33">
        <f t="shared" si="1039"/>
        <v>4593.942</v>
      </c>
      <c r="AC374" s="32">
        <f t="shared" si="1039"/>
        <v>1582</v>
      </c>
      <c r="AD374" s="32">
        <f t="shared" si="1039"/>
        <v>0</v>
      </c>
      <c r="AE374" s="32">
        <f t="shared" si="1039"/>
        <v>1582</v>
      </c>
      <c r="AF374" s="32">
        <f t="shared" si="1039"/>
        <v>1998</v>
      </c>
      <c r="AG374" s="32">
        <f t="shared" si="1039"/>
        <v>0</v>
      </c>
      <c r="AH374" s="32">
        <f t="shared" si="1039"/>
        <v>1998</v>
      </c>
      <c r="AI374" s="32">
        <f t="shared" si="1039"/>
        <v>3580</v>
      </c>
      <c r="AJ374" s="34">
        <f t="shared" si="1033"/>
        <v>199.7366087</v>
      </c>
      <c r="AK374" s="31">
        <f t="shared" ref="AK374:AK377" si="1043">SUM(O365)</f>
        <v>4796</v>
      </c>
      <c r="AL374" s="35">
        <f t="shared" si="1034"/>
        <v>0.7464553795</v>
      </c>
      <c r="AM374" s="36">
        <f t="shared" ref="AM374:AM377" si="1044">SUM(Q365)</f>
        <v>1.5</v>
      </c>
      <c r="AN374" s="35">
        <f t="shared" si="1035"/>
        <v>0.5195247712</v>
      </c>
      <c r="AO374" s="37">
        <f t="shared" si="1036"/>
        <v>0.7792871569</v>
      </c>
      <c r="AP374" s="36">
        <f t="shared" ref="AP374:AQ374" si="1040">SUM(T365)</f>
        <v>122.7867109</v>
      </c>
      <c r="AQ374" s="36">
        <f t="shared" si="1040"/>
        <v>5.338552646</v>
      </c>
      <c r="AR374" s="32">
        <f t="shared" si="1038"/>
        <v>155.6521739</v>
      </c>
    </row>
    <row r="375" ht="15.75" customHeight="1">
      <c r="A375" s="21"/>
      <c r="B375" s="60" t="s">
        <v>33</v>
      </c>
      <c r="C375" s="60">
        <v>18.0</v>
      </c>
      <c r="D375" s="60">
        <f t="shared" ref="D375:M375" si="1041">SUM(D357:D374)</f>
        <v>580</v>
      </c>
      <c r="E375" s="61">
        <f t="shared" si="1041"/>
        <v>567</v>
      </c>
      <c r="F375" s="62">
        <f t="shared" si="1041"/>
        <v>111848.137</v>
      </c>
      <c r="G375" s="61">
        <f t="shared" si="1041"/>
        <v>43805</v>
      </c>
      <c r="H375" s="61">
        <f t="shared" si="1041"/>
        <v>1016</v>
      </c>
      <c r="I375" s="61">
        <f t="shared" si="1041"/>
        <v>44821</v>
      </c>
      <c r="J375" s="61">
        <f t="shared" si="1041"/>
        <v>53383</v>
      </c>
      <c r="K375" s="61">
        <f t="shared" si="1041"/>
        <v>2864</v>
      </c>
      <c r="L375" s="61">
        <f t="shared" si="1041"/>
        <v>56247</v>
      </c>
      <c r="M375" s="61">
        <f t="shared" si="1041"/>
        <v>101068</v>
      </c>
      <c r="N375" s="62">
        <f t="shared" si="993"/>
        <v>197.2630282</v>
      </c>
      <c r="O375" s="60">
        <f>SUM(O357:O374)</f>
        <v>126399</v>
      </c>
      <c r="P375" s="63">
        <f t="shared" si="994"/>
        <v>0.7995949335</v>
      </c>
      <c r="Q375" s="64">
        <v>1.5</v>
      </c>
      <c r="R375" s="63">
        <f t="shared" si="995"/>
        <v>0.6024120604</v>
      </c>
      <c r="S375" s="65">
        <f t="shared" si="996"/>
        <v>0.9036180907</v>
      </c>
      <c r="T375" s="64">
        <f>SUM(T357:T374)</f>
        <v>4133.724644</v>
      </c>
      <c r="U375" s="64">
        <f t="shared" si="997"/>
        <v>7.290519654</v>
      </c>
      <c r="V375" s="61">
        <f t="shared" si="998"/>
        <v>178.2504409</v>
      </c>
      <c r="X375" s="31">
        <v>4.0</v>
      </c>
      <c r="Y375" s="31" t="s">
        <v>37</v>
      </c>
      <c r="Z375" s="31">
        <f t="shared" ref="Z375:AI375" si="1042">SUM(D366)</f>
        <v>30</v>
      </c>
      <c r="AA375" s="32">
        <f t="shared" si="1042"/>
        <v>29</v>
      </c>
      <c r="AB375" s="33">
        <f t="shared" si="1042"/>
        <v>5798.706</v>
      </c>
      <c r="AC375" s="32">
        <f t="shared" si="1042"/>
        <v>2085</v>
      </c>
      <c r="AD375" s="32">
        <f t="shared" si="1042"/>
        <v>0</v>
      </c>
      <c r="AE375" s="32">
        <f t="shared" si="1042"/>
        <v>2085</v>
      </c>
      <c r="AF375" s="32">
        <f t="shared" si="1042"/>
        <v>2864</v>
      </c>
      <c r="AG375" s="32">
        <f t="shared" si="1042"/>
        <v>0</v>
      </c>
      <c r="AH375" s="32">
        <f t="shared" si="1042"/>
        <v>2864</v>
      </c>
      <c r="AI375" s="32">
        <f t="shared" si="1042"/>
        <v>4949</v>
      </c>
      <c r="AJ375" s="34">
        <f t="shared" si="1033"/>
        <v>199.9553793</v>
      </c>
      <c r="AK375" s="31">
        <f t="shared" si="1043"/>
        <v>5887</v>
      </c>
      <c r="AL375" s="35">
        <f t="shared" si="1034"/>
        <v>0.840665874</v>
      </c>
      <c r="AM375" s="36">
        <f t="shared" si="1044"/>
        <v>1.5</v>
      </c>
      <c r="AN375" s="35">
        <f t="shared" si="1035"/>
        <v>0.5689775156</v>
      </c>
      <c r="AO375" s="37">
        <f t="shared" si="1036"/>
        <v>0.8534662733</v>
      </c>
      <c r="AP375" s="36">
        <f t="shared" ref="AP375:AQ375" si="1045">SUM(T366)</f>
        <v>233.8942401</v>
      </c>
      <c r="AQ375" s="36">
        <f t="shared" si="1045"/>
        <v>8.065318623</v>
      </c>
      <c r="AR375" s="32">
        <f t="shared" si="1038"/>
        <v>170.6551724</v>
      </c>
    </row>
    <row r="376" ht="15.7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X376" s="31">
        <v>5.0</v>
      </c>
      <c r="Y376" s="31" t="s">
        <v>39</v>
      </c>
      <c r="Z376" s="31">
        <f t="shared" ref="Z376:AI376" si="1046">SUM(D367)</f>
        <v>28</v>
      </c>
      <c r="AA376" s="32">
        <f t="shared" si="1046"/>
        <v>28</v>
      </c>
      <c r="AB376" s="33">
        <f t="shared" si="1046"/>
        <v>5415.952</v>
      </c>
      <c r="AC376" s="32">
        <f t="shared" si="1046"/>
        <v>1228</v>
      </c>
      <c r="AD376" s="32">
        <f t="shared" si="1046"/>
        <v>0</v>
      </c>
      <c r="AE376" s="32">
        <f t="shared" si="1046"/>
        <v>1228</v>
      </c>
      <c r="AF376" s="32">
        <f t="shared" si="1046"/>
        <v>1609</v>
      </c>
      <c r="AG376" s="32">
        <f t="shared" si="1046"/>
        <v>177</v>
      </c>
      <c r="AH376" s="32">
        <f t="shared" si="1046"/>
        <v>1786</v>
      </c>
      <c r="AI376" s="32">
        <f t="shared" si="1046"/>
        <v>3014</v>
      </c>
      <c r="AJ376" s="34">
        <f t="shared" si="1033"/>
        <v>193.4268571</v>
      </c>
      <c r="AK376" s="31">
        <f t="shared" si="1043"/>
        <v>3569</v>
      </c>
      <c r="AL376" s="35">
        <f t="shared" si="1034"/>
        <v>0.8444942561</v>
      </c>
      <c r="AM376" s="36">
        <f t="shared" si="1044"/>
        <v>1.5</v>
      </c>
      <c r="AN376" s="35">
        <f t="shared" si="1035"/>
        <v>0.3710027957</v>
      </c>
      <c r="AO376" s="37">
        <f t="shared" si="1036"/>
        <v>0.5565041935</v>
      </c>
      <c r="AP376" s="36">
        <f t="shared" ref="AP376:AQ376" si="1047">SUM(T367)</f>
        <v>252.339002</v>
      </c>
      <c r="AQ376" s="36">
        <f t="shared" si="1047"/>
        <v>9.012107214</v>
      </c>
      <c r="AR376" s="32">
        <f t="shared" si="1038"/>
        <v>107.6428571</v>
      </c>
    </row>
    <row r="377" ht="15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X377" s="31">
        <v>6.0</v>
      </c>
      <c r="Y377" s="31" t="s">
        <v>41</v>
      </c>
      <c r="Z377" s="31">
        <f t="shared" ref="Z377:AI377" si="1048">SUM(D368)</f>
        <v>24</v>
      </c>
      <c r="AA377" s="32">
        <f t="shared" si="1048"/>
        <v>24</v>
      </c>
      <c r="AB377" s="33">
        <f t="shared" si="1048"/>
        <v>4704.268</v>
      </c>
      <c r="AC377" s="32">
        <f t="shared" si="1048"/>
        <v>1336</v>
      </c>
      <c r="AD377" s="32">
        <f t="shared" si="1048"/>
        <v>0</v>
      </c>
      <c r="AE377" s="32">
        <f t="shared" si="1048"/>
        <v>1336</v>
      </c>
      <c r="AF377" s="32">
        <f t="shared" si="1048"/>
        <v>1449</v>
      </c>
      <c r="AG377" s="32">
        <f t="shared" si="1048"/>
        <v>840</v>
      </c>
      <c r="AH377" s="32">
        <f t="shared" si="1048"/>
        <v>2289</v>
      </c>
      <c r="AI377" s="32">
        <f t="shared" si="1048"/>
        <v>3625</v>
      </c>
      <c r="AJ377" s="34">
        <f t="shared" si="1033"/>
        <v>196.0111667</v>
      </c>
      <c r="AK377" s="31">
        <f t="shared" si="1043"/>
        <v>3801</v>
      </c>
      <c r="AL377" s="35">
        <f t="shared" si="1034"/>
        <v>0.9536963957</v>
      </c>
      <c r="AM377" s="36">
        <f t="shared" si="1044"/>
        <v>1.5</v>
      </c>
      <c r="AN377" s="35">
        <f t="shared" si="1035"/>
        <v>0.5137178976</v>
      </c>
      <c r="AO377" s="37">
        <f t="shared" si="1036"/>
        <v>0.7705768464</v>
      </c>
      <c r="AP377" s="36">
        <f t="shared" ref="AP377:AQ377" si="1049">SUM(T368)</f>
        <v>158.7777778</v>
      </c>
      <c r="AQ377" s="36">
        <f t="shared" si="1049"/>
        <v>6.615740741</v>
      </c>
      <c r="AR377" s="32">
        <f t="shared" si="1038"/>
        <v>151.0416667</v>
      </c>
    </row>
    <row r="378" ht="15.75" customHeight="1">
      <c r="A378" s="1" t="s">
        <v>45</v>
      </c>
      <c r="D378" s="2"/>
      <c r="X378" s="46" t="s">
        <v>33</v>
      </c>
      <c r="Y378" s="46">
        <v>6.0</v>
      </c>
      <c r="Z378" s="46">
        <f t="shared" ref="Z378:AI378" si="1050">SUM(Z372:Z377)</f>
        <v>168</v>
      </c>
      <c r="AA378" s="47">
        <f t="shared" si="1050"/>
        <v>165</v>
      </c>
      <c r="AB378" s="49">
        <f t="shared" si="1050"/>
        <v>32570.129</v>
      </c>
      <c r="AC378" s="47">
        <f t="shared" si="1050"/>
        <v>12965</v>
      </c>
      <c r="AD378" s="47">
        <f t="shared" si="1050"/>
        <v>170</v>
      </c>
      <c r="AE378" s="47">
        <f t="shared" si="1050"/>
        <v>13135</v>
      </c>
      <c r="AF378" s="47">
        <f t="shared" si="1050"/>
        <v>16097</v>
      </c>
      <c r="AG378" s="47">
        <f t="shared" si="1050"/>
        <v>1360</v>
      </c>
      <c r="AH378" s="47">
        <f t="shared" si="1050"/>
        <v>17457</v>
      </c>
      <c r="AI378" s="47">
        <f t="shared" si="1050"/>
        <v>30592</v>
      </c>
      <c r="AJ378" s="49">
        <f t="shared" si="1033"/>
        <v>197.3947212</v>
      </c>
      <c r="AK378" s="46">
        <f>SUM(AK372:AK377)</f>
        <v>37031</v>
      </c>
      <c r="AL378" s="50">
        <f t="shared" si="1034"/>
        <v>0.8261186573</v>
      </c>
      <c r="AM378" s="51">
        <v>1.5</v>
      </c>
      <c r="AN378" s="50">
        <f t="shared" si="1035"/>
        <v>0.6261770307</v>
      </c>
      <c r="AO378" s="52">
        <f t="shared" si="1036"/>
        <v>0.939265546</v>
      </c>
      <c r="AP378" s="51">
        <f>SUM(AP372:AP377)</f>
        <v>1362.840186</v>
      </c>
      <c r="AQ378" s="51">
        <f>AP378/AA378</f>
        <v>8.259637494</v>
      </c>
      <c r="AR378" s="47">
        <f t="shared" si="1038"/>
        <v>185.4060606</v>
      </c>
    </row>
    <row r="379" ht="15.75" customHeight="1">
      <c r="A379" s="1" t="s">
        <v>45</v>
      </c>
      <c r="D379" s="2"/>
      <c r="X379" s="66" t="s">
        <v>1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6"/>
    </row>
    <row r="380" ht="15.75" customHeight="1">
      <c r="A380" s="7">
        <v>46218.0</v>
      </c>
      <c r="B380" s="8" t="s">
        <v>2</v>
      </c>
      <c r="C380" s="8" t="s">
        <v>3</v>
      </c>
      <c r="D380" s="8" t="s">
        <v>4</v>
      </c>
      <c r="E380" s="8" t="s">
        <v>5</v>
      </c>
      <c r="F380" s="9" t="s">
        <v>6</v>
      </c>
      <c r="G380" s="8" t="s">
        <v>7</v>
      </c>
      <c r="H380" s="8" t="s">
        <v>8</v>
      </c>
      <c r="I380" s="8" t="s">
        <v>9</v>
      </c>
      <c r="J380" s="8" t="s">
        <v>10</v>
      </c>
      <c r="K380" s="8" t="s">
        <v>11</v>
      </c>
      <c r="L380" s="8" t="s">
        <v>12</v>
      </c>
      <c r="M380" s="8" t="s">
        <v>13</v>
      </c>
      <c r="N380" s="9" t="s">
        <v>14</v>
      </c>
      <c r="O380" s="8" t="s">
        <v>15</v>
      </c>
      <c r="P380" s="8" t="s">
        <v>16</v>
      </c>
      <c r="Q380" s="8" t="s">
        <v>17</v>
      </c>
      <c r="R380" s="8" t="s">
        <v>18</v>
      </c>
      <c r="S380" s="11" t="s">
        <v>19</v>
      </c>
      <c r="T380" s="12" t="s">
        <v>20</v>
      </c>
      <c r="U380" s="12" t="s">
        <v>21</v>
      </c>
      <c r="V380" s="13" t="s">
        <v>22</v>
      </c>
      <c r="X380" s="14" t="s">
        <v>2</v>
      </c>
      <c r="Y380" s="14" t="s">
        <v>3</v>
      </c>
      <c r="Z380" s="14" t="s">
        <v>4</v>
      </c>
      <c r="AA380" s="14" t="s">
        <v>5</v>
      </c>
      <c r="AB380" s="15" t="s">
        <v>6</v>
      </c>
      <c r="AC380" s="14" t="s">
        <v>7</v>
      </c>
      <c r="AD380" s="14" t="s">
        <v>8</v>
      </c>
      <c r="AE380" s="14" t="s">
        <v>9</v>
      </c>
      <c r="AF380" s="14" t="s">
        <v>10</v>
      </c>
      <c r="AG380" s="14" t="s">
        <v>11</v>
      </c>
      <c r="AH380" s="14" t="s">
        <v>12</v>
      </c>
      <c r="AI380" s="14" t="s">
        <v>13</v>
      </c>
      <c r="AJ380" s="15" t="s">
        <v>14</v>
      </c>
      <c r="AK380" s="14" t="s">
        <v>15</v>
      </c>
      <c r="AL380" s="14" t="s">
        <v>16</v>
      </c>
      <c r="AM380" s="16" t="s">
        <v>17</v>
      </c>
      <c r="AN380" s="17" t="s">
        <v>18</v>
      </c>
      <c r="AO380" s="18" t="s">
        <v>19</v>
      </c>
      <c r="AP380" s="19" t="s">
        <v>20</v>
      </c>
      <c r="AQ380" s="19" t="s">
        <v>21</v>
      </c>
      <c r="AR380" s="20" t="s">
        <v>22</v>
      </c>
    </row>
    <row r="381" ht="15.7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X381" s="22">
        <v>1.0</v>
      </c>
      <c r="Y381" s="22" t="s">
        <v>23</v>
      </c>
      <c r="Z381" s="22">
        <f t="shared" ref="Z381:AI381" si="1051">SUM(D389)</f>
        <v>35</v>
      </c>
      <c r="AA381" s="23">
        <f t="shared" si="1051"/>
        <v>33</v>
      </c>
      <c r="AB381" s="24">
        <f t="shared" si="1051"/>
        <v>6410.6</v>
      </c>
      <c r="AC381" s="23">
        <f t="shared" si="1051"/>
        <v>1867</v>
      </c>
      <c r="AD381" s="23">
        <f t="shared" si="1051"/>
        <v>0</v>
      </c>
      <c r="AE381" s="23">
        <f t="shared" si="1051"/>
        <v>1867</v>
      </c>
      <c r="AF381" s="23">
        <f t="shared" si="1051"/>
        <v>3170</v>
      </c>
      <c r="AG381" s="23">
        <f t="shared" si="1051"/>
        <v>0</v>
      </c>
      <c r="AH381" s="23">
        <f t="shared" si="1051"/>
        <v>3170</v>
      </c>
      <c r="AI381" s="23">
        <f t="shared" si="1051"/>
        <v>5037</v>
      </c>
      <c r="AJ381" s="25">
        <f t="shared" ref="AJ381:AJ383" si="1054">AB381/AA381</f>
        <v>194.2606061</v>
      </c>
      <c r="AK381" s="22">
        <f>SUM(O389)</f>
        <v>6853</v>
      </c>
      <c r="AL381" s="26">
        <f t="shared" ref="AL381:AL387" si="1055">AI381/AK381</f>
        <v>0.7350065665</v>
      </c>
      <c r="AM381" s="27">
        <f t="shared" ref="AM381:AM383" si="1056">SUM(Q389)</f>
        <v>1.5</v>
      </c>
      <c r="AN381" s="26">
        <f t="shared" ref="AN381:AN387" si="1057">AO381/AM381</f>
        <v>0.5238199233</v>
      </c>
      <c r="AO381" s="28">
        <f t="shared" ref="AO381:AO387" si="1058">AI381/AB381</f>
        <v>0.7857298849</v>
      </c>
      <c r="AP381" s="27">
        <f t="shared" ref="AP381:AQ381" si="1052">SUM(T389)</f>
        <v>190</v>
      </c>
      <c r="AQ381" s="27">
        <f t="shared" si="1052"/>
        <v>5.757575758</v>
      </c>
      <c r="AR381" s="23">
        <f t="shared" ref="AR381:AR387" si="1060">AI381/AA381</f>
        <v>152.6363636</v>
      </c>
    </row>
    <row r="382" ht="15.7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X382" s="22">
        <v>2.0</v>
      </c>
      <c r="Y382" s="22" t="s">
        <v>24</v>
      </c>
      <c r="Z382" s="22">
        <f t="shared" ref="Z382:AI382" si="1053">SUM(D390)</f>
        <v>44</v>
      </c>
      <c r="AA382" s="23">
        <f t="shared" si="1053"/>
        <v>42</v>
      </c>
      <c r="AB382" s="24">
        <f t="shared" si="1053"/>
        <v>7987.323</v>
      </c>
      <c r="AC382" s="23">
        <f t="shared" si="1053"/>
        <v>1117</v>
      </c>
      <c r="AD382" s="23">
        <f t="shared" si="1053"/>
        <v>0</v>
      </c>
      <c r="AE382" s="23">
        <f t="shared" si="1053"/>
        <v>1117</v>
      </c>
      <c r="AF382" s="23">
        <f t="shared" si="1053"/>
        <v>1409</v>
      </c>
      <c r="AG382" s="23">
        <f t="shared" si="1053"/>
        <v>0</v>
      </c>
      <c r="AH382" s="23">
        <f t="shared" si="1053"/>
        <v>1409</v>
      </c>
      <c r="AI382" s="23">
        <f t="shared" si="1053"/>
        <v>2526</v>
      </c>
      <c r="AJ382" s="25">
        <f t="shared" si="1054"/>
        <v>190.1743571</v>
      </c>
      <c r="AK382" s="22">
        <v>1580.0</v>
      </c>
      <c r="AL382" s="29">
        <f t="shared" si="1055"/>
        <v>1.598734177</v>
      </c>
      <c r="AM382" s="27">
        <f t="shared" si="1056"/>
        <v>1.5</v>
      </c>
      <c r="AN382" s="26">
        <f t="shared" si="1057"/>
        <v>0.210834093</v>
      </c>
      <c r="AO382" s="28">
        <f t="shared" si="1058"/>
        <v>0.3162511395</v>
      </c>
      <c r="AP382" s="27">
        <f t="shared" ref="AP382:AQ382" si="1059">SUM(T390)</f>
        <v>297.9788472</v>
      </c>
      <c r="AQ382" s="27">
        <f t="shared" si="1059"/>
        <v>7.094734458</v>
      </c>
      <c r="AR382" s="23">
        <f t="shared" si="1060"/>
        <v>60.14285714</v>
      </c>
    </row>
    <row r="383" ht="15.75" customHeight="1">
      <c r="A383" s="21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X383" s="31">
        <v>3.0</v>
      </c>
      <c r="Y383" s="31" t="s">
        <v>25</v>
      </c>
      <c r="Z383" s="31">
        <f t="shared" ref="Z383:AI383" si="1061">SUM(D391)</f>
        <v>32</v>
      </c>
      <c r="AA383" s="32">
        <f t="shared" si="1061"/>
        <v>32</v>
      </c>
      <c r="AB383" s="33">
        <f t="shared" si="1061"/>
        <v>6356.924</v>
      </c>
      <c r="AC383" s="32">
        <f t="shared" si="1061"/>
        <v>2512</v>
      </c>
      <c r="AD383" s="32">
        <f t="shared" si="1061"/>
        <v>602</v>
      </c>
      <c r="AE383" s="32">
        <f t="shared" si="1061"/>
        <v>3114</v>
      </c>
      <c r="AF383" s="32">
        <f t="shared" si="1061"/>
        <v>2943</v>
      </c>
      <c r="AG383" s="32">
        <f t="shared" si="1061"/>
        <v>556</v>
      </c>
      <c r="AH383" s="32">
        <f t="shared" si="1061"/>
        <v>3499</v>
      </c>
      <c r="AI383" s="32">
        <f t="shared" si="1061"/>
        <v>6613</v>
      </c>
      <c r="AJ383" s="34">
        <f t="shared" si="1054"/>
        <v>198.653875</v>
      </c>
      <c r="AK383" s="31">
        <f>SUM(O391)</f>
        <v>6622</v>
      </c>
      <c r="AL383" s="35">
        <f t="shared" si="1055"/>
        <v>0.998640894</v>
      </c>
      <c r="AM383" s="36">
        <f t="shared" si="1056"/>
        <v>1.5</v>
      </c>
      <c r="AN383" s="35">
        <f t="shared" si="1057"/>
        <v>0.6935220032</v>
      </c>
      <c r="AO383" s="37">
        <f t="shared" si="1058"/>
        <v>1.040283005</v>
      </c>
      <c r="AP383" s="36">
        <f t="shared" ref="AP383:AQ383" si="1062">SUM(T391)</f>
        <v>266.6494966</v>
      </c>
      <c r="AQ383" s="36">
        <f t="shared" si="1062"/>
        <v>8.33279677</v>
      </c>
      <c r="AR383" s="32">
        <f t="shared" si="1060"/>
        <v>206.65625</v>
      </c>
    </row>
    <row r="384" ht="15.75" customHeight="1">
      <c r="A384" s="21"/>
      <c r="B384" s="38">
        <v>1.0</v>
      </c>
      <c r="C384" s="38" t="s">
        <v>26</v>
      </c>
      <c r="D384" s="39">
        <v>20.0</v>
      </c>
      <c r="E384" s="40">
        <f>IFERROR(__xludf.DUMMYFUNCTION("COUNT(IMPORTRANGE(""https://docs.google.com/spreadsheets/d/1z0o91thOT38lgejTE_Bd2p3v_9VCDdQRkUsMIVqpQCk/edit"",""15!d2:d21""))"),20.0)</f>
        <v>20</v>
      </c>
      <c r="F384" s="41">
        <f>IFERROR(__xludf.DUMMYFUNCTION("SUM(IMPORTRANGE(""https://docs.google.com/spreadsheets/d/1z0o91thOT38lgejTE_Bd2p3v_9VCDdQRkUsMIVqpQCk/edit"",""15!Q2:Q21""))"),3625.9080000000004)</f>
        <v>3625.908</v>
      </c>
      <c r="G384" s="40">
        <f>IFERROR(__xludf.DUMMYFUNCTION("IMPORTRANGE(""https://docs.google.com/spreadsheets/d/1z0o91thOT38lgejTE_Bd2p3v_9VCDdQRkUsMIVqpQCk/edit"",""15!e28"")"),2202.0)</f>
        <v>2202</v>
      </c>
      <c r="H384" s="40">
        <f>IFERROR(__xludf.DUMMYFUNCTION("IMPORTRANGE(""https://docs.google.com/spreadsheets/d/1z0o91thOT38lgejTE_Bd2p3v_9VCDdQRkUsMIVqpQCk/edit"",""15!e29"")"),0.0)</f>
        <v>0</v>
      </c>
      <c r="I384" s="40">
        <f t="shared" ref="I384:I401" si="1065">SUM(G384:H384)</f>
        <v>2202</v>
      </c>
      <c r="J384" s="40">
        <f>IFERROR(__xludf.DUMMYFUNCTION("IMPORTRANGE(""https://docs.google.com/spreadsheets/d/1z0o91thOT38lgejTE_Bd2p3v_9VCDdQRkUsMIVqpQCk/edit"",""15!e32"")"),2361.0)</f>
        <v>2361</v>
      </c>
      <c r="K384" s="40">
        <f>IFERROR(__xludf.DUMMYFUNCTION("IMPORTRANGE(""https://docs.google.com/spreadsheets/d/1z0o91thOT38lgejTE_Bd2p3v_9VCDdQRkUsMIVqpQCk/edit"",""15!e33"")"),151.0)</f>
        <v>151</v>
      </c>
      <c r="L384" s="40">
        <f t="shared" ref="L384:L390" si="1066">SUM(J384:K384)</f>
        <v>2512</v>
      </c>
      <c r="M384" s="40">
        <f t="shared" ref="M384:M401" si="1067">SUM(I384+L384)</f>
        <v>4714</v>
      </c>
      <c r="N384" s="41">
        <f t="shared" ref="N384:N402" si="1068">F384/E384</f>
        <v>181.2954</v>
      </c>
      <c r="O384" s="38">
        <v>5161.0</v>
      </c>
      <c r="P384" s="42">
        <f t="shared" ref="P384:P402" si="1069">M384/O384</f>
        <v>0.9133888781</v>
      </c>
      <c r="Q384" s="43">
        <v>1.5</v>
      </c>
      <c r="R384" s="42">
        <f t="shared" ref="R384:R402" si="1070">S384/Q384</f>
        <v>0.866725429</v>
      </c>
      <c r="S384" s="44">
        <f t="shared" ref="S384:S402" si="1071">M384/F384</f>
        <v>1.300088143</v>
      </c>
      <c r="T384" s="43">
        <f>F384/14.415</f>
        <v>251.5371488</v>
      </c>
      <c r="U384" s="43">
        <f t="shared" ref="U384:U402" si="1072">T384/E384</f>
        <v>12.57685744</v>
      </c>
      <c r="V384" s="40">
        <f t="shared" ref="V384:V402" si="1073">M384/E384</f>
        <v>235.7</v>
      </c>
      <c r="X384" s="22">
        <v>4.0</v>
      </c>
      <c r="Y384" s="22" t="s">
        <v>27</v>
      </c>
      <c r="Z384" s="22">
        <f t="shared" ref="Z384:AK384" si="1063">SUM(D397)</f>
        <v>30</v>
      </c>
      <c r="AA384" s="23">
        <f t="shared" si="1063"/>
        <v>30</v>
      </c>
      <c r="AB384" s="24">
        <f t="shared" si="1063"/>
        <v>5885.445</v>
      </c>
      <c r="AC384" s="23">
        <f t="shared" si="1063"/>
        <v>2620</v>
      </c>
      <c r="AD384" s="23">
        <f t="shared" si="1063"/>
        <v>62</v>
      </c>
      <c r="AE384" s="23">
        <f t="shared" si="1063"/>
        <v>2682</v>
      </c>
      <c r="AF384" s="23">
        <f t="shared" si="1063"/>
        <v>2896</v>
      </c>
      <c r="AG384" s="23">
        <f t="shared" si="1063"/>
        <v>35</v>
      </c>
      <c r="AH384" s="23">
        <f t="shared" si="1063"/>
        <v>2931</v>
      </c>
      <c r="AI384" s="23">
        <f t="shared" si="1063"/>
        <v>5613</v>
      </c>
      <c r="AJ384" s="25">
        <f t="shared" si="1063"/>
        <v>196.1815</v>
      </c>
      <c r="AK384" s="22">
        <f t="shared" si="1063"/>
        <v>8101</v>
      </c>
      <c r="AL384" s="26">
        <f t="shared" si="1055"/>
        <v>0.6928774225</v>
      </c>
      <c r="AM384" s="27">
        <f>SUM(Q397)</f>
        <v>1.5</v>
      </c>
      <c r="AN384" s="26">
        <f t="shared" si="1057"/>
        <v>0.6358057887</v>
      </c>
      <c r="AO384" s="28">
        <f t="shared" si="1058"/>
        <v>0.953708683</v>
      </c>
      <c r="AP384" s="27">
        <f t="shared" ref="AP384:AQ384" si="1064">SUM(T397)</f>
        <v>294.4931198</v>
      </c>
      <c r="AQ384" s="27">
        <f t="shared" si="1064"/>
        <v>9.816437328</v>
      </c>
      <c r="AR384" s="23">
        <f t="shared" si="1060"/>
        <v>187.1</v>
      </c>
    </row>
    <row r="385" ht="15.75" customHeight="1">
      <c r="A385" s="21"/>
      <c r="B385" s="38">
        <v>2.0</v>
      </c>
      <c r="C385" s="38" t="s">
        <v>28</v>
      </c>
      <c r="D385" s="39">
        <v>33.0</v>
      </c>
      <c r="E385" s="40">
        <f>IFERROR(__xludf.DUMMYFUNCTION("COUNT(IMPORTRANGE(""https://docs.google.com/spreadsheets/d/10a85iNN0y9GF6ngQfF1JXGAzFk-T7ywH4-TZtQcOTaE/edit"",""15!d2:d34""))"),32.0)</f>
        <v>32</v>
      </c>
      <c r="F385" s="41">
        <f>IFERROR(__xludf.DUMMYFUNCTION("SUM(IMPORTRANGE(""https://docs.google.com/spreadsheets/d/10a85iNN0y9GF6ngQfF1JXGAzFk-T7ywH4-TZtQcOTaE/edit"",""15!Q2:Q34""))"),6374.348000000002)</f>
        <v>6374.348</v>
      </c>
      <c r="G385" s="40">
        <f>IFERROR(__xludf.DUMMYFUNCTION("IMPORTRANGE(""https://docs.google.com/spreadsheets/d/10a85iNN0y9GF6ngQfF1JXGAzFk-T7ywH4-TZtQcOTaE/edit"",""15!e41"")"),2759.0)</f>
        <v>2759</v>
      </c>
      <c r="H385" s="40">
        <f>IFERROR(__xludf.DUMMYFUNCTION("IMPORTRANGE(""https://docs.google.com/spreadsheets/d/10a85iNN0y9GF6ngQfF1JXGAzFk-T7ywH4-TZtQcOTaE/edit"",""15!e42"")"),173.0)</f>
        <v>173</v>
      </c>
      <c r="I385" s="40">
        <f t="shared" si="1065"/>
        <v>2932</v>
      </c>
      <c r="J385" s="40">
        <f>IFERROR(__xludf.DUMMYFUNCTION("IMPORTRANGE(""https://docs.google.com/spreadsheets/d/10a85iNN0y9GF6ngQfF1JXGAzFk-T7ywH4-TZtQcOTaE/edit"",""15!e45"")"),3000.0)</f>
        <v>3000</v>
      </c>
      <c r="K385" s="40">
        <f>IFERROR(__xludf.DUMMYFUNCTION("IMPORTRANGE(""https://docs.google.com/spreadsheets/d/10a85iNN0y9GF6ngQfF1JXGAzFk-T7ywH4-TZtQcOTaE/edit"",""15!e46"")"),106.0)</f>
        <v>106</v>
      </c>
      <c r="L385" s="40">
        <f t="shared" si="1066"/>
        <v>3106</v>
      </c>
      <c r="M385" s="40">
        <f t="shared" si="1067"/>
        <v>6038</v>
      </c>
      <c r="N385" s="41">
        <f t="shared" si="1068"/>
        <v>199.198375</v>
      </c>
      <c r="O385" s="38">
        <v>7315.0</v>
      </c>
      <c r="P385" s="42">
        <f t="shared" si="1069"/>
        <v>0.8254272044</v>
      </c>
      <c r="Q385" s="43">
        <v>1.5</v>
      </c>
      <c r="R385" s="42">
        <f t="shared" si="1070"/>
        <v>0.6314894219</v>
      </c>
      <c r="S385" s="44">
        <f t="shared" si="1071"/>
        <v>0.9472341328</v>
      </c>
      <c r="T385" s="43">
        <f>F385/30.897</f>
        <v>206.3096093</v>
      </c>
      <c r="U385" s="43">
        <f t="shared" si="1072"/>
        <v>6.447175292</v>
      </c>
      <c r="V385" s="40">
        <f t="shared" si="1073"/>
        <v>188.6875</v>
      </c>
      <c r="X385" s="22">
        <v>5.0</v>
      </c>
      <c r="Y385" s="22" t="s">
        <v>29</v>
      </c>
      <c r="Z385" s="22">
        <f t="shared" ref="Z385:AI385" si="1074">SUM(D400)</f>
        <v>30</v>
      </c>
      <c r="AA385" s="23">
        <f t="shared" si="1074"/>
        <v>27</v>
      </c>
      <c r="AB385" s="24">
        <f t="shared" si="1074"/>
        <v>5285.714</v>
      </c>
      <c r="AC385" s="23">
        <f t="shared" si="1074"/>
        <v>2710</v>
      </c>
      <c r="AD385" s="23">
        <f t="shared" si="1074"/>
        <v>0</v>
      </c>
      <c r="AE385" s="23">
        <f t="shared" si="1074"/>
        <v>2710</v>
      </c>
      <c r="AF385" s="23">
        <f t="shared" si="1074"/>
        <v>4067</v>
      </c>
      <c r="AG385" s="23">
        <f t="shared" si="1074"/>
        <v>0</v>
      </c>
      <c r="AH385" s="23">
        <f t="shared" si="1074"/>
        <v>4067</v>
      </c>
      <c r="AI385" s="23">
        <f t="shared" si="1074"/>
        <v>6777</v>
      </c>
      <c r="AJ385" s="25">
        <f t="shared" ref="AJ385:AJ387" si="1077">AB385/AA385</f>
        <v>195.7671852</v>
      </c>
      <c r="AK385" s="22">
        <f t="shared" ref="AK385:AK386" si="1078">SUM(O400)</f>
        <v>9201</v>
      </c>
      <c r="AL385" s="26">
        <f t="shared" si="1055"/>
        <v>0.736550375</v>
      </c>
      <c r="AM385" s="27">
        <f t="shared" ref="AM385:AM386" si="1079">SUM(Q400)</f>
        <v>1.5</v>
      </c>
      <c r="AN385" s="26">
        <f t="shared" si="1057"/>
        <v>0.854756803</v>
      </c>
      <c r="AO385" s="28">
        <f t="shared" si="1058"/>
        <v>1.282135204</v>
      </c>
      <c r="AP385" s="27">
        <f t="shared" ref="AP385:AQ385" si="1075">SUM(T400)</f>
        <v>203</v>
      </c>
      <c r="AQ385" s="27">
        <f t="shared" si="1075"/>
        <v>7.518518519</v>
      </c>
      <c r="AR385" s="23">
        <f t="shared" si="1060"/>
        <v>251</v>
      </c>
    </row>
    <row r="386" ht="15.75" customHeight="1">
      <c r="A386" s="21"/>
      <c r="B386" s="38">
        <v>3.0</v>
      </c>
      <c r="C386" s="38" t="s">
        <v>30</v>
      </c>
      <c r="D386" s="39">
        <v>60.0</v>
      </c>
      <c r="E386" s="40">
        <f>IFERROR(__xludf.DUMMYFUNCTION("COUNT(IMPORTRANGE(""https://docs.google.com/spreadsheets/d/1WojVzHhpzodJL1e5UDHeu3A3u5MTSZwvxHu0BrwvL9w/edit"",""15!d2:d61""))"),59.0)</f>
        <v>59</v>
      </c>
      <c r="F386" s="45">
        <f>IFERROR(__xludf.DUMMYFUNCTION("SUM(IMPORTRANGE(""https://docs.google.com/spreadsheets/d/1WojVzHhpzodJL1e5UDHeu3A3u5MTSZwvxHu0BrwvL9w/edit"",""15!Q2:Q61""))"),11722.787999999986)</f>
        <v>11722.788</v>
      </c>
      <c r="G386" s="40">
        <f>IFERROR(__xludf.DUMMYFUNCTION("IMPORTRANGE(""https://docs.google.com/spreadsheets/d/1WojVzHhpzodJL1e5UDHeu3A3u5MTSZwvxHu0BrwvL9w/edit"",""15!e68"")"),3385.0)</f>
        <v>3385</v>
      </c>
      <c r="H386" s="40">
        <f>IFERROR(__xludf.DUMMYFUNCTION("IMPORTRANGE(""https://docs.google.com/spreadsheets/d/1WojVzHhpzodJL1e5UDHeu3A3u5MTSZwvxHu0BrwvL9w/edit"",""15!e69"")"),0.0)</f>
        <v>0</v>
      </c>
      <c r="I386" s="40">
        <f t="shared" si="1065"/>
        <v>3385</v>
      </c>
      <c r="J386" s="40">
        <f>IFERROR(__xludf.DUMMYFUNCTION("IMPORTRANGE(""https://docs.google.com/spreadsheets/d/1WojVzHhpzodJL1e5UDHeu3A3u5MTSZwvxHu0BrwvL9w/edit"",""15!e72"")"),5624.0)</f>
        <v>5624</v>
      </c>
      <c r="K386" s="40">
        <f>IFERROR(__xludf.DUMMYFUNCTION("IMPORTRANGE(""https://docs.google.com/spreadsheets/d/1WojVzHhpzodJL1e5UDHeu3A3u5MTSZwvxHu0BrwvL9w/edit"",""15!e73"")"),79.0)</f>
        <v>79</v>
      </c>
      <c r="L386" s="40">
        <f t="shared" si="1066"/>
        <v>5703</v>
      </c>
      <c r="M386" s="40">
        <f t="shared" si="1067"/>
        <v>9088</v>
      </c>
      <c r="N386" s="41">
        <f t="shared" si="1068"/>
        <v>198.691322</v>
      </c>
      <c r="O386" s="38">
        <v>11164.0</v>
      </c>
      <c r="P386" s="42">
        <f t="shared" si="1069"/>
        <v>0.8140451451</v>
      </c>
      <c r="Q386" s="43">
        <v>1.5</v>
      </c>
      <c r="R386" s="42">
        <f t="shared" si="1070"/>
        <v>0.5168281357</v>
      </c>
      <c r="S386" s="44">
        <f t="shared" si="1071"/>
        <v>0.7752422035</v>
      </c>
      <c r="T386" s="43">
        <f>F386/29.603</f>
        <v>396</v>
      </c>
      <c r="U386" s="43">
        <f t="shared" si="1072"/>
        <v>6.711864407</v>
      </c>
      <c r="V386" s="40">
        <f t="shared" si="1073"/>
        <v>154.0338983</v>
      </c>
      <c r="X386" s="22">
        <v>6.0</v>
      </c>
      <c r="Y386" s="22" t="s">
        <v>31</v>
      </c>
      <c r="Z386" s="22">
        <f t="shared" ref="Z386:AI386" si="1076">SUM(D401)</f>
        <v>15</v>
      </c>
      <c r="AA386" s="23">
        <f t="shared" si="1076"/>
        <v>15</v>
      </c>
      <c r="AB386" s="25">
        <f t="shared" si="1076"/>
        <v>2955.62</v>
      </c>
      <c r="AC386" s="23">
        <f t="shared" si="1076"/>
        <v>889</v>
      </c>
      <c r="AD386" s="23">
        <f t="shared" si="1076"/>
        <v>79</v>
      </c>
      <c r="AE386" s="23">
        <f t="shared" si="1076"/>
        <v>968</v>
      </c>
      <c r="AF386" s="23">
        <f t="shared" si="1076"/>
        <v>1167</v>
      </c>
      <c r="AG386" s="23">
        <f t="shared" si="1076"/>
        <v>0</v>
      </c>
      <c r="AH386" s="23">
        <f t="shared" si="1076"/>
        <v>1167</v>
      </c>
      <c r="AI386" s="23">
        <f t="shared" si="1076"/>
        <v>2135</v>
      </c>
      <c r="AJ386" s="25">
        <f t="shared" si="1077"/>
        <v>197.0413333</v>
      </c>
      <c r="AK386" s="22">
        <f t="shared" si="1078"/>
        <v>2717</v>
      </c>
      <c r="AL386" s="26">
        <f t="shared" si="1055"/>
        <v>0.7857931542</v>
      </c>
      <c r="AM386" s="27">
        <f t="shared" si="1079"/>
        <v>1.5</v>
      </c>
      <c r="AN386" s="26">
        <f t="shared" si="1057"/>
        <v>0.481568447</v>
      </c>
      <c r="AO386" s="28">
        <f t="shared" si="1058"/>
        <v>0.7223526705</v>
      </c>
      <c r="AP386" s="27">
        <f t="shared" ref="AP386:AQ386" si="1080">SUM(T401)</f>
        <v>68</v>
      </c>
      <c r="AQ386" s="27">
        <f t="shared" si="1080"/>
        <v>4.533333333</v>
      </c>
      <c r="AR386" s="23">
        <f t="shared" si="1060"/>
        <v>142.3333333</v>
      </c>
    </row>
    <row r="387" ht="15.75" customHeight="1">
      <c r="A387" s="21"/>
      <c r="B387" s="38">
        <v>4.0</v>
      </c>
      <c r="C387" s="38" t="s">
        <v>32</v>
      </c>
      <c r="D387" s="39">
        <v>42.0</v>
      </c>
      <c r="E387" s="40">
        <f>IFERROR(__xludf.DUMMYFUNCTION("COUNT(IMPORTRANGE(""https://docs.google.com/spreadsheets/d/1vmCj5YcMSPHj1m64syDndQ6cqVL3yolcU03Y8KHmvdc/edit"",""15!d2:d43""))"),42.0)</f>
        <v>42</v>
      </c>
      <c r="F387" s="45">
        <f>IFERROR(__xludf.DUMMYFUNCTION("SUM(IMPORTRANGE(""https://docs.google.com/spreadsheets/d/1vmCj5YcMSPHj1m64syDndQ6cqVL3yolcU03Y8KHmvdc/edit"",""15!Q2:Q43""))"),8368.25599999999)</f>
        <v>8368.256</v>
      </c>
      <c r="G387" s="38">
        <f>IFERROR(__xludf.DUMMYFUNCTION("IMPORTRANGE(""https://docs.google.com/spreadsheets/d/1vmCj5YcMSPHj1m64syDndQ6cqVL3yolcU03Y8KHmvdc/edit"",""15!e50"")"),4806.0)</f>
        <v>4806</v>
      </c>
      <c r="H387" s="38">
        <f>IFERROR(__xludf.DUMMYFUNCTION("IMPORTRANGE(""https://docs.google.com/spreadsheets/d/1vmCj5YcMSPHj1m64syDndQ6cqVL3yolcU03Y8KHmvdc/edit"",""15!e51"")"),212.0)</f>
        <v>212</v>
      </c>
      <c r="I387" s="40">
        <f t="shared" si="1065"/>
        <v>5018</v>
      </c>
      <c r="J387" s="38">
        <f>IFERROR(__xludf.DUMMYFUNCTION("IMPORTRANGE(""https://docs.google.com/spreadsheets/d/1vmCj5YcMSPHj1m64syDndQ6cqVL3yolcU03Y8KHmvdc/edit"",""15!e54"")"),5372.0)</f>
        <v>5372</v>
      </c>
      <c r="K387" s="38">
        <f>IFERROR(__xludf.DUMMYFUNCTION("IMPORTRANGE(""https://docs.google.com/spreadsheets/d/1vmCj5YcMSPHj1m64syDndQ6cqVL3yolcU03Y8KHmvdc/edit"",""15!e55"")"),230.0)</f>
        <v>230</v>
      </c>
      <c r="L387" s="40">
        <f t="shared" si="1066"/>
        <v>5602</v>
      </c>
      <c r="M387" s="40">
        <f t="shared" si="1067"/>
        <v>10620</v>
      </c>
      <c r="N387" s="41">
        <f t="shared" si="1068"/>
        <v>199.2441905</v>
      </c>
      <c r="O387" s="38">
        <v>13817.0</v>
      </c>
      <c r="P387" s="42">
        <f t="shared" si="1069"/>
        <v>0.7686183687</v>
      </c>
      <c r="Q387" s="43">
        <v>1.5</v>
      </c>
      <c r="R387" s="42">
        <f t="shared" si="1070"/>
        <v>0.8460544228</v>
      </c>
      <c r="S387" s="44">
        <f t="shared" si="1071"/>
        <v>1.269081634</v>
      </c>
      <c r="T387" s="43">
        <f>F387/25.089</f>
        <v>333.5428275</v>
      </c>
      <c r="U387" s="43">
        <f t="shared" si="1072"/>
        <v>7.941495894</v>
      </c>
      <c r="V387" s="40">
        <f t="shared" si="1073"/>
        <v>252.8571429</v>
      </c>
      <c r="X387" s="46" t="s">
        <v>33</v>
      </c>
      <c r="Y387" s="46">
        <v>6.0</v>
      </c>
      <c r="Z387" s="46">
        <f t="shared" ref="Z387:AI387" si="1081">SUM(Z381:Z386)</f>
        <v>186</v>
      </c>
      <c r="AA387" s="47">
        <f t="shared" si="1081"/>
        <v>179</v>
      </c>
      <c r="AB387" s="48">
        <f t="shared" si="1081"/>
        <v>34881.626</v>
      </c>
      <c r="AC387" s="47">
        <f t="shared" si="1081"/>
        <v>11715</v>
      </c>
      <c r="AD387" s="47">
        <f t="shared" si="1081"/>
        <v>743</v>
      </c>
      <c r="AE387" s="47">
        <f t="shared" si="1081"/>
        <v>12458</v>
      </c>
      <c r="AF387" s="47">
        <f t="shared" si="1081"/>
        <v>15652</v>
      </c>
      <c r="AG387" s="47">
        <f t="shared" si="1081"/>
        <v>591</v>
      </c>
      <c r="AH387" s="47">
        <f t="shared" si="1081"/>
        <v>16243</v>
      </c>
      <c r="AI387" s="47">
        <f t="shared" si="1081"/>
        <v>28701</v>
      </c>
      <c r="AJ387" s="49">
        <f t="shared" si="1077"/>
        <v>194.869419</v>
      </c>
      <c r="AK387" s="46">
        <f>SUM(AK381:AK386)</f>
        <v>35074</v>
      </c>
      <c r="AL387" s="50">
        <f t="shared" si="1055"/>
        <v>0.8182984547</v>
      </c>
      <c r="AM387" s="51">
        <v>1.5</v>
      </c>
      <c r="AN387" s="50">
        <f t="shared" si="1057"/>
        <v>0.5485409424</v>
      </c>
      <c r="AO387" s="52">
        <f t="shared" si="1058"/>
        <v>0.8228114137</v>
      </c>
      <c r="AP387" s="51">
        <f>SUM(AP381:AP386)</f>
        <v>1320.121464</v>
      </c>
      <c r="AQ387" s="51">
        <f>AP387/AA387</f>
        <v>7.374980244</v>
      </c>
      <c r="AR387" s="47">
        <f t="shared" si="1060"/>
        <v>160.3407821</v>
      </c>
    </row>
    <row r="388" ht="15.75" customHeight="1">
      <c r="A388" s="21"/>
      <c r="B388" s="38">
        <v>5.0</v>
      </c>
      <c r="C388" s="38" t="s">
        <v>34</v>
      </c>
      <c r="D388" s="39">
        <v>40.0</v>
      </c>
      <c r="E388" s="40">
        <f>IFERROR(__xludf.DUMMYFUNCTION("COUNT(IMPORTRANGE(""https://docs.google.com/spreadsheets/d/14_Y-fpuq1wcec3DlT_1PBYekOC0YblQMrWVfO12YO3k/edit"",""15!d2:d41""))"),40.0)</f>
        <v>40</v>
      </c>
      <c r="F388" s="45">
        <f>IFERROR(__xludf.DUMMYFUNCTION("SUM(IMPORTRANGE(""https://docs.google.com/spreadsheets/d/14_Y-fpuq1wcec3DlT_1PBYekOC0YblQMrWVfO12YO3k/edit"",""15!Q2:Q41""))"),7865.589000000002)</f>
        <v>7865.589</v>
      </c>
      <c r="G388" s="40">
        <f>IFERROR(__xludf.DUMMYFUNCTION("IMPORTRANGE(""https://docs.google.com/spreadsheets/d/14_Y-fpuq1wcec3DlT_1PBYekOC0YblQMrWVfO12YO3k/edit"",""15!e48"")"),2843.0)</f>
        <v>2843</v>
      </c>
      <c r="H388" s="40">
        <f>IFERROR(__xludf.DUMMYFUNCTION("IMPORTRANGE(""https://docs.google.com/spreadsheets/d/14_Y-fpuq1wcec3DlT_1PBYekOC0YblQMrWVfO12YO3k/edit"",""15!e49"")"),0.0)</f>
        <v>0</v>
      </c>
      <c r="I388" s="40">
        <f t="shared" si="1065"/>
        <v>2843</v>
      </c>
      <c r="J388" s="40">
        <f>IFERROR(__xludf.DUMMYFUNCTION("IMPORTRANGE(""https://docs.google.com/spreadsheets/d/14_Y-fpuq1wcec3DlT_1PBYekOC0YblQMrWVfO12YO3k/edit"",""15!e52"")"),3582.0)</f>
        <v>3582</v>
      </c>
      <c r="K388" s="40">
        <f>IFERROR(__xludf.DUMMYFUNCTION("IMPORTRANGE(""https://docs.google.com/spreadsheets/d/14_Y-fpuq1wcec3DlT_1PBYekOC0YblQMrWVfO12YO3k/edit"",""15!e53"")"),88.0)</f>
        <v>88</v>
      </c>
      <c r="L388" s="40">
        <f t="shared" si="1066"/>
        <v>3670</v>
      </c>
      <c r="M388" s="40">
        <f t="shared" si="1067"/>
        <v>6513</v>
      </c>
      <c r="N388" s="41">
        <f t="shared" si="1068"/>
        <v>196.639725</v>
      </c>
      <c r="O388" s="38">
        <v>9354.0</v>
      </c>
      <c r="P388" s="42">
        <f t="shared" si="1069"/>
        <v>0.6962796665</v>
      </c>
      <c r="Q388" s="43">
        <v>1.5</v>
      </c>
      <c r="R388" s="42">
        <f t="shared" si="1070"/>
        <v>0.5520247753</v>
      </c>
      <c r="S388" s="44">
        <f t="shared" si="1071"/>
        <v>0.8280371629</v>
      </c>
      <c r="T388" s="43">
        <f>F388/30.713</f>
        <v>256.0996646</v>
      </c>
      <c r="U388" s="43">
        <f t="shared" si="1072"/>
        <v>6.402491616</v>
      </c>
      <c r="V388" s="40">
        <f t="shared" si="1073"/>
        <v>162.825</v>
      </c>
      <c r="X388" s="53" t="s">
        <v>35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6"/>
    </row>
    <row r="389" ht="15.75" customHeight="1">
      <c r="A389" s="21"/>
      <c r="B389" s="38">
        <v>6.0</v>
      </c>
      <c r="C389" s="38" t="s">
        <v>23</v>
      </c>
      <c r="D389" s="39">
        <v>35.0</v>
      </c>
      <c r="E389" s="40">
        <f>IFERROR(__xludf.DUMMYFUNCTION("COUNT(IMPORTRANGE(""https://docs.google.com/spreadsheets/d/1lJqjdj05V4LOXuBOiTdE65GV4ZITyx1cMLcDdcuoUnE/edit"",""15!d2:d36""))"),33.0)</f>
        <v>33</v>
      </c>
      <c r="F389" s="45">
        <f>IFERROR(__xludf.DUMMYFUNCTION("SUM(IMPORTRANGE(""https://docs.google.com/spreadsheets/d/1lJqjdj05V4LOXuBOiTdE65GV4ZITyx1cMLcDdcuoUnE/edit"",""15!Q2:Q36""))"),6410.599999999996)</f>
        <v>6410.6</v>
      </c>
      <c r="G389" s="40">
        <f>IFERROR(__xludf.DUMMYFUNCTION("IMPORTRANGE(""https://docs.google.com/spreadsheets/d/1lJqjdj05V4LOXuBOiTdE65GV4ZITyx1cMLcDdcuoUnE/edit"",""15!e43"")"),1867.0)</f>
        <v>1867</v>
      </c>
      <c r="H389" s="40">
        <f>IFERROR(__xludf.DUMMYFUNCTION("IMPORTRANGE(""https://docs.google.com/spreadsheets/d/1lJqjdj05V4LOXuBOiTdE65GV4ZITyx1cMLcDdcuoUnE/edit"",""15!e44"")"),0.0)</f>
        <v>0</v>
      </c>
      <c r="I389" s="40">
        <f t="shared" si="1065"/>
        <v>1867</v>
      </c>
      <c r="J389" s="40">
        <f>IFERROR(__xludf.DUMMYFUNCTION("IMPORTRANGE(""https://docs.google.com/spreadsheets/d/1lJqjdj05V4LOXuBOiTdE65GV4ZITyx1cMLcDdcuoUnE/edit"",""15!e47"")"),3170.0)</f>
        <v>3170</v>
      </c>
      <c r="K389" s="40">
        <f>IFERROR(__xludf.DUMMYFUNCTION("IMPORTRANGE(""https://docs.google.com/spreadsheets/d/1lJqjdj05V4LOXuBOiTdE65GV4ZITyx1cMLcDdcuoUnE/edit"",""15!e48"")"),0.0)</f>
        <v>0</v>
      </c>
      <c r="L389" s="40">
        <f t="shared" si="1066"/>
        <v>3170</v>
      </c>
      <c r="M389" s="40">
        <f t="shared" si="1067"/>
        <v>5037</v>
      </c>
      <c r="N389" s="41">
        <f t="shared" si="1068"/>
        <v>194.2606061</v>
      </c>
      <c r="O389" s="38">
        <v>6853.0</v>
      </c>
      <c r="P389" s="42">
        <f t="shared" si="1069"/>
        <v>0.7350065665</v>
      </c>
      <c r="Q389" s="43">
        <v>1.5</v>
      </c>
      <c r="R389" s="42">
        <f t="shared" si="1070"/>
        <v>0.5238199233</v>
      </c>
      <c r="S389" s="44">
        <f t="shared" si="1071"/>
        <v>0.7857298849</v>
      </c>
      <c r="T389" s="43">
        <f>F389/33.74</f>
        <v>190</v>
      </c>
      <c r="U389" s="43">
        <f t="shared" si="1072"/>
        <v>5.757575758</v>
      </c>
      <c r="V389" s="40">
        <f t="shared" si="1073"/>
        <v>152.6363636</v>
      </c>
      <c r="X389" s="14" t="s">
        <v>2</v>
      </c>
      <c r="Y389" s="14" t="s">
        <v>3</v>
      </c>
      <c r="Z389" s="14" t="s">
        <v>4</v>
      </c>
      <c r="AA389" s="14" t="s">
        <v>5</v>
      </c>
      <c r="AB389" s="15" t="s">
        <v>6</v>
      </c>
      <c r="AC389" s="14" t="s">
        <v>7</v>
      </c>
      <c r="AD389" s="14" t="s">
        <v>8</v>
      </c>
      <c r="AE389" s="14" t="s">
        <v>9</v>
      </c>
      <c r="AF389" s="14" t="s">
        <v>10</v>
      </c>
      <c r="AG389" s="14" t="s">
        <v>11</v>
      </c>
      <c r="AH389" s="14" t="s">
        <v>12</v>
      </c>
      <c r="AI389" s="14" t="s">
        <v>13</v>
      </c>
      <c r="AJ389" s="15" t="s">
        <v>14</v>
      </c>
      <c r="AK389" s="14" t="s">
        <v>15</v>
      </c>
      <c r="AL389" s="14" t="s">
        <v>16</v>
      </c>
      <c r="AM389" s="16" t="s">
        <v>17</v>
      </c>
      <c r="AN389" s="17" t="s">
        <v>18</v>
      </c>
      <c r="AO389" s="18" t="s">
        <v>19</v>
      </c>
      <c r="AP389" s="19" t="s">
        <v>20</v>
      </c>
      <c r="AQ389" s="19" t="s">
        <v>21</v>
      </c>
      <c r="AR389" s="20" t="s">
        <v>22</v>
      </c>
    </row>
    <row r="390" ht="15.75" customHeight="1">
      <c r="A390" s="21"/>
      <c r="B390" s="38">
        <v>7.0</v>
      </c>
      <c r="C390" s="38" t="s">
        <v>24</v>
      </c>
      <c r="D390" s="39">
        <v>44.0</v>
      </c>
      <c r="E390" s="54">
        <f>IFERROR(__xludf.DUMMYFUNCTION("COUNT(IMPORTRANGE(""https://docs.google.com/spreadsheets/d/1_7EEO26q9Yq-XhNFiy7I6Zh4Yg6uGjTs9y0UqNvPKcQ/edit"",""15!d2:d45""))"),42.0)</f>
        <v>42</v>
      </c>
      <c r="F390" s="55">
        <f>IFERROR(__xludf.DUMMYFUNCTION("SUM(IMPORTRANGE(""https://docs.google.com/spreadsheets/d/1_7EEO26q9Yq-XhNFiy7I6Zh4Yg6uGjTs9y0UqNvPKcQ/edit"",""15!Q2:Q45""))"),7987.322999999994)</f>
        <v>7987.323</v>
      </c>
      <c r="G390" s="54">
        <f>IFERROR(__xludf.DUMMYFUNCTION("IMPORTRANGE(""https://docs.google.com/spreadsheets/d/1_7EEO26q9Yq-XhNFiy7I6Zh4Yg6uGjTs9y0UqNvPKcQ/edit"",""15!e53"")"),1117.0)</f>
        <v>1117</v>
      </c>
      <c r="H390" s="54">
        <f>IFERROR(__xludf.DUMMYFUNCTION("IMPORTRANGE(""https://docs.google.com/spreadsheets/d/1_7EEO26q9Yq-XhNFiy7I6Zh4Yg6uGjTs9y0UqNvPKcQ/edit"",""15!e54"")"),0.0)</f>
        <v>0</v>
      </c>
      <c r="I390" s="54">
        <f t="shared" si="1065"/>
        <v>1117</v>
      </c>
      <c r="J390" s="54">
        <f>IFERROR(__xludf.DUMMYFUNCTION("IMPORTRANGE(""https://docs.google.com/spreadsheets/d/1_7EEO26q9Yq-XhNFiy7I6Zh4Yg6uGjTs9y0UqNvPKcQ/edit"",""15!e57"")"),1409.0)</f>
        <v>1409</v>
      </c>
      <c r="K390" s="54">
        <f>IFERROR(__xludf.DUMMYFUNCTION("IMPORTRANGE(""https://docs.google.com/spreadsheets/d/1_7EEO26q9Yq-XhNFiy7I6Zh4Yg6uGjTs9y0UqNvPKcQ/edit"",""15!e58"")"),0.0)</f>
        <v>0</v>
      </c>
      <c r="L390" s="40">
        <f t="shared" si="1066"/>
        <v>1409</v>
      </c>
      <c r="M390" s="40">
        <f t="shared" si="1067"/>
        <v>2526</v>
      </c>
      <c r="N390" s="41">
        <f t="shared" si="1068"/>
        <v>190.1743571</v>
      </c>
      <c r="O390" s="38">
        <v>1580.0</v>
      </c>
      <c r="P390" s="56">
        <f t="shared" si="1069"/>
        <v>1.598734177</v>
      </c>
      <c r="Q390" s="43">
        <v>1.5</v>
      </c>
      <c r="R390" s="42">
        <f t="shared" si="1070"/>
        <v>0.210834093</v>
      </c>
      <c r="S390" s="44">
        <f t="shared" si="1071"/>
        <v>0.3162511395</v>
      </c>
      <c r="T390" s="43">
        <f>F390/26.805</f>
        <v>297.9788472</v>
      </c>
      <c r="U390" s="43">
        <f t="shared" si="1072"/>
        <v>7.094734458</v>
      </c>
      <c r="V390" s="40">
        <f t="shared" si="1073"/>
        <v>60.14285714</v>
      </c>
      <c r="X390" s="22">
        <v>1.0</v>
      </c>
      <c r="Y390" s="22" t="s">
        <v>28</v>
      </c>
      <c r="Z390" s="22">
        <f t="shared" ref="Z390:AI390" si="1082">SUM(D385)</f>
        <v>33</v>
      </c>
      <c r="AA390" s="23">
        <f t="shared" si="1082"/>
        <v>32</v>
      </c>
      <c r="AB390" s="25">
        <f t="shared" si="1082"/>
        <v>6374.348</v>
      </c>
      <c r="AC390" s="23">
        <f t="shared" si="1082"/>
        <v>2759</v>
      </c>
      <c r="AD390" s="23">
        <f t="shared" si="1082"/>
        <v>173</v>
      </c>
      <c r="AE390" s="23">
        <f t="shared" si="1082"/>
        <v>2932</v>
      </c>
      <c r="AF390" s="23">
        <f t="shared" si="1082"/>
        <v>3000</v>
      </c>
      <c r="AG390" s="23">
        <f t="shared" si="1082"/>
        <v>106</v>
      </c>
      <c r="AH390" s="23">
        <f t="shared" si="1082"/>
        <v>3106</v>
      </c>
      <c r="AI390" s="23">
        <f t="shared" si="1082"/>
        <v>6038</v>
      </c>
      <c r="AJ390" s="25">
        <f t="shared" ref="AJ390:AJ396" si="1085">AB390/AA390</f>
        <v>199.198375</v>
      </c>
      <c r="AK390" s="22">
        <f t="shared" ref="AK390:AK391" si="1086">SUM(O385)</f>
        <v>7315</v>
      </c>
      <c r="AL390" s="26">
        <f t="shared" ref="AL390:AL396" si="1087">AI390/AK390</f>
        <v>0.8254272044</v>
      </c>
      <c r="AM390" s="27">
        <f t="shared" ref="AM390:AM391" si="1088">SUM(Q385)</f>
        <v>1.5</v>
      </c>
      <c r="AN390" s="26">
        <f t="shared" ref="AN390:AN396" si="1089">AO390/AM390</f>
        <v>0.6314894219</v>
      </c>
      <c r="AO390" s="28">
        <f t="shared" ref="AO390:AO396" si="1090">AI390/AB390</f>
        <v>0.9472341328</v>
      </c>
      <c r="AP390" s="27">
        <f t="shared" ref="AP390:AQ390" si="1083">SUM(T385)</f>
        <v>206.3096093</v>
      </c>
      <c r="AQ390" s="27">
        <f t="shared" si="1083"/>
        <v>6.447175292</v>
      </c>
      <c r="AR390" s="23">
        <f t="shared" ref="AR390:AR396" si="1092">AI390/AA390</f>
        <v>188.6875</v>
      </c>
    </row>
    <row r="391" ht="15.75" customHeight="1">
      <c r="A391" s="21"/>
      <c r="B391" s="38">
        <v>8.0</v>
      </c>
      <c r="C391" s="38" t="s">
        <v>25</v>
      </c>
      <c r="D391" s="57">
        <v>32.0</v>
      </c>
      <c r="E391" s="40">
        <f>IFERROR(__xludf.DUMMYFUNCTION("COUNT(IMPORTRANGE(""https://docs.google.com/spreadsheets/d/1vLOLpiE-XsbnCnwWPcoi87PlUSXfqIAAQn3kvqHfO6s/edit"",""15!d2:D33""))"),32.0)</f>
        <v>32</v>
      </c>
      <c r="F391" s="45">
        <f>IFERROR(__xludf.DUMMYFUNCTION("SUM(IMPORTRANGE(""https://docs.google.com/spreadsheets/d/1vLOLpiE-XsbnCnwWPcoi87PlUSXfqIAAQn3kvqHfO6s/edit"",""15!Q2:Q33""))"),6356.924000000003)</f>
        <v>6356.924</v>
      </c>
      <c r="G391" s="40">
        <f>IFERROR(__xludf.DUMMYFUNCTION("IMPORTRANGE(""https://docs.google.com/spreadsheets/d/1vLOLpiE-XsbnCnwWPcoi87PlUSXfqIAAQn3kvqHfO6s/edit"",""15!e40"")"),2512.0)</f>
        <v>2512</v>
      </c>
      <c r="H391" s="40">
        <f>IFERROR(__xludf.DUMMYFUNCTION("IMPORTRANGE(""https://docs.google.com/spreadsheets/d/1vLOLpiE-XsbnCnwWPcoi87PlUSXfqIAAQn3kvqHfO6s/edit"",""15!e41"")"),602.0)</f>
        <v>602</v>
      </c>
      <c r="I391" s="40">
        <f t="shared" si="1065"/>
        <v>3114</v>
      </c>
      <c r="J391" s="40">
        <f>IFERROR(__xludf.DUMMYFUNCTION("IMPORTRANGE(""https://docs.google.com/spreadsheets/d/1vLOLpiE-XsbnCnwWPcoi87PlUSXfqIAAQn3kvqHfO6s/edit"",""15!e44"")"),2943.0)</f>
        <v>2943</v>
      </c>
      <c r="K391" s="40">
        <f>IFERROR(__xludf.DUMMYFUNCTION("IMPORTRANGE(""https://docs.google.com/spreadsheets/d/1vLOLpiE-XsbnCnwWPcoi87PlUSXfqIAAQn3kvqHfO6s/edit"",""15!e45"")"),556.0)</f>
        <v>556</v>
      </c>
      <c r="L391" s="40">
        <f>J391+K391</f>
        <v>3499</v>
      </c>
      <c r="M391" s="40">
        <f t="shared" si="1067"/>
        <v>6613</v>
      </c>
      <c r="N391" s="41">
        <f t="shared" si="1068"/>
        <v>198.653875</v>
      </c>
      <c r="O391" s="38">
        <v>6622.0</v>
      </c>
      <c r="P391" s="42">
        <f t="shared" si="1069"/>
        <v>0.998640894</v>
      </c>
      <c r="Q391" s="43">
        <v>1.5</v>
      </c>
      <c r="R391" s="42">
        <f t="shared" si="1070"/>
        <v>0.6935220032</v>
      </c>
      <c r="S391" s="44">
        <f t="shared" si="1071"/>
        <v>1.040283005</v>
      </c>
      <c r="T391" s="43">
        <f>F391/23.84</f>
        <v>266.6494966</v>
      </c>
      <c r="U391" s="43">
        <f t="shared" si="1072"/>
        <v>8.33279677</v>
      </c>
      <c r="V391" s="40">
        <f t="shared" si="1073"/>
        <v>206.65625</v>
      </c>
      <c r="X391" s="31">
        <v>2.0</v>
      </c>
      <c r="Y391" s="31" t="s">
        <v>30</v>
      </c>
      <c r="Z391" s="31">
        <f t="shared" ref="Z391:AI391" si="1084">SUM(D386)</f>
        <v>60</v>
      </c>
      <c r="AA391" s="32">
        <f t="shared" si="1084"/>
        <v>59</v>
      </c>
      <c r="AB391" s="33">
        <f t="shared" si="1084"/>
        <v>11722.788</v>
      </c>
      <c r="AC391" s="32">
        <f t="shared" si="1084"/>
        <v>3385</v>
      </c>
      <c r="AD391" s="32">
        <f t="shared" si="1084"/>
        <v>0</v>
      </c>
      <c r="AE391" s="32">
        <f t="shared" si="1084"/>
        <v>3385</v>
      </c>
      <c r="AF391" s="32">
        <f t="shared" si="1084"/>
        <v>5624</v>
      </c>
      <c r="AG391" s="32">
        <f t="shared" si="1084"/>
        <v>79</v>
      </c>
      <c r="AH391" s="32">
        <f t="shared" si="1084"/>
        <v>5703</v>
      </c>
      <c r="AI391" s="32">
        <f t="shared" si="1084"/>
        <v>9088</v>
      </c>
      <c r="AJ391" s="34">
        <f t="shared" si="1085"/>
        <v>198.691322</v>
      </c>
      <c r="AK391" s="31">
        <f t="shared" si="1086"/>
        <v>11164</v>
      </c>
      <c r="AL391" s="35">
        <f t="shared" si="1087"/>
        <v>0.8140451451</v>
      </c>
      <c r="AM391" s="36">
        <f t="shared" si="1088"/>
        <v>1.5</v>
      </c>
      <c r="AN391" s="35">
        <f t="shared" si="1089"/>
        <v>0.5168281357</v>
      </c>
      <c r="AO391" s="37">
        <f t="shared" si="1090"/>
        <v>0.7752422035</v>
      </c>
      <c r="AP391" s="36">
        <f t="shared" ref="AP391:AQ391" si="1091">SUM(T386)</f>
        <v>396</v>
      </c>
      <c r="AQ391" s="36">
        <f t="shared" si="1091"/>
        <v>6.711864407</v>
      </c>
      <c r="AR391" s="32">
        <f t="shared" si="1092"/>
        <v>154.0338983</v>
      </c>
    </row>
    <row r="392" ht="15.75" customHeight="1">
      <c r="A392" s="21"/>
      <c r="B392" s="38">
        <v>9.0</v>
      </c>
      <c r="C392" s="38" t="s">
        <v>36</v>
      </c>
      <c r="D392" s="57">
        <v>24.0</v>
      </c>
      <c r="E392" s="40">
        <f>IFERROR(__xludf.DUMMYFUNCTION("COUNT(IMPORTRANGE(""https://docs.google.com/spreadsheets/d/1WJJVq25XDtGjt-J2JPxeKs3jIvDZtkIREC0lFPXwf74/edit"",""15!d2:d31""))"),23.0)</f>
        <v>23</v>
      </c>
      <c r="F392" s="45">
        <f>IFERROR(__xludf.DUMMYFUNCTION("SUM(IMPORTRANGE(""https://docs.google.com/spreadsheets/d/1WJJVq25XDtGjt-J2JPxeKs3jIvDZtkIREC0lFPXwf74/edit"",""15!Q2:Q31""))"),4595.5380000000005)</f>
        <v>4595.538</v>
      </c>
      <c r="G392" s="40">
        <f>IFERROR(__xludf.DUMMYFUNCTION("IMPORTRANGE(""https://docs.google.com/spreadsheets/d/1WJJVq25XDtGjt-J2JPxeKs3jIvDZtkIREC0lFPXwf74/edit"",""15!e38"")"),1694.0)</f>
        <v>1694</v>
      </c>
      <c r="H392" s="40">
        <f>IFERROR(__xludf.DUMMYFUNCTION("IMPORTRANGE(""https://docs.google.com/spreadsheets/d/1WJJVq25XDtGjt-J2JPxeKs3jIvDZtkIREC0lFPXwf74/edit"",""15!e39"")"),0.0)</f>
        <v>0</v>
      </c>
      <c r="I392" s="40">
        <f t="shared" si="1065"/>
        <v>1694</v>
      </c>
      <c r="J392" s="40">
        <f>IFERROR(__xludf.DUMMYFUNCTION("IMPORTRANGE(""https://docs.google.com/spreadsheets/d/1WJJVq25XDtGjt-J2JPxeKs3jIvDZtkIREC0lFPXwf74/edit"",""15!e42"")"),1805.0)</f>
        <v>1805</v>
      </c>
      <c r="K392" s="40">
        <f>IFERROR(__xludf.DUMMYFUNCTION("IMPORTRANGE(""https://docs.google.com/spreadsheets/d/1WJJVq25XDtGjt-J2JPxeKs3jIvDZtkIREC0lFPXwf74/edit"",""15!e43"")"),0.0)</f>
        <v>0</v>
      </c>
      <c r="L392" s="40">
        <f t="shared" ref="L392:L401" si="1095">SUM(J392:K392)</f>
        <v>1805</v>
      </c>
      <c r="M392" s="40">
        <f t="shared" si="1067"/>
        <v>3499</v>
      </c>
      <c r="N392" s="41">
        <f t="shared" si="1068"/>
        <v>199.806</v>
      </c>
      <c r="O392" s="38">
        <v>4796.0</v>
      </c>
      <c r="P392" s="42">
        <f t="shared" si="1069"/>
        <v>0.7295663053</v>
      </c>
      <c r="Q392" s="43">
        <v>1.5</v>
      </c>
      <c r="R392" s="42">
        <f t="shared" si="1070"/>
        <v>0.5075938153</v>
      </c>
      <c r="S392" s="44">
        <f t="shared" si="1071"/>
        <v>0.7613907229</v>
      </c>
      <c r="T392" s="43">
        <f>F392/37.414</f>
        <v>122.8293687</v>
      </c>
      <c r="U392" s="43">
        <f t="shared" si="1072"/>
        <v>5.340407334</v>
      </c>
      <c r="V392" s="40">
        <f t="shared" si="1073"/>
        <v>152.1304348</v>
      </c>
      <c r="X392" s="22">
        <v>3.0</v>
      </c>
      <c r="Y392" s="22" t="s">
        <v>34</v>
      </c>
      <c r="Z392" s="22">
        <f t="shared" ref="Z392:AI392" si="1093">SUM(D388)</f>
        <v>40</v>
      </c>
      <c r="AA392" s="23">
        <f t="shared" si="1093"/>
        <v>40</v>
      </c>
      <c r="AB392" s="24">
        <f t="shared" si="1093"/>
        <v>7865.589</v>
      </c>
      <c r="AC392" s="23">
        <f t="shared" si="1093"/>
        <v>2843</v>
      </c>
      <c r="AD392" s="23">
        <f t="shared" si="1093"/>
        <v>0</v>
      </c>
      <c r="AE392" s="23">
        <f t="shared" si="1093"/>
        <v>2843</v>
      </c>
      <c r="AF392" s="23">
        <f t="shared" si="1093"/>
        <v>3582</v>
      </c>
      <c r="AG392" s="23">
        <f t="shared" si="1093"/>
        <v>88</v>
      </c>
      <c r="AH392" s="23">
        <f t="shared" si="1093"/>
        <v>3670</v>
      </c>
      <c r="AI392" s="23">
        <f t="shared" si="1093"/>
        <v>6513</v>
      </c>
      <c r="AJ392" s="25">
        <f t="shared" si="1085"/>
        <v>196.639725</v>
      </c>
      <c r="AK392" s="22">
        <f>SUM(O388)</f>
        <v>9354</v>
      </c>
      <c r="AL392" s="26">
        <f t="shared" si="1087"/>
        <v>0.6962796665</v>
      </c>
      <c r="AM392" s="27">
        <f>SUM(Q388)</f>
        <v>1.5</v>
      </c>
      <c r="AN392" s="26">
        <f t="shared" si="1089"/>
        <v>0.5520247753</v>
      </c>
      <c r="AO392" s="28">
        <f t="shared" si="1090"/>
        <v>0.8280371629</v>
      </c>
      <c r="AP392" s="27">
        <f t="shared" ref="AP392:AQ392" si="1094">SUM(T388)</f>
        <v>256.0996646</v>
      </c>
      <c r="AQ392" s="27">
        <f t="shared" si="1094"/>
        <v>6.402491616</v>
      </c>
      <c r="AR392" s="23">
        <f t="shared" si="1092"/>
        <v>162.825</v>
      </c>
    </row>
    <row r="393" ht="15.75" customHeight="1">
      <c r="A393" s="21"/>
      <c r="B393" s="38">
        <v>10.0</v>
      </c>
      <c r="C393" s="38" t="s">
        <v>37</v>
      </c>
      <c r="D393" s="39">
        <v>30.0</v>
      </c>
      <c r="E393" s="40">
        <f>IFERROR(__xludf.DUMMYFUNCTION("COUNT(IMPORTRANGE(""https://docs.google.com/spreadsheets/d/1rJyYfywRpWJW0zvDJHLOJtqUQqffoCGaqTVxxTDgV0k/edit"",""15!d2:d31""))"),30.0)</f>
        <v>30</v>
      </c>
      <c r="F393" s="45">
        <f>IFERROR(__xludf.DUMMYFUNCTION("SUM(IMPORTRANGE(""https://docs.google.com/spreadsheets/d/1rJyYfywRpWJW0zvDJHLOJtqUQqffoCGaqTVxxTDgV0k/edit"",""15!Q2:Q31""))"),5093.219999999999)</f>
        <v>5093.22</v>
      </c>
      <c r="G393" s="40">
        <f>IFERROR(__xludf.DUMMYFUNCTION("(IMPORTRANGE(""https://docs.google.com/spreadsheets/d/1rJyYfywRpWJW0zvDJHLOJtqUQqffoCGaqTVxxTDgV0k/edit"",""15!e38""))"),2042.0)</f>
        <v>2042</v>
      </c>
      <c r="H393" s="40">
        <f>IFERROR(__xludf.DUMMYFUNCTION("(IMPORTRANGE(""https://docs.google.com/spreadsheets/d/1rJyYfywRpWJW0zvDJHLOJtqUQqffoCGaqTVxxTDgV0k/edit"",""15!e39""))"),0.0)</f>
        <v>0</v>
      </c>
      <c r="I393" s="40">
        <f t="shared" si="1065"/>
        <v>2042</v>
      </c>
      <c r="J393" s="40">
        <f>IFERROR(__xludf.DUMMYFUNCTION("(IMPORTRANGE(""https://docs.google.com/spreadsheets/d/1rJyYfywRpWJW0zvDJHLOJtqUQqffoCGaqTVxxTDgV0k/edit"",""15!e42""))"),2645.0)</f>
        <v>2645</v>
      </c>
      <c r="K393" s="40">
        <f>IFERROR(__xludf.DUMMYFUNCTION("(IMPORTRANGE(""https://docs.google.com/spreadsheets/d/1rJyYfywRpWJW0zvDJHLOJtqUQqffoCGaqTVxxTDgV0k/edit"",""15!e43""))"),0.0)</f>
        <v>0</v>
      </c>
      <c r="L393" s="40">
        <f t="shared" si="1095"/>
        <v>2645</v>
      </c>
      <c r="M393" s="40">
        <f t="shared" si="1067"/>
        <v>4687</v>
      </c>
      <c r="N393" s="41">
        <f t="shared" si="1068"/>
        <v>169.774</v>
      </c>
      <c r="O393" s="38">
        <v>5887.0</v>
      </c>
      <c r="P393" s="42">
        <f t="shared" si="1069"/>
        <v>0.7961610328</v>
      </c>
      <c r="Q393" s="43">
        <v>1.5</v>
      </c>
      <c r="R393" s="42">
        <f t="shared" si="1070"/>
        <v>0.6134953265</v>
      </c>
      <c r="S393" s="44">
        <f t="shared" si="1071"/>
        <v>0.9202429897</v>
      </c>
      <c r="T393" s="43">
        <f>F393/24.792</f>
        <v>205.4380445</v>
      </c>
      <c r="U393" s="43">
        <f t="shared" si="1072"/>
        <v>6.847934818</v>
      </c>
      <c r="V393" s="40">
        <f t="shared" si="1073"/>
        <v>156.2333333</v>
      </c>
      <c r="X393" s="31">
        <v>4.0</v>
      </c>
      <c r="Y393" s="31" t="s">
        <v>38</v>
      </c>
      <c r="Z393" s="31">
        <f t="shared" ref="Z393:AI393" si="1096">SUM(D396)</f>
        <v>30</v>
      </c>
      <c r="AA393" s="32">
        <f t="shared" si="1096"/>
        <v>30</v>
      </c>
      <c r="AB393" s="33">
        <f t="shared" si="1096"/>
        <v>6140.576</v>
      </c>
      <c r="AC393" s="32">
        <f t="shared" si="1096"/>
        <v>2334</v>
      </c>
      <c r="AD393" s="32">
        <f t="shared" si="1096"/>
        <v>40</v>
      </c>
      <c r="AE393" s="32">
        <f t="shared" si="1096"/>
        <v>2374</v>
      </c>
      <c r="AF393" s="32">
        <f t="shared" si="1096"/>
        <v>2692</v>
      </c>
      <c r="AG393" s="32">
        <f t="shared" si="1096"/>
        <v>105</v>
      </c>
      <c r="AH393" s="32">
        <f t="shared" si="1096"/>
        <v>2797</v>
      </c>
      <c r="AI393" s="32">
        <f t="shared" si="1096"/>
        <v>5171</v>
      </c>
      <c r="AJ393" s="34">
        <f t="shared" si="1085"/>
        <v>204.6858667</v>
      </c>
      <c r="AK393" s="31">
        <v>7324.0</v>
      </c>
      <c r="AL393" s="35">
        <f t="shared" si="1087"/>
        <v>0.7060349536</v>
      </c>
      <c r="AM393" s="36">
        <f>SUM(Q396)</f>
        <v>1.5</v>
      </c>
      <c r="AN393" s="35">
        <f t="shared" si="1089"/>
        <v>0.5614022745</v>
      </c>
      <c r="AO393" s="37">
        <f t="shared" si="1090"/>
        <v>0.8421034118</v>
      </c>
      <c r="AP393" s="36">
        <f t="shared" ref="AP393:AQ393" si="1097">SUM(T396)</f>
        <v>149.0250212</v>
      </c>
      <c r="AQ393" s="36">
        <f t="shared" si="1097"/>
        <v>4.967500708</v>
      </c>
      <c r="AR393" s="32">
        <f t="shared" si="1092"/>
        <v>172.3666667</v>
      </c>
    </row>
    <row r="394" ht="15.75" customHeight="1">
      <c r="A394" s="21"/>
      <c r="B394" s="38">
        <v>12.0</v>
      </c>
      <c r="C394" s="38" t="s">
        <v>39</v>
      </c>
      <c r="D394" s="39">
        <v>28.0</v>
      </c>
      <c r="E394" s="40">
        <f>IFERROR(__xludf.DUMMYFUNCTION("COUNT(IMPORTRANGE(""https://docs.google.com/spreadsheets/d/1uaTn2DZCfr7O1PvovOd0wElzVz8kpl_iPfnrkNPp0Is/edit"",""15!d2:d29""))"),28.0)</f>
        <v>28</v>
      </c>
      <c r="F394" s="45">
        <f>IFERROR(__xludf.DUMMYFUNCTION("SUM(IMPORTRANGE(""https://docs.google.com/spreadsheets/d/1uaTn2DZCfr7O1PvovOd0wElzVz8kpl_iPfnrkNPp0Is/edit"",""15!Q2:Q29""))"),4910.661999999999)</f>
        <v>4910.662</v>
      </c>
      <c r="G394" s="40">
        <f>IFERROR(__xludf.DUMMYFUNCTION("IMPORTRANGE(""https://docs.google.com/spreadsheets/d/1uaTn2DZCfr7O1PvovOd0wElzVz8kpl_iPfnrkNPp0Is/edit"",""15!e36"")"),1188.0)</f>
        <v>1188</v>
      </c>
      <c r="H394" s="40">
        <f>IFERROR(__xludf.DUMMYFUNCTION("(IMPORTRANGE(""https://docs.google.com/spreadsheets/d/1uaTn2DZCfr7O1PvovOd0wElzVz8kpl_iPfnrkNPp0Is/edit"",""15!e37""))"),0.0)</f>
        <v>0</v>
      </c>
      <c r="I394" s="40">
        <f t="shared" si="1065"/>
        <v>1188</v>
      </c>
      <c r="J394" s="40">
        <f>IFERROR(__xludf.DUMMYFUNCTION("IMPORTRANGE(""https://docs.google.com/spreadsheets/d/1uaTn2DZCfr7O1PvovOd0wElzVz8kpl_iPfnrkNPp0Is/edit"",""15!e40"")"),1533.0)</f>
        <v>1533</v>
      </c>
      <c r="K394" s="40">
        <f>IFERROR(__xludf.DUMMYFUNCTION("IMPORTRANGE(""https://docs.google.com/spreadsheets/d/1uaTn2DZCfr7O1PvovOd0wElzVz8kpl_iPfnrkNPp0Is/edit"",""15!e41"")"),31.0)</f>
        <v>31</v>
      </c>
      <c r="L394" s="40">
        <f t="shared" si="1095"/>
        <v>1564</v>
      </c>
      <c r="M394" s="40">
        <f t="shared" si="1067"/>
        <v>2752</v>
      </c>
      <c r="N394" s="41">
        <f t="shared" si="1068"/>
        <v>175.3807857</v>
      </c>
      <c r="O394" s="38">
        <v>3569.0</v>
      </c>
      <c r="P394" s="42">
        <f t="shared" si="1069"/>
        <v>0.7710843373</v>
      </c>
      <c r="Q394" s="43">
        <v>1.5</v>
      </c>
      <c r="R394" s="42">
        <f t="shared" si="1070"/>
        <v>0.3736088264</v>
      </c>
      <c r="S394" s="44">
        <f t="shared" si="1071"/>
        <v>0.5604132396</v>
      </c>
      <c r="T394" s="43">
        <f>F394/21.463</f>
        <v>228.7966268</v>
      </c>
      <c r="U394" s="43">
        <f t="shared" si="1072"/>
        <v>8.171308098</v>
      </c>
      <c r="V394" s="40">
        <f t="shared" si="1073"/>
        <v>98.28571429</v>
      </c>
      <c r="X394" s="31">
        <v>5.0</v>
      </c>
      <c r="Y394" s="31" t="s">
        <v>40</v>
      </c>
      <c r="Z394" s="31">
        <f t="shared" ref="Z394:AI394" si="1098">SUM(D398)</f>
        <v>30</v>
      </c>
      <c r="AA394" s="32">
        <f t="shared" si="1098"/>
        <v>30</v>
      </c>
      <c r="AB394" s="33">
        <f t="shared" si="1098"/>
        <v>5830.815</v>
      </c>
      <c r="AC394" s="32">
        <f t="shared" si="1098"/>
        <v>3032</v>
      </c>
      <c r="AD394" s="32">
        <f t="shared" si="1098"/>
        <v>0</v>
      </c>
      <c r="AE394" s="32">
        <f t="shared" si="1098"/>
        <v>3032</v>
      </c>
      <c r="AF394" s="32">
        <f t="shared" si="1098"/>
        <v>4114</v>
      </c>
      <c r="AG394" s="32">
        <f t="shared" si="1098"/>
        <v>124</v>
      </c>
      <c r="AH394" s="32">
        <f t="shared" si="1098"/>
        <v>4238</v>
      </c>
      <c r="AI394" s="32">
        <f t="shared" si="1098"/>
        <v>7270</v>
      </c>
      <c r="AJ394" s="34">
        <f t="shared" si="1085"/>
        <v>194.3605</v>
      </c>
      <c r="AK394" s="31">
        <f t="shared" ref="AK394:AK395" si="1101">SUM(O398)</f>
        <v>8239</v>
      </c>
      <c r="AL394" s="35">
        <f t="shared" si="1087"/>
        <v>0.8823886394</v>
      </c>
      <c r="AM394" s="36">
        <f t="shared" ref="AM394:AM395" si="1102">SUM(Q398)</f>
        <v>1.5</v>
      </c>
      <c r="AN394" s="35">
        <f t="shared" si="1089"/>
        <v>0.8312159907</v>
      </c>
      <c r="AO394" s="37">
        <f t="shared" si="1090"/>
        <v>1.246823986</v>
      </c>
      <c r="AP394" s="36">
        <f t="shared" ref="AP394:AQ394" si="1099">SUM(T398)</f>
        <v>205</v>
      </c>
      <c r="AQ394" s="36">
        <f t="shared" si="1099"/>
        <v>6.833333333</v>
      </c>
      <c r="AR394" s="32">
        <f t="shared" si="1092"/>
        <v>242.3333333</v>
      </c>
    </row>
    <row r="395" ht="15.75" customHeight="1">
      <c r="A395" s="21"/>
      <c r="B395" s="38">
        <v>12.0</v>
      </c>
      <c r="C395" s="38" t="s">
        <v>41</v>
      </c>
      <c r="D395" s="39">
        <v>24.0</v>
      </c>
      <c r="E395" s="40">
        <f>IFERROR(__xludf.DUMMYFUNCTION("COUNT(IMPORTRANGE(""https://docs.google.com/spreadsheets/d/1oYscvfOJW7GMkxt8QcupWuzb3ohaYePd3Mt2V2ufHok/edit"",""15!d2:d25""))"),24.0)</f>
        <v>24</v>
      </c>
      <c r="F395" s="45">
        <f>IFERROR(__xludf.DUMMYFUNCTION("SUM(IMPORTRANGE(""https://docs.google.com/spreadsheets/d/1oYscvfOJW7GMkxt8QcupWuzb3ohaYePd3Mt2V2ufHok/edit"",""15!Q2:Q25""))"),4628.552000000001)</f>
        <v>4628.552</v>
      </c>
      <c r="G395" s="40">
        <f>IFERROR(__xludf.DUMMYFUNCTION("IMPORTRANGE(""https://docs.google.com/spreadsheets/d/1oYscvfOJW7GMkxt8QcupWuzb3ohaYePd3Mt2V2ufHok/edit"",""15!e32"")"),1320.0)</f>
        <v>1320</v>
      </c>
      <c r="H395" s="40">
        <f>IFERROR(__xludf.DUMMYFUNCTION("IMPORTRANGE(""https://docs.google.com/spreadsheets/d/1oYscvfOJW7GMkxt8QcupWuzb3ohaYePd3Mt2V2ufHok/edit"",""15!e33"")"),0.0)</f>
        <v>0</v>
      </c>
      <c r="I395" s="40">
        <f t="shared" si="1065"/>
        <v>1320</v>
      </c>
      <c r="J395" s="40">
        <f>IFERROR(__xludf.DUMMYFUNCTION("IMPORTRANGE(""https://docs.google.com/spreadsheets/d/1oYscvfOJW7GMkxt8QcupWuzb3ohaYePd3Mt2V2ufHok/edit"",""15!e36"")"),1760.0)</f>
        <v>1760</v>
      </c>
      <c r="K395" s="40">
        <f>IFERROR(__xludf.DUMMYFUNCTION("IMPORTRANGE(""https://docs.google.com/spreadsheets/d/1oYscvfOJW7GMkxt8QcupWuzb3ohaYePd3Mt2V2ufHok/edit"",""15!e37"")"),75.0)</f>
        <v>75</v>
      </c>
      <c r="L395" s="40">
        <f t="shared" si="1095"/>
        <v>1835</v>
      </c>
      <c r="M395" s="40">
        <f t="shared" si="1067"/>
        <v>3155</v>
      </c>
      <c r="N395" s="41">
        <f t="shared" si="1068"/>
        <v>192.8563333</v>
      </c>
      <c r="O395" s="38">
        <v>3801.0</v>
      </c>
      <c r="P395" s="42">
        <f t="shared" si="1069"/>
        <v>0.8300447251</v>
      </c>
      <c r="Q395" s="43">
        <v>1.5</v>
      </c>
      <c r="R395" s="42">
        <f t="shared" si="1070"/>
        <v>0.4544257758</v>
      </c>
      <c r="S395" s="44">
        <f t="shared" si="1071"/>
        <v>0.6816386637</v>
      </c>
      <c r="T395" s="43">
        <f>F395/29.628</f>
        <v>156.2222222</v>
      </c>
      <c r="U395" s="43">
        <f t="shared" si="1072"/>
        <v>6.509259259</v>
      </c>
      <c r="V395" s="40">
        <f t="shared" si="1073"/>
        <v>131.4583333</v>
      </c>
      <c r="X395" s="22">
        <v>6.0</v>
      </c>
      <c r="Y395" s="22" t="s">
        <v>42</v>
      </c>
      <c r="Z395" s="22">
        <f t="shared" ref="Z395:AI395" si="1100">SUM(D399)</f>
        <v>33</v>
      </c>
      <c r="AA395" s="23">
        <f t="shared" si="1100"/>
        <v>33</v>
      </c>
      <c r="AB395" s="24">
        <f t="shared" si="1100"/>
        <v>6292.586</v>
      </c>
      <c r="AC395" s="23">
        <f t="shared" si="1100"/>
        <v>3577</v>
      </c>
      <c r="AD395" s="23">
        <f t="shared" si="1100"/>
        <v>0</v>
      </c>
      <c r="AE395" s="23">
        <f t="shared" si="1100"/>
        <v>3577</v>
      </c>
      <c r="AF395" s="23">
        <f t="shared" si="1100"/>
        <v>4140</v>
      </c>
      <c r="AG395" s="23">
        <f t="shared" si="1100"/>
        <v>0</v>
      </c>
      <c r="AH395" s="23">
        <f t="shared" si="1100"/>
        <v>4140</v>
      </c>
      <c r="AI395" s="23">
        <f t="shared" si="1100"/>
        <v>7717</v>
      </c>
      <c r="AJ395" s="25">
        <f t="shared" si="1085"/>
        <v>190.6844242</v>
      </c>
      <c r="AK395" s="22">
        <f t="shared" si="1101"/>
        <v>9877</v>
      </c>
      <c r="AL395" s="26">
        <f t="shared" si="1087"/>
        <v>0.7813101144</v>
      </c>
      <c r="AM395" s="27">
        <f t="shared" si="1102"/>
        <v>1.5</v>
      </c>
      <c r="AN395" s="26">
        <f t="shared" si="1089"/>
        <v>0.8175759007</v>
      </c>
      <c r="AO395" s="28">
        <f t="shared" si="1090"/>
        <v>1.226363851</v>
      </c>
      <c r="AP395" s="27">
        <f t="shared" ref="AP395:AQ395" si="1103">SUM(T399)</f>
        <v>240.5882623</v>
      </c>
      <c r="AQ395" s="27">
        <f t="shared" si="1103"/>
        <v>7.290553403</v>
      </c>
      <c r="AR395" s="23">
        <f t="shared" si="1092"/>
        <v>233.8484848</v>
      </c>
    </row>
    <row r="396" ht="15.75" customHeight="1">
      <c r="A396" s="21"/>
      <c r="B396" s="38">
        <v>13.0</v>
      </c>
      <c r="C396" s="38" t="s">
        <v>43</v>
      </c>
      <c r="D396" s="39">
        <v>30.0</v>
      </c>
      <c r="E396" s="40">
        <f>IFERROR(__xludf.DUMMYFUNCTION("COUNT(IMPORTRANGE(""https://docs.google.com/spreadsheets/d/1AxBmuQEdOYAeRnZ4C8vO6kuTNp7X_SGhpLXuY0n4ln4/edit"",""15!d2:d31""))"),30.0)</f>
        <v>30</v>
      </c>
      <c r="F396" s="45">
        <f>IFERROR(__xludf.DUMMYFUNCTION("SUM(IMPORTRANGE(""https://docs.google.com/spreadsheets/d/1AxBmuQEdOYAeRnZ4C8vO6kuTNp7X_SGhpLXuY0n4ln4/edit"",""15!Q2:Q31""))"),6140.576)</f>
        <v>6140.576</v>
      </c>
      <c r="G396" s="40">
        <f>IFERROR(__xludf.DUMMYFUNCTION("IMPORTRANGE(""https://docs.google.com/spreadsheets/d/1AxBmuQEdOYAeRnZ4C8vO6kuTNp7X_SGhpLXuY0n4ln4/edit"",""15!e38"")"),2334.0)</f>
        <v>2334</v>
      </c>
      <c r="H396" s="40">
        <f>IFERROR(__xludf.DUMMYFUNCTION("IMPORTRANGE(""https://docs.google.com/spreadsheets/d/1AxBmuQEdOYAeRnZ4C8vO6kuTNp7X_SGhpLXuY0n4ln4/edit"",""15!e39"")"),40.0)</f>
        <v>40</v>
      </c>
      <c r="I396" s="40">
        <f t="shared" si="1065"/>
        <v>2374</v>
      </c>
      <c r="J396" s="40">
        <f>IFERROR(__xludf.DUMMYFUNCTION("IMPORTRANGE(""https://docs.google.com/spreadsheets/d/1AxBmuQEdOYAeRnZ4C8vO6kuTNp7X_SGhpLXuY0n4ln4/edit"",""15!e42"")"),2692.0)</f>
        <v>2692</v>
      </c>
      <c r="K396" s="40">
        <f>IFERROR(__xludf.DUMMYFUNCTION("IMPORTRANGE(""https://docs.google.com/spreadsheets/d/1AxBmuQEdOYAeRnZ4C8vO6kuTNp7X_SGhpLXuY0n4ln4/edit"",""15!e43"")"),105.0)</f>
        <v>105</v>
      </c>
      <c r="L396" s="40">
        <f t="shared" si="1095"/>
        <v>2797</v>
      </c>
      <c r="M396" s="40">
        <f t="shared" si="1067"/>
        <v>5171</v>
      </c>
      <c r="N396" s="41">
        <f t="shared" si="1068"/>
        <v>204.6858667</v>
      </c>
      <c r="O396" s="38">
        <v>8345.0</v>
      </c>
      <c r="P396" s="42">
        <f t="shared" si="1069"/>
        <v>0.6196524865</v>
      </c>
      <c r="Q396" s="43">
        <v>1.5</v>
      </c>
      <c r="R396" s="42">
        <f t="shared" si="1070"/>
        <v>0.5614022745</v>
      </c>
      <c r="S396" s="44">
        <f t="shared" si="1071"/>
        <v>0.8421034118</v>
      </c>
      <c r="T396" s="43">
        <f>F396/41.205</f>
        <v>149.0250212</v>
      </c>
      <c r="U396" s="43">
        <f t="shared" si="1072"/>
        <v>4.967500708</v>
      </c>
      <c r="V396" s="40">
        <f t="shared" si="1073"/>
        <v>172.3666667</v>
      </c>
      <c r="X396" s="46" t="s">
        <v>33</v>
      </c>
      <c r="Y396" s="46">
        <v>6.0</v>
      </c>
      <c r="Z396" s="46">
        <f t="shared" ref="Z396:AI396" si="1104">SUM(Z390:Z395)</f>
        <v>226</v>
      </c>
      <c r="AA396" s="47">
        <f t="shared" si="1104"/>
        <v>224</v>
      </c>
      <c r="AB396" s="49">
        <f t="shared" si="1104"/>
        <v>44226.702</v>
      </c>
      <c r="AC396" s="47">
        <f t="shared" si="1104"/>
        <v>17930</v>
      </c>
      <c r="AD396" s="47">
        <f t="shared" si="1104"/>
        <v>213</v>
      </c>
      <c r="AE396" s="47">
        <f t="shared" si="1104"/>
        <v>18143</v>
      </c>
      <c r="AF396" s="47">
        <f t="shared" si="1104"/>
        <v>23152</v>
      </c>
      <c r="AG396" s="47">
        <f t="shared" si="1104"/>
        <v>502</v>
      </c>
      <c r="AH396" s="47">
        <f t="shared" si="1104"/>
        <v>23654</v>
      </c>
      <c r="AI396" s="47">
        <f t="shared" si="1104"/>
        <v>41797</v>
      </c>
      <c r="AJ396" s="49">
        <f t="shared" si="1085"/>
        <v>197.4406339</v>
      </c>
      <c r="AK396" s="46">
        <f>SUM(AK390:AK395)</f>
        <v>53273</v>
      </c>
      <c r="AL396" s="50">
        <f t="shared" si="1087"/>
        <v>0.7845813076</v>
      </c>
      <c r="AM396" s="51">
        <v>1.5</v>
      </c>
      <c r="AN396" s="50">
        <f t="shared" si="1089"/>
        <v>0.6300417035</v>
      </c>
      <c r="AO396" s="52">
        <f t="shared" si="1090"/>
        <v>0.9450625552</v>
      </c>
      <c r="AP396" s="51">
        <f>SUM(AP390:AP395)</f>
        <v>1453.022558</v>
      </c>
      <c r="AQ396" s="51">
        <f>AP396/AA396</f>
        <v>6.486707846</v>
      </c>
      <c r="AR396" s="47">
        <f t="shared" si="1092"/>
        <v>186.59375</v>
      </c>
    </row>
    <row r="397" ht="15.75" customHeight="1">
      <c r="A397" s="21"/>
      <c r="B397" s="38">
        <v>14.0</v>
      </c>
      <c r="C397" s="38" t="s">
        <v>27</v>
      </c>
      <c r="D397" s="39">
        <v>30.0</v>
      </c>
      <c r="E397" s="40">
        <f>IFERROR(__xludf.DUMMYFUNCTION("COUNT(IMPORTRANGE(""https://docs.google.com/spreadsheets/d/1LsL4JuXvBtfJ-TVi4NFml9lV_pmd61b789A_nbO-QrA/edit"",""15!d2:d31""))"),30.0)</f>
        <v>30</v>
      </c>
      <c r="F397" s="45">
        <f>IFERROR(__xludf.DUMMYFUNCTION("SUM(IMPORTRANGE(""https://docs.google.com/spreadsheets/d/1LsL4JuXvBtfJ-TVi4NFml9lV_pmd61b789A_nbO-QrA/edit"",""15!Q2:Q31""))"),5885.445)</f>
        <v>5885.445</v>
      </c>
      <c r="G397" s="40">
        <f>IFERROR(__xludf.DUMMYFUNCTION("IMPORTRANGE(""https://docs.google.com/spreadsheets/d/1LsL4JuXvBtfJ-TVi4NFml9lV_pmd61b789A_nbO-QrA/edit"",""15!e38"")"),2620.0)</f>
        <v>2620</v>
      </c>
      <c r="H397" s="40">
        <f>IFERROR(__xludf.DUMMYFUNCTION("IMPORTRANGE(""https://docs.google.com/spreadsheets/d/1LsL4JuXvBtfJ-TVi4NFml9lV_pmd61b789A_nbO-QrA/edit"",""15!e39"")"),62.0)</f>
        <v>62</v>
      </c>
      <c r="I397" s="40">
        <f t="shared" si="1065"/>
        <v>2682</v>
      </c>
      <c r="J397" s="40">
        <f>IFERROR(__xludf.DUMMYFUNCTION("IMPORTRANGE(""https://docs.google.com/spreadsheets/d/1LsL4JuXvBtfJ-TVi4NFml9lV_pmd61b789A_nbO-QrA/edit"",""15!e42"")"),2896.0)</f>
        <v>2896</v>
      </c>
      <c r="K397" s="40">
        <f>IFERROR(__xludf.DUMMYFUNCTION("IMPORTRANGE(""https://docs.google.com/spreadsheets/d/1LsL4JuXvBtfJ-TVi4NFml9lV_pmd61b789A_nbO-QrA/edit"",""15!e43"")"),35.0)</f>
        <v>35</v>
      </c>
      <c r="L397" s="40">
        <f t="shared" si="1095"/>
        <v>2931</v>
      </c>
      <c r="M397" s="40">
        <f t="shared" si="1067"/>
        <v>5613</v>
      </c>
      <c r="N397" s="41">
        <f t="shared" si="1068"/>
        <v>196.1815</v>
      </c>
      <c r="O397" s="38">
        <v>8101.0</v>
      </c>
      <c r="P397" s="42">
        <f t="shared" si="1069"/>
        <v>0.6928774225</v>
      </c>
      <c r="Q397" s="43">
        <v>1.5</v>
      </c>
      <c r="R397" s="42">
        <f t="shared" si="1070"/>
        <v>0.6358057887</v>
      </c>
      <c r="S397" s="44">
        <f t="shared" si="1071"/>
        <v>0.953708683</v>
      </c>
      <c r="T397" s="43">
        <f>F397/19.985</f>
        <v>294.4931198</v>
      </c>
      <c r="U397" s="43">
        <f t="shared" si="1072"/>
        <v>9.816437328</v>
      </c>
      <c r="V397" s="40">
        <f t="shared" si="1073"/>
        <v>187.1</v>
      </c>
      <c r="X397" s="59" t="s">
        <v>44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6"/>
    </row>
    <row r="398" ht="15.75" customHeight="1">
      <c r="A398" s="21"/>
      <c r="B398" s="38">
        <v>15.0</v>
      </c>
      <c r="C398" s="38" t="s">
        <v>40</v>
      </c>
      <c r="D398" s="39">
        <v>30.0</v>
      </c>
      <c r="E398" s="40">
        <f>IFERROR(__xludf.DUMMYFUNCTION("COUNT(IMPORTRANGE(""https://docs.google.com/spreadsheets/d/1Krav0MVlY0vbUNsFRDnb_kR72_tyuGnWBYbGjNZrl18/edit"",""15!d2:d31""))"),30.0)</f>
        <v>30</v>
      </c>
      <c r="F398" s="45">
        <f>IFERROR(__xludf.DUMMYFUNCTION("SUM(IMPORTRANGE(""https://docs.google.com/spreadsheets/d/1Krav0MVlY0vbUNsFRDnb_kR72_tyuGnWBYbGjNZrl18/edit"",""15!Q2:Q31""))"),5830.814999999999)</f>
        <v>5830.815</v>
      </c>
      <c r="G398" s="40">
        <f>IFERROR(__xludf.DUMMYFUNCTION("IMPORTRANGE(""https://docs.google.com/spreadsheets/d/1Krav0MVlY0vbUNsFRDnb_kR72_tyuGnWBYbGjNZrl18/edit"",""15!e38"")"),3032.0)</f>
        <v>3032</v>
      </c>
      <c r="H398" s="40">
        <f>IFERROR(__xludf.DUMMYFUNCTION("IMPORTRANGE(""https://docs.google.com/spreadsheets/d/1Krav0MVlY0vbUNsFRDnb_kR72_tyuGnWBYbGjNZrl18/edit"",""15!e39"")"),0.0)</f>
        <v>0</v>
      </c>
      <c r="I398" s="40">
        <f t="shared" si="1065"/>
        <v>3032</v>
      </c>
      <c r="J398" s="40">
        <f>IFERROR(__xludf.DUMMYFUNCTION("IMPORTRANGE(""https://docs.google.com/spreadsheets/d/1Krav0MVlY0vbUNsFRDnb_kR72_tyuGnWBYbGjNZrl18/edit"",""15!e42"")"),4114.0)</f>
        <v>4114</v>
      </c>
      <c r="K398" s="40">
        <f>IFERROR(__xludf.DUMMYFUNCTION("IMPORTRANGE(""https://docs.google.com/spreadsheets/d/1Krav0MVlY0vbUNsFRDnb_kR72_tyuGnWBYbGjNZrl18/edit"",""15!e43"")"),124.0)</f>
        <v>124</v>
      </c>
      <c r="L398" s="40">
        <f t="shared" si="1095"/>
        <v>4238</v>
      </c>
      <c r="M398" s="40">
        <f t="shared" si="1067"/>
        <v>7270</v>
      </c>
      <c r="N398" s="41">
        <f t="shared" si="1068"/>
        <v>194.3605</v>
      </c>
      <c r="O398" s="38">
        <v>8239.0</v>
      </c>
      <c r="P398" s="42">
        <f t="shared" si="1069"/>
        <v>0.8823886394</v>
      </c>
      <c r="Q398" s="43">
        <v>1.5</v>
      </c>
      <c r="R398" s="42">
        <f t="shared" si="1070"/>
        <v>0.8312159907</v>
      </c>
      <c r="S398" s="44">
        <f t="shared" si="1071"/>
        <v>1.246823986</v>
      </c>
      <c r="T398" s="43">
        <f>F398/28.443</f>
        <v>205</v>
      </c>
      <c r="U398" s="43">
        <f t="shared" si="1072"/>
        <v>6.833333333</v>
      </c>
      <c r="V398" s="40">
        <f t="shared" si="1073"/>
        <v>242.3333333</v>
      </c>
      <c r="X398" s="14" t="s">
        <v>2</v>
      </c>
      <c r="Y398" s="14" t="s">
        <v>3</v>
      </c>
      <c r="Z398" s="14" t="s">
        <v>4</v>
      </c>
      <c r="AA398" s="14" t="s">
        <v>5</v>
      </c>
      <c r="AB398" s="15" t="s">
        <v>6</v>
      </c>
      <c r="AC398" s="14" t="s">
        <v>7</v>
      </c>
      <c r="AD398" s="14" t="s">
        <v>8</v>
      </c>
      <c r="AE398" s="14" t="s">
        <v>9</v>
      </c>
      <c r="AF398" s="14" t="s">
        <v>10</v>
      </c>
      <c r="AG398" s="14" t="s">
        <v>11</v>
      </c>
      <c r="AH398" s="14" t="s">
        <v>12</v>
      </c>
      <c r="AI398" s="14" t="s">
        <v>13</v>
      </c>
      <c r="AJ398" s="15" t="s">
        <v>14</v>
      </c>
      <c r="AK398" s="14" t="s">
        <v>15</v>
      </c>
      <c r="AL398" s="14" t="s">
        <v>16</v>
      </c>
      <c r="AM398" s="16" t="s">
        <v>17</v>
      </c>
      <c r="AN398" s="17" t="s">
        <v>18</v>
      </c>
      <c r="AO398" s="18" t="s">
        <v>19</v>
      </c>
      <c r="AP398" s="19" t="s">
        <v>20</v>
      </c>
      <c r="AQ398" s="19" t="s">
        <v>21</v>
      </c>
      <c r="AR398" s="20" t="s">
        <v>22</v>
      </c>
    </row>
    <row r="399" ht="15.75" customHeight="1">
      <c r="A399" s="21"/>
      <c r="B399" s="38">
        <v>16.0</v>
      </c>
      <c r="C399" s="38" t="s">
        <v>42</v>
      </c>
      <c r="D399" s="39">
        <v>33.0</v>
      </c>
      <c r="E399" s="40">
        <f>IFERROR(__xludf.DUMMYFUNCTION("COUNT(IMPORTRANGE(""https://docs.google.com/spreadsheets/d/1uXtm-E8PG0CetlFmSpTX3RK0LNEMnpR-mxbET9AGD6w/edit"",""15!d2:d34""))"),33.0)</f>
        <v>33</v>
      </c>
      <c r="F399" s="45">
        <f>IFERROR(__xludf.DUMMYFUNCTION("SUM(IMPORTRANGE(""https://docs.google.com/spreadsheets/d/1uXtm-E8PG0CetlFmSpTX3RK0LNEMnpR-mxbET9AGD6w/edit"",""15!Q2:Q34""))"),6292.585999999998)</f>
        <v>6292.586</v>
      </c>
      <c r="G399" s="40">
        <f>IFERROR(__xludf.DUMMYFUNCTION("IMPORTRANGE(""https://docs.google.com/spreadsheets/d/1uXtm-E8PG0CetlFmSpTX3RK0LNEMnpR-mxbET9AGD6w/edit"",""15!e41"")"),3577.0)</f>
        <v>3577</v>
      </c>
      <c r="H399" s="40">
        <f>IFERROR(__xludf.DUMMYFUNCTION("IMPORTRANGE(""https://docs.google.com/spreadsheets/d/1uXtm-E8PG0CetlFmSpTX3RK0LNEMnpR-mxbET9AGD6w/edit"",""15!e42"")"),0.0)</f>
        <v>0</v>
      </c>
      <c r="I399" s="40">
        <f t="shared" si="1065"/>
        <v>3577</v>
      </c>
      <c r="J399" s="40">
        <f>IFERROR(__xludf.DUMMYFUNCTION("IMPORTRANGE(""https://docs.google.com/spreadsheets/d/1uXtm-E8PG0CetlFmSpTX3RK0LNEMnpR-mxbET9AGD6w/edit"",""15!e45"")"),4140.0)</f>
        <v>4140</v>
      </c>
      <c r="K399" s="40">
        <f>IFERROR(__xludf.DUMMYFUNCTION("IMPORTRANGE(""https://docs.google.com/spreadsheets/d/1uXtm-E8PG0CetlFmSpTX3RK0LNEMnpR-mxbET9AGD6w/edit"",""15!e46"")"),0.0)</f>
        <v>0</v>
      </c>
      <c r="L399" s="40">
        <f t="shared" si="1095"/>
        <v>4140</v>
      </c>
      <c r="M399" s="40">
        <f t="shared" si="1067"/>
        <v>7717</v>
      </c>
      <c r="N399" s="41">
        <f t="shared" si="1068"/>
        <v>190.6844242</v>
      </c>
      <c r="O399" s="38">
        <v>9877.0</v>
      </c>
      <c r="P399" s="42">
        <f t="shared" si="1069"/>
        <v>0.7813101144</v>
      </c>
      <c r="Q399" s="43">
        <v>1.5</v>
      </c>
      <c r="R399" s="42">
        <f t="shared" si="1070"/>
        <v>0.8175759007</v>
      </c>
      <c r="S399" s="44">
        <f t="shared" si="1071"/>
        <v>1.226363851</v>
      </c>
      <c r="T399" s="43">
        <f>F399/26.155</f>
        <v>240.5882623</v>
      </c>
      <c r="U399" s="43">
        <f t="shared" si="1072"/>
        <v>7.290553403</v>
      </c>
      <c r="V399" s="40">
        <f t="shared" si="1073"/>
        <v>233.8484848</v>
      </c>
      <c r="X399" s="31">
        <v>1.0</v>
      </c>
      <c r="Y399" s="31" t="s">
        <v>26</v>
      </c>
      <c r="Z399" s="31">
        <f t="shared" ref="Z399:AI399" si="1105">SUM(D384)</f>
        <v>20</v>
      </c>
      <c r="AA399" s="32">
        <f t="shared" si="1105"/>
        <v>20</v>
      </c>
      <c r="AB399" s="34">
        <f t="shared" si="1105"/>
        <v>3625.908</v>
      </c>
      <c r="AC399" s="32">
        <f t="shared" si="1105"/>
        <v>2202</v>
      </c>
      <c r="AD399" s="32">
        <f t="shared" si="1105"/>
        <v>0</v>
      </c>
      <c r="AE399" s="32">
        <f t="shared" si="1105"/>
        <v>2202</v>
      </c>
      <c r="AF399" s="32">
        <f t="shared" si="1105"/>
        <v>2361</v>
      </c>
      <c r="AG399" s="32">
        <f t="shared" si="1105"/>
        <v>151</v>
      </c>
      <c r="AH399" s="32">
        <f t="shared" si="1105"/>
        <v>2512</v>
      </c>
      <c r="AI399" s="32">
        <f t="shared" si="1105"/>
        <v>4714</v>
      </c>
      <c r="AJ399" s="34">
        <f t="shared" ref="AJ399:AJ405" si="1108">AB399/AA399</f>
        <v>181.2954</v>
      </c>
      <c r="AK399" s="31">
        <f>SUM(O384)</f>
        <v>5161</v>
      </c>
      <c r="AL399" s="35">
        <f t="shared" ref="AL399:AL405" si="1109">AI399/AK399</f>
        <v>0.9133888781</v>
      </c>
      <c r="AM399" s="36">
        <f>SUM(Q384)</f>
        <v>1.5</v>
      </c>
      <c r="AN399" s="35">
        <f t="shared" ref="AN399:AN405" si="1110">AO399/AM399</f>
        <v>0.866725429</v>
      </c>
      <c r="AO399" s="37">
        <f t="shared" ref="AO399:AO405" si="1111">AI399/AB399</f>
        <v>1.300088143</v>
      </c>
      <c r="AP399" s="36">
        <f t="shared" ref="AP399:AQ399" si="1106">SUM(T384)</f>
        <v>251.5371488</v>
      </c>
      <c r="AQ399" s="36">
        <f t="shared" si="1106"/>
        <v>12.57685744</v>
      </c>
      <c r="AR399" s="32">
        <f t="shared" ref="AR399:AR405" si="1113">AI399/AA399</f>
        <v>235.7</v>
      </c>
    </row>
    <row r="400" ht="15.75" customHeight="1">
      <c r="A400" s="21"/>
      <c r="B400" s="38">
        <v>17.0</v>
      </c>
      <c r="C400" s="38" t="s">
        <v>29</v>
      </c>
      <c r="D400" s="39">
        <v>30.0</v>
      </c>
      <c r="E400" s="40">
        <f>IFERROR(__xludf.DUMMYFUNCTION("COUNT(IMPORTRANGE(""https://docs.google.com/spreadsheets/d/12xcKI0lSnAsjEsxfm9K8Qx0B_89Gzsh816mowItkQao/edit"",""15!d2:d31""))"),27.0)</f>
        <v>27</v>
      </c>
      <c r="F400" s="45">
        <f>IFERROR(__xludf.DUMMYFUNCTION("SUM(IMPORTRANGE(""https://docs.google.com/spreadsheets/d/12xcKI0lSnAsjEsxfm9K8Qx0B_89Gzsh816mowItkQao/edit"",""15!Q2:Q31""))"),5285.714)</f>
        <v>5285.714</v>
      </c>
      <c r="G400" s="40">
        <f>IFERROR(__xludf.DUMMYFUNCTION("IMPORTRANGE(""https://docs.google.com/spreadsheets/d/12xcKI0lSnAsjEsxfm9K8Qx0B_89Gzsh816mowItkQao/edit"",""15!e38"")"),2710.0)</f>
        <v>2710</v>
      </c>
      <c r="H400" s="40">
        <f>IFERROR(__xludf.DUMMYFUNCTION("IMPORTRANGE(""https://docs.google.com/spreadsheets/d/12xcKI0lSnAsjEsxfm9K8Qx0B_89Gzsh816mowItkQao/edit"",""15!e39"")"),0.0)</f>
        <v>0</v>
      </c>
      <c r="I400" s="40">
        <f t="shared" si="1065"/>
        <v>2710</v>
      </c>
      <c r="J400" s="40">
        <f>IFERROR(__xludf.DUMMYFUNCTION("IMPORTRANGE(""https://docs.google.com/spreadsheets/d/12xcKI0lSnAsjEsxfm9K8Qx0B_89Gzsh816mowItkQao/edit"",""15!e42"")"),4067.0)</f>
        <v>4067</v>
      </c>
      <c r="K400" s="40">
        <f>IFERROR(__xludf.DUMMYFUNCTION("IMPORTRANGE(""https://docs.google.com/spreadsheets/d/12xcKI0lSnAsjEsxfm9K8Qx0B_89Gzsh816mowItkQao/edit"",""15!e43"")"),0.0)</f>
        <v>0</v>
      </c>
      <c r="L400" s="40">
        <f t="shared" si="1095"/>
        <v>4067</v>
      </c>
      <c r="M400" s="40">
        <f t="shared" si="1067"/>
        <v>6777</v>
      </c>
      <c r="N400" s="41">
        <f t="shared" si="1068"/>
        <v>195.7671852</v>
      </c>
      <c r="O400" s="38">
        <v>9201.0</v>
      </c>
      <c r="P400" s="42">
        <f t="shared" si="1069"/>
        <v>0.736550375</v>
      </c>
      <c r="Q400" s="43">
        <v>1.5</v>
      </c>
      <c r="R400" s="42">
        <f t="shared" si="1070"/>
        <v>0.854756803</v>
      </c>
      <c r="S400" s="44">
        <f t="shared" si="1071"/>
        <v>1.282135204</v>
      </c>
      <c r="T400" s="43">
        <f>F400/26.038</f>
        <v>203</v>
      </c>
      <c r="U400" s="43">
        <f t="shared" si="1072"/>
        <v>7.518518519</v>
      </c>
      <c r="V400" s="40">
        <f t="shared" si="1073"/>
        <v>251</v>
      </c>
      <c r="X400" s="31">
        <v>2.0</v>
      </c>
      <c r="Y400" s="31" t="s">
        <v>32</v>
      </c>
      <c r="Z400" s="31">
        <f t="shared" ref="Z400:AI400" si="1107">SUM(D387)</f>
        <v>42</v>
      </c>
      <c r="AA400" s="32">
        <f t="shared" si="1107"/>
        <v>42</v>
      </c>
      <c r="AB400" s="33">
        <f t="shared" si="1107"/>
        <v>8368.256</v>
      </c>
      <c r="AC400" s="31">
        <f t="shared" si="1107"/>
        <v>4806</v>
      </c>
      <c r="AD400" s="31">
        <f t="shared" si="1107"/>
        <v>212</v>
      </c>
      <c r="AE400" s="32">
        <f t="shared" si="1107"/>
        <v>5018</v>
      </c>
      <c r="AF400" s="31">
        <f t="shared" si="1107"/>
        <v>5372</v>
      </c>
      <c r="AG400" s="31">
        <f t="shared" si="1107"/>
        <v>230</v>
      </c>
      <c r="AH400" s="32">
        <f t="shared" si="1107"/>
        <v>5602</v>
      </c>
      <c r="AI400" s="32">
        <f t="shared" si="1107"/>
        <v>10620</v>
      </c>
      <c r="AJ400" s="34">
        <f t="shared" si="1108"/>
        <v>199.2441905</v>
      </c>
      <c r="AK400" s="31">
        <f>SUM(O387)</f>
        <v>13817</v>
      </c>
      <c r="AL400" s="35">
        <f t="shared" si="1109"/>
        <v>0.7686183687</v>
      </c>
      <c r="AM400" s="36">
        <f>SUM(Q387)</f>
        <v>1.5</v>
      </c>
      <c r="AN400" s="35">
        <f t="shared" si="1110"/>
        <v>0.8460544228</v>
      </c>
      <c r="AO400" s="37">
        <f t="shared" si="1111"/>
        <v>1.269081634</v>
      </c>
      <c r="AP400" s="36">
        <f t="shared" ref="AP400:AQ400" si="1112">SUM(T387)</f>
        <v>333.5428275</v>
      </c>
      <c r="AQ400" s="36">
        <f t="shared" si="1112"/>
        <v>7.941495894</v>
      </c>
      <c r="AR400" s="32">
        <f t="shared" si="1113"/>
        <v>252.8571429</v>
      </c>
    </row>
    <row r="401" ht="15.75" customHeight="1">
      <c r="A401" s="21"/>
      <c r="B401" s="38">
        <v>18.0</v>
      </c>
      <c r="C401" s="38" t="s">
        <v>31</v>
      </c>
      <c r="D401" s="39">
        <v>15.0</v>
      </c>
      <c r="E401" s="40">
        <f>IFERROR(__xludf.DUMMYFUNCTION("COUNT(IMPORTRANGE(""https://docs.google.com/spreadsheets/d/1fgCFOFzOla4Qim6_-zG-lbYhLCItqv_kZiAHoErRgcM/edit"",""15!d2:d16""))"),15.0)</f>
        <v>15</v>
      </c>
      <c r="F401" s="41">
        <f>IFERROR(__xludf.DUMMYFUNCTION("SUM(IMPORTRANGE(""https://docs.google.com/spreadsheets/d/1fgCFOFzOla4Qim6_-zG-lbYhLCItqv_kZiAHoErRgcM/edit"",""15!Q2:Q16""))"),2955.62)</f>
        <v>2955.62</v>
      </c>
      <c r="G401" s="40">
        <f>IFERROR(__xludf.DUMMYFUNCTION("IMPORTRANGE(""https://docs.google.com/spreadsheets/d/1fgCFOFzOla4Qim6_-zG-lbYhLCItqv_kZiAHoErRgcM/edit"",""15!e23"")"),889.0)</f>
        <v>889</v>
      </c>
      <c r="H401" s="40">
        <f>IFERROR(__xludf.DUMMYFUNCTION("IMPORTRANGE(""https://docs.google.com/spreadsheets/d/1fgCFOFzOla4Qim6_-zG-lbYhLCItqv_kZiAHoErRgcM/edit"",""15!e24"")"),79.0)</f>
        <v>79</v>
      </c>
      <c r="I401" s="40">
        <f t="shared" si="1065"/>
        <v>968</v>
      </c>
      <c r="J401" s="40">
        <f>IFERROR(__xludf.DUMMYFUNCTION("IMPORTRANGE(""https://docs.google.com/spreadsheets/d/1fgCFOFzOla4Qim6_-zG-lbYhLCItqv_kZiAHoErRgcM/edit"",""15!e27"")"),1167.0)</f>
        <v>1167</v>
      </c>
      <c r="K401" s="40">
        <f>IFERROR(__xludf.DUMMYFUNCTION("IMPORTRANGE(""https://docs.google.com/spreadsheets/d/1fgCFOFzOla4Qim6_-zG-lbYhLCItqv_kZiAHoErRgcM/edit"",""15!e28"")"),0.0)</f>
        <v>0</v>
      </c>
      <c r="L401" s="40">
        <f t="shared" si="1095"/>
        <v>1167</v>
      </c>
      <c r="M401" s="40">
        <f t="shared" si="1067"/>
        <v>2135</v>
      </c>
      <c r="N401" s="41">
        <f t="shared" si="1068"/>
        <v>197.0413333</v>
      </c>
      <c r="O401" s="38">
        <v>2717.0</v>
      </c>
      <c r="P401" s="42">
        <f t="shared" si="1069"/>
        <v>0.7857931542</v>
      </c>
      <c r="Q401" s="43">
        <v>1.5</v>
      </c>
      <c r="R401" s="42">
        <f t="shared" si="1070"/>
        <v>0.481568447</v>
      </c>
      <c r="S401" s="44">
        <f t="shared" si="1071"/>
        <v>0.7223526705</v>
      </c>
      <c r="T401" s="43">
        <f>F401/43.465</f>
        <v>68</v>
      </c>
      <c r="U401" s="43">
        <f t="shared" si="1072"/>
        <v>4.533333333</v>
      </c>
      <c r="V401" s="40">
        <f t="shared" si="1073"/>
        <v>142.3333333</v>
      </c>
      <c r="X401" s="31">
        <v>3.0</v>
      </c>
      <c r="Y401" s="31" t="s">
        <v>36</v>
      </c>
      <c r="Z401" s="31">
        <f t="shared" ref="Z401:AI401" si="1114">SUM(D392)</f>
        <v>24</v>
      </c>
      <c r="AA401" s="32">
        <f t="shared" si="1114"/>
        <v>23</v>
      </c>
      <c r="AB401" s="33">
        <f t="shared" si="1114"/>
        <v>4595.538</v>
      </c>
      <c r="AC401" s="32">
        <f t="shared" si="1114"/>
        <v>1694</v>
      </c>
      <c r="AD401" s="32">
        <f t="shared" si="1114"/>
        <v>0</v>
      </c>
      <c r="AE401" s="32">
        <f t="shared" si="1114"/>
        <v>1694</v>
      </c>
      <c r="AF401" s="32">
        <f t="shared" si="1114"/>
        <v>1805</v>
      </c>
      <c r="AG401" s="32">
        <f t="shared" si="1114"/>
        <v>0</v>
      </c>
      <c r="AH401" s="32">
        <f t="shared" si="1114"/>
        <v>1805</v>
      </c>
      <c r="AI401" s="32">
        <f t="shared" si="1114"/>
        <v>3499</v>
      </c>
      <c r="AJ401" s="34">
        <f t="shared" si="1108"/>
        <v>199.806</v>
      </c>
      <c r="AK401" s="31">
        <f t="shared" ref="AK401:AK404" si="1118">SUM(O392)</f>
        <v>4796</v>
      </c>
      <c r="AL401" s="35">
        <f t="shared" si="1109"/>
        <v>0.7295663053</v>
      </c>
      <c r="AM401" s="36">
        <f t="shared" ref="AM401:AM404" si="1119">SUM(Q392)</f>
        <v>1.5</v>
      </c>
      <c r="AN401" s="35">
        <f t="shared" si="1110"/>
        <v>0.5075938153</v>
      </c>
      <c r="AO401" s="37">
        <f t="shared" si="1111"/>
        <v>0.7613907229</v>
      </c>
      <c r="AP401" s="36">
        <f t="shared" ref="AP401:AQ401" si="1115">SUM(T392)</f>
        <v>122.8293687</v>
      </c>
      <c r="AQ401" s="36">
        <f t="shared" si="1115"/>
        <v>5.340407334</v>
      </c>
      <c r="AR401" s="32">
        <f t="shared" si="1113"/>
        <v>152.1304348</v>
      </c>
    </row>
    <row r="402" ht="15.75" customHeight="1">
      <c r="A402" s="21"/>
      <c r="B402" s="60" t="s">
        <v>33</v>
      </c>
      <c r="C402" s="60">
        <v>18.0</v>
      </c>
      <c r="D402" s="60">
        <f t="shared" ref="D402:M402" si="1116">SUM(D384:D401)</f>
        <v>580</v>
      </c>
      <c r="E402" s="61">
        <f t="shared" si="1116"/>
        <v>570</v>
      </c>
      <c r="F402" s="62">
        <f t="shared" si="1116"/>
        <v>110330.464</v>
      </c>
      <c r="G402" s="61">
        <f t="shared" si="1116"/>
        <v>42897</v>
      </c>
      <c r="H402" s="61">
        <f t="shared" si="1116"/>
        <v>1168</v>
      </c>
      <c r="I402" s="61">
        <f t="shared" si="1116"/>
        <v>44065</v>
      </c>
      <c r="J402" s="61">
        <f t="shared" si="1116"/>
        <v>54280</v>
      </c>
      <c r="K402" s="61">
        <f t="shared" si="1116"/>
        <v>1580</v>
      </c>
      <c r="L402" s="61">
        <f t="shared" si="1116"/>
        <v>55860</v>
      </c>
      <c r="M402" s="61">
        <f t="shared" si="1116"/>
        <v>99925</v>
      </c>
      <c r="N402" s="62">
        <f t="shared" si="1068"/>
        <v>193.5622175</v>
      </c>
      <c r="O402" s="60">
        <f>SUM(O384:O401)</f>
        <v>126399</v>
      </c>
      <c r="P402" s="63">
        <f t="shared" si="1069"/>
        <v>0.7905521404</v>
      </c>
      <c r="Q402" s="64">
        <v>1.5</v>
      </c>
      <c r="R402" s="63">
        <f t="shared" si="1070"/>
        <v>0.6037921373</v>
      </c>
      <c r="S402" s="65">
        <f t="shared" si="1071"/>
        <v>0.9056882059</v>
      </c>
      <c r="T402" s="64">
        <f>SUM(T384:T401)</f>
        <v>4071.51026</v>
      </c>
      <c r="U402" s="64">
        <f t="shared" si="1072"/>
        <v>7.143000456</v>
      </c>
      <c r="V402" s="61">
        <f t="shared" si="1073"/>
        <v>175.3070175</v>
      </c>
      <c r="X402" s="31">
        <v>4.0</v>
      </c>
      <c r="Y402" s="31" t="s">
        <v>37</v>
      </c>
      <c r="Z402" s="31">
        <f t="shared" ref="Z402:AI402" si="1117">SUM(D393)</f>
        <v>30</v>
      </c>
      <c r="AA402" s="32">
        <f t="shared" si="1117"/>
        <v>30</v>
      </c>
      <c r="AB402" s="33">
        <f t="shared" si="1117"/>
        <v>5093.22</v>
      </c>
      <c r="AC402" s="32">
        <f t="shared" si="1117"/>
        <v>2042</v>
      </c>
      <c r="AD402" s="32">
        <f t="shared" si="1117"/>
        <v>0</v>
      </c>
      <c r="AE402" s="32">
        <f t="shared" si="1117"/>
        <v>2042</v>
      </c>
      <c r="AF402" s="32">
        <f t="shared" si="1117"/>
        <v>2645</v>
      </c>
      <c r="AG402" s="32">
        <f t="shared" si="1117"/>
        <v>0</v>
      </c>
      <c r="AH402" s="32">
        <f t="shared" si="1117"/>
        <v>2645</v>
      </c>
      <c r="AI402" s="32">
        <f t="shared" si="1117"/>
        <v>4687</v>
      </c>
      <c r="AJ402" s="34">
        <f t="shared" si="1108"/>
        <v>169.774</v>
      </c>
      <c r="AK402" s="31">
        <f t="shared" si="1118"/>
        <v>5887</v>
      </c>
      <c r="AL402" s="35">
        <f t="shared" si="1109"/>
        <v>0.7961610328</v>
      </c>
      <c r="AM402" s="36">
        <f t="shared" si="1119"/>
        <v>1.5</v>
      </c>
      <c r="AN402" s="35">
        <f t="shared" si="1110"/>
        <v>0.6134953265</v>
      </c>
      <c r="AO402" s="37">
        <f t="shared" si="1111"/>
        <v>0.9202429897</v>
      </c>
      <c r="AP402" s="36">
        <f t="shared" ref="AP402:AQ402" si="1120">SUM(T393)</f>
        <v>205.4380445</v>
      </c>
      <c r="AQ402" s="36">
        <f t="shared" si="1120"/>
        <v>6.847934818</v>
      </c>
      <c r="AR402" s="32">
        <f t="shared" si="1113"/>
        <v>156.2333333</v>
      </c>
    </row>
    <row r="403" ht="15.7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X403" s="31">
        <v>5.0</v>
      </c>
      <c r="Y403" s="31" t="s">
        <v>39</v>
      </c>
      <c r="Z403" s="31">
        <f t="shared" ref="Z403:AI403" si="1121">SUM(D394)</f>
        <v>28</v>
      </c>
      <c r="AA403" s="32">
        <f t="shared" si="1121"/>
        <v>28</v>
      </c>
      <c r="AB403" s="33">
        <f t="shared" si="1121"/>
        <v>4910.662</v>
      </c>
      <c r="AC403" s="32">
        <f t="shared" si="1121"/>
        <v>1188</v>
      </c>
      <c r="AD403" s="32">
        <f t="shared" si="1121"/>
        <v>0</v>
      </c>
      <c r="AE403" s="32">
        <f t="shared" si="1121"/>
        <v>1188</v>
      </c>
      <c r="AF403" s="32">
        <f t="shared" si="1121"/>
        <v>1533</v>
      </c>
      <c r="AG403" s="32">
        <f t="shared" si="1121"/>
        <v>31</v>
      </c>
      <c r="AH403" s="32">
        <f t="shared" si="1121"/>
        <v>1564</v>
      </c>
      <c r="AI403" s="32">
        <f t="shared" si="1121"/>
        <v>2752</v>
      </c>
      <c r="AJ403" s="34">
        <f t="shared" si="1108"/>
        <v>175.3807857</v>
      </c>
      <c r="AK403" s="31">
        <f t="shared" si="1118"/>
        <v>3569</v>
      </c>
      <c r="AL403" s="35">
        <f t="shared" si="1109"/>
        <v>0.7710843373</v>
      </c>
      <c r="AM403" s="36">
        <f t="shared" si="1119"/>
        <v>1.5</v>
      </c>
      <c r="AN403" s="35">
        <f t="shared" si="1110"/>
        <v>0.3736088264</v>
      </c>
      <c r="AO403" s="37">
        <f t="shared" si="1111"/>
        <v>0.5604132396</v>
      </c>
      <c r="AP403" s="36">
        <f t="shared" ref="AP403:AQ403" si="1122">SUM(T394)</f>
        <v>228.7966268</v>
      </c>
      <c r="AQ403" s="36">
        <f t="shared" si="1122"/>
        <v>8.171308098</v>
      </c>
      <c r="AR403" s="32">
        <f t="shared" si="1113"/>
        <v>98.28571429</v>
      </c>
    </row>
    <row r="404" ht="15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X404" s="31">
        <v>6.0</v>
      </c>
      <c r="Y404" s="31" t="s">
        <v>41</v>
      </c>
      <c r="Z404" s="31">
        <f t="shared" ref="Z404:AI404" si="1123">SUM(D395)</f>
        <v>24</v>
      </c>
      <c r="AA404" s="32">
        <f t="shared" si="1123"/>
        <v>24</v>
      </c>
      <c r="AB404" s="33">
        <f t="shared" si="1123"/>
        <v>4628.552</v>
      </c>
      <c r="AC404" s="32">
        <f t="shared" si="1123"/>
        <v>1320</v>
      </c>
      <c r="AD404" s="32">
        <f t="shared" si="1123"/>
        <v>0</v>
      </c>
      <c r="AE404" s="32">
        <f t="shared" si="1123"/>
        <v>1320</v>
      </c>
      <c r="AF404" s="32">
        <f t="shared" si="1123"/>
        <v>1760</v>
      </c>
      <c r="AG404" s="32">
        <f t="shared" si="1123"/>
        <v>75</v>
      </c>
      <c r="AH404" s="32">
        <f t="shared" si="1123"/>
        <v>1835</v>
      </c>
      <c r="AI404" s="32">
        <f t="shared" si="1123"/>
        <v>3155</v>
      </c>
      <c r="AJ404" s="34">
        <f t="shared" si="1108"/>
        <v>192.8563333</v>
      </c>
      <c r="AK404" s="31">
        <f t="shared" si="1118"/>
        <v>3801</v>
      </c>
      <c r="AL404" s="35">
        <f t="shared" si="1109"/>
        <v>0.8300447251</v>
      </c>
      <c r="AM404" s="36">
        <f t="shared" si="1119"/>
        <v>1.5</v>
      </c>
      <c r="AN404" s="35">
        <f t="shared" si="1110"/>
        <v>0.4544257758</v>
      </c>
      <c r="AO404" s="37">
        <f t="shared" si="1111"/>
        <v>0.6816386637</v>
      </c>
      <c r="AP404" s="36">
        <f t="shared" ref="AP404:AQ404" si="1124">SUM(T395)</f>
        <v>156.2222222</v>
      </c>
      <c r="AQ404" s="36">
        <f t="shared" si="1124"/>
        <v>6.509259259</v>
      </c>
      <c r="AR404" s="32">
        <f t="shared" si="1113"/>
        <v>131.4583333</v>
      </c>
    </row>
    <row r="405" ht="15.75" customHeight="1">
      <c r="A405" s="1" t="s">
        <v>45</v>
      </c>
      <c r="D405" s="2"/>
      <c r="X405" s="46" t="s">
        <v>33</v>
      </c>
      <c r="Y405" s="46">
        <v>6.0</v>
      </c>
      <c r="Z405" s="46">
        <f t="shared" ref="Z405:AI405" si="1125">SUM(Z399:Z404)</f>
        <v>168</v>
      </c>
      <c r="AA405" s="47">
        <f t="shared" si="1125"/>
        <v>167</v>
      </c>
      <c r="AB405" s="49">
        <f t="shared" si="1125"/>
        <v>31222.136</v>
      </c>
      <c r="AC405" s="47">
        <f t="shared" si="1125"/>
        <v>13252</v>
      </c>
      <c r="AD405" s="47">
        <f t="shared" si="1125"/>
        <v>212</v>
      </c>
      <c r="AE405" s="47">
        <f t="shared" si="1125"/>
        <v>13464</v>
      </c>
      <c r="AF405" s="47">
        <f t="shared" si="1125"/>
        <v>15476</v>
      </c>
      <c r="AG405" s="47">
        <f t="shared" si="1125"/>
        <v>487</v>
      </c>
      <c r="AH405" s="47">
        <f t="shared" si="1125"/>
        <v>15963</v>
      </c>
      <c r="AI405" s="47">
        <f t="shared" si="1125"/>
        <v>29427</v>
      </c>
      <c r="AJ405" s="49">
        <f t="shared" si="1108"/>
        <v>186.9588982</v>
      </c>
      <c r="AK405" s="46">
        <f>SUM(AK399:AK404)</f>
        <v>37031</v>
      </c>
      <c r="AL405" s="50">
        <f t="shared" si="1109"/>
        <v>0.7946585293</v>
      </c>
      <c r="AM405" s="51">
        <v>1.5</v>
      </c>
      <c r="AN405" s="50">
        <f t="shared" si="1110"/>
        <v>0.6283362548</v>
      </c>
      <c r="AO405" s="52">
        <f t="shared" si="1111"/>
        <v>0.9425043821</v>
      </c>
      <c r="AP405" s="51">
        <f>SUM(AP399:AP404)</f>
        <v>1298.366239</v>
      </c>
      <c r="AQ405" s="51">
        <f>AP405/AA405</f>
        <v>7.774648135</v>
      </c>
      <c r="AR405" s="47">
        <f t="shared" si="1113"/>
        <v>176.2095808</v>
      </c>
    </row>
    <row r="406" ht="15.75" customHeight="1">
      <c r="A406" s="1" t="s">
        <v>45</v>
      </c>
      <c r="D406" s="2"/>
      <c r="X406" s="66" t="s">
        <v>1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6"/>
    </row>
    <row r="407" ht="15.75" customHeight="1">
      <c r="A407" s="7">
        <v>46219.0</v>
      </c>
      <c r="B407" s="8" t="s">
        <v>2</v>
      </c>
      <c r="C407" s="8" t="s">
        <v>3</v>
      </c>
      <c r="D407" s="8" t="s">
        <v>4</v>
      </c>
      <c r="E407" s="8" t="s">
        <v>5</v>
      </c>
      <c r="F407" s="9" t="s">
        <v>6</v>
      </c>
      <c r="G407" s="8" t="s">
        <v>7</v>
      </c>
      <c r="H407" s="8" t="s">
        <v>8</v>
      </c>
      <c r="I407" s="8" t="s">
        <v>9</v>
      </c>
      <c r="J407" s="8" t="s">
        <v>10</v>
      </c>
      <c r="K407" s="8" t="s">
        <v>11</v>
      </c>
      <c r="L407" s="8" t="s">
        <v>12</v>
      </c>
      <c r="M407" s="8" t="s">
        <v>13</v>
      </c>
      <c r="N407" s="9" t="s">
        <v>14</v>
      </c>
      <c r="O407" s="8" t="s">
        <v>15</v>
      </c>
      <c r="P407" s="8" t="s">
        <v>16</v>
      </c>
      <c r="Q407" s="8" t="s">
        <v>17</v>
      </c>
      <c r="R407" s="8" t="s">
        <v>18</v>
      </c>
      <c r="S407" s="11" t="s">
        <v>19</v>
      </c>
      <c r="T407" s="12" t="s">
        <v>20</v>
      </c>
      <c r="U407" s="12" t="s">
        <v>21</v>
      </c>
      <c r="V407" s="13" t="s">
        <v>22</v>
      </c>
      <c r="X407" s="14" t="s">
        <v>2</v>
      </c>
      <c r="Y407" s="14" t="s">
        <v>3</v>
      </c>
      <c r="Z407" s="14" t="s">
        <v>4</v>
      </c>
      <c r="AA407" s="14" t="s">
        <v>5</v>
      </c>
      <c r="AB407" s="15" t="s">
        <v>6</v>
      </c>
      <c r="AC407" s="14" t="s">
        <v>7</v>
      </c>
      <c r="AD407" s="14" t="s">
        <v>8</v>
      </c>
      <c r="AE407" s="14" t="s">
        <v>9</v>
      </c>
      <c r="AF407" s="14" t="s">
        <v>10</v>
      </c>
      <c r="AG407" s="14" t="s">
        <v>11</v>
      </c>
      <c r="AH407" s="14" t="s">
        <v>12</v>
      </c>
      <c r="AI407" s="14" t="s">
        <v>13</v>
      </c>
      <c r="AJ407" s="15" t="s">
        <v>14</v>
      </c>
      <c r="AK407" s="14" t="s">
        <v>15</v>
      </c>
      <c r="AL407" s="14" t="s">
        <v>16</v>
      </c>
      <c r="AM407" s="16" t="s">
        <v>17</v>
      </c>
      <c r="AN407" s="17" t="s">
        <v>18</v>
      </c>
      <c r="AO407" s="18" t="s">
        <v>19</v>
      </c>
      <c r="AP407" s="19" t="s">
        <v>20</v>
      </c>
      <c r="AQ407" s="19" t="s">
        <v>21</v>
      </c>
      <c r="AR407" s="20" t="s">
        <v>22</v>
      </c>
    </row>
    <row r="408" ht="15.7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X408" s="22">
        <v>1.0</v>
      </c>
      <c r="Y408" s="22" t="s">
        <v>23</v>
      </c>
      <c r="Z408" s="22">
        <f t="shared" ref="Z408:AI408" si="1126">SUM(D416)</f>
        <v>35</v>
      </c>
      <c r="AA408" s="23">
        <f t="shared" si="1126"/>
        <v>35</v>
      </c>
      <c r="AB408" s="24">
        <f t="shared" si="1126"/>
        <v>6631.704</v>
      </c>
      <c r="AC408" s="23">
        <f t="shared" si="1126"/>
        <v>1799</v>
      </c>
      <c r="AD408" s="23">
        <f t="shared" si="1126"/>
        <v>0</v>
      </c>
      <c r="AE408" s="23">
        <f t="shared" si="1126"/>
        <v>1799</v>
      </c>
      <c r="AF408" s="23">
        <f t="shared" si="1126"/>
        <v>3360</v>
      </c>
      <c r="AG408" s="23">
        <f t="shared" si="1126"/>
        <v>0</v>
      </c>
      <c r="AH408" s="23">
        <f t="shared" si="1126"/>
        <v>3360</v>
      </c>
      <c r="AI408" s="23">
        <f t="shared" si="1126"/>
        <v>5159</v>
      </c>
      <c r="AJ408" s="25">
        <f t="shared" ref="AJ408:AJ410" si="1129">AB408/AA408</f>
        <v>189.4772571</v>
      </c>
      <c r="AK408" s="22">
        <f>SUM(O416)</f>
        <v>6853</v>
      </c>
      <c r="AL408" s="26">
        <f t="shared" ref="AL408:AL414" si="1130">AI408/AK408</f>
        <v>0.7528089888</v>
      </c>
      <c r="AM408" s="27">
        <f t="shared" ref="AM408:AM410" si="1131">SUM(Q416)</f>
        <v>1.5</v>
      </c>
      <c r="AN408" s="26">
        <f t="shared" ref="AN408:AN414" si="1132">AO408/AM408</f>
        <v>0.5186198499</v>
      </c>
      <c r="AO408" s="28">
        <f t="shared" ref="AO408:AO414" si="1133">AI408/AB408</f>
        <v>0.7779297749</v>
      </c>
      <c r="AP408" s="27">
        <f t="shared" ref="AP408:AQ408" si="1127">SUM(T416)</f>
        <v>196.5531713</v>
      </c>
      <c r="AQ408" s="27">
        <f t="shared" si="1127"/>
        <v>5.615804895</v>
      </c>
      <c r="AR408" s="23">
        <f t="shared" ref="AR408:AR414" si="1135">AI408/AA408</f>
        <v>147.4</v>
      </c>
    </row>
    <row r="409" ht="15.7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X409" s="22">
        <v>2.0</v>
      </c>
      <c r="Y409" s="22" t="s">
        <v>24</v>
      </c>
      <c r="Z409" s="22">
        <f t="shared" ref="Z409:AI409" si="1128">SUM(D417)</f>
        <v>44</v>
      </c>
      <c r="AA409" s="23">
        <f t="shared" si="1128"/>
        <v>43</v>
      </c>
      <c r="AB409" s="24">
        <f t="shared" si="1128"/>
        <v>8491.963</v>
      </c>
      <c r="AC409" s="23">
        <f t="shared" si="1128"/>
        <v>962</v>
      </c>
      <c r="AD409" s="23">
        <f t="shared" si="1128"/>
        <v>26</v>
      </c>
      <c r="AE409" s="23">
        <f t="shared" si="1128"/>
        <v>988</v>
      </c>
      <c r="AF409" s="23">
        <f t="shared" si="1128"/>
        <v>1392</v>
      </c>
      <c r="AG409" s="23">
        <f t="shared" si="1128"/>
        <v>70</v>
      </c>
      <c r="AH409" s="23">
        <f t="shared" si="1128"/>
        <v>1462</v>
      </c>
      <c r="AI409" s="23">
        <f t="shared" si="1128"/>
        <v>2450</v>
      </c>
      <c r="AJ409" s="25">
        <f t="shared" si="1129"/>
        <v>197.4875116</v>
      </c>
      <c r="AK409" s="22">
        <v>1580.0</v>
      </c>
      <c r="AL409" s="29">
        <f t="shared" si="1130"/>
        <v>1.550632911</v>
      </c>
      <c r="AM409" s="27">
        <f t="shared" si="1131"/>
        <v>1.5</v>
      </c>
      <c r="AN409" s="26">
        <f t="shared" si="1132"/>
        <v>0.1923387247</v>
      </c>
      <c r="AO409" s="28">
        <f t="shared" si="1133"/>
        <v>0.288508087</v>
      </c>
      <c r="AP409" s="27">
        <f t="shared" ref="AP409:AQ409" si="1134">SUM(T417)</f>
        <v>316.8051856</v>
      </c>
      <c r="AQ409" s="27">
        <f t="shared" si="1134"/>
        <v>7.367562456</v>
      </c>
      <c r="AR409" s="23">
        <f t="shared" si="1135"/>
        <v>56.97674419</v>
      </c>
    </row>
    <row r="410" ht="15.75" customHeight="1">
      <c r="A410" s="21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X410" s="31">
        <v>3.0</v>
      </c>
      <c r="Y410" s="31" t="s">
        <v>25</v>
      </c>
      <c r="Z410" s="31">
        <f t="shared" ref="Z410:AI410" si="1136">SUM(D418)</f>
        <v>32</v>
      </c>
      <c r="AA410" s="32">
        <f t="shared" si="1136"/>
        <v>32</v>
      </c>
      <c r="AB410" s="33">
        <f t="shared" si="1136"/>
        <v>6201.08</v>
      </c>
      <c r="AC410" s="32">
        <f t="shared" si="1136"/>
        <v>2204</v>
      </c>
      <c r="AD410" s="32">
        <f t="shared" si="1136"/>
        <v>526</v>
      </c>
      <c r="AE410" s="32">
        <f t="shared" si="1136"/>
        <v>2730</v>
      </c>
      <c r="AF410" s="32">
        <f t="shared" si="1136"/>
        <v>3426</v>
      </c>
      <c r="AG410" s="32">
        <f t="shared" si="1136"/>
        <v>432</v>
      </c>
      <c r="AH410" s="32">
        <f t="shared" si="1136"/>
        <v>3858</v>
      </c>
      <c r="AI410" s="32">
        <f t="shared" si="1136"/>
        <v>6588</v>
      </c>
      <c r="AJ410" s="34">
        <f t="shared" si="1129"/>
        <v>193.78375</v>
      </c>
      <c r="AK410" s="31">
        <f>SUM(O418)</f>
        <v>6622</v>
      </c>
      <c r="AL410" s="35">
        <f t="shared" si="1130"/>
        <v>0.9948655995</v>
      </c>
      <c r="AM410" s="36">
        <f t="shared" si="1131"/>
        <v>1.5</v>
      </c>
      <c r="AN410" s="35">
        <f t="shared" si="1132"/>
        <v>0.7082637218</v>
      </c>
      <c r="AO410" s="37">
        <f t="shared" si="1133"/>
        <v>1.062395583</v>
      </c>
      <c r="AP410" s="36">
        <f t="shared" ref="AP410:AQ410" si="1137">SUM(T418)</f>
        <v>260.1124161</v>
      </c>
      <c r="AQ410" s="36">
        <f t="shared" si="1137"/>
        <v>8.128513003</v>
      </c>
      <c r="AR410" s="32">
        <f t="shared" si="1135"/>
        <v>205.875</v>
      </c>
    </row>
    <row r="411" ht="15.75" customHeight="1">
      <c r="A411" s="21"/>
      <c r="B411" s="38">
        <v>1.0</v>
      </c>
      <c r="C411" s="38" t="s">
        <v>26</v>
      </c>
      <c r="D411" s="39">
        <v>20.0</v>
      </c>
      <c r="E411" s="40">
        <f>IFERROR(__xludf.DUMMYFUNCTION("COUNT(IMPORTRANGE(""https://docs.google.com/spreadsheets/d/1z0o91thOT38lgejTE_Bd2p3v_9VCDdQRkUsMIVqpQCk/edit"",""16!d2:d21""))"),20.0)</f>
        <v>20</v>
      </c>
      <c r="F411" s="41">
        <f>IFERROR(__xludf.DUMMYFUNCTION("SUM(IMPORTRANGE(""https://docs.google.com/spreadsheets/d/1z0o91thOT38lgejTE_Bd2p3v_9VCDdQRkUsMIVqpQCk/edit"",""16!Q2:Q21""))"),3748.5119999999997)</f>
        <v>3748.512</v>
      </c>
      <c r="G411" s="40">
        <f>IFERROR(__xludf.DUMMYFUNCTION("IMPORTRANGE(""https://docs.google.com/spreadsheets/d/1z0o91thOT38lgejTE_Bd2p3v_9VCDdQRkUsMIVqpQCk/edit"",""16!e28"")"),2066.0)</f>
        <v>2066</v>
      </c>
      <c r="H411" s="40">
        <f>IFERROR(__xludf.DUMMYFUNCTION("IMPORTRANGE(""https://docs.google.com/spreadsheets/d/1z0o91thOT38lgejTE_Bd2p3v_9VCDdQRkUsMIVqpQCk/edit"",""16!e29"")"),0.0)</f>
        <v>0</v>
      </c>
      <c r="I411" s="40">
        <f t="shared" ref="I411:I428" si="1140">SUM(G411:H411)</f>
        <v>2066</v>
      </c>
      <c r="J411" s="40">
        <f>IFERROR(__xludf.DUMMYFUNCTION("IMPORTRANGE(""https://docs.google.com/spreadsheets/d/1z0o91thOT38lgejTE_Bd2p3v_9VCDdQRkUsMIVqpQCk/edit"",""16!e32"")"),2723.0)</f>
        <v>2723</v>
      </c>
      <c r="K411" s="40">
        <f>IFERROR(__xludf.DUMMYFUNCTION("IMPORTRANGE(""https://docs.google.com/spreadsheets/d/1z0o91thOT38lgejTE_Bd2p3v_9VCDdQRkUsMIVqpQCk/edit"",""16!e33"")"),189.0)</f>
        <v>189</v>
      </c>
      <c r="L411" s="40">
        <f t="shared" ref="L411:L417" si="1141">SUM(J411:K411)</f>
        <v>2912</v>
      </c>
      <c r="M411" s="40">
        <f t="shared" ref="M411:M428" si="1142">SUM(I411+L411)</f>
        <v>4978</v>
      </c>
      <c r="N411" s="41">
        <f t="shared" ref="N411:N429" si="1143">F411/E411</f>
        <v>187.4256</v>
      </c>
      <c r="O411" s="38">
        <v>5161.0</v>
      </c>
      <c r="P411" s="42">
        <f t="shared" ref="P411:P429" si="1144">M411/O411</f>
        <v>0.9645417555</v>
      </c>
      <c r="Q411" s="43">
        <v>1.5</v>
      </c>
      <c r="R411" s="42">
        <f t="shared" ref="R411:R429" si="1145">S411/Q411</f>
        <v>0.8853290764</v>
      </c>
      <c r="S411" s="44">
        <f t="shared" ref="S411:S429" si="1146">M411/F411</f>
        <v>1.327993615</v>
      </c>
      <c r="T411" s="43">
        <f>F411/14.415</f>
        <v>260.0424558</v>
      </c>
      <c r="U411" s="43">
        <f t="shared" ref="U411:U429" si="1147">T411/E411</f>
        <v>13.00212279</v>
      </c>
      <c r="V411" s="40">
        <f t="shared" ref="V411:V429" si="1148">M411/E411</f>
        <v>248.9</v>
      </c>
      <c r="X411" s="22">
        <v>4.0</v>
      </c>
      <c r="Y411" s="22" t="s">
        <v>27</v>
      </c>
      <c r="Z411" s="22">
        <f t="shared" ref="Z411:AK411" si="1138">SUM(D424)</f>
        <v>30</v>
      </c>
      <c r="AA411" s="23">
        <f t="shared" si="1138"/>
        <v>29</v>
      </c>
      <c r="AB411" s="24">
        <f t="shared" si="1138"/>
        <v>5345.85</v>
      </c>
      <c r="AC411" s="23">
        <f t="shared" si="1138"/>
        <v>2255</v>
      </c>
      <c r="AD411" s="23">
        <f t="shared" si="1138"/>
        <v>0</v>
      </c>
      <c r="AE411" s="23">
        <f t="shared" si="1138"/>
        <v>2255</v>
      </c>
      <c r="AF411" s="23">
        <f t="shared" si="1138"/>
        <v>2961</v>
      </c>
      <c r="AG411" s="23">
        <f t="shared" si="1138"/>
        <v>0</v>
      </c>
      <c r="AH411" s="23">
        <f t="shared" si="1138"/>
        <v>2961</v>
      </c>
      <c r="AI411" s="23">
        <f t="shared" si="1138"/>
        <v>5216</v>
      </c>
      <c r="AJ411" s="25">
        <f t="shared" si="1138"/>
        <v>184.3396552</v>
      </c>
      <c r="AK411" s="22">
        <f t="shared" si="1138"/>
        <v>8101</v>
      </c>
      <c r="AL411" s="26">
        <f t="shared" si="1130"/>
        <v>0.643871127</v>
      </c>
      <c r="AM411" s="27">
        <f>SUM(Q424)</f>
        <v>1.5</v>
      </c>
      <c r="AN411" s="26">
        <f t="shared" si="1132"/>
        <v>0.6504734202</v>
      </c>
      <c r="AO411" s="28">
        <f t="shared" si="1133"/>
        <v>0.9757101303</v>
      </c>
      <c r="AP411" s="27">
        <f t="shared" ref="AP411:AQ411" si="1139">SUM(T424)</f>
        <v>267.4931198</v>
      </c>
      <c r="AQ411" s="27">
        <f t="shared" si="1139"/>
        <v>9.223900684</v>
      </c>
      <c r="AR411" s="23">
        <f t="shared" si="1135"/>
        <v>179.862069</v>
      </c>
    </row>
    <row r="412" ht="15.75" customHeight="1">
      <c r="A412" s="21"/>
      <c r="B412" s="38">
        <v>2.0</v>
      </c>
      <c r="C412" s="38" t="s">
        <v>28</v>
      </c>
      <c r="D412" s="39">
        <v>33.0</v>
      </c>
      <c r="E412" s="40">
        <f>IFERROR(__xludf.DUMMYFUNCTION("COUNT(IMPORTRANGE(""https://docs.google.com/spreadsheets/d/10a85iNN0y9GF6ngQfF1JXGAzFk-T7ywH4-TZtQcOTaE/edit"",""16!d2:d34""))"),32.0)</f>
        <v>32</v>
      </c>
      <c r="F412" s="41">
        <f>IFERROR(__xludf.DUMMYFUNCTION("SUM(IMPORTRANGE(""https://docs.google.com/spreadsheets/d/10a85iNN0y9GF6ngQfF1JXGAzFk-T7ywH4-TZtQcOTaE/edit"",""16!Q2:Q34""))"),6281.657000000001)</f>
        <v>6281.657</v>
      </c>
      <c r="G412" s="40">
        <f>IFERROR(__xludf.DUMMYFUNCTION("IMPORTRANGE(""https://docs.google.com/spreadsheets/d/10a85iNN0y9GF6ngQfF1JXGAzFk-T7ywH4-TZtQcOTaE/edit"",""16!e41"")"),2729.0)</f>
        <v>2729</v>
      </c>
      <c r="H412" s="40">
        <f>IFERROR(__xludf.DUMMYFUNCTION("IMPORTRANGE(""https://docs.google.com/spreadsheets/d/10a85iNN0y9GF6ngQfF1JXGAzFk-T7ywH4-TZtQcOTaE/edit"",""16!e42"")"),115.0)</f>
        <v>115</v>
      </c>
      <c r="I412" s="40">
        <f t="shared" si="1140"/>
        <v>2844</v>
      </c>
      <c r="J412" s="40">
        <f>IFERROR(__xludf.DUMMYFUNCTION("IMPORTRANGE(""https://docs.google.com/spreadsheets/d/10a85iNN0y9GF6ngQfF1JXGAzFk-T7ywH4-TZtQcOTaE/edit"",""16!e45"")"),3054.0)</f>
        <v>3054</v>
      </c>
      <c r="K412" s="40">
        <f>IFERROR(__xludf.DUMMYFUNCTION("IMPORTRANGE(""https://docs.google.com/spreadsheets/d/10a85iNN0y9GF6ngQfF1JXGAzFk-T7ywH4-TZtQcOTaE/edit"",""16!e46"")"),128.0)</f>
        <v>128</v>
      </c>
      <c r="L412" s="40">
        <f t="shared" si="1141"/>
        <v>3182</v>
      </c>
      <c r="M412" s="40">
        <f t="shared" si="1142"/>
        <v>6026</v>
      </c>
      <c r="N412" s="41">
        <f t="shared" si="1143"/>
        <v>196.3017813</v>
      </c>
      <c r="O412" s="38">
        <v>7315.0</v>
      </c>
      <c r="P412" s="42">
        <f t="shared" si="1144"/>
        <v>0.8237867396</v>
      </c>
      <c r="Q412" s="43">
        <v>1.5</v>
      </c>
      <c r="R412" s="42">
        <f t="shared" si="1145"/>
        <v>0.6395340168</v>
      </c>
      <c r="S412" s="44">
        <f t="shared" si="1146"/>
        <v>0.9593010252</v>
      </c>
      <c r="T412" s="43">
        <f>F412/30.897</f>
        <v>203.3096093</v>
      </c>
      <c r="U412" s="43">
        <f t="shared" si="1147"/>
        <v>6.353425292</v>
      </c>
      <c r="V412" s="40">
        <f t="shared" si="1148"/>
        <v>188.3125</v>
      </c>
      <c r="X412" s="22">
        <v>5.0</v>
      </c>
      <c r="Y412" s="22" t="s">
        <v>29</v>
      </c>
      <c r="Z412" s="22">
        <f t="shared" ref="Z412:AI412" si="1149">SUM(D427)</f>
        <v>30</v>
      </c>
      <c r="AA412" s="23">
        <f t="shared" si="1149"/>
        <v>28</v>
      </c>
      <c r="AB412" s="24">
        <f t="shared" si="1149"/>
        <v>5467.98</v>
      </c>
      <c r="AC412" s="23">
        <f t="shared" si="1149"/>
        <v>2456</v>
      </c>
      <c r="AD412" s="23">
        <f t="shared" si="1149"/>
        <v>0</v>
      </c>
      <c r="AE412" s="23">
        <f t="shared" si="1149"/>
        <v>2456</v>
      </c>
      <c r="AF412" s="23">
        <f t="shared" si="1149"/>
        <v>4334</v>
      </c>
      <c r="AG412" s="23">
        <f t="shared" si="1149"/>
        <v>0</v>
      </c>
      <c r="AH412" s="23">
        <f t="shared" si="1149"/>
        <v>4334</v>
      </c>
      <c r="AI412" s="23">
        <f t="shared" si="1149"/>
        <v>6790</v>
      </c>
      <c r="AJ412" s="25">
        <f t="shared" ref="AJ412:AJ414" si="1152">AB412/AA412</f>
        <v>195.285</v>
      </c>
      <c r="AK412" s="22">
        <f t="shared" ref="AK412:AK413" si="1153">SUM(O427)</f>
        <v>9201</v>
      </c>
      <c r="AL412" s="26">
        <f t="shared" si="1130"/>
        <v>0.7379632649</v>
      </c>
      <c r="AM412" s="27">
        <f t="shared" ref="AM412:AM413" si="1154">SUM(Q427)</f>
        <v>1.5</v>
      </c>
      <c r="AN412" s="26">
        <f t="shared" si="1132"/>
        <v>0.8278498946</v>
      </c>
      <c r="AO412" s="28">
        <f t="shared" si="1133"/>
        <v>1.241774842</v>
      </c>
      <c r="AP412" s="27">
        <f t="shared" ref="AP412:AQ412" si="1150">SUM(T427)</f>
        <v>210</v>
      </c>
      <c r="AQ412" s="27">
        <f t="shared" si="1150"/>
        <v>7.5</v>
      </c>
      <c r="AR412" s="23">
        <f t="shared" si="1135"/>
        <v>242.5</v>
      </c>
    </row>
    <row r="413" ht="15.75" customHeight="1">
      <c r="A413" s="21"/>
      <c r="B413" s="38">
        <v>3.0</v>
      </c>
      <c r="C413" s="38" t="s">
        <v>30</v>
      </c>
      <c r="D413" s="39">
        <v>60.0</v>
      </c>
      <c r="E413" s="40">
        <f>IFERROR(__xludf.DUMMYFUNCTION("COUNT(IMPORTRANGE(""https://docs.google.com/spreadsheets/d/1WojVzHhpzodJL1e5UDHeu3A3u5MTSZwvxHu0BrwvL9w/edit"",""16!d2:d61""))"),60.0)</f>
        <v>60</v>
      </c>
      <c r="F413" s="45">
        <f>IFERROR(__xludf.DUMMYFUNCTION("SUM(IMPORTRANGE(""https://docs.google.com/spreadsheets/d/1WojVzHhpzodJL1e5UDHeu3A3u5MTSZwvxHu0BrwvL9w/edit"",""16!Q2:Q61""))"),11722.787999999988)</f>
        <v>11722.788</v>
      </c>
      <c r="G413" s="40">
        <f>IFERROR(__xludf.DUMMYFUNCTION("IMPORTRANGE(""https://docs.google.com/spreadsheets/d/1WojVzHhpzodJL1e5UDHeu3A3u5MTSZwvxHu0BrwvL9w/edit"",""16!e68"")"),3443.0)</f>
        <v>3443</v>
      </c>
      <c r="H413" s="40">
        <f>IFERROR(__xludf.DUMMYFUNCTION("IMPORTRANGE(""https://docs.google.com/spreadsheets/d/1WojVzHhpzodJL1e5UDHeu3A3u5MTSZwvxHu0BrwvL9w/edit"",""16!e69"")"),0.0)</f>
        <v>0</v>
      </c>
      <c r="I413" s="40">
        <f t="shared" si="1140"/>
        <v>3443</v>
      </c>
      <c r="J413" s="40">
        <f>IFERROR(__xludf.DUMMYFUNCTION("IMPORTRANGE(""https://docs.google.com/spreadsheets/d/1WojVzHhpzodJL1e5UDHeu3A3u5MTSZwvxHu0BrwvL9w/edit"",""16!e72"")"),5407.0)</f>
        <v>5407</v>
      </c>
      <c r="K413" s="40">
        <f>IFERROR(__xludf.DUMMYFUNCTION("IMPORTRANGE(""https://docs.google.com/spreadsheets/d/1WojVzHhpzodJL1e5UDHeu3A3u5MTSZwvxHu0BrwvL9w/edit"",""16!e73"")"),77.0)</f>
        <v>77</v>
      </c>
      <c r="L413" s="40">
        <f t="shared" si="1141"/>
        <v>5484</v>
      </c>
      <c r="M413" s="40">
        <f t="shared" si="1142"/>
        <v>8927</v>
      </c>
      <c r="N413" s="41">
        <f t="shared" si="1143"/>
        <v>195.3798</v>
      </c>
      <c r="O413" s="38">
        <v>11164.0</v>
      </c>
      <c r="P413" s="42">
        <f t="shared" si="1144"/>
        <v>0.7996237908</v>
      </c>
      <c r="Q413" s="43">
        <v>1.5</v>
      </c>
      <c r="R413" s="42">
        <f t="shared" si="1145"/>
        <v>0.5076721795</v>
      </c>
      <c r="S413" s="44">
        <f t="shared" si="1146"/>
        <v>0.7615082692</v>
      </c>
      <c r="T413" s="43">
        <f>F413/29.603</f>
        <v>396</v>
      </c>
      <c r="U413" s="43">
        <f t="shared" si="1147"/>
        <v>6.6</v>
      </c>
      <c r="V413" s="40">
        <f t="shared" si="1148"/>
        <v>148.7833333</v>
      </c>
      <c r="X413" s="22">
        <v>6.0</v>
      </c>
      <c r="Y413" s="22" t="s">
        <v>31</v>
      </c>
      <c r="Z413" s="22">
        <f t="shared" ref="Z413:AI413" si="1151">SUM(D428)</f>
        <v>15</v>
      </c>
      <c r="AA413" s="23">
        <f t="shared" si="1151"/>
        <v>14</v>
      </c>
      <c r="AB413" s="25">
        <f t="shared" si="1151"/>
        <v>2825.225</v>
      </c>
      <c r="AC413" s="23">
        <f t="shared" si="1151"/>
        <v>966</v>
      </c>
      <c r="AD413" s="23">
        <f t="shared" si="1151"/>
        <v>6</v>
      </c>
      <c r="AE413" s="23">
        <f t="shared" si="1151"/>
        <v>972</v>
      </c>
      <c r="AF413" s="23">
        <f t="shared" si="1151"/>
        <v>1108</v>
      </c>
      <c r="AG413" s="23">
        <f t="shared" si="1151"/>
        <v>0</v>
      </c>
      <c r="AH413" s="23">
        <f t="shared" si="1151"/>
        <v>1108</v>
      </c>
      <c r="AI413" s="23">
        <f t="shared" si="1151"/>
        <v>2080</v>
      </c>
      <c r="AJ413" s="25">
        <f t="shared" si="1152"/>
        <v>201.8017857</v>
      </c>
      <c r="AK413" s="22">
        <f t="shared" si="1153"/>
        <v>2717</v>
      </c>
      <c r="AL413" s="26">
        <f t="shared" si="1130"/>
        <v>0.7655502392</v>
      </c>
      <c r="AM413" s="27">
        <f t="shared" si="1154"/>
        <v>1.5</v>
      </c>
      <c r="AN413" s="26">
        <f t="shared" si="1132"/>
        <v>0.4908163657</v>
      </c>
      <c r="AO413" s="28">
        <f t="shared" si="1133"/>
        <v>0.7362245485</v>
      </c>
      <c r="AP413" s="27">
        <f t="shared" ref="AP413:AQ413" si="1155">SUM(T428)</f>
        <v>65</v>
      </c>
      <c r="AQ413" s="27">
        <f t="shared" si="1155"/>
        <v>4.642857143</v>
      </c>
      <c r="AR413" s="23">
        <f t="shared" si="1135"/>
        <v>148.5714286</v>
      </c>
    </row>
    <row r="414" ht="15.75" customHeight="1">
      <c r="A414" s="21"/>
      <c r="B414" s="38">
        <v>4.0</v>
      </c>
      <c r="C414" s="38" t="s">
        <v>32</v>
      </c>
      <c r="D414" s="39">
        <v>42.0</v>
      </c>
      <c r="E414" s="40">
        <f>IFERROR(__xludf.DUMMYFUNCTION("COUNT(IMPORTRANGE(""https://docs.google.com/spreadsheets/d/1vmCj5YcMSPHj1m64syDndQ6cqVL3yolcU03Y8KHmvdc/edit"",""16!d2:d43""))"),41.0)</f>
        <v>41</v>
      </c>
      <c r="F414" s="45">
        <f>IFERROR(__xludf.DUMMYFUNCTION("SUM(IMPORTRANGE(""https://docs.google.com/spreadsheets/d/1vmCj5YcMSPHj1m64syDndQ6cqVL3yolcU03Y8KHmvdc/edit"",""16!Q2:Q43""))"),8229.19199999999)</f>
        <v>8229.192</v>
      </c>
      <c r="G414" s="38">
        <f>IFERROR(__xludf.DUMMYFUNCTION("IMPORTRANGE(""https://docs.google.com/spreadsheets/d/1vmCj5YcMSPHj1m64syDndQ6cqVL3yolcU03Y8KHmvdc/edit"",""16!e50"")"),4865.0)</f>
        <v>4865</v>
      </c>
      <c r="H414" s="38">
        <f>IFERROR(__xludf.DUMMYFUNCTION("IMPORTRANGE(""https://docs.google.com/spreadsheets/d/1vmCj5YcMSPHj1m64syDndQ6cqVL3yolcU03Y8KHmvdc/edit"",""16!e51"")"),110.0)</f>
        <v>110</v>
      </c>
      <c r="I414" s="40">
        <f t="shared" si="1140"/>
        <v>4975</v>
      </c>
      <c r="J414" s="38">
        <f>IFERROR(__xludf.DUMMYFUNCTION("IMPORTRANGE(""https://docs.google.com/spreadsheets/d/1vmCj5YcMSPHj1m64syDndQ6cqVL3yolcU03Y8KHmvdc/edit"",""16!e54"")"),5826.0)</f>
        <v>5826</v>
      </c>
      <c r="K414" s="38">
        <f>IFERROR(__xludf.DUMMYFUNCTION("IMPORTRANGE(""https://docs.google.com/spreadsheets/d/1vmCj5YcMSPHj1m64syDndQ6cqVL3yolcU03Y8KHmvdc/edit"",""16!e55"")"),0.0)</f>
        <v>0</v>
      </c>
      <c r="L414" s="40">
        <f t="shared" si="1141"/>
        <v>5826</v>
      </c>
      <c r="M414" s="40">
        <f t="shared" si="1142"/>
        <v>10801</v>
      </c>
      <c r="N414" s="41">
        <f t="shared" si="1143"/>
        <v>200.712</v>
      </c>
      <c r="O414" s="38">
        <v>13817.0</v>
      </c>
      <c r="P414" s="42">
        <f t="shared" si="1144"/>
        <v>0.7817181733</v>
      </c>
      <c r="Q414" s="43">
        <v>1.5</v>
      </c>
      <c r="R414" s="42">
        <f t="shared" si="1145"/>
        <v>0.8750150278</v>
      </c>
      <c r="S414" s="44">
        <f t="shared" si="1146"/>
        <v>1.312522542</v>
      </c>
      <c r="T414" s="43">
        <f>F414/25.089</f>
        <v>328</v>
      </c>
      <c r="U414" s="43">
        <f t="shared" si="1147"/>
        <v>8</v>
      </c>
      <c r="V414" s="40">
        <f t="shared" si="1148"/>
        <v>263.4390244</v>
      </c>
      <c r="X414" s="46" t="s">
        <v>33</v>
      </c>
      <c r="Y414" s="46">
        <v>6.0</v>
      </c>
      <c r="Z414" s="46">
        <f t="shared" ref="Z414:AI414" si="1156">SUM(Z408:Z413)</f>
        <v>186</v>
      </c>
      <c r="AA414" s="47">
        <f t="shared" si="1156"/>
        <v>181</v>
      </c>
      <c r="AB414" s="48">
        <f t="shared" si="1156"/>
        <v>34963.802</v>
      </c>
      <c r="AC414" s="47">
        <f t="shared" si="1156"/>
        <v>10642</v>
      </c>
      <c r="AD414" s="47">
        <f t="shared" si="1156"/>
        <v>558</v>
      </c>
      <c r="AE414" s="47">
        <f t="shared" si="1156"/>
        <v>11200</v>
      </c>
      <c r="AF414" s="47">
        <f t="shared" si="1156"/>
        <v>16581</v>
      </c>
      <c r="AG414" s="47">
        <f t="shared" si="1156"/>
        <v>502</v>
      </c>
      <c r="AH414" s="47">
        <f t="shared" si="1156"/>
        <v>17083</v>
      </c>
      <c r="AI414" s="47">
        <f t="shared" si="1156"/>
        <v>28283</v>
      </c>
      <c r="AJ414" s="49">
        <f t="shared" si="1152"/>
        <v>193.1701768</v>
      </c>
      <c r="AK414" s="46">
        <f>SUM(AK408:AK413)</f>
        <v>35074</v>
      </c>
      <c r="AL414" s="50">
        <f t="shared" si="1130"/>
        <v>0.8063807949</v>
      </c>
      <c r="AM414" s="51">
        <v>1.5</v>
      </c>
      <c r="AN414" s="50">
        <f t="shared" si="1132"/>
        <v>0.5392815499</v>
      </c>
      <c r="AO414" s="52">
        <f t="shared" si="1133"/>
        <v>0.8089223249</v>
      </c>
      <c r="AP414" s="51">
        <f>SUM(AP408:AP413)</f>
        <v>1315.963893</v>
      </c>
      <c r="AQ414" s="51">
        <f>AP414/AA414</f>
        <v>7.270518745</v>
      </c>
      <c r="AR414" s="47">
        <f t="shared" si="1135"/>
        <v>156.2596685</v>
      </c>
    </row>
    <row r="415" ht="15.75" customHeight="1">
      <c r="A415" s="21"/>
      <c r="B415" s="38">
        <v>5.0</v>
      </c>
      <c r="C415" s="38" t="s">
        <v>34</v>
      </c>
      <c r="D415" s="39">
        <v>40.0</v>
      </c>
      <c r="E415" s="40">
        <f>IFERROR(__xludf.DUMMYFUNCTION("COUNT(IMPORTRANGE(""https://docs.google.com/spreadsheets/d/14_Y-fpuq1wcec3DlT_1PBYekOC0YblQMrWVfO12YO3k/edit"",""16!d2:d41""))"),39.0)</f>
        <v>39</v>
      </c>
      <c r="F415" s="45">
        <f>IFERROR(__xludf.DUMMYFUNCTION("SUM(IMPORTRANGE(""https://docs.google.com/spreadsheets/d/14_Y-fpuq1wcec3DlT_1PBYekOC0YblQMrWVfO12YO3k/edit"",""16!Q2:Q41""))"),7298.649000000003)</f>
        <v>7298.649</v>
      </c>
      <c r="G415" s="40">
        <f>IFERROR(__xludf.DUMMYFUNCTION("IMPORTRANGE(""https://docs.google.com/spreadsheets/d/14_Y-fpuq1wcec3DlT_1PBYekOC0YblQMrWVfO12YO3k/edit"",""16!e48"")"),3025.0)</f>
        <v>3025</v>
      </c>
      <c r="H415" s="40">
        <f>IFERROR(__xludf.DUMMYFUNCTION("IMPORTRANGE(""https://docs.google.com/spreadsheets/d/14_Y-fpuq1wcec3DlT_1PBYekOC0YblQMrWVfO12YO3k/edit"",""16!e49"")"),0.0)</f>
        <v>0</v>
      </c>
      <c r="I415" s="40">
        <f t="shared" si="1140"/>
        <v>3025</v>
      </c>
      <c r="J415" s="40">
        <f>IFERROR(__xludf.DUMMYFUNCTION("IMPORTRANGE(""https://docs.google.com/spreadsheets/d/14_Y-fpuq1wcec3DlT_1PBYekOC0YblQMrWVfO12YO3k/edit"",""16!e52"")"),2972.0)</f>
        <v>2972</v>
      </c>
      <c r="K415" s="40">
        <f>IFERROR(__xludf.DUMMYFUNCTION("IMPORTRANGE(""https://docs.google.com/spreadsheets/d/14_Y-fpuq1wcec3DlT_1PBYekOC0YblQMrWVfO12YO3k/edit"",""16!e53"")"),63.0)</f>
        <v>63</v>
      </c>
      <c r="L415" s="40">
        <f t="shared" si="1141"/>
        <v>3035</v>
      </c>
      <c r="M415" s="40">
        <f t="shared" si="1142"/>
        <v>6060</v>
      </c>
      <c r="N415" s="41">
        <f t="shared" si="1143"/>
        <v>187.1448462</v>
      </c>
      <c r="O415" s="38">
        <v>9354.0</v>
      </c>
      <c r="P415" s="42">
        <f t="shared" si="1144"/>
        <v>0.6478511867</v>
      </c>
      <c r="Q415" s="43">
        <v>1.5</v>
      </c>
      <c r="R415" s="42">
        <f t="shared" si="1145"/>
        <v>0.553527098</v>
      </c>
      <c r="S415" s="44">
        <f t="shared" si="1146"/>
        <v>0.8302906469</v>
      </c>
      <c r="T415" s="43">
        <f>F415/30.713</f>
        <v>237.6403803</v>
      </c>
      <c r="U415" s="43">
        <f t="shared" si="1147"/>
        <v>6.093343084</v>
      </c>
      <c r="V415" s="40">
        <f t="shared" si="1148"/>
        <v>155.3846154</v>
      </c>
      <c r="X415" s="53" t="s">
        <v>35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6"/>
    </row>
    <row r="416" ht="15.75" customHeight="1">
      <c r="A416" s="21"/>
      <c r="B416" s="38">
        <v>6.0</v>
      </c>
      <c r="C416" s="38" t="s">
        <v>23</v>
      </c>
      <c r="D416" s="39">
        <v>35.0</v>
      </c>
      <c r="E416" s="40">
        <f>IFERROR(__xludf.DUMMYFUNCTION("COUNT(IMPORTRANGE(""https://docs.google.com/spreadsheets/d/1lJqjdj05V4LOXuBOiTdE65GV4ZITyx1cMLcDdcuoUnE/edit"",""16!d2:d36""))"),35.0)</f>
        <v>35</v>
      </c>
      <c r="F416" s="45">
        <f>IFERROR(__xludf.DUMMYFUNCTION("SUM(IMPORTRANGE(""https://docs.google.com/spreadsheets/d/1lJqjdj05V4LOXuBOiTdE65GV4ZITyx1cMLcDdcuoUnE/edit"",""16!Q2:Q36""))"),6631.703999999997)</f>
        <v>6631.704</v>
      </c>
      <c r="G416" s="40">
        <f>IFERROR(__xludf.DUMMYFUNCTION("IMPORTRANGE(""https://docs.google.com/spreadsheets/d/1lJqjdj05V4LOXuBOiTdE65GV4ZITyx1cMLcDdcuoUnE/edit"",""16!e43"")"),1799.0)</f>
        <v>1799</v>
      </c>
      <c r="H416" s="40">
        <f>IFERROR(__xludf.DUMMYFUNCTION("IMPORTRANGE(""https://docs.google.com/spreadsheets/d/1lJqjdj05V4LOXuBOiTdE65GV4ZITyx1cMLcDdcuoUnE/edit"",""16!e44"")"),0.0)</f>
        <v>0</v>
      </c>
      <c r="I416" s="40">
        <f t="shared" si="1140"/>
        <v>1799</v>
      </c>
      <c r="J416" s="40">
        <f>IFERROR(__xludf.DUMMYFUNCTION("IMPORTRANGE(""https://docs.google.com/spreadsheets/d/1lJqjdj05V4LOXuBOiTdE65GV4ZITyx1cMLcDdcuoUnE/edit"",""16!e47"")"),3360.0)</f>
        <v>3360</v>
      </c>
      <c r="K416" s="40">
        <f>IFERROR(__xludf.DUMMYFUNCTION("IMPORTRANGE(""https://docs.google.com/spreadsheets/d/1lJqjdj05V4LOXuBOiTdE65GV4ZITyx1cMLcDdcuoUnE/edit"",""16!e48"")"),0.0)</f>
        <v>0</v>
      </c>
      <c r="L416" s="40">
        <f t="shared" si="1141"/>
        <v>3360</v>
      </c>
      <c r="M416" s="40">
        <f t="shared" si="1142"/>
        <v>5159</v>
      </c>
      <c r="N416" s="41">
        <f t="shared" si="1143"/>
        <v>189.4772571</v>
      </c>
      <c r="O416" s="38">
        <v>6853.0</v>
      </c>
      <c r="P416" s="42">
        <f t="shared" si="1144"/>
        <v>0.7528089888</v>
      </c>
      <c r="Q416" s="43">
        <v>1.5</v>
      </c>
      <c r="R416" s="42">
        <f t="shared" si="1145"/>
        <v>0.5186198499</v>
      </c>
      <c r="S416" s="44">
        <f t="shared" si="1146"/>
        <v>0.7779297749</v>
      </c>
      <c r="T416" s="43">
        <f>F416/33.74</f>
        <v>196.5531713</v>
      </c>
      <c r="U416" s="43">
        <f t="shared" si="1147"/>
        <v>5.615804895</v>
      </c>
      <c r="V416" s="40">
        <f t="shared" si="1148"/>
        <v>147.4</v>
      </c>
      <c r="X416" s="14" t="s">
        <v>2</v>
      </c>
      <c r="Y416" s="14" t="s">
        <v>3</v>
      </c>
      <c r="Z416" s="14" t="s">
        <v>4</v>
      </c>
      <c r="AA416" s="14" t="s">
        <v>5</v>
      </c>
      <c r="AB416" s="15" t="s">
        <v>6</v>
      </c>
      <c r="AC416" s="14" t="s">
        <v>7</v>
      </c>
      <c r="AD416" s="14" t="s">
        <v>8</v>
      </c>
      <c r="AE416" s="14" t="s">
        <v>9</v>
      </c>
      <c r="AF416" s="14" t="s">
        <v>10</v>
      </c>
      <c r="AG416" s="14" t="s">
        <v>11</v>
      </c>
      <c r="AH416" s="14" t="s">
        <v>12</v>
      </c>
      <c r="AI416" s="14" t="s">
        <v>13</v>
      </c>
      <c r="AJ416" s="15" t="s">
        <v>14</v>
      </c>
      <c r="AK416" s="14" t="s">
        <v>15</v>
      </c>
      <c r="AL416" s="14" t="s">
        <v>16</v>
      </c>
      <c r="AM416" s="16" t="s">
        <v>17</v>
      </c>
      <c r="AN416" s="17" t="s">
        <v>18</v>
      </c>
      <c r="AO416" s="18" t="s">
        <v>19</v>
      </c>
      <c r="AP416" s="19" t="s">
        <v>20</v>
      </c>
      <c r="AQ416" s="19" t="s">
        <v>21</v>
      </c>
      <c r="AR416" s="20" t="s">
        <v>22</v>
      </c>
    </row>
    <row r="417" ht="15.75" customHeight="1">
      <c r="A417" s="21"/>
      <c r="B417" s="38">
        <v>7.0</v>
      </c>
      <c r="C417" s="38" t="s">
        <v>24</v>
      </c>
      <c r="D417" s="39">
        <v>44.0</v>
      </c>
      <c r="E417" s="54">
        <f>IFERROR(__xludf.DUMMYFUNCTION("COUNT(IMPORTRANGE(""https://docs.google.com/spreadsheets/d/1_7EEO26q9Yq-XhNFiy7I6Zh4Yg6uGjTs9y0UqNvPKcQ/edit"",""16!d2:d45""))"),43.0)</f>
        <v>43</v>
      </c>
      <c r="F417" s="55">
        <f>IFERROR(__xludf.DUMMYFUNCTION("SUM(IMPORTRANGE(""https://docs.google.com/spreadsheets/d/1_7EEO26q9Yq-XhNFiy7I6Zh4Yg6uGjTs9y0UqNvPKcQ/edit"",""16!Q2:Q45""))"),8491.962999999994)</f>
        <v>8491.963</v>
      </c>
      <c r="G417" s="54">
        <f>IFERROR(__xludf.DUMMYFUNCTION("IMPORTRANGE(""https://docs.google.com/spreadsheets/d/1_7EEO26q9Yq-XhNFiy7I6Zh4Yg6uGjTs9y0UqNvPKcQ/edit"",""16!e53"")"),962.0)</f>
        <v>962</v>
      </c>
      <c r="H417" s="54">
        <f>IFERROR(__xludf.DUMMYFUNCTION("IMPORTRANGE(""https://docs.google.com/spreadsheets/d/1_7EEO26q9Yq-XhNFiy7I6Zh4Yg6uGjTs9y0UqNvPKcQ/edit"",""16!e54"")"),26.0)</f>
        <v>26</v>
      </c>
      <c r="I417" s="54">
        <f t="shared" si="1140"/>
        <v>988</v>
      </c>
      <c r="J417" s="54">
        <f>IFERROR(__xludf.DUMMYFUNCTION("IMPORTRANGE(""https://docs.google.com/spreadsheets/d/1_7EEO26q9Yq-XhNFiy7I6Zh4Yg6uGjTs9y0UqNvPKcQ/edit"",""16!e57"")"),1392.0)</f>
        <v>1392</v>
      </c>
      <c r="K417" s="54">
        <f>IFERROR(__xludf.DUMMYFUNCTION("IMPORTRANGE(""https://docs.google.com/spreadsheets/d/1_7EEO26q9Yq-XhNFiy7I6Zh4Yg6uGjTs9y0UqNvPKcQ/edit"",""16!e58"")"),70.0)</f>
        <v>70</v>
      </c>
      <c r="L417" s="40">
        <f t="shared" si="1141"/>
        <v>1462</v>
      </c>
      <c r="M417" s="40">
        <f t="shared" si="1142"/>
        <v>2450</v>
      </c>
      <c r="N417" s="41">
        <f t="shared" si="1143"/>
        <v>197.4875116</v>
      </c>
      <c r="O417" s="38">
        <v>1580.0</v>
      </c>
      <c r="P417" s="56">
        <f t="shared" si="1144"/>
        <v>1.550632911</v>
      </c>
      <c r="Q417" s="43">
        <v>1.5</v>
      </c>
      <c r="R417" s="42">
        <f t="shared" si="1145"/>
        <v>0.1923387247</v>
      </c>
      <c r="S417" s="44">
        <f t="shared" si="1146"/>
        <v>0.288508087</v>
      </c>
      <c r="T417" s="43">
        <f>F417/26.805</f>
        <v>316.8051856</v>
      </c>
      <c r="U417" s="43">
        <f t="shared" si="1147"/>
        <v>7.367562456</v>
      </c>
      <c r="V417" s="40">
        <f t="shared" si="1148"/>
        <v>56.97674419</v>
      </c>
      <c r="X417" s="22">
        <v>1.0</v>
      </c>
      <c r="Y417" s="22" t="s">
        <v>28</v>
      </c>
      <c r="Z417" s="22">
        <f t="shared" ref="Z417:AI417" si="1157">SUM(D412)</f>
        <v>33</v>
      </c>
      <c r="AA417" s="23">
        <f t="shared" si="1157"/>
        <v>32</v>
      </c>
      <c r="AB417" s="25">
        <f t="shared" si="1157"/>
        <v>6281.657</v>
      </c>
      <c r="AC417" s="23">
        <f t="shared" si="1157"/>
        <v>2729</v>
      </c>
      <c r="AD417" s="23">
        <f t="shared" si="1157"/>
        <v>115</v>
      </c>
      <c r="AE417" s="23">
        <f t="shared" si="1157"/>
        <v>2844</v>
      </c>
      <c r="AF417" s="23">
        <f t="shared" si="1157"/>
        <v>3054</v>
      </c>
      <c r="AG417" s="23">
        <f t="shared" si="1157"/>
        <v>128</v>
      </c>
      <c r="AH417" s="23">
        <f t="shared" si="1157"/>
        <v>3182</v>
      </c>
      <c r="AI417" s="23">
        <f t="shared" si="1157"/>
        <v>6026</v>
      </c>
      <c r="AJ417" s="25">
        <f t="shared" ref="AJ417:AJ423" si="1160">AB417/AA417</f>
        <v>196.3017813</v>
      </c>
      <c r="AK417" s="22">
        <f t="shared" ref="AK417:AK418" si="1161">SUM(O412)</f>
        <v>7315</v>
      </c>
      <c r="AL417" s="26">
        <f t="shared" ref="AL417:AL423" si="1162">AI417/AK417</f>
        <v>0.8237867396</v>
      </c>
      <c r="AM417" s="27">
        <f t="shared" ref="AM417:AM418" si="1163">SUM(Q412)</f>
        <v>1.5</v>
      </c>
      <c r="AN417" s="26">
        <f t="shared" ref="AN417:AN423" si="1164">AO417/AM417</f>
        <v>0.6395340168</v>
      </c>
      <c r="AO417" s="28">
        <f t="shared" ref="AO417:AO423" si="1165">AI417/AB417</f>
        <v>0.9593010252</v>
      </c>
      <c r="AP417" s="27">
        <f t="shared" ref="AP417:AQ417" si="1158">SUM(T412)</f>
        <v>203.3096093</v>
      </c>
      <c r="AQ417" s="27">
        <f t="shared" si="1158"/>
        <v>6.353425292</v>
      </c>
      <c r="AR417" s="23">
        <f t="shared" ref="AR417:AR423" si="1167">AI417/AA417</f>
        <v>188.3125</v>
      </c>
    </row>
    <row r="418" ht="15.75" customHeight="1">
      <c r="A418" s="21"/>
      <c r="B418" s="38">
        <v>8.0</v>
      </c>
      <c r="C418" s="38" t="s">
        <v>25</v>
      </c>
      <c r="D418" s="57">
        <v>32.0</v>
      </c>
      <c r="E418" s="40">
        <f>IFERROR(__xludf.DUMMYFUNCTION("COUNT(IMPORTRANGE(""https://docs.google.com/spreadsheets/d/1vLOLpiE-XsbnCnwWPcoi87PlUSXfqIAAQn3kvqHfO6s/edit"",""16!d2:D33""))"),32.0)</f>
        <v>32</v>
      </c>
      <c r="F418" s="45">
        <f>IFERROR(__xludf.DUMMYFUNCTION("SUM(IMPORTRANGE(""https://docs.google.com/spreadsheets/d/1vLOLpiE-XsbnCnwWPcoi87PlUSXfqIAAQn3kvqHfO6s/edit"",""16!Q2:Q33""))"),6201.080000000002)</f>
        <v>6201.08</v>
      </c>
      <c r="G418" s="40">
        <f>IFERROR(__xludf.DUMMYFUNCTION("IMPORTRANGE(""https://docs.google.com/spreadsheets/d/1vLOLpiE-XsbnCnwWPcoi87PlUSXfqIAAQn3kvqHfO6s/edit"",""16!e40"")"),2204.0)</f>
        <v>2204</v>
      </c>
      <c r="H418" s="40">
        <f>IFERROR(__xludf.DUMMYFUNCTION("IMPORTRANGE(""https://docs.google.com/spreadsheets/d/1vLOLpiE-XsbnCnwWPcoi87PlUSXfqIAAQn3kvqHfO6s/edit"",""16!e41"")"),526.0)</f>
        <v>526</v>
      </c>
      <c r="I418" s="40">
        <f t="shared" si="1140"/>
        <v>2730</v>
      </c>
      <c r="J418" s="40">
        <f>IFERROR(__xludf.DUMMYFUNCTION("IMPORTRANGE(""https://docs.google.com/spreadsheets/d/1vLOLpiE-XsbnCnwWPcoi87PlUSXfqIAAQn3kvqHfO6s/edit"",""16!e44"")"),3426.0)</f>
        <v>3426</v>
      </c>
      <c r="K418" s="40">
        <f>IFERROR(__xludf.DUMMYFUNCTION("IMPORTRANGE(""https://docs.google.com/spreadsheets/d/1vLOLpiE-XsbnCnwWPcoi87PlUSXfqIAAQn3kvqHfO6s/edit"",""16!e45"")"),432.0)</f>
        <v>432</v>
      </c>
      <c r="L418" s="40">
        <f>J418+K418</f>
        <v>3858</v>
      </c>
      <c r="M418" s="40">
        <f t="shared" si="1142"/>
        <v>6588</v>
      </c>
      <c r="N418" s="41">
        <f t="shared" si="1143"/>
        <v>193.78375</v>
      </c>
      <c r="O418" s="38">
        <v>6622.0</v>
      </c>
      <c r="P418" s="42">
        <f t="shared" si="1144"/>
        <v>0.9948655995</v>
      </c>
      <c r="Q418" s="43">
        <v>1.5</v>
      </c>
      <c r="R418" s="42">
        <f t="shared" si="1145"/>
        <v>0.7082637218</v>
      </c>
      <c r="S418" s="44">
        <f t="shared" si="1146"/>
        <v>1.062395583</v>
      </c>
      <c r="T418" s="43">
        <f>F418/23.84</f>
        <v>260.1124161</v>
      </c>
      <c r="U418" s="43">
        <f t="shared" si="1147"/>
        <v>8.128513003</v>
      </c>
      <c r="V418" s="40">
        <f t="shared" si="1148"/>
        <v>205.875</v>
      </c>
      <c r="X418" s="31">
        <v>2.0</v>
      </c>
      <c r="Y418" s="31" t="s">
        <v>30</v>
      </c>
      <c r="Z418" s="31">
        <f t="shared" ref="Z418:AI418" si="1159">SUM(D413)</f>
        <v>60</v>
      </c>
      <c r="AA418" s="32">
        <f t="shared" si="1159"/>
        <v>60</v>
      </c>
      <c r="AB418" s="33">
        <f t="shared" si="1159"/>
        <v>11722.788</v>
      </c>
      <c r="AC418" s="32">
        <f t="shared" si="1159"/>
        <v>3443</v>
      </c>
      <c r="AD418" s="32">
        <f t="shared" si="1159"/>
        <v>0</v>
      </c>
      <c r="AE418" s="32">
        <f t="shared" si="1159"/>
        <v>3443</v>
      </c>
      <c r="AF418" s="32">
        <f t="shared" si="1159"/>
        <v>5407</v>
      </c>
      <c r="AG418" s="32">
        <f t="shared" si="1159"/>
        <v>77</v>
      </c>
      <c r="AH418" s="32">
        <f t="shared" si="1159"/>
        <v>5484</v>
      </c>
      <c r="AI418" s="32">
        <f t="shared" si="1159"/>
        <v>8927</v>
      </c>
      <c r="AJ418" s="34">
        <f t="shared" si="1160"/>
        <v>195.3798</v>
      </c>
      <c r="AK418" s="31">
        <f t="shared" si="1161"/>
        <v>11164</v>
      </c>
      <c r="AL418" s="35">
        <f t="shared" si="1162"/>
        <v>0.7996237908</v>
      </c>
      <c r="AM418" s="36">
        <f t="shared" si="1163"/>
        <v>1.5</v>
      </c>
      <c r="AN418" s="35">
        <f t="shared" si="1164"/>
        <v>0.5076721795</v>
      </c>
      <c r="AO418" s="37">
        <f t="shared" si="1165"/>
        <v>0.7615082692</v>
      </c>
      <c r="AP418" s="36">
        <f t="shared" ref="AP418:AQ418" si="1166">SUM(T413)</f>
        <v>396</v>
      </c>
      <c r="AQ418" s="36">
        <f t="shared" si="1166"/>
        <v>6.6</v>
      </c>
      <c r="AR418" s="32">
        <f t="shared" si="1167"/>
        <v>148.7833333</v>
      </c>
    </row>
    <row r="419" ht="15.75" customHeight="1">
      <c r="A419" s="21"/>
      <c r="B419" s="38">
        <v>9.0</v>
      </c>
      <c r="C419" s="38" t="s">
        <v>36</v>
      </c>
      <c r="D419" s="58">
        <v>29.0</v>
      </c>
      <c r="E419" s="40">
        <f>IFERROR(__xludf.DUMMYFUNCTION("COUNT(IMPORTRANGE(""https://docs.google.com/spreadsheets/d/1WJJVq25XDtGjt-J2JPxeKs3jIvDZtkIREC0lFPXwf74/edit"",""16!d2:d31""))"),28.0)</f>
        <v>28</v>
      </c>
      <c r="F419" s="45">
        <f>IFERROR(__xludf.DUMMYFUNCTION("SUM(IMPORTRANGE(""https://docs.google.com/spreadsheets/d/1WJJVq25XDtGjt-J2JPxeKs3jIvDZtkIREC0lFPXwf74/edit"",""16!Q2:Q31""))"),5454.463999999998)</f>
        <v>5454.464</v>
      </c>
      <c r="G419" s="40">
        <f>IFERROR(__xludf.DUMMYFUNCTION("IMPORTRANGE(""https://docs.google.com/spreadsheets/d/1WJJVq25XDtGjt-J2JPxeKs3jIvDZtkIREC0lFPXwf74/edit"",""16!e38"")"),1503.0)</f>
        <v>1503</v>
      </c>
      <c r="H419" s="40">
        <f>IFERROR(__xludf.DUMMYFUNCTION("IMPORTRANGE(""https://docs.google.com/spreadsheets/d/1WJJVq25XDtGjt-J2JPxeKs3jIvDZtkIREC0lFPXwf74/edit"",""16!e39"")"),0.0)</f>
        <v>0</v>
      </c>
      <c r="I419" s="40">
        <f t="shared" si="1140"/>
        <v>1503</v>
      </c>
      <c r="J419" s="40">
        <f>IFERROR(__xludf.DUMMYFUNCTION("IMPORTRANGE(""https://docs.google.com/spreadsheets/d/1WJJVq25XDtGjt-J2JPxeKs3jIvDZtkIREC0lFPXwf74/edit"",""16!e42"")"),2086.0)</f>
        <v>2086</v>
      </c>
      <c r="K419" s="40">
        <f>IFERROR(__xludf.DUMMYFUNCTION("IMPORTRANGE(""https://docs.google.com/spreadsheets/d/1WJJVq25XDtGjt-J2JPxeKs3jIvDZtkIREC0lFPXwf74/edit"",""16!e43"")"),0.0)</f>
        <v>0</v>
      </c>
      <c r="L419" s="40">
        <f t="shared" ref="L419:L428" si="1170">SUM(J419:K419)</f>
        <v>2086</v>
      </c>
      <c r="M419" s="40">
        <f t="shared" si="1142"/>
        <v>3589</v>
      </c>
      <c r="N419" s="41">
        <f t="shared" si="1143"/>
        <v>194.8022857</v>
      </c>
      <c r="O419" s="38">
        <v>4796.0</v>
      </c>
      <c r="P419" s="42">
        <f t="shared" si="1144"/>
        <v>0.7483319433</v>
      </c>
      <c r="Q419" s="43">
        <v>1.5</v>
      </c>
      <c r="R419" s="42">
        <f t="shared" si="1145"/>
        <v>0.4386621062</v>
      </c>
      <c r="S419" s="44">
        <f t="shared" si="1146"/>
        <v>0.6579931594</v>
      </c>
      <c r="T419" s="43">
        <f>F419/37.414</f>
        <v>145.7867109</v>
      </c>
      <c r="U419" s="43">
        <f t="shared" si="1147"/>
        <v>5.206668245</v>
      </c>
      <c r="V419" s="40">
        <f t="shared" si="1148"/>
        <v>128.1785714</v>
      </c>
      <c r="X419" s="22">
        <v>3.0</v>
      </c>
      <c r="Y419" s="22" t="s">
        <v>34</v>
      </c>
      <c r="Z419" s="22">
        <f t="shared" ref="Z419:AI419" si="1168">SUM(D415)</f>
        <v>40</v>
      </c>
      <c r="AA419" s="23">
        <f t="shared" si="1168"/>
        <v>39</v>
      </c>
      <c r="AB419" s="24">
        <f t="shared" si="1168"/>
        <v>7298.649</v>
      </c>
      <c r="AC419" s="23">
        <f t="shared" si="1168"/>
        <v>3025</v>
      </c>
      <c r="AD419" s="23">
        <f t="shared" si="1168"/>
        <v>0</v>
      </c>
      <c r="AE419" s="23">
        <f t="shared" si="1168"/>
        <v>3025</v>
      </c>
      <c r="AF419" s="23">
        <f t="shared" si="1168"/>
        <v>2972</v>
      </c>
      <c r="AG419" s="23">
        <f t="shared" si="1168"/>
        <v>63</v>
      </c>
      <c r="AH419" s="23">
        <f t="shared" si="1168"/>
        <v>3035</v>
      </c>
      <c r="AI419" s="23">
        <f t="shared" si="1168"/>
        <v>6060</v>
      </c>
      <c r="AJ419" s="25">
        <f t="shared" si="1160"/>
        <v>187.1448462</v>
      </c>
      <c r="AK419" s="22">
        <f>SUM(O415)</f>
        <v>9354</v>
      </c>
      <c r="AL419" s="26">
        <f t="shared" si="1162"/>
        <v>0.6478511867</v>
      </c>
      <c r="AM419" s="27">
        <f>SUM(Q415)</f>
        <v>1.5</v>
      </c>
      <c r="AN419" s="26">
        <f t="shared" si="1164"/>
        <v>0.553527098</v>
      </c>
      <c r="AO419" s="28">
        <f t="shared" si="1165"/>
        <v>0.8302906469</v>
      </c>
      <c r="AP419" s="27">
        <f t="shared" ref="AP419:AQ419" si="1169">SUM(T415)</f>
        <v>237.6403803</v>
      </c>
      <c r="AQ419" s="27">
        <f t="shared" si="1169"/>
        <v>6.093343084</v>
      </c>
      <c r="AR419" s="23">
        <f t="shared" si="1167"/>
        <v>155.3846154</v>
      </c>
    </row>
    <row r="420" ht="15.75" customHeight="1">
      <c r="A420" s="21"/>
      <c r="B420" s="38">
        <v>10.0</v>
      </c>
      <c r="C420" s="38" t="s">
        <v>37</v>
      </c>
      <c r="D420" s="39">
        <v>30.0</v>
      </c>
      <c r="E420" s="40">
        <f>IFERROR(__xludf.DUMMYFUNCTION("COUNT(IMPORTRANGE(""https://docs.google.com/spreadsheets/d/1rJyYfywRpWJW0zvDJHLOJtqUQqffoCGaqTVxxTDgV0k/edit"",""16!d2:d31""))"),30.0)</f>
        <v>30</v>
      </c>
      <c r="F420" s="45">
        <f>IFERROR(__xludf.DUMMYFUNCTION("SUM(IMPORTRANGE(""https://docs.google.com/spreadsheets/d/1rJyYfywRpWJW0zvDJHLOJtqUQqffoCGaqTVxxTDgV0k/edit"",""16!Q2:Q31""))"),5724.33)</f>
        <v>5724.33</v>
      </c>
      <c r="G420" s="40">
        <f>IFERROR(__xludf.DUMMYFUNCTION("(IMPORTRANGE(""https://docs.google.com/spreadsheets/d/1rJyYfywRpWJW0zvDJHLOJtqUQqffoCGaqTVxxTDgV0k/edit"",""16!e38""))"),2179.0)</f>
        <v>2179</v>
      </c>
      <c r="H420" s="40">
        <f>IFERROR(__xludf.DUMMYFUNCTION("(IMPORTRANGE(""https://docs.google.com/spreadsheets/d/1rJyYfywRpWJW0zvDJHLOJtqUQqffoCGaqTVxxTDgV0k/edit"",""16!e39""))"),0.0)</f>
        <v>0</v>
      </c>
      <c r="I420" s="40">
        <f t="shared" si="1140"/>
        <v>2179</v>
      </c>
      <c r="J420" s="40">
        <f>IFERROR(__xludf.DUMMYFUNCTION("(IMPORTRANGE(""https://docs.google.com/spreadsheets/d/1rJyYfywRpWJW0zvDJHLOJtqUQqffoCGaqTVxxTDgV0k/edit"",""16!e42""))"),2787.0)</f>
        <v>2787</v>
      </c>
      <c r="K420" s="40">
        <f>IFERROR(__xludf.DUMMYFUNCTION("(IMPORTRANGE(""https://docs.google.com/spreadsheets/d/1rJyYfywRpWJW0zvDJHLOJtqUQqffoCGaqTVxxTDgV0k/edit"",""16!e43""))"),0.0)</f>
        <v>0</v>
      </c>
      <c r="L420" s="40">
        <f t="shared" si="1170"/>
        <v>2787</v>
      </c>
      <c r="M420" s="40">
        <f t="shared" si="1142"/>
        <v>4966</v>
      </c>
      <c r="N420" s="41">
        <f t="shared" si="1143"/>
        <v>190.811</v>
      </c>
      <c r="O420" s="38">
        <v>5887.0</v>
      </c>
      <c r="P420" s="42">
        <f t="shared" si="1144"/>
        <v>0.8435535927</v>
      </c>
      <c r="Q420" s="43">
        <v>1.5</v>
      </c>
      <c r="R420" s="42">
        <f t="shared" si="1145"/>
        <v>0.5783500718</v>
      </c>
      <c r="S420" s="44">
        <f t="shared" si="1146"/>
        <v>0.8675251077</v>
      </c>
      <c r="T420" s="43">
        <f>F420/24.792</f>
        <v>230.8942401</v>
      </c>
      <c r="U420" s="43">
        <f t="shared" si="1147"/>
        <v>7.696474669</v>
      </c>
      <c r="V420" s="40">
        <f t="shared" si="1148"/>
        <v>165.5333333</v>
      </c>
      <c r="X420" s="31">
        <v>4.0</v>
      </c>
      <c r="Y420" s="31" t="s">
        <v>38</v>
      </c>
      <c r="Z420" s="31">
        <f t="shared" ref="Z420:AI420" si="1171">SUM(D423)</f>
        <v>30</v>
      </c>
      <c r="AA420" s="32">
        <f t="shared" si="1171"/>
        <v>30</v>
      </c>
      <c r="AB420" s="33">
        <f t="shared" si="1171"/>
        <v>6180.75</v>
      </c>
      <c r="AC420" s="32">
        <f t="shared" si="1171"/>
        <v>2381</v>
      </c>
      <c r="AD420" s="32">
        <f t="shared" si="1171"/>
        <v>0</v>
      </c>
      <c r="AE420" s="32">
        <f t="shared" si="1171"/>
        <v>2381</v>
      </c>
      <c r="AF420" s="32">
        <f t="shared" si="1171"/>
        <v>2700</v>
      </c>
      <c r="AG420" s="32">
        <f t="shared" si="1171"/>
        <v>64</v>
      </c>
      <c r="AH420" s="32">
        <f t="shared" si="1171"/>
        <v>2764</v>
      </c>
      <c r="AI420" s="32">
        <f t="shared" si="1171"/>
        <v>5145</v>
      </c>
      <c r="AJ420" s="34">
        <f t="shared" si="1160"/>
        <v>206.025</v>
      </c>
      <c r="AK420" s="31">
        <v>7324.0</v>
      </c>
      <c r="AL420" s="35">
        <f t="shared" si="1162"/>
        <v>0.7024849809</v>
      </c>
      <c r="AM420" s="36">
        <f>SUM(Q423)</f>
        <v>1.5</v>
      </c>
      <c r="AN420" s="35">
        <f t="shared" si="1164"/>
        <v>0.5549488331</v>
      </c>
      <c r="AO420" s="37">
        <f t="shared" si="1165"/>
        <v>0.8324232496</v>
      </c>
      <c r="AP420" s="36">
        <f t="shared" ref="AP420:AQ420" si="1172">SUM(T423)</f>
        <v>150</v>
      </c>
      <c r="AQ420" s="36">
        <f t="shared" si="1172"/>
        <v>5</v>
      </c>
      <c r="AR420" s="32">
        <f t="shared" si="1167"/>
        <v>171.5</v>
      </c>
    </row>
    <row r="421" ht="15.75" customHeight="1">
      <c r="A421" s="21"/>
      <c r="B421" s="38">
        <v>12.0</v>
      </c>
      <c r="C421" s="38" t="s">
        <v>39</v>
      </c>
      <c r="D421" s="39">
        <v>28.0</v>
      </c>
      <c r="E421" s="40">
        <f>IFERROR(__xludf.DUMMYFUNCTION("COUNT(IMPORTRANGE(""https://docs.google.com/spreadsheets/d/1uaTn2DZCfr7O1PvovOd0wElzVz8kpl_iPfnrkNPp0Is/edit"",""16!d2:d29""))"),27.0)</f>
        <v>27</v>
      </c>
      <c r="F421" s="45">
        <f>IFERROR(__xludf.DUMMYFUNCTION("SUM(IMPORTRANGE(""https://docs.google.com/spreadsheets/d/1uaTn2DZCfr7O1PvovOd0wElzVz8kpl_iPfnrkNPp0Is/edit"",""16!Q2:Q29""))"),4342.802)</f>
        <v>4342.802</v>
      </c>
      <c r="G421" s="40">
        <f>IFERROR(__xludf.DUMMYFUNCTION("IMPORTRANGE(""https://docs.google.com/spreadsheets/d/1uaTn2DZCfr7O1PvovOd0wElzVz8kpl_iPfnrkNPp0Is/edit"",""16!e36"")"),846.0)</f>
        <v>846</v>
      </c>
      <c r="H421" s="40">
        <f>IFERROR(__xludf.DUMMYFUNCTION("(IMPORTRANGE(""https://docs.google.com/spreadsheets/d/1uaTn2DZCfr7O1PvovOd0wElzVz8kpl_iPfnrkNPp0Is/edit"",""16!e37""))"),0.0)</f>
        <v>0</v>
      </c>
      <c r="I421" s="40">
        <f t="shared" si="1140"/>
        <v>846</v>
      </c>
      <c r="J421" s="40">
        <f>IFERROR(__xludf.DUMMYFUNCTION("IMPORTRANGE(""https://docs.google.com/spreadsheets/d/1uaTn2DZCfr7O1PvovOd0wElzVz8kpl_iPfnrkNPp0Is/edit"",""16!e40"")"),1544.0)</f>
        <v>1544</v>
      </c>
      <c r="K421" s="40">
        <f>IFERROR(__xludf.DUMMYFUNCTION("IMPORTRANGE(""https://docs.google.com/spreadsheets/d/1uaTn2DZCfr7O1PvovOd0wElzVz8kpl_iPfnrkNPp0Is/edit"",""16!e41"")"),0.0)</f>
        <v>0</v>
      </c>
      <c r="L421" s="40">
        <f t="shared" si="1170"/>
        <v>1544</v>
      </c>
      <c r="M421" s="40">
        <f t="shared" si="1142"/>
        <v>2390</v>
      </c>
      <c r="N421" s="41">
        <f t="shared" si="1143"/>
        <v>160.8445185</v>
      </c>
      <c r="O421" s="38">
        <v>3569.0</v>
      </c>
      <c r="P421" s="42">
        <f t="shared" si="1144"/>
        <v>0.6696553656</v>
      </c>
      <c r="Q421" s="43">
        <v>1.5</v>
      </c>
      <c r="R421" s="42">
        <f t="shared" si="1145"/>
        <v>0.3668906235</v>
      </c>
      <c r="S421" s="44">
        <f t="shared" si="1146"/>
        <v>0.5503359352</v>
      </c>
      <c r="T421" s="43">
        <f>F421/21.463</f>
        <v>202.339002</v>
      </c>
      <c r="U421" s="43">
        <f t="shared" si="1147"/>
        <v>7.494037111</v>
      </c>
      <c r="V421" s="40">
        <f t="shared" si="1148"/>
        <v>88.51851852</v>
      </c>
      <c r="X421" s="31">
        <v>5.0</v>
      </c>
      <c r="Y421" s="31" t="s">
        <v>40</v>
      </c>
      <c r="Z421" s="31">
        <f t="shared" ref="Z421:AI421" si="1173">SUM(D425)</f>
        <v>30</v>
      </c>
      <c r="AA421" s="32">
        <f t="shared" si="1173"/>
        <v>30</v>
      </c>
      <c r="AB421" s="33">
        <f t="shared" si="1173"/>
        <v>5944.587</v>
      </c>
      <c r="AC421" s="32">
        <f t="shared" si="1173"/>
        <v>3497</v>
      </c>
      <c r="AD421" s="32">
        <f t="shared" si="1173"/>
        <v>159</v>
      </c>
      <c r="AE421" s="32">
        <f t="shared" si="1173"/>
        <v>3656</v>
      </c>
      <c r="AF421" s="32">
        <f t="shared" si="1173"/>
        <v>3587</v>
      </c>
      <c r="AG421" s="32">
        <f t="shared" si="1173"/>
        <v>135</v>
      </c>
      <c r="AH421" s="32">
        <f t="shared" si="1173"/>
        <v>3722</v>
      </c>
      <c r="AI421" s="32">
        <f t="shared" si="1173"/>
        <v>7378</v>
      </c>
      <c r="AJ421" s="34">
        <f t="shared" si="1160"/>
        <v>198.1529</v>
      </c>
      <c r="AK421" s="31">
        <f t="shared" ref="AK421:AK422" si="1176">SUM(O425)</f>
        <v>8239</v>
      </c>
      <c r="AL421" s="35">
        <f t="shared" si="1162"/>
        <v>0.8954970263</v>
      </c>
      <c r="AM421" s="36">
        <f t="shared" ref="AM421:AM422" si="1177">SUM(Q425)</f>
        <v>1.5</v>
      </c>
      <c r="AN421" s="35">
        <f t="shared" si="1164"/>
        <v>0.8274194097</v>
      </c>
      <c r="AO421" s="37">
        <f t="shared" si="1165"/>
        <v>1.241129115</v>
      </c>
      <c r="AP421" s="36">
        <f t="shared" ref="AP421:AQ421" si="1174">SUM(T425)</f>
        <v>209</v>
      </c>
      <c r="AQ421" s="36">
        <f t="shared" si="1174"/>
        <v>6.966666667</v>
      </c>
      <c r="AR421" s="32">
        <f t="shared" si="1167"/>
        <v>245.9333333</v>
      </c>
    </row>
    <row r="422" ht="15.75" customHeight="1">
      <c r="A422" s="21"/>
      <c r="B422" s="38">
        <v>12.0</v>
      </c>
      <c r="C422" s="38" t="s">
        <v>41</v>
      </c>
      <c r="D422" s="39">
        <v>24.0</v>
      </c>
      <c r="E422" s="40">
        <f>IFERROR(__xludf.DUMMYFUNCTION("COUNT(IMPORTRANGE(""https://docs.google.com/spreadsheets/d/1oYscvfOJW7GMkxt8QcupWuzb3ohaYePd3Mt2V2ufHok/edit"",""16!d2:d25""))"),24.0)</f>
        <v>24</v>
      </c>
      <c r="F422" s="45">
        <f>IFERROR(__xludf.DUMMYFUNCTION("SUM(IMPORTRANGE(""https://docs.google.com/spreadsheets/d/1oYscvfOJW7GMkxt8QcupWuzb3ohaYePd3Mt2V2ufHok/edit"",""16!Q2:Q25""))"),4687.808000000001)</f>
        <v>4687.808</v>
      </c>
      <c r="G422" s="40">
        <f>IFERROR(__xludf.DUMMYFUNCTION("IMPORTRANGE(""https://docs.google.com/spreadsheets/d/1oYscvfOJW7GMkxt8QcupWuzb3ohaYePd3Mt2V2ufHok/edit"",""16!e32"")"),1214.0)</f>
        <v>1214</v>
      </c>
      <c r="H422" s="40">
        <f>IFERROR(__xludf.DUMMYFUNCTION("IMPORTRANGE(""https://docs.google.com/spreadsheets/d/1oYscvfOJW7GMkxt8QcupWuzb3ohaYePd3Mt2V2ufHok/edit"",""16!e33"")"),0.0)</f>
        <v>0</v>
      </c>
      <c r="I422" s="40">
        <f t="shared" si="1140"/>
        <v>1214</v>
      </c>
      <c r="J422" s="40">
        <f>IFERROR(__xludf.DUMMYFUNCTION("IMPORTRANGE(""https://docs.google.com/spreadsheets/d/1oYscvfOJW7GMkxt8QcupWuzb3ohaYePd3Mt2V2ufHok/edit"",""16!e36"")"),1420.0)</f>
        <v>1420</v>
      </c>
      <c r="K422" s="40">
        <f>IFERROR(__xludf.DUMMYFUNCTION("IMPORTRANGE(""https://docs.google.com/spreadsheets/d/1oYscvfOJW7GMkxt8QcupWuzb3ohaYePd3Mt2V2ufHok/edit"",""16!e37"")"),168.0)</f>
        <v>168</v>
      </c>
      <c r="L422" s="40">
        <f t="shared" si="1170"/>
        <v>1588</v>
      </c>
      <c r="M422" s="40">
        <f t="shared" si="1142"/>
        <v>2802</v>
      </c>
      <c r="N422" s="41">
        <f t="shared" si="1143"/>
        <v>195.3253333</v>
      </c>
      <c r="O422" s="38">
        <v>3801.0</v>
      </c>
      <c r="P422" s="42">
        <f t="shared" si="1144"/>
        <v>0.7371744278</v>
      </c>
      <c r="Q422" s="43">
        <v>1.5</v>
      </c>
      <c r="R422" s="42">
        <f t="shared" si="1145"/>
        <v>0.3984804838</v>
      </c>
      <c r="S422" s="44">
        <f t="shared" si="1146"/>
        <v>0.5977207258</v>
      </c>
      <c r="T422" s="43">
        <f>F422/29.628</f>
        <v>158.2222222</v>
      </c>
      <c r="U422" s="43">
        <f t="shared" si="1147"/>
        <v>6.592592593</v>
      </c>
      <c r="V422" s="40">
        <f t="shared" si="1148"/>
        <v>116.75</v>
      </c>
      <c r="X422" s="22">
        <v>6.0</v>
      </c>
      <c r="Y422" s="22" t="s">
        <v>42</v>
      </c>
      <c r="Z422" s="22">
        <f t="shared" ref="Z422:AI422" si="1175">SUM(D426)</f>
        <v>33</v>
      </c>
      <c r="AA422" s="23">
        <f t="shared" si="1175"/>
        <v>32</v>
      </c>
      <c r="AB422" s="24">
        <f t="shared" si="1175"/>
        <v>6223.352</v>
      </c>
      <c r="AC422" s="23">
        <f t="shared" si="1175"/>
        <v>3170</v>
      </c>
      <c r="AD422" s="23">
        <f t="shared" si="1175"/>
        <v>0</v>
      </c>
      <c r="AE422" s="23">
        <f t="shared" si="1175"/>
        <v>3170</v>
      </c>
      <c r="AF422" s="23">
        <f t="shared" si="1175"/>
        <v>4378</v>
      </c>
      <c r="AG422" s="23">
        <f t="shared" si="1175"/>
        <v>59</v>
      </c>
      <c r="AH422" s="23">
        <f t="shared" si="1175"/>
        <v>4437</v>
      </c>
      <c r="AI422" s="23">
        <f t="shared" si="1175"/>
        <v>7607</v>
      </c>
      <c r="AJ422" s="25">
        <f t="shared" si="1160"/>
        <v>194.47975</v>
      </c>
      <c r="AK422" s="22">
        <f t="shared" si="1176"/>
        <v>9877</v>
      </c>
      <c r="AL422" s="26">
        <f t="shared" si="1162"/>
        <v>0.7701731295</v>
      </c>
      <c r="AM422" s="27">
        <f t="shared" si="1177"/>
        <v>1.5</v>
      </c>
      <c r="AN422" s="26">
        <f t="shared" si="1164"/>
        <v>0.814887754</v>
      </c>
      <c r="AO422" s="28">
        <f t="shared" si="1165"/>
        <v>1.222331631</v>
      </c>
      <c r="AP422" s="27">
        <f t="shared" ref="AP422:AQ422" si="1178">SUM(T426)</f>
        <v>237.9411967</v>
      </c>
      <c r="AQ422" s="27">
        <f t="shared" si="1178"/>
        <v>7.435662397</v>
      </c>
      <c r="AR422" s="23">
        <f t="shared" si="1167"/>
        <v>237.71875</v>
      </c>
    </row>
    <row r="423" ht="15.75" customHeight="1">
      <c r="A423" s="21"/>
      <c r="B423" s="38">
        <v>13.0</v>
      </c>
      <c r="C423" s="38" t="s">
        <v>43</v>
      </c>
      <c r="D423" s="39">
        <v>30.0</v>
      </c>
      <c r="E423" s="40">
        <f>IFERROR(__xludf.DUMMYFUNCTION("COUNT(IMPORTRANGE(""https://docs.google.com/spreadsheets/d/1AxBmuQEdOYAeRnZ4C8vO6kuTNp7X_SGhpLXuY0n4ln4/edit"",""16!d2:d31""))"),30.0)</f>
        <v>30</v>
      </c>
      <c r="F423" s="45">
        <f>IFERROR(__xludf.DUMMYFUNCTION("SUM(IMPORTRANGE(""https://docs.google.com/spreadsheets/d/1AxBmuQEdOYAeRnZ4C8vO6kuTNp7X_SGhpLXuY0n4ln4/edit"",""16!Q2:Q31""))"),6180.749999999997)</f>
        <v>6180.75</v>
      </c>
      <c r="G423" s="40">
        <f>IFERROR(__xludf.DUMMYFUNCTION("IMPORTRANGE(""https://docs.google.com/spreadsheets/d/1AxBmuQEdOYAeRnZ4C8vO6kuTNp7X_SGhpLXuY0n4ln4/edit"",""16!e38"")"),2381.0)</f>
        <v>2381</v>
      </c>
      <c r="H423" s="40">
        <f>IFERROR(__xludf.DUMMYFUNCTION("IMPORTRANGE(""https://docs.google.com/spreadsheets/d/1AxBmuQEdOYAeRnZ4C8vO6kuTNp7X_SGhpLXuY0n4ln4/edit"",""16!e39"")"),0.0)</f>
        <v>0</v>
      </c>
      <c r="I423" s="40">
        <f t="shared" si="1140"/>
        <v>2381</v>
      </c>
      <c r="J423" s="40">
        <f>IFERROR(__xludf.DUMMYFUNCTION("IMPORTRANGE(""https://docs.google.com/spreadsheets/d/1AxBmuQEdOYAeRnZ4C8vO6kuTNp7X_SGhpLXuY0n4ln4/edit"",""16!e42"")"),2700.0)</f>
        <v>2700</v>
      </c>
      <c r="K423" s="40">
        <f>IFERROR(__xludf.DUMMYFUNCTION("IMPORTRANGE(""https://docs.google.com/spreadsheets/d/1AxBmuQEdOYAeRnZ4C8vO6kuTNp7X_SGhpLXuY0n4ln4/edit"",""16!e43"")"),64.0)</f>
        <v>64</v>
      </c>
      <c r="L423" s="40">
        <f t="shared" si="1170"/>
        <v>2764</v>
      </c>
      <c r="M423" s="40">
        <f t="shared" si="1142"/>
        <v>5145</v>
      </c>
      <c r="N423" s="41">
        <f t="shared" si="1143"/>
        <v>206.025</v>
      </c>
      <c r="O423" s="38">
        <v>8345.0</v>
      </c>
      <c r="P423" s="42">
        <f t="shared" si="1144"/>
        <v>0.6165368484</v>
      </c>
      <c r="Q423" s="43">
        <v>1.5</v>
      </c>
      <c r="R423" s="42">
        <f t="shared" si="1145"/>
        <v>0.5549488331</v>
      </c>
      <c r="S423" s="44">
        <f t="shared" si="1146"/>
        <v>0.8324232496</v>
      </c>
      <c r="T423" s="43">
        <f>F423/41.205</f>
        <v>150</v>
      </c>
      <c r="U423" s="43">
        <f t="shared" si="1147"/>
        <v>5</v>
      </c>
      <c r="V423" s="40">
        <f t="shared" si="1148"/>
        <v>171.5</v>
      </c>
      <c r="X423" s="46" t="s">
        <v>33</v>
      </c>
      <c r="Y423" s="46">
        <v>6.0</v>
      </c>
      <c r="Z423" s="46">
        <f t="shared" ref="Z423:AI423" si="1179">SUM(Z417:Z422)</f>
        <v>226</v>
      </c>
      <c r="AA423" s="47">
        <f t="shared" si="1179"/>
        <v>223</v>
      </c>
      <c r="AB423" s="49">
        <f t="shared" si="1179"/>
        <v>43651.783</v>
      </c>
      <c r="AC423" s="47">
        <f t="shared" si="1179"/>
        <v>18245</v>
      </c>
      <c r="AD423" s="47">
        <f t="shared" si="1179"/>
        <v>274</v>
      </c>
      <c r="AE423" s="47">
        <f t="shared" si="1179"/>
        <v>18519</v>
      </c>
      <c r="AF423" s="47">
        <f t="shared" si="1179"/>
        <v>22098</v>
      </c>
      <c r="AG423" s="47">
        <f t="shared" si="1179"/>
        <v>526</v>
      </c>
      <c r="AH423" s="47">
        <f t="shared" si="1179"/>
        <v>22624</v>
      </c>
      <c r="AI423" s="47">
        <f t="shared" si="1179"/>
        <v>41143</v>
      </c>
      <c r="AJ423" s="49">
        <f t="shared" si="1160"/>
        <v>195.7479058</v>
      </c>
      <c r="AK423" s="46">
        <f>SUM(AK417:AK422)</f>
        <v>53273</v>
      </c>
      <c r="AL423" s="50">
        <f t="shared" si="1162"/>
        <v>0.7723049199</v>
      </c>
      <c r="AM423" s="51">
        <v>1.5</v>
      </c>
      <c r="AN423" s="50">
        <f t="shared" si="1164"/>
        <v>0.6283515765</v>
      </c>
      <c r="AO423" s="52">
        <f t="shared" si="1165"/>
        <v>0.9425273648</v>
      </c>
      <c r="AP423" s="51">
        <f>SUM(AP417:AP422)</f>
        <v>1433.891186</v>
      </c>
      <c r="AQ423" s="51">
        <f>AP423/AA423</f>
        <v>6.43000532</v>
      </c>
      <c r="AR423" s="47">
        <f t="shared" si="1167"/>
        <v>184.4977578</v>
      </c>
    </row>
    <row r="424" ht="15.75" customHeight="1">
      <c r="A424" s="21"/>
      <c r="B424" s="38">
        <v>14.0</v>
      </c>
      <c r="C424" s="38" t="s">
        <v>27</v>
      </c>
      <c r="D424" s="39">
        <v>30.0</v>
      </c>
      <c r="E424" s="40">
        <f>IFERROR(__xludf.DUMMYFUNCTION("COUNT(IMPORTRANGE(""https://docs.google.com/spreadsheets/d/1LsL4JuXvBtfJ-TVi4NFml9lV_pmd61b789A_nbO-QrA/edit"",""16!d2:d31""))"),29.0)</f>
        <v>29</v>
      </c>
      <c r="F424" s="45">
        <f>IFERROR(__xludf.DUMMYFUNCTION("SUM(IMPORTRANGE(""https://docs.google.com/spreadsheets/d/1LsL4JuXvBtfJ-TVi4NFml9lV_pmd61b789A_nbO-QrA/edit"",""16!Q2:Q31""))"),5345.85)</f>
        <v>5345.85</v>
      </c>
      <c r="G424" s="40">
        <f>IFERROR(__xludf.DUMMYFUNCTION("IMPORTRANGE(""https://docs.google.com/spreadsheets/d/1LsL4JuXvBtfJ-TVi4NFml9lV_pmd61b789A_nbO-QrA/edit"",""16!e38"")"),2255.0)</f>
        <v>2255</v>
      </c>
      <c r="H424" s="40">
        <f>IFERROR(__xludf.DUMMYFUNCTION("IMPORTRANGE(""https://docs.google.com/spreadsheets/d/1LsL4JuXvBtfJ-TVi4NFml9lV_pmd61b789A_nbO-QrA/edit"",""16!e39"")"),0.0)</f>
        <v>0</v>
      </c>
      <c r="I424" s="40">
        <f t="shared" si="1140"/>
        <v>2255</v>
      </c>
      <c r="J424" s="40">
        <f>IFERROR(__xludf.DUMMYFUNCTION("IMPORTRANGE(""https://docs.google.com/spreadsheets/d/1LsL4JuXvBtfJ-TVi4NFml9lV_pmd61b789A_nbO-QrA/edit"",""16!e42"")"),2961.0)</f>
        <v>2961</v>
      </c>
      <c r="K424" s="40">
        <f>IFERROR(__xludf.DUMMYFUNCTION("IMPORTRANGE(""https://docs.google.com/spreadsheets/d/1LsL4JuXvBtfJ-TVi4NFml9lV_pmd61b789A_nbO-QrA/edit"",""16!e43"")"),0.0)</f>
        <v>0</v>
      </c>
      <c r="L424" s="40">
        <f t="shared" si="1170"/>
        <v>2961</v>
      </c>
      <c r="M424" s="40">
        <f t="shared" si="1142"/>
        <v>5216</v>
      </c>
      <c r="N424" s="41">
        <f t="shared" si="1143"/>
        <v>184.3396552</v>
      </c>
      <c r="O424" s="38">
        <v>8101.0</v>
      </c>
      <c r="P424" s="42">
        <f t="shared" si="1144"/>
        <v>0.643871127</v>
      </c>
      <c r="Q424" s="43">
        <v>1.5</v>
      </c>
      <c r="R424" s="42">
        <f t="shared" si="1145"/>
        <v>0.6504734202</v>
      </c>
      <c r="S424" s="44">
        <f t="shared" si="1146"/>
        <v>0.9757101303</v>
      </c>
      <c r="T424" s="43">
        <f>F424/19.985</f>
        <v>267.4931198</v>
      </c>
      <c r="U424" s="43">
        <f t="shared" si="1147"/>
        <v>9.223900684</v>
      </c>
      <c r="V424" s="40">
        <f t="shared" si="1148"/>
        <v>179.862069</v>
      </c>
      <c r="X424" s="59" t="s">
        <v>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6"/>
    </row>
    <row r="425" ht="15.75" customHeight="1">
      <c r="A425" s="21"/>
      <c r="B425" s="38">
        <v>15.0</v>
      </c>
      <c r="C425" s="38" t="s">
        <v>40</v>
      </c>
      <c r="D425" s="39">
        <v>30.0</v>
      </c>
      <c r="E425" s="40">
        <f>IFERROR(__xludf.DUMMYFUNCTION("COUNT(IMPORTRANGE(""https://docs.google.com/spreadsheets/d/1Krav0MVlY0vbUNsFRDnb_kR72_tyuGnWBYbGjNZrl18/edit"",""16!d2:d31""))"),30.0)</f>
        <v>30</v>
      </c>
      <c r="F425" s="45">
        <f>IFERROR(__xludf.DUMMYFUNCTION("SUM(IMPORTRANGE(""https://docs.google.com/spreadsheets/d/1Krav0MVlY0vbUNsFRDnb_kR72_tyuGnWBYbGjNZrl18/edit"",""16!Q2:Q31""))"),5944.586999999998)</f>
        <v>5944.587</v>
      </c>
      <c r="G425" s="40">
        <f>IFERROR(__xludf.DUMMYFUNCTION("IMPORTRANGE(""https://docs.google.com/spreadsheets/d/1Krav0MVlY0vbUNsFRDnb_kR72_tyuGnWBYbGjNZrl18/edit"",""16!e38"")"),3497.0)</f>
        <v>3497</v>
      </c>
      <c r="H425" s="40">
        <f>IFERROR(__xludf.DUMMYFUNCTION("IMPORTRANGE(""https://docs.google.com/spreadsheets/d/1Krav0MVlY0vbUNsFRDnb_kR72_tyuGnWBYbGjNZrl18/edit"",""16!e39"")"),159.0)</f>
        <v>159</v>
      </c>
      <c r="I425" s="40">
        <f t="shared" si="1140"/>
        <v>3656</v>
      </c>
      <c r="J425" s="40">
        <f>IFERROR(__xludf.DUMMYFUNCTION("IMPORTRANGE(""https://docs.google.com/spreadsheets/d/1Krav0MVlY0vbUNsFRDnb_kR72_tyuGnWBYbGjNZrl18/edit"",""16!e42"")"),3587.0)</f>
        <v>3587</v>
      </c>
      <c r="K425" s="40">
        <f>IFERROR(__xludf.DUMMYFUNCTION("IMPORTRANGE(""https://docs.google.com/spreadsheets/d/1Krav0MVlY0vbUNsFRDnb_kR72_tyuGnWBYbGjNZrl18/edit"",""16!e43"")"),135.0)</f>
        <v>135</v>
      </c>
      <c r="L425" s="40">
        <f t="shared" si="1170"/>
        <v>3722</v>
      </c>
      <c r="M425" s="40">
        <f t="shared" si="1142"/>
        <v>7378</v>
      </c>
      <c r="N425" s="41">
        <f t="shared" si="1143"/>
        <v>198.1529</v>
      </c>
      <c r="O425" s="38">
        <v>8239.0</v>
      </c>
      <c r="P425" s="42">
        <f t="shared" si="1144"/>
        <v>0.8954970263</v>
      </c>
      <c r="Q425" s="43">
        <v>1.5</v>
      </c>
      <c r="R425" s="42">
        <f t="shared" si="1145"/>
        <v>0.8274194097</v>
      </c>
      <c r="S425" s="44">
        <f t="shared" si="1146"/>
        <v>1.241129115</v>
      </c>
      <c r="T425" s="43">
        <f>F425/28.443</f>
        <v>209</v>
      </c>
      <c r="U425" s="43">
        <f t="shared" si="1147"/>
        <v>6.966666667</v>
      </c>
      <c r="V425" s="40">
        <f t="shared" si="1148"/>
        <v>245.9333333</v>
      </c>
      <c r="X425" s="14" t="s">
        <v>2</v>
      </c>
      <c r="Y425" s="14" t="s">
        <v>3</v>
      </c>
      <c r="Z425" s="14" t="s">
        <v>4</v>
      </c>
      <c r="AA425" s="14" t="s">
        <v>5</v>
      </c>
      <c r="AB425" s="15" t="s">
        <v>6</v>
      </c>
      <c r="AC425" s="14" t="s">
        <v>7</v>
      </c>
      <c r="AD425" s="14" t="s">
        <v>8</v>
      </c>
      <c r="AE425" s="14" t="s">
        <v>9</v>
      </c>
      <c r="AF425" s="14" t="s">
        <v>10</v>
      </c>
      <c r="AG425" s="14" t="s">
        <v>11</v>
      </c>
      <c r="AH425" s="14" t="s">
        <v>12</v>
      </c>
      <c r="AI425" s="14" t="s">
        <v>13</v>
      </c>
      <c r="AJ425" s="15" t="s">
        <v>14</v>
      </c>
      <c r="AK425" s="14" t="s">
        <v>15</v>
      </c>
      <c r="AL425" s="14" t="s">
        <v>16</v>
      </c>
      <c r="AM425" s="16" t="s">
        <v>17</v>
      </c>
      <c r="AN425" s="17" t="s">
        <v>18</v>
      </c>
      <c r="AO425" s="18" t="s">
        <v>19</v>
      </c>
      <c r="AP425" s="19" t="s">
        <v>20</v>
      </c>
      <c r="AQ425" s="19" t="s">
        <v>21</v>
      </c>
      <c r="AR425" s="20" t="s">
        <v>22</v>
      </c>
    </row>
    <row r="426" ht="15.75" customHeight="1">
      <c r="A426" s="21"/>
      <c r="B426" s="38">
        <v>16.0</v>
      </c>
      <c r="C426" s="38" t="s">
        <v>42</v>
      </c>
      <c r="D426" s="39">
        <v>33.0</v>
      </c>
      <c r="E426" s="40">
        <f>IFERROR(__xludf.DUMMYFUNCTION("COUNT(IMPORTRANGE(""https://docs.google.com/spreadsheets/d/1uXtm-E8PG0CetlFmSpTX3RK0LNEMnpR-mxbET9AGD6w/edit"",""16!d2:d34""))"),32.0)</f>
        <v>32</v>
      </c>
      <c r="F426" s="45">
        <f>IFERROR(__xludf.DUMMYFUNCTION("SUM(IMPORTRANGE(""https://docs.google.com/spreadsheets/d/1uXtm-E8PG0CetlFmSpTX3RK0LNEMnpR-mxbET9AGD6w/edit"",""16!Q2:Q34""))"),6223.351999999998)</f>
        <v>6223.352</v>
      </c>
      <c r="G426" s="40">
        <f>IFERROR(__xludf.DUMMYFUNCTION("IMPORTRANGE(""https://docs.google.com/spreadsheets/d/1uXtm-E8PG0CetlFmSpTX3RK0LNEMnpR-mxbET9AGD6w/edit"",""16!e41"")"),3170.0)</f>
        <v>3170</v>
      </c>
      <c r="H426" s="40">
        <f>IFERROR(__xludf.DUMMYFUNCTION("IMPORTRANGE(""https://docs.google.com/spreadsheets/d/1uXtm-E8PG0CetlFmSpTX3RK0LNEMnpR-mxbET9AGD6w/edit"",""16!e42"")"),0.0)</f>
        <v>0</v>
      </c>
      <c r="I426" s="40">
        <f t="shared" si="1140"/>
        <v>3170</v>
      </c>
      <c r="J426" s="40">
        <f>IFERROR(__xludf.DUMMYFUNCTION("IMPORTRANGE(""https://docs.google.com/spreadsheets/d/1uXtm-E8PG0CetlFmSpTX3RK0LNEMnpR-mxbET9AGD6w/edit"",""16!e45"")"),4378.0)</f>
        <v>4378</v>
      </c>
      <c r="K426" s="40">
        <f>IFERROR(__xludf.DUMMYFUNCTION("IMPORTRANGE(""https://docs.google.com/spreadsheets/d/1uXtm-E8PG0CetlFmSpTX3RK0LNEMnpR-mxbET9AGD6w/edit"",""16!e46"")"),59.0)</f>
        <v>59</v>
      </c>
      <c r="L426" s="40">
        <f t="shared" si="1170"/>
        <v>4437</v>
      </c>
      <c r="M426" s="40">
        <f t="shared" si="1142"/>
        <v>7607</v>
      </c>
      <c r="N426" s="41">
        <f t="shared" si="1143"/>
        <v>194.47975</v>
      </c>
      <c r="O426" s="38">
        <v>9877.0</v>
      </c>
      <c r="P426" s="42">
        <f t="shared" si="1144"/>
        <v>0.7701731295</v>
      </c>
      <c r="Q426" s="43">
        <v>1.5</v>
      </c>
      <c r="R426" s="42">
        <f t="shared" si="1145"/>
        <v>0.814887754</v>
      </c>
      <c r="S426" s="44">
        <f t="shared" si="1146"/>
        <v>1.222331631</v>
      </c>
      <c r="T426" s="43">
        <f>F426/26.155</f>
        <v>237.9411967</v>
      </c>
      <c r="U426" s="43">
        <f t="shared" si="1147"/>
        <v>7.435662397</v>
      </c>
      <c r="V426" s="40">
        <f t="shared" si="1148"/>
        <v>237.71875</v>
      </c>
      <c r="X426" s="31">
        <v>1.0</v>
      </c>
      <c r="Y426" s="31" t="s">
        <v>26</v>
      </c>
      <c r="Z426" s="31">
        <f t="shared" ref="Z426:AI426" si="1180">SUM(D411)</f>
        <v>20</v>
      </c>
      <c r="AA426" s="32">
        <f t="shared" si="1180"/>
        <v>20</v>
      </c>
      <c r="AB426" s="34">
        <f t="shared" si="1180"/>
        <v>3748.512</v>
      </c>
      <c r="AC426" s="32">
        <f t="shared" si="1180"/>
        <v>2066</v>
      </c>
      <c r="AD426" s="32">
        <f t="shared" si="1180"/>
        <v>0</v>
      </c>
      <c r="AE426" s="32">
        <f t="shared" si="1180"/>
        <v>2066</v>
      </c>
      <c r="AF426" s="32">
        <f t="shared" si="1180"/>
        <v>2723</v>
      </c>
      <c r="AG426" s="32">
        <f t="shared" si="1180"/>
        <v>189</v>
      </c>
      <c r="AH426" s="32">
        <f t="shared" si="1180"/>
        <v>2912</v>
      </c>
      <c r="AI426" s="32">
        <f t="shared" si="1180"/>
        <v>4978</v>
      </c>
      <c r="AJ426" s="34">
        <f t="shared" ref="AJ426:AJ432" si="1183">AB426/AA426</f>
        <v>187.4256</v>
      </c>
      <c r="AK426" s="31">
        <f>SUM(O411)</f>
        <v>5161</v>
      </c>
      <c r="AL426" s="35">
        <f t="shared" ref="AL426:AL432" si="1184">AI426/AK426</f>
        <v>0.9645417555</v>
      </c>
      <c r="AM426" s="36">
        <f>SUM(Q411)</f>
        <v>1.5</v>
      </c>
      <c r="AN426" s="35">
        <f t="shared" ref="AN426:AN432" si="1185">AO426/AM426</f>
        <v>0.8853290764</v>
      </c>
      <c r="AO426" s="37">
        <f t="shared" ref="AO426:AO432" si="1186">AI426/AB426</f>
        <v>1.327993615</v>
      </c>
      <c r="AP426" s="36">
        <f t="shared" ref="AP426:AQ426" si="1181">SUM(T411)</f>
        <v>260.0424558</v>
      </c>
      <c r="AQ426" s="36">
        <f t="shared" si="1181"/>
        <v>13.00212279</v>
      </c>
      <c r="AR426" s="32">
        <f t="shared" ref="AR426:AR432" si="1188">AI426/AA426</f>
        <v>248.9</v>
      </c>
    </row>
    <row r="427" ht="15.75" customHeight="1">
      <c r="A427" s="21"/>
      <c r="B427" s="38">
        <v>17.0</v>
      </c>
      <c r="C427" s="38" t="s">
        <v>29</v>
      </c>
      <c r="D427" s="39">
        <v>30.0</v>
      </c>
      <c r="E427" s="40">
        <f>IFERROR(__xludf.DUMMYFUNCTION("COUNT(IMPORTRANGE(""https://docs.google.com/spreadsheets/d/12xcKI0lSnAsjEsxfm9K8Qx0B_89Gzsh816mowItkQao/edit"",""16!d2:d31""))"),28.0)</f>
        <v>28</v>
      </c>
      <c r="F427" s="45">
        <f>IFERROR(__xludf.DUMMYFUNCTION("SUM(IMPORTRANGE(""https://docs.google.com/spreadsheets/d/12xcKI0lSnAsjEsxfm9K8Qx0B_89Gzsh816mowItkQao/edit"",""16!Q2:Q31""))"),5467.979999999999)</f>
        <v>5467.98</v>
      </c>
      <c r="G427" s="40">
        <f>IFERROR(__xludf.DUMMYFUNCTION("IMPORTRANGE(""https://docs.google.com/spreadsheets/d/12xcKI0lSnAsjEsxfm9K8Qx0B_89Gzsh816mowItkQao/edit"",""16!e38"")"),2456.0)</f>
        <v>2456</v>
      </c>
      <c r="H427" s="40">
        <f>IFERROR(__xludf.DUMMYFUNCTION("IMPORTRANGE(""https://docs.google.com/spreadsheets/d/12xcKI0lSnAsjEsxfm9K8Qx0B_89Gzsh816mowItkQao/edit"",""16!e39"")"),0.0)</f>
        <v>0</v>
      </c>
      <c r="I427" s="40">
        <f t="shared" si="1140"/>
        <v>2456</v>
      </c>
      <c r="J427" s="40">
        <f>IFERROR(__xludf.DUMMYFUNCTION("IMPORTRANGE(""https://docs.google.com/spreadsheets/d/12xcKI0lSnAsjEsxfm9K8Qx0B_89Gzsh816mowItkQao/edit"",""16!e42"")"),4334.0)</f>
        <v>4334</v>
      </c>
      <c r="K427" s="40">
        <f>IFERROR(__xludf.DUMMYFUNCTION("IMPORTRANGE(""https://docs.google.com/spreadsheets/d/12xcKI0lSnAsjEsxfm9K8Qx0B_89Gzsh816mowItkQao/edit"",""16!e43"")"),0.0)</f>
        <v>0</v>
      </c>
      <c r="L427" s="40">
        <f t="shared" si="1170"/>
        <v>4334</v>
      </c>
      <c r="M427" s="40">
        <f t="shared" si="1142"/>
        <v>6790</v>
      </c>
      <c r="N427" s="41">
        <f t="shared" si="1143"/>
        <v>195.285</v>
      </c>
      <c r="O427" s="38">
        <v>9201.0</v>
      </c>
      <c r="P427" s="42">
        <f t="shared" si="1144"/>
        <v>0.7379632649</v>
      </c>
      <c r="Q427" s="43">
        <v>1.5</v>
      </c>
      <c r="R427" s="42">
        <f t="shared" si="1145"/>
        <v>0.8278498946</v>
      </c>
      <c r="S427" s="44">
        <f t="shared" si="1146"/>
        <v>1.241774842</v>
      </c>
      <c r="T427" s="43">
        <f>F427/26.038</f>
        <v>210</v>
      </c>
      <c r="U427" s="43">
        <f t="shared" si="1147"/>
        <v>7.5</v>
      </c>
      <c r="V427" s="40">
        <f t="shared" si="1148"/>
        <v>242.5</v>
      </c>
      <c r="X427" s="31">
        <v>2.0</v>
      </c>
      <c r="Y427" s="31" t="s">
        <v>32</v>
      </c>
      <c r="Z427" s="31">
        <f t="shared" ref="Z427:AI427" si="1182">SUM(D414)</f>
        <v>42</v>
      </c>
      <c r="AA427" s="32">
        <f t="shared" si="1182"/>
        <v>41</v>
      </c>
      <c r="AB427" s="33">
        <f t="shared" si="1182"/>
        <v>8229.192</v>
      </c>
      <c r="AC427" s="31">
        <f t="shared" si="1182"/>
        <v>4865</v>
      </c>
      <c r="AD427" s="31">
        <f t="shared" si="1182"/>
        <v>110</v>
      </c>
      <c r="AE427" s="32">
        <f t="shared" si="1182"/>
        <v>4975</v>
      </c>
      <c r="AF427" s="31">
        <f t="shared" si="1182"/>
        <v>5826</v>
      </c>
      <c r="AG427" s="31">
        <f t="shared" si="1182"/>
        <v>0</v>
      </c>
      <c r="AH427" s="32">
        <f t="shared" si="1182"/>
        <v>5826</v>
      </c>
      <c r="AI427" s="32">
        <f t="shared" si="1182"/>
        <v>10801</v>
      </c>
      <c r="AJ427" s="34">
        <f t="shared" si="1183"/>
        <v>200.712</v>
      </c>
      <c r="AK427" s="31">
        <f>SUM(O414)</f>
        <v>13817</v>
      </c>
      <c r="AL427" s="35">
        <f t="shared" si="1184"/>
        <v>0.7817181733</v>
      </c>
      <c r="AM427" s="36">
        <f>SUM(Q414)</f>
        <v>1.5</v>
      </c>
      <c r="AN427" s="35">
        <f t="shared" si="1185"/>
        <v>0.8750150278</v>
      </c>
      <c r="AO427" s="37">
        <f t="shared" si="1186"/>
        <v>1.312522542</v>
      </c>
      <c r="AP427" s="36">
        <f t="shared" ref="AP427:AQ427" si="1187">SUM(T414)</f>
        <v>328</v>
      </c>
      <c r="AQ427" s="36">
        <f t="shared" si="1187"/>
        <v>8</v>
      </c>
      <c r="AR427" s="32">
        <f t="shared" si="1188"/>
        <v>263.4390244</v>
      </c>
    </row>
    <row r="428" ht="15.75" customHeight="1">
      <c r="A428" s="21"/>
      <c r="B428" s="38">
        <v>18.0</v>
      </c>
      <c r="C428" s="38" t="s">
        <v>31</v>
      </c>
      <c r="D428" s="39">
        <v>15.0</v>
      </c>
      <c r="E428" s="40">
        <f>IFERROR(__xludf.DUMMYFUNCTION("COUNT(IMPORTRANGE(""https://docs.google.com/spreadsheets/d/1fgCFOFzOla4Qim6_-zG-lbYhLCItqv_kZiAHoErRgcM/edit"",""16!d2:d16""))"),14.0)</f>
        <v>14</v>
      </c>
      <c r="F428" s="41">
        <f>IFERROR(__xludf.DUMMYFUNCTION("SUM(IMPORTRANGE(""https://docs.google.com/spreadsheets/d/1fgCFOFzOla4Qim6_-zG-lbYhLCItqv_kZiAHoErRgcM/edit"",""16!Q2:Q16""))"),2825.225)</f>
        <v>2825.225</v>
      </c>
      <c r="G428" s="40">
        <f>IFERROR(__xludf.DUMMYFUNCTION("IMPORTRANGE(""https://docs.google.com/spreadsheets/d/1fgCFOFzOla4Qim6_-zG-lbYhLCItqv_kZiAHoErRgcM/edit"",""16!e23"")"),966.0)</f>
        <v>966</v>
      </c>
      <c r="H428" s="40">
        <f>IFERROR(__xludf.DUMMYFUNCTION("IMPORTRANGE(""https://docs.google.com/spreadsheets/d/1fgCFOFzOla4Qim6_-zG-lbYhLCItqv_kZiAHoErRgcM/edit"",""16!e24"")"),6.0)</f>
        <v>6</v>
      </c>
      <c r="I428" s="40">
        <f t="shared" si="1140"/>
        <v>972</v>
      </c>
      <c r="J428" s="40">
        <f>IFERROR(__xludf.DUMMYFUNCTION("IMPORTRANGE(""https://docs.google.com/spreadsheets/d/1fgCFOFzOla4Qim6_-zG-lbYhLCItqv_kZiAHoErRgcM/edit"",""16!e27"")"),1108.0)</f>
        <v>1108</v>
      </c>
      <c r="K428" s="40">
        <f>IFERROR(__xludf.DUMMYFUNCTION("IMPORTRANGE(""https://docs.google.com/spreadsheets/d/1fgCFOFzOla4Qim6_-zG-lbYhLCItqv_kZiAHoErRgcM/edit"",""16!e28"")"),0.0)</f>
        <v>0</v>
      </c>
      <c r="L428" s="40">
        <f t="shared" si="1170"/>
        <v>1108</v>
      </c>
      <c r="M428" s="40">
        <f t="shared" si="1142"/>
        <v>2080</v>
      </c>
      <c r="N428" s="41">
        <f t="shared" si="1143"/>
        <v>201.8017857</v>
      </c>
      <c r="O428" s="38">
        <v>2717.0</v>
      </c>
      <c r="P428" s="42">
        <f t="shared" si="1144"/>
        <v>0.7655502392</v>
      </c>
      <c r="Q428" s="43">
        <v>1.5</v>
      </c>
      <c r="R428" s="42">
        <f t="shared" si="1145"/>
        <v>0.4908163657</v>
      </c>
      <c r="S428" s="44">
        <f t="shared" si="1146"/>
        <v>0.7362245485</v>
      </c>
      <c r="T428" s="43">
        <f>F428/43.465</f>
        <v>65</v>
      </c>
      <c r="U428" s="43">
        <f t="shared" si="1147"/>
        <v>4.642857143</v>
      </c>
      <c r="V428" s="40">
        <f t="shared" si="1148"/>
        <v>148.5714286</v>
      </c>
      <c r="X428" s="31">
        <v>3.0</v>
      </c>
      <c r="Y428" s="31" t="s">
        <v>36</v>
      </c>
      <c r="Z428" s="31">
        <f t="shared" ref="Z428:AI428" si="1189">SUM(D419)</f>
        <v>29</v>
      </c>
      <c r="AA428" s="32">
        <f t="shared" si="1189"/>
        <v>28</v>
      </c>
      <c r="AB428" s="33">
        <f t="shared" si="1189"/>
        <v>5454.464</v>
      </c>
      <c r="AC428" s="32">
        <f t="shared" si="1189"/>
        <v>1503</v>
      </c>
      <c r="AD428" s="32">
        <f t="shared" si="1189"/>
        <v>0</v>
      </c>
      <c r="AE428" s="32">
        <f t="shared" si="1189"/>
        <v>1503</v>
      </c>
      <c r="AF428" s="32">
        <f t="shared" si="1189"/>
        <v>2086</v>
      </c>
      <c r="AG428" s="32">
        <f t="shared" si="1189"/>
        <v>0</v>
      </c>
      <c r="AH428" s="32">
        <f t="shared" si="1189"/>
        <v>2086</v>
      </c>
      <c r="AI428" s="32">
        <f t="shared" si="1189"/>
        <v>3589</v>
      </c>
      <c r="AJ428" s="34">
        <f t="shared" si="1183"/>
        <v>194.8022857</v>
      </c>
      <c r="AK428" s="31">
        <f t="shared" ref="AK428:AK431" si="1193">SUM(O419)</f>
        <v>4796</v>
      </c>
      <c r="AL428" s="35">
        <f t="shared" si="1184"/>
        <v>0.7483319433</v>
      </c>
      <c r="AM428" s="36">
        <f t="shared" ref="AM428:AM431" si="1194">SUM(Q419)</f>
        <v>1.5</v>
      </c>
      <c r="AN428" s="35">
        <f t="shared" si="1185"/>
        <v>0.4386621062</v>
      </c>
      <c r="AO428" s="37">
        <f t="shared" si="1186"/>
        <v>0.6579931594</v>
      </c>
      <c r="AP428" s="36">
        <f t="shared" ref="AP428:AQ428" si="1190">SUM(T419)</f>
        <v>145.7867109</v>
      </c>
      <c r="AQ428" s="36">
        <f t="shared" si="1190"/>
        <v>5.206668245</v>
      </c>
      <c r="AR428" s="32">
        <f t="shared" si="1188"/>
        <v>128.1785714</v>
      </c>
    </row>
    <row r="429" ht="15.75" customHeight="1">
      <c r="A429" s="21"/>
      <c r="B429" s="60" t="s">
        <v>33</v>
      </c>
      <c r="C429" s="60">
        <v>18.0</v>
      </c>
      <c r="D429" s="60">
        <f t="shared" ref="D429:M429" si="1191">SUM(D411:D428)</f>
        <v>585</v>
      </c>
      <c r="E429" s="61">
        <f t="shared" si="1191"/>
        <v>574</v>
      </c>
      <c r="F429" s="62">
        <f t="shared" si="1191"/>
        <v>110802.693</v>
      </c>
      <c r="G429" s="61">
        <f t="shared" si="1191"/>
        <v>41560</v>
      </c>
      <c r="H429" s="61">
        <f t="shared" si="1191"/>
        <v>942</v>
      </c>
      <c r="I429" s="61">
        <f t="shared" si="1191"/>
        <v>42502</v>
      </c>
      <c r="J429" s="61">
        <f t="shared" si="1191"/>
        <v>55065</v>
      </c>
      <c r="K429" s="61">
        <f t="shared" si="1191"/>
        <v>1385</v>
      </c>
      <c r="L429" s="61">
        <f t="shared" si="1191"/>
        <v>56450</v>
      </c>
      <c r="M429" s="61">
        <f t="shared" si="1191"/>
        <v>98952</v>
      </c>
      <c r="N429" s="62">
        <f t="shared" si="1143"/>
        <v>193.0360505</v>
      </c>
      <c r="O429" s="60">
        <f>SUM(O411:O428)</f>
        <v>126399</v>
      </c>
      <c r="P429" s="63">
        <f t="shared" si="1144"/>
        <v>0.7828542947</v>
      </c>
      <c r="Q429" s="64">
        <v>1.5</v>
      </c>
      <c r="R429" s="63">
        <f t="shared" si="1145"/>
        <v>0.595364591</v>
      </c>
      <c r="S429" s="65">
        <f t="shared" si="1146"/>
        <v>0.8930468865</v>
      </c>
      <c r="T429" s="64">
        <f>SUM(T411:T428)</f>
        <v>4075.13971</v>
      </c>
      <c r="U429" s="64">
        <f t="shared" si="1147"/>
        <v>7.099546533</v>
      </c>
      <c r="V429" s="61">
        <f t="shared" si="1148"/>
        <v>172.3902439</v>
      </c>
      <c r="X429" s="31">
        <v>4.0</v>
      </c>
      <c r="Y429" s="31" t="s">
        <v>37</v>
      </c>
      <c r="Z429" s="31">
        <f t="shared" ref="Z429:AI429" si="1192">SUM(D420)</f>
        <v>30</v>
      </c>
      <c r="AA429" s="32">
        <f t="shared" si="1192"/>
        <v>30</v>
      </c>
      <c r="AB429" s="33">
        <f t="shared" si="1192"/>
        <v>5724.33</v>
      </c>
      <c r="AC429" s="32">
        <f t="shared" si="1192"/>
        <v>2179</v>
      </c>
      <c r="AD429" s="32">
        <f t="shared" si="1192"/>
        <v>0</v>
      </c>
      <c r="AE429" s="32">
        <f t="shared" si="1192"/>
        <v>2179</v>
      </c>
      <c r="AF429" s="32">
        <f t="shared" si="1192"/>
        <v>2787</v>
      </c>
      <c r="AG429" s="32">
        <f t="shared" si="1192"/>
        <v>0</v>
      </c>
      <c r="AH429" s="32">
        <f t="shared" si="1192"/>
        <v>2787</v>
      </c>
      <c r="AI429" s="32">
        <f t="shared" si="1192"/>
        <v>4966</v>
      </c>
      <c r="AJ429" s="34">
        <f t="shared" si="1183"/>
        <v>190.811</v>
      </c>
      <c r="AK429" s="31">
        <f t="shared" si="1193"/>
        <v>5887</v>
      </c>
      <c r="AL429" s="35">
        <f t="shared" si="1184"/>
        <v>0.8435535927</v>
      </c>
      <c r="AM429" s="36">
        <f t="shared" si="1194"/>
        <v>1.5</v>
      </c>
      <c r="AN429" s="35">
        <f t="shared" si="1185"/>
        <v>0.5783500718</v>
      </c>
      <c r="AO429" s="37">
        <f t="shared" si="1186"/>
        <v>0.8675251077</v>
      </c>
      <c r="AP429" s="36">
        <f t="shared" ref="AP429:AQ429" si="1195">SUM(T420)</f>
        <v>230.8942401</v>
      </c>
      <c r="AQ429" s="36">
        <f t="shared" si="1195"/>
        <v>7.696474669</v>
      </c>
      <c r="AR429" s="32">
        <f t="shared" si="1188"/>
        <v>165.5333333</v>
      </c>
    </row>
    <row r="430" ht="15.7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X430" s="31">
        <v>5.0</v>
      </c>
      <c r="Y430" s="31" t="s">
        <v>39</v>
      </c>
      <c r="Z430" s="31">
        <f t="shared" ref="Z430:AI430" si="1196">SUM(D421)</f>
        <v>28</v>
      </c>
      <c r="AA430" s="32">
        <f t="shared" si="1196"/>
        <v>27</v>
      </c>
      <c r="AB430" s="33">
        <f t="shared" si="1196"/>
        <v>4342.802</v>
      </c>
      <c r="AC430" s="32">
        <f t="shared" si="1196"/>
        <v>846</v>
      </c>
      <c r="AD430" s="32">
        <f t="shared" si="1196"/>
        <v>0</v>
      </c>
      <c r="AE430" s="32">
        <f t="shared" si="1196"/>
        <v>846</v>
      </c>
      <c r="AF430" s="32">
        <f t="shared" si="1196"/>
        <v>1544</v>
      </c>
      <c r="AG430" s="32">
        <f t="shared" si="1196"/>
        <v>0</v>
      </c>
      <c r="AH430" s="32">
        <f t="shared" si="1196"/>
        <v>1544</v>
      </c>
      <c r="AI430" s="32">
        <f t="shared" si="1196"/>
        <v>2390</v>
      </c>
      <c r="AJ430" s="34">
        <f t="shared" si="1183"/>
        <v>160.8445185</v>
      </c>
      <c r="AK430" s="31">
        <f t="shared" si="1193"/>
        <v>3569</v>
      </c>
      <c r="AL430" s="35">
        <f t="shared" si="1184"/>
        <v>0.6696553656</v>
      </c>
      <c r="AM430" s="36">
        <f t="shared" si="1194"/>
        <v>1.5</v>
      </c>
      <c r="AN430" s="35">
        <f t="shared" si="1185"/>
        <v>0.3668906235</v>
      </c>
      <c r="AO430" s="37">
        <f t="shared" si="1186"/>
        <v>0.5503359352</v>
      </c>
      <c r="AP430" s="36">
        <f t="shared" ref="AP430:AQ430" si="1197">SUM(T421)</f>
        <v>202.339002</v>
      </c>
      <c r="AQ430" s="36">
        <f t="shared" si="1197"/>
        <v>7.494037111</v>
      </c>
      <c r="AR430" s="32">
        <f t="shared" si="1188"/>
        <v>88.51851852</v>
      </c>
    </row>
    <row r="431" ht="15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X431" s="31">
        <v>6.0</v>
      </c>
      <c r="Y431" s="31" t="s">
        <v>41</v>
      </c>
      <c r="Z431" s="31">
        <f t="shared" ref="Z431:AI431" si="1198">SUM(D422)</f>
        <v>24</v>
      </c>
      <c r="AA431" s="32">
        <f t="shared" si="1198"/>
        <v>24</v>
      </c>
      <c r="AB431" s="33">
        <f t="shared" si="1198"/>
        <v>4687.808</v>
      </c>
      <c r="AC431" s="32">
        <f t="shared" si="1198"/>
        <v>1214</v>
      </c>
      <c r="AD431" s="32">
        <f t="shared" si="1198"/>
        <v>0</v>
      </c>
      <c r="AE431" s="32">
        <f t="shared" si="1198"/>
        <v>1214</v>
      </c>
      <c r="AF431" s="32">
        <f t="shared" si="1198"/>
        <v>1420</v>
      </c>
      <c r="AG431" s="32">
        <f t="shared" si="1198"/>
        <v>168</v>
      </c>
      <c r="AH431" s="32">
        <f t="shared" si="1198"/>
        <v>1588</v>
      </c>
      <c r="AI431" s="32">
        <f t="shared" si="1198"/>
        <v>2802</v>
      </c>
      <c r="AJ431" s="34">
        <f t="shared" si="1183"/>
        <v>195.3253333</v>
      </c>
      <c r="AK431" s="31">
        <f t="shared" si="1193"/>
        <v>3801</v>
      </c>
      <c r="AL431" s="35">
        <f t="shared" si="1184"/>
        <v>0.7371744278</v>
      </c>
      <c r="AM431" s="36">
        <f t="shared" si="1194"/>
        <v>1.5</v>
      </c>
      <c r="AN431" s="35">
        <f t="shared" si="1185"/>
        <v>0.3984804838</v>
      </c>
      <c r="AO431" s="37">
        <f t="shared" si="1186"/>
        <v>0.5977207258</v>
      </c>
      <c r="AP431" s="36">
        <f t="shared" ref="AP431:AQ431" si="1199">SUM(T422)</f>
        <v>158.2222222</v>
      </c>
      <c r="AQ431" s="36">
        <f t="shared" si="1199"/>
        <v>6.592592593</v>
      </c>
      <c r="AR431" s="32">
        <f t="shared" si="1188"/>
        <v>116.75</v>
      </c>
    </row>
    <row r="432" ht="15.75" customHeight="1">
      <c r="A432" s="1" t="s">
        <v>45</v>
      </c>
      <c r="D432" s="2"/>
      <c r="X432" s="46" t="s">
        <v>33</v>
      </c>
      <c r="Y432" s="46">
        <v>6.0</v>
      </c>
      <c r="Z432" s="46">
        <f t="shared" ref="Z432:AI432" si="1200">SUM(Z426:Z431)</f>
        <v>173</v>
      </c>
      <c r="AA432" s="47">
        <f t="shared" si="1200"/>
        <v>170</v>
      </c>
      <c r="AB432" s="49">
        <f t="shared" si="1200"/>
        <v>32187.108</v>
      </c>
      <c r="AC432" s="47">
        <f t="shared" si="1200"/>
        <v>12673</v>
      </c>
      <c r="AD432" s="47">
        <f t="shared" si="1200"/>
        <v>110</v>
      </c>
      <c r="AE432" s="47">
        <f t="shared" si="1200"/>
        <v>12783</v>
      </c>
      <c r="AF432" s="47">
        <f t="shared" si="1200"/>
        <v>16386</v>
      </c>
      <c r="AG432" s="47">
        <f t="shared" si="1200"/>
        <v>357</v>
      </c>
      <c r="AH432" s="47">
        <f t="shared" si="1200"/>
        <v>16743</v>
      </c>
      <c r="AI432" s="47">
        <f t="shared" si="1200"/>
        <v>29526</v>
      </c>
      <c r="AJ432" s="49">
        <f t="shared" si="1183"/>
        <v>189.3359294</v>
      </c>
      <c r="AK432" s="46">
        <f>SUM(AK426:AK431)</f>
        <v>37031</v>
      </c>
      <c r="AL432" s="50">
        <f t="shared" si="1184"/>
        <v>0.7973319651</v>
      </c>
      <c r="AM432" s="51">
        <v>1.5</v>
      </c>
      <c r="AN432" s="50">
        <f t="shared" si="1185"/>
        <v>0.6115491954</v>
      </c>
      <c r="AO432" s="52">
        <f t="shared" si="1186"/>
        <v>0.9173237931</v>
      </c>
      <c r="AP432" s="51">
        <f>SUM(AP426:AP431)</f>
        <v>1325.284631</v>
      </c>
      <c r="AQ432" s="51">
        <f>AP432/AA432</f>
        <v>7.795791947</v>
      </c>
      <c r="AR432" s="47">
        <f t="shared" si="1188"/>
        <v>173.6823529</v>
      </c>
    </row>
    <row r="433" ht="15.75" customHeight="1">
      <c r="A433" s="1" t="s">
        <v>45</v>
      </c>
      <c r="D433" s="2"/>
      <c r="X433" s="66" t="s">
        <v>1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6"/>
    </row>
    <row r="434" ht="15.75" customHeight="1">
      <c r="A434" s="7">
        <v>46220.0</v>
      </c>
      <c r="B434" s="8" t="s">
        <v>2</v>
      </c>
      <c r="C434" s="8" t="s">
        <v>3</v>
      </c>
      <c r="D434" s="8" t="s">
        <v>4</v>
      </c>
      <c r="E434" s="8" t="s">
        <v>5</v>
      </c>
      <c r="F434" s="9" t="s">
        <v>6</v>
      </c>
      <c r="G434" s="8" t="s">
        <v>7</v>
      </c>
      <c r="H434" s="8" t="s">
        <v>8</v>
      </c>
      <c r="I434" s="8" t="s">
        <v>9</v>
      </c>
      <c r="J434" s="8" t="s">
        <v>10</v>
      </c>
      <c r="K434" s="8" t="s">
        <v>11</v>
      </c>
      <c r="L434" s="8" t="s">
        <v>12</v>
      </c>
      <c r="M434" s="8" t="s">
        <v>13</v>
      </c>
      <c r="N434" s="9" t="s">
        <v>14</v>
      </c>
      <c r="O434" s="8" t="s">
        <v>15</v>
      </c>
      <c r="P434" s="8" t="s">
        <v>16</v>
      </c>
      <c r="Q434" s="8" t="s">
        <v>17</v>
      </c>
      <c r="R434" s="8" t="s">
        <v>18</v>
      </c>
      <c r="S434" s="11" t="s">
        <v>19</v>
      </c>
      <c r="T434" s="12" t="s">
        <v>20</v>
      </c>
      <c r="U434" s="12" t="s">
        <v>21</v>
      </c>
      <c r="V434" s="13" t="s">
        <v>22</v>
      </c>
      <c r="X434" s="14" t="s">
        <v>2</v>
      </c>
      <c r="Y434" s="14" t="s">
        <v>3</v>
      </c>
      <c r="Z434" s="14" t="s">
        <v>4</v>
      </c>
      <c r="AA434" s="14" t="s">
        <v>5</v>
      </c>
      <c r="AB434" s="15" t="s">
        <v>6</v>
      </c>
      <c r="AC434" s="14" t="s">
        <v>7</v>
      </c>
      <c r="AD434" s="14" t="s">
        <v>8</v>
      </c>
      <c r="AE434" s="14" t="s">
        <v>9</v>
      </c>
      <c r="AF434" s="14" t="s">
        <v>10</v>
      </c>
      <c r="AG434" s="14" t="s">
        <v>11</v>
      </c>
      <c r="AH434" s="14" t="s">
        <v>12</v>
      </c>
      <c r="AI434" s="14" t="s">
        <v>13</v>
      </c>
      <c r="AJ434" s="15" t="s">
        <v>14</v>
      </c>
      <c r="AK434" s="14" t="s">
        <v>15</v>
      </c>
      <c r="AL434" s="14" t="s">
        <v>16</v>
      </c>
      <c r="AM434" s="16" t="s">
        <v>17</v>
      </c>
      <c r="AN434" s="17" t="s">
        <v>18</v>
      </c>
      <c r="AO434" s="18" t="s">
        <v>19</v>
      </c>
      <c r="AP434" s="19" t="s">
        <v>20</v>
      </c>
      <c r="AQ434" s="19" t="s">
        <v>21</v>
      </c>
      <c r="AR434" s="20" t="s">
        <v>22</v>
      </c>
    </row>
    <row r="435" ht="15.7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X435" s="22">
        <v>1.0</v>
      </c>
      <c r="Y435" s="22" t="s">
        <v>23</v>
      </c>
      <c r="Z435" s="22">
        <f t="shared" ref="Z435:AI435" si="1201">SUM(D443)</f>
        <v>35</v>
      </c>
      <c r="AA435" s="23">
        <f t="shared" si="1201"/>
        <v>34</v>
      </c>
      <c r="AB435" s="24">
        <f t="shared" si="1201"/>
        <v>6646.78</v>
      </c>
      <c r="AC435" s="23">
        <f t="shared" si="1201"/>
        <v>1831</v>
      </c>
      <c r="AD435" s="23">
        <f t="shared" si="1201"/>
        <v>0</v>
      </c>
      <c r="AE435" s="23">
        <f t="shared" si="1201"/>
        <v>1831</v>
      </c>
      <c r="AF435" s="23">
        <f t="shared" si="1201"/>
        <v>3063</v>
      </c>
      <c r="AG435" s="23">
        <f t="shared" si="1201"/>
        <v>0</v>
      </c>
      <c r="AH435" s="23">
        <f t="shared" si="1201"/>
        <v>3063</v>
      </c>
      <c r="AI435" s="23">
        <f t="shared" si="1201"/>
        <v>4894</v>
      </c>
      <c r="AJ435" s="25">
        <f t="shared" ref="AJ435:AJ437" si="1204">AB435/AA435</f>
        <v>195.4935294</v>
      </c>
      <c r="AK435" s="22">
        <f>SUM(O443)</f>
        <v>6853</v>
      </c>
      <c r="AL435" s="26">
        <f t="shared" ref="AL435:AL441" si="1205">AI435/AK435</f>
        <v>0.7141397928</v>
      </c>
      <c r="AM435" s="27">
        <f t="shared" ref="AM435:AM437" si="1206">SUM(Q443)</f>
        <v>1.5</v>
      </c>
      <c r="AN435" s="26">
        <f t="shared" ref="AN435:AN441" si="1207">AO435/AM435</f>
        <v>0.4908642481</v>
      </c>
      <c r="AO435" s="28">
        <f t="shared" ref="AO435:AO441" si="1208">AI435/AB435</f>
        <v>0.7362963721</v>
      </c>
      <c r="AP435" s="27">
        <f t="shared" ref="AP435:AQ435" si="1202">SUM(T443)</f>
        <v>197</v>
      </c>
      <c r="AQ435" s="27">
        <f t="shared" si="1202"/>
        <v>5.794117647</v>
      </c>
      <c r="AR435" s="23">
        <f t="shared" ref="AR435:AR441" si="1210">AI435/AA435</f>
        <v>143.9411765</v>
      </c>
    </row>
    <row r="436" ht="15.7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X436" s="22">
        <v>2.0</v>
      </c>
      <c r="Y436" s="22" t="s">
        <v>24</v>
      </c>
      <c r="Z436" s="22">
        <f t="shared" ref="Z436:AI436" si="1203">SUM(D444)</f>
        <v>44</v>
      </c>
      <c r="AA436" s="23">
        <f t="shared" si="1203"/>
        <v>44</v>
      </c>
      <c r="AB436" s="24">
        <f t="shared" si="1203"/>
        <v>8491.963</v>
      </c>
      <c r="AC436" s="23">
        <f t="shared" si="1203"/>
        <v>1137</v>
      </c>
      <c r="AD436" s="23">
        <f t="shared" si="1203"/>
        <v>0</v>
      </c>
      <c r="AE436" s="23">
        <f t="shared" si="1203"/>
        <v>1137</v>
      </c>
      <c r="AF436" s="23">
        <f t="shared" si="1203"/>
        <v>1313</v>
      </c>
      <c r="AG436" s="23">
        <f t="shared" si="1203"/>
        <v>0</v>
      </c>
      <c r="AH436" s="23">
        <f t="shared" si="1203"/>
        <v>1313</v>
      </c>
      <c r="AI436" s="23">
        <f t="shared" si="1203"/>
        <v>2450</v>
      </c>
      <c r="AJ436" s="25">
        <f t="shared" si="1204"/>
        <v>192.9991591</v>
      </c>
      <c r="AK436" s="22">
        <v>1580.0</v>
      </c>
      <c r="AL436" s="29">
        <f t="shared" si="1205"/>
        <v>1.550632911</v>
      </c>
      <c r="AM436" s="27">
        <f t="shared" si="1206"/>
        <v>1.5</v>
      </c>
      <c r="AN436" s="26">
        <f t="shared" si="1207"/>
        <v>0.1923387247</v>
      </c>
      <c r="AO436" s="28">
        <f t="shared" si="1208"/>
        <v>0.288508087</v>
      </c>
      <c r="AP436" s="27">
        <f t="shared" ref="AP436:AQ436" si="1209">SUM(T444)</f>
        <v>316.8051856</v>
      </c>
      <c r="AQ436" s="27">
        <f t="shared" si="1209"/>
        <v>7.200117855</v>
      </c>
      <c r="AR436" s="23">
        <f t="shared" si="1210"/>
        <v>55.68181818</v>
      </c>
    </row>
    <row r="437" ht="15.75" customHeight="1">
      <c r="A437" s="21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X437" s="31">
        <v>3.0</v>
      </c>
      <c r="Y437" s="31" t="s">
        <v>25</v>
      </c>
      <c r="Z437" s="31">
        <f t="shared" ref="Z437:AI437" si="1211">SUM(D445)</f>
        <v>32</v>
      </c>
      <c r="AA437" s="32">
        <f t="shared" si="1211"/>
        <v>31</v>
      </c>
      <c r="AB437" s="33">
        <f t="shared" si="1211"/>
        <v>6129.56</v>
      </c>
      <c r="AC437" s="32">
        <f t="shared" si="1211"/>
        <v>2341</v>
      </c>
      <c r="AD437" s="32">
        <f t="shared" si="1211"/>
        <v>444</v>
      </c>
      <c r="AE437" s="32">
        <f t="shared" si="1211"/>
        <v>2785</v>
      </c>
      <c r="AF437" s="32">
        <f t="shared" si="1211"/>
        <v>3187</v>
      </c>
      <c r="AG437" s="32">
        <f t="shared" si="1211"/>
        <v>639</v>
      </c>
      <c r="AH437" s="32">
        <f t="shared" si="1211"/>
        <v>3826</v>
      </c>
      <c r="AI437" s="32">
        <f t="shared" si="1211"/>
        <v>6611</v>
      </c>
      <c r="AJ437" s="34">
        <f t="shared" si="1204"/>
        <v>197.7277419</v>
      </c>
      <c r="AK437" s="31">
        <f>SUM(O445)</f>
        <v>6622</v>
      </c>
      <c r="AL437" s="35">
        <f t="shared" si="1205"/>
        <v>0.9983388704</v>
      </c>
      <c r="AM437" s="36">
        <f t="shared" si="1206"/>
        <v>1.5</v>
      </c>
      <c r="AN437" s="35">
        <f t="shared" si="1207"/>
        <v>0.7190293159</v>
      </c>
      <c r="AO437" s="37">
        <f t="shared" si="1208"/>
        <v>1.078543974</v>
      </c>
      <c r="AP437" s="36">
        <f t="shared" ref="AP437:AQ437" si="1212">SUM(T445)</f>
        <v>257.1124161</v>
      </c>
      <c r="AQ437" s="36">
        <f t="shared" si="1212"/>
        <v>8.293948907</v>
      </c>
      <c r="AR437" s="32">
        <f t="shared" si="1210"/>
        <v>213.2580645</v>
      </c>
    </row>
    <row r="438" ht="15.75" customHeight="1">
      <c r="A438" s="21"/>
      <c r="B438" s="38">
        <v>1.0</v>
      </c>
      <c r="C438" s="38" t="s">
        <v>26</v>
      </c>
      <c r="D438" s="39">
        <v>20.0</v>
      </c>
      <c r="E438" s="40">
        <f>IFERROR(__xludf.DUMMYFUNCTION("COUNT(IMPORTRANGE(""https://docs.google.com/spreadsheets/d/1z0o91thOT38lgejTE_Bd2p3v_9VCDdQRkUsMIVqpQCk/edit"",""17!d2:d21""))"),19.0)</f>
        <v>19</v>
      </c>
      <c r="F438" s="41">
        <f>IFERROR(__xludf.DUMMYFUNCTION("SUM(IMPORTRANGE(""https://docs.google.com/spreadsheets/d/1z0o91thOT38lgejTE_Bd2p3v_9VCDdQRkUsMIVqpQCk/edit"",""17!Q2:Q21""))"),3416.8140000000008)</f>
        <v>3416.814</v>
      </c>
      <c r="G438" s="40">
        <f>IFERROR(__xludf.DUMMYFUNCTION("IMPORTRANGE(""https://docs.google.com/spreadsheets/d/1z0o91thOT38lgejTE_Bd2p3v_9VCDdQRkUsMIVqpQCk/edit"",""17!e28"")"),2162.0)</f>
        <v>2162</v>
      </c>
      <c r="H438" s="40">
        <f>IFERROR(__xludf.DUMMYFUNCTION("IMPORTRANGE(""https://docs.google.com/spreadsheets/d/1z0o91thOT38lgejTE_Bd2p3v_9VCDdQRkUsMIVqpQCk/edit"",""17!e29"")"),0.0)</f>
        <v>0</v>
      </c>
      <c r="I438" s="40">
        <f t="shared" ref="I438:I455" si="1215">SUM(G438:H438)</f>
        <v>2162</v>
      </c>
      <c r="J438" s="40">
        <f>IFERROR(__xludf.DUMMYFUNCTION("IMPORTRANGE(""https://docs.google.com/spreadsheets/d/1z0o91thOT38lgejTE_Bd2p3v_9VCDdQRkUsMIVqpQCk/edit"",""17!e32"")"),2612.0)</f>
        <v>2612</v>
      </c>
      <c r="K438" s="40">
        <f>IFERROR(__xludf.DUMMYFUNCTION("IMPORTRANGE(""https://docs.google.com/spreadsheets/d/1z0o91thOT38lgejTE_Bd2p3v_9VCDdQRkUsMIVqpQCk/edit"",""17!e33"")"),0.0)</f>
        <v>0</v>
      </c>
      <c r="L438" s="40">
        <f t="shared" ref="L438:L444" si="1216">SUM(J438:K438)</f>
        <v>2612</v>
      </c>
      <c r="M438" s="40">
        <f t="shared" ref="M438:M455" si="1217">SUM(I438+L438)</f>
        <v>4774</v>
      </c>
      <c r="N438" s="41">
        <f t="shared" ref="N438:N456" si="1218">F438/E438</f>
        <v>179.8323158</v>
      </c>
      <c r="O438" s="38">
        <v>5161.0</v>
      </c>
      <c r="P438" s="42">
        <f t="shared" ref="P438:P456" si="1219">M438/O438</f>
        <v>0.9250145321</v>
      </c>
      <c r="Q438" s="43">
        <v>1.5</v>
      </c>
      <c r="R438" s="42">
        <f t="shared" ref="R438:R456" si="1220">S438/Q438</f>
        <v>0.9314720282</v>
      </c>
      <c r="S438" s="44">
        <f t="shared" ref="S438:S456" si="1221">M438/F438</f>
        <v>1.397208042</v>
      </c>
      <c r="T438" s="43">
        <f>F438/14.415</f>
        <v>237.0318418</v>
      </c>
      <c r="U438" s="43">
        <f t="shared" ref="U438:U456" si="1222">T438/E438</f>
        <v>12.4753601</v>
      </c>
      <c r="V438" s="40">
        <f t="shared" ref="V438:V456" si="1223">M438/E438</f>
        <v>251.2631579</v>
      </c>
      <c r="X438" s="22">
        <v>4.0</v>
      </c>
      <c r="Y438" s="22" t="s">
        <v>27</v>
      </c>
      <c r="Z438" s="22">
        <f t="shared" ref="Z438:AK438" si="1213">SUM(D451)</f>
        <v>30</v>
      </c>
      <c r="AA438" s="23">
        <f t="shared" si="1213"/>
        <v>27</v>
      </c>
      <c r="AB438" s="24">
        <f t="shared" si="1213"/>
        <v>5172.008</v>
      </c>
      <c r="AC438" s="23">
        <f t="shared" si="1213"/>
        <v>2470</v>
      </c>
      <c r="AD438" s="23">
        <f t="shared" si="1213"/>
        <v>53</v>
      </c>
      <c r="AE438" s="23">
        <f t="shared" si="1213"/>
        <v>2523</v>
      </c>
      <c r="AF438" s="23">
        <f t="shared" si="1213"/>
        <v>2954</v>
      </c>
      <c r="AG438" s="23">
        <f t="shared" si="1213"/>
        <v>0</v>
      </c>
      <c r="AH438" s="23">
        <f t="shared" si="1213"/>
        <v>2954</v>
      </c>
      <c r="AI438" s="23">
        <f t="shared" si="1213"/>
        <v>5477</v>
      </c>
      <c r="AJ438" s="25">
        <f t="shared" si="1213"/>
        <v>191.5558519</v>
      </c>
      <c r="AK438" s="22">
        <f t="shared" si="1213"/>
        <v>8101</v>
      </c>
      <c r="AL438" s="26">
        <f t="shared" si="1205"/>
        <v>0.6760893717</v>
      </c>
      <c r="AM438" s="27">
        <f>SUM(Q451)</f>
        <v>1.5</v>
      </c>
      <c r="AN438" s="26">
        <f t="shared" si="1207"/>
        <v>0.7059798309</v>
      </c>
      <c r="AO438" s="28">
        <f t="shared" si="1208"/>
        <v>1.058969746</v>
      </c>
      <c r="AP438" s="27">
        <f t="shared" ref="AP438:AQ438" si="1214">SUM(T451)</f>
        <v>258.7944959</v>
      </c>
      <c r="AQ438" s="27">
        <f t="shared" si="1214"/>
        <v>9.584981329</v>
      </c>
      <c r="AR438" s="23">
        <f t="shared" si="1210"/>
        <v>202.8518519</v>
      </c>
    </row>
    <row r="439" ht="15.75" customHeight="1">
      <c r="A439" s="21"/>
      <c r="B439" s="38">
        <v>2.0</v>
      </c>
      <c r="C439" s="38" t="s">
        <v>28</v>
      </c>
      <c r="D439" s="39">
        <v>33.0</v>
      </c>
      <c r="E439" s="40">
        <f>IFERROR(__xludf.DUMMYFUNCTION("COUNT(IMPORTRANGE(""https://docs.google.com/spreadsheets/d/10a85iNN0y9GF6ngQfF1JXGAzFk-T7ywH4-TZtQcOTaE/edit"",""17!d2:d34""))"),33.0)</f>
        <v>33</v>
      </c>
      <c r="F439" s="41">
        <f>IFERROR(__xludf.DUMMYFUNCTION("SUM(IMPORTRANGE(""https://docs.google.com/spreadsheets/d/10a85iNN0y9GF6ngQfF1JXGAzFk-T7ywH4-TZtQcOTaE/edit"",""17!Q2:Q34""))"),548.625)</f>
        <v>548.625</v>
      </c>
      <c r="G439" s="40">
        <f>IFERROR(__xludf.DUMMYFUNCTION("IMPORTRANGE(""https://docs.google.com/spreadsheets/d/10a85iNN0y9GF6ngQfF1JXGAzFk-T7ywH4-TZtQcOTaE/edit"",""17!e41"")"),2910.0)</f>
        <v>2910</v>
      </c>
      <c r="H439" s="40">
        <f>IFERROR(__xludf.DUMMYFUNCTION("IMPORTRANGE(""https://docs.google.com/spreadsheets/d/10a85iNN0y9GF6ngQfF1JXGAzFk-T7ywH4-TZtQcOTaE/edit"",""17!e42"")"),106.0)</f>
        <v>106</v>
      </c>
      <c r="I439" s="40">
        <f t="shared" si="1215"/>
        <v>3016</v>
      </c>
      <c r="J439" s="40">
        <f>IFERROR(__xludf.DUMMYFUNCTION("IMPORTRANGE(""https://docs.google.com/spreadsheets/d/10a85iNN0y9GF6ngQfF1JXGAzFk-T7ywH4-TZtQcOTaE/edit"",""17!e45"")"),2886.0)</f>
        <v>2886</v>
      </c>
      <c r="K439" s="40">
        <f>IFERROR(__xludf.DUMMYFUNCTION("IMPORTRANGE(""https://docs.google.com/spreadsheets/d/10a85iNN0y9GF6ngQfF1JXGAzFk-T7ywH4-TZtQcOTaE/edit"",""17!e46"")"),218.0)</f>
        <v>218</v>
      </c>
      <c r="L439" s="40">
        <f t="shared" si="1216"/>
        <v>3104</v>
      </c>
      <c r="M439" s="40">
        <f t="shared" si="1217"/>
        <v>6120</v>
      </c>
      <c r="N439" s="41">
        <f t="shared" si="1218"/>
        <v>16.625</v>
      </c>
      <c r="O439" s="38">
        <v>7315.0</v>
      </c>
      <c r="P439" s="42">
        <f t="shared" si="1219"/>
        <v>0.8366370472</v>
      </c>
      <c r="Q439" s="43">
        <v>1.5</v>
      </c>
      <c r="R439" s="42">
        <f t="shared" si="1220"/>
        <v>7.436773753</v>
      </c>
      <c r="S439" s="44">
        <f t="shared" si="1221"/>
        <v>11.15516063</v>
      </c>
      <c r="T439" s="43">
        <f>F439/30.897</f>
        <v>17.75657831</v>
      </c>
      <c r="U439" s="43">
        <f t="shared" si="1222"/>
        <v>0.5380781306</v>
      </c>
      <c r="V439" s="40">
        <f t="shared" si="1223"/>
        <v>185.4545455</v>
      </c>
      <c r="X439" s="22">
        <v>5.0</v>
      </c>
      <c r="Y439" s="22" t="s">
        <v>29</v>
      </c>
      <c r="Z439" s="22">
        <f t="shared" ref="Z439:AI439" si="1224">SUM(D454)</f>
        <v>30</v>
      </c>
      <c r="AA439" s="23">
        <f t="shared" si="1224"/>
        <v>27</v>
      </c>
      <c r="AB439" s="24">
        <f t="shared" si="1224"/>
        <v>5337.79</v>
      </c>
      <c r="AC439" s="23">
        <f t="shared" si="1224"/>
        <v>2603</v>
      </c>
      <c r="AD439" s="23">
        <f t="shared" si="1224"/>
        <v>0</v>
      </c>
      <c r="AE439" s="23">
        <f t="shared" si="1224"/>
        <v>2603</v>
      </c>
      <c r="AF439" s="23">
        <f t="shared" si="1224"/>
        <v>4065</v>
      </c>
      <c r="AG439" s="23">
        <f t="shared" si="1224"/>
        <v>0</v>
      </c>
      <c r="AH439" s="23">
        <f t="shared" si="1224"/>
        <v>4065</v>
      </c>
      <c r="AI439" s="23">
        <f t="shared" si="1224"/>
        <v>6668</v>
      </c>
      <c r="AJ439" s="25">
        <f t="shared" ref="AJ439:AJ441" si="1227">AB439/AA439</f>
        <v>197.6959259</v>
      </c>
      <c r="AK439" s="22">
        <f t="shared" ref="AK439:AK440" si="1228">SUM(O454)</f>
        <v>9201</v>
      </c>
      <c r="AL439" s="26">
        <f t="shared" si="1205"/>
        <v>0.7247038365</v>
      </c>
      <c r="AM439" s="27">
        <f t="shared" ref="AM439:AM440" si="1229">SUM(Q454)</f>
        <v>1.5</v>
      </c>
      <c r="AN439" s="26">
        <f t="shared" si="1207"/>
        <v>0.8328040881</v>
      </c>
      <c r="AO439" s="28">
        <f t="shared" si="1208"/>
        <v>1.249206132</v>
      </c>
      <c r="AP439" s="27">
        <f t="shared" ref="AP439:AQ439" si="1225">SUM(T454)</f>
        <v>205</v>
      </c>
      <c r="AQ439" s="27">
        <f t="shared" si="1225"/>
        <v>7.592592593</v>
      </c>
      <c r="AR439" s="23">
        <f t="shared" si="1210"/>
        <v>246.962963</v>
      </c>
    </row>
    <row r="440" ht="15.75" customHeight="1">
      <c r="A440" s="21"/>
      <c r="B440" s="38">
        <v>3.0</v>
      </c>
      <c r="C440" s="38" t="s">
        <v>30</v>
      </c>
      <c r="D440" s="39">
        <v>60.0</v>
      </c>
      <c r="E440" s="40">
        <f>IFERROR(__xludf.DUMMYFUNCTION("COUNT(IMPORTRANGE(""https://docs.google.com/spreadsheets/d/1WojVzHhpzodJL1e5UDHeu3A3u5MTSZwvxHu0BrwvL9w/edit"",""17!d2:d61""))"),57.0)</f>
        <v>57</v>
      </c>
      <c r="F440" s="45">
        <f>IFERROR(__xludf.DUMMYFUNCTION("SUM(IMPORTRANGE(""https://docs.google.com/spreadsheets/d/1WojVzHhpzodJL1e5UDHeu3A3u5MTSZwvxHu0BrwvL9w/edit"",""17!Q2:Q61""))"),11189.93399999999)</f>
        <v>11189.934</v>
      </c>
      <c r="G440" s="40">
        <f>IFERROR(__xludf.DUMMYFUNCTION("IMPORTRANGE(""https://docs.google.com/spreadsheets/d/1WojVzHhpzodJL1e5UDHeu3A3u5MTSZwvxHu0BrwvL9w/edit"",""17!e68"")"),3281.0)</f>
        <v>3281</v>
      </c>
      <c r="H440" s="40">
        <f>IFERROR(__xludf.DUMMYFUNCTION("IMPORTRANGE(""https://docs.google.com/spreadsheets/d/1WojVzHhpzodJL1e5UDHeu3A3u5MTSZwvxHu0BrwvL9w/edit"",""17!e69"")"),0.0)</f>
        <v>0</v>
      </c>
      <c r="I440" s="40">
        <f t="shared" si="1215"/>
        <v>3281</v>
      </c>
      <c r="J440" s="40">
        <f>IFERROR(__xludf.DUMMYFUNCTION("IMPORTRANGE(""https://docs.google.com/spreadsheets/d/1WojVzHhpzodJL1e5UDHeu3A3u5MTSZwvxHu0BrwvL9w/edit"",""17!e72"")"),5185.0)</f>
        <v>5185</v>
      </c>
      <c r="K440" s="40">
        <f>IFERROR(__xludf.DUMMYFUNCTION("IMPORTRANGE(""https://docs.google.com/spreadsheets/d/1WojVzHhpzodJL1e5UDHeu3A3u5MTSZwvxHu0BrwvL9w/edit"",""17!e73"")"),52.0)</f>
        <v>52</v>
      </c>
      <c r="L440" s="40">
        <f t="shared" si="1216"/>
        <v>5237</v>
      </c>
      <c r="M440" s="40">
        <f t="shared" si="1217"/>
        <v>8518</v>
      </c>
      <c r="N440" s="41">
        <f t="shared" si="1218"/>
        <v>196.3146316</v>
      </c>
      <c r="O440" s="38">
        <v>11164.0</v>
      </c>
      <c r="P440" s="42">
        <f t="shared" si="1219"/>
        <v>0.7629881763</v>
      </c>
      <c r="Q440" s="43">
        <v>1.5</v>
      </c>
      <c r="R440" s="42">
        <f t="shared" si="1220"/>
        <v>0.5074799071</v>
      </c>
      <c r="S440" s="44">
        <f t="shared" si="1221"/>
        <v>0.7612198606</v>
      </c>
      <c r="T440" s="43">
        <f>F440/29.603</f>
        <v>378</v>
      </c>
      <c r="U440" s="43">
        <f t="shared" si="1222"/>
        <v>6.631578947</v>
      </c>
      <c r="V440" s="40">
        <f t="shared" si="1223"/>
        <v>149.4385965</v>
      </c>
      <c r="X440" s="22">
        <v>6.0</v>
      </c>
      <c r="Y440" s="22" t="s">
        <v>31</v>
      </c>
      <c r="Z440" s="22">
        <f t="shared" ref="Z440:AI440" si="1226">SUM(D455)</f>
        <v>15</v>
      </c>
      <c r="AA440" s="23">
        <f t="shared" si="1226"/>
        <v>14</v>
      </c>
      <c r="AB440" s="25">
        <f t="shared" si="1226"/>
        <v>2738.295</v>
      </c>
      <c r="AC440" s="23">
        <f t="shared" si="1226"/>
        <v>854</v>
      </c>
      <c r="AD440" s="23">
        <f t="shared" si="1226"/>
        <v>68</v>
      </c>
      <c r="AE440" s="23">
        <f t="shared" si="1226"/>
        <v>922</v>
      </c>
      <c r="AF440" s="23">
        <f t="shared" si="1226"/>
        <v>1018</v>
      </c>
      <c r="AG440" s="23">
        <f t="shared" si="1226"/>
        <v>0</v>
      </c>
      <c r="AH440" s="23">
        <f t="shared" si="1226"/>
        <v>1018</v>
      </c>
      <c r="AI440" s="23">
        <f t="shared" si="1226"/>
        <v>1940</v>
      </c>
      <c r="AJ440" s="25">
        <f t="shared" si="1227"/>
        <v>195.5925</v>
      </c>
      <c r="AK440" s="22">
        <f t="shared" si="1228"/>
        <v>2717</v>
      </c>
      <c r="AL440" s="26">
        <f t="shared" si="1205"/>
        <v>0.7140228193</v>
      </c>
      <c r="AM440" s="27">
        <f t="shared" si="1229"/>
        <v>1.5</v>
      </c>
      <c r="AN440" s="26">
        <f t="shared" si="1207"/>
        <v>0.4723133677</v>
      </c>
      <c r="AO440" s="28">
        <f t="shared" si="1208"/>
        <v>0.7084700516</v>
      </c>
      <c r="AP440" s="27">
        <f t="shared" ref="AP440:AQ440" si="1230">SUM(T455)</f>
        <v>63</v>
      </c>
      <c r="AQ440" s="27">
        <f t="shared" si="1230"/>
        <v>4.5</v>
      </c>
      <c r="AR440" s="23">
        <f t="shared" si="1210"/>
        <v>138.5714286</v>
      </c>
    </row>
    <row r="441" ht="15.75" customHeight="1">
      <c r="A441" s="21"/>
      <c r="B441" s="38">
        <v>4.0</v>
      </c>
      <c r="C441" s="38" t="s">
        <v>32</v>
      </c>
      <c r="D441" s="39">
        <v>42.0</v>
      </c>
      <c r="E441" s="40">
        <f>IFERROR(__xludf.DUMMYFUNCTION("COUNT(IMPORTRANGE(""https://docs.google.com/spreadsheets/d/1vmCj5YcMSPHj1m64syDndQ6cqVL3yolcU03Y8KHmvdc/edit"",""17!d2:d43""))"),41.0)</f>
        <v>41</v>
      </c>
      <c r="F441" s="45">
        <f>IFERROR(__xludf.DUMMYFUNCTION("SUM(IMPORTRANGE(""https://docs.google.com/spreadsheets/d/1vmCj5YcMSPHj1m64syDndQ6cqVL3yolcU03Y8KHmvdc/edit"",""17!Q2:Q43""))"),8103.74699999999)</f>
        <v>8103.747</v>
      </c>
      <c r="G441" s="38">
        <f>IFERROR(__xludf.DUMMYFUNCTION("IMPORTRANGE(""https://docs.google.com/spreadsheets/d/1vmCj5YcMSPHj1m64syDndQ6cqVL3yolcU03Y8KHmvdc/edit"",""17!e50"")"),4673.0)</f>
        <v>4673</v>
      </c>
      <c r="H441" s="38">
        <f>IFERROR(__xludf.DUMMYFUNCTION("IMPORTRANGE(""https://docs.google.com/spreadsheets/d/1vmCj5YcMSPHj1m64syDndQ6cqVL3yolcU03Y8KHmvdc/edit"",""17!e51"")"),178.0)</f>
        <v>178</v>
      </c>
      <c r="I441" s="40">
        <f t="shared" si="1215"/>
        <v>4851</v>
      </c>
      <c r="J441" s="38">
        <f>IFERROR(__xludf.DUMMYFUNCTION("IMPORTRANGE(""https://docs.google.com/spreadsheets/d/1vmCj5YcMSPHj1m64syDndQ6cqVL3yolcU03Y8KHmvdc/edit"",""17!e54"")"),5476.0)</f>
        <v>5476</v>
      </c>
      <c r="K441" s="38">
        <f>IFERROR(__xludf.DUMMYFUNCTION("IMPORTRANGE(""https://docs.google.com/spreadsheets/d/1vmCj5YcMSPHj1m64syDndQ6cqVL3yolcU03Y8KHmvdc/edit"",""17!e55"")"),0.0)</f>
        <v>0</v>
      </c>
      <c r="L441" s="40">
        <f t="shared" si="1216"/>
        <v>5476</v>
      </c>
      <c r="M441" s="40">
        <f t="shared" si="1217"/>
        <v>10327</v>
      </c>
      <c r="N441" s="41">
        <f t="shared" si="1218"/>
        <v>197.6523659</v>
      </c>
      <c r="O441" s="38">
        <v>13817.0</v>
      </c>
      <c r="P441" s="42">
        <f t="shared" si="1219"/>
        <v>0.7474126077</v>
      </c>
      <c r="Q441" s="43">
        <v>1.5</v>
      </c>
      <c r="R441" s="42">
        <f t="shared" si="1220"/>
        <v>0.8495658449</v>
      </c>
      <c r="S441" s="44">
        <f t="shared" si="1221"/>
        <v>1.274348767</v>
      </c>
      <c r="T441" s="43">
        <f>F441/25.089</f>
        <v>323</v>
      </c>
      <c r="U441" s="43">
        <f t="shared" si="1222"/>
        <v>7.87804878</v>
      </c>
      <c r="V441" s="40">
        <f t="shared" si="1223"/>
        <v>251.8780488</v>
      </c>
      <c r="X441" s="46" t="s">
        <v>33</v>
      </c>
      <c r="Y441" s="46">
        <v>6.0</v>
      </c>
      <c r="Z441" s="46">
        <f t="shared" ref="Z441:AI441" si="1231">SUM(Z435:Z440)</f>
        <v>186</v>
      </c>
      <c r="AA441" s="47">
        <f t="shared" si="1231"/>
        <v>177</v>
      </c>
      <c r="AB441" s="48">
        <f t="shared" si="1231"/>
        <v>34516.396</v>
      </c>
      <c r="AC441" s="47">
        <f t="shared" si="1231"/>
        <v>11236</v>
      </c>
      <c r="AD441" s="47">
        <f t="shared" si="1231"/>
        <v>565</v>
      </c>
      <c r="AE441" s="47">
        <f t="shared" si="1231"/>
        <v>11801</v>
      </c>
      <c r="AF441" s="47">
        <f t="shared" si="1231"/>
        <v>15600</v>
      </c>
      <c r="AG441" s="47">
        <f t="shared" si="1231"/>
        <v>639</v>
      </c>
      <c r="AH441" s="47">
        <f t="shared" si="1231"/>
        <v>16239</v>
      </c>
      <c r="AI441" s="47">
        <f t="shared" si="1231"/>
        <v>28040</v>
      </c>
      <c r="AJ441" s="49">
        <f t="shared" si="1227"/>
        <v>195.007887</v>
      </c>
      <c r="AK441" s="46">
        <f>SUM(AK435:AK440)</f>
        <v>35074</v>
      </c>
      <c r="AL441" s="50">
        <f t="shared" si="1205"/>
        <v>0.799452586</v>
      </c>
      <c r="AM441" s="51">
        <v>1.5</v>
      </c>
      <c r="AN441" s="50">
        <f t="shared" si="1207"/>
        <v>0.5415783656</v>
      </c>
      <c r="AO441" s="52">
        <f t="shared" si="1208"/>
        <v>0.8123675485</v>
      </c>
      <c r="AP441" s="51">
        <f>SUM(AP435:AP440)</f>
        <v>1297.712098</v>
      </c>
      <c r="AQ441" s="51">
        <f>AP441/AA441</f>
        <v>7.331706766</v>
      </c>
      <c r="AR441" s="47">
        <f t="shared" si="1210"/>
        <v>158.4180791</v>
      </c>
    </row>
    <row r="442" ht="15.75" customHeight="1">
      <c r="A442" s="21"/>
      <c r="B442" s="38">
        <v>5.0</v>
      </c>
      <c r="C442" s="38" t="s">
        <v>34</v>
      </c>
      <c r="D442" s="39">
        <v>40.0</v>
      </c>
      <c r="E442" s="40">
        <f>IFERROR(__xludf.DUMMYFUNCTION("COUNT(IMPORTRANGE(""https://docs.google.com/spreadsheets/d/14_Y-fpuq1wcec3DlT_1PBYekOC0YblQMrWVfO12YO3k/edit"",""17!d2:d41""))"),39.0)</f>
        <v>39</v>
      </c>
      <c r="F442" s="45">
        <f>IFERROR(__xludf.DUMMYFUNCTION("SUM(IMPORTRANGE(""https://docs.google.com/spreadsheets/d/14_Y-fpuq1wcec3DlT_1PBYekOC0YblQMrWVfO12YO3k/edit"",""17!Q2:Q41""))"),7412.037000000002)</f>
        <v>7412.037</v>
      </c>
      <c r="G442" s="40">
        <f>IFERROR(__xludf.DUMMYFUNCTION("IMPORTRANGE(""https://docs.google.com/spreadsheets/d/14_Y-fpuq1wcec3DlT_1PBYekOC0YblQMrWVfO12YO3k/edit"",""17!e48"")"),3010.0)</f>
        <v>3010</v>
      </c>
      <c r="H442" s="40">
        <f>IFERROR(__xludf.DUMMYFUNCTION("IMPORTRANGE(""https://docs.google.com/spreadsheets/d/14_Y-fpuq1wcec3DlT_1PBYekOC0YblQMrWVfO12YO3k/edit"",""17!e49"")"),0.0)</f>
        <v>0</v>
      </c>
      <c r="I442" s="40">
        <f t="shared" si="1215"/>
        <v>3010</v>
      </c>
      <c r="J442" s="40">
        <f>IFERROR(__xludf.DUMMYFUNCTION("IMPORTRANGE(""https://docs.google.com/spreadsheets/d/14_Y-fpuq1wcec3DlT_1PBYekOC0YblQMrWVfO12YO3k/edit"",""17!e52"")"),2748.0)</f>
        <v>2748</v>
      </c>
      <c r="K442" s="40">
        <f>IFERROR(__xludf.DUMMYFUNCTION("IMPORTRANGE(""https://docs.google.com/spreadsheets/d/14_Y-fpuq1wcec3DlT_1PBYekOC0YblQMrWVfO12YO3k/edit"",""17!e53"")"),0.0)</f>
        <v>0</v>
      </c>
      <c r="L442" s="40">
        <f t="shared" si="1216"/>
        <v>2748</v>
      </c>
      <c r="M442" s="40">
        <f t="shared" si="1217"/>
        <v>5758</v>
      </c>
      <c r="N442" s="41">
        <f t="shared" si="1218"/>
        <v>190.0522308</v>
      </c>
      <c r="O442" s="38">
        <v>9354.0</v>
      </c>
      <c r="P442" s="42">
        <f t="shared" si="1219"/>
        <v>0.6155655335</v>
      </c>
      <c r="Q442" s="43">
        <v>1.5</v>
      </c>
      <c r="R442" s="42">
        <f t="shared" si="1220"/>
        <v>0.5178963174</v>
      </c>
      <c r="S442" s="44">
        <f t="shared" si="1221"/>
        <v>0.7768444761</v>
      </c>
      <c r="T442" s="43">
        <f>F442/30.713</f>
        <v>241.3322372</v>
      </c>
      <c r="U442" s="43">
        <f t="shared" si="1222"/>
        <v>6.188006081</v>
      </c>
      <c r="V442" s="40">
        <f t="shared" si="1223"/>
        <v>147.6410256</v>
      </c>
      <c r="X442" s="53" t="s">
        <v>35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6"/>
    </row>
    <row r="443" ht="15.75" customHeight="1">
      <c r="A443" s="21"/>
      <c r="B443" s="38">
        <v>6.0</v>
      </c>
      <c r="C443" s="38" t="s">
        <v>23</v>
      </c>
      <c r="D443" s="39">
        <v>35.0</v>
      </c>
      <c r="E443" s="40">
        <f>IFERROR(__xludf.DUMMYFUNCTION("COUNT(IMPORTRANGE(""https://docs.google.com/spreadsheets/d/1lJqjdj05V4LOXuBOiTdE65GV4ZITyx1cMLcDdcuoUnE/edit"",""17!d2:d36""))"),34.0)</f>
        <v>34</v>
      </c>
      <c r="F443" s="45">
        <f>IFERROR(__xludf.DUMMYFUNCTION("SUM(IMPORTRANGE(""https://docs.google.com/spreadsheets/d/1lJqjdj05V4LOXuBOiTdE65GV4ZITyx1cMLcDdcuoUnE/edit"",""17!Q2:Q36""))"),6646.779999999996)</f>
        <v>6646.78</v>
      </c>
      <c r="G443" s="40">
        <f>IFERROR(__xludf.DUMMYFUNCTION("IMPORTRANGE(""https://docs.google.com/spreadsheets/d/1lJqjdj05V4LOXuBOiTdE65GV4ZITyx1cMLcDdcuoUnE/edit"",""17!e43"")"),1831.0)</f>
        <v>1831</v>
      </c>
      <c r="H443" s="40">
        <f>IFERROR(__xludf.DUMMYFUNCTION("IMPORTRANGE(""https://docs.google.com/spreadsheets/d/1lJqjdj05V4LOXuBOiTdE65GV4ZITyx1cMLcDdcuoUnE/edit"",""17!e44"")"),0.0)</f>
        <v>0</v>
      </c>
      <c r="I443" s="40">
        <f t="shared" si="1215"/>
        <v>1831</v>
      </c>
      <c r="J443" s="40">
        <f>IFERROR(__xludf.DUMMYFUNCTION("IMPORTRANGE(""https://docs.google.com/spreadsheets/d/1lJqjdj05V4LOXuBOiTdE65GV4ZITyx1cMLcDdcuoUnE/edit"",""17!e47"")"),3063.0)</f>
        <v>3063</v>
      </c>
      <c r="K443" s="40">
        <f>IFERROR(__xludf.DUMMYFUNCTION("IMPORTRANGE(""https://docs.google.com/spreadsheets/d/1lJqjdj05V4LOXuBOiTdE65GV4ZITyx1cMLcDdcuoUnE/edit"",""17!e48"")"),0.0)</f>
        <v>0</v>
      </c>
      <c r="L443" s="40">
        <f t="shared" si="1216"/>
        <v>3063</v>
      </c>
      <c r="M443" s="40">
        <f t="shared" si="1217"/>
        <v>4894</v>
      </c>
      <c r="N443" s="41">
        <f t="shared" si="1218"/>
        <v>195.4935294</v>
      </c>
      <c r="O443" s="38">
        <v>6853.0</v>
      </c>
      <c r="P443" s="42">
        <f t="shared" si="1219"/>
        <v>0.7141397928</v>
      </c>
      <c r="Q443" s="43">
        <v>1.5</v>
      </c>
      <c r="R443" s="42">
        <f t="shared" si="1220"/>
        <v>0.4908642481</v>
      </c>
      <c r="S443" s="44">
        <f t="shared" si="1221"/>
        <v>0.7362963721</v>
      </c>
      <c r="T443" s="43">
        <f>F443/33.74</f>
        <v>197</v>
      </c>
      <c r="U443" s="43">
        <f t="shared" si="1222"/>
        <v>5.794117647</v>
      </c>
      <c r="V443" s="40">
        <f t="shared" si="1223"/>
        <v>143.9411765</v>
      </c>
      <c r="X443" s="14" t="s">
        <v>2</v>
      </c>
      <c r="Y443" s="14" t="s">
        <v>3</v>
      </c>
      <c r="Z443" s="14" t="s">
        <v>4</v>
      </c>
      <c r="AA443" s="14" t="s">
        <v>5</v>
      </c>
      <c r="AB443" s="15" t="s">
        <v>6</v>
      </c>
      <c r="AC443" s="14" t="s">
        <v>7</v>
      </c>
      <c r="AD443" s="14" t="s">
        <v>8</v>
      </c>
      <c r="AE443" s="14" t="s">
        <v>9</v>
      </c>
      <c r="AF443" s="14" t="s">
        <v>10</v>
      </c>
      <c r="AG443" s="14" t="s">
        <v>11</v>
      </c>
      <c r="AH443" s="14" t="s">
        <v>12</v>
      </c>
      <c r="AI443" s="14" t="s">
        <v>13</v>
      </c>
      <c r="AJ443" s="15" t="s">
        <v>14</v>
      </c>
      <c r="AK443" s="14" t="s">
        <v>15</v>
      </c>
      <c r="AL443" s="14" t="s">
        <v>16</v>
      </c>
      <c r="AM443" s="16" t="s">
        <v>17</v>
      </c>
      <c r="AN443" s="17" t="s">
        <v>18</v>
      </c>
      <c r="AO443" s="18" t="s">
        <v>19</v>
      </c>
      <c r="AP443" s="19" t="s">
        <v>20</v>
      </c>
      <c r="AQ443" s="19" t="s">
        <v>21</v>
      </c>
      <c r="AR443" s="20" t="s">
        <v>22</v>
      </c>
    </row>
    <row r="444" ht="15.75" customHeight="1">
      <c r="A444" s="21"/>
      <c r="B444" s="38">
        <v>7.0</v>
      </c>
      <c r="C444" s="38" t="s">
        <v>24</v>
      </c>
      <c r="D444" s="39">
        <v>44.0</v>
      </c>
      <c r="E444" s="54">
        <f>IFERROR(__xludf.DUMMYFUNCTION("COUNT(IMPORTRANGE(""https://docs.google.com/spreadsheets/d/1_7EEO26q9Yq-XhNFiy7I6Zh4Yg6uGjTs9y0UqNvPKcQ/edit"",""17!d2:d45""))"),44.0)</f>
        <v>44</v>
      </c>
      <c r="F444" s="55">
        <f>IFERROR(__xludf.DUMMYFUNCTION("SUM(IMPORTRANGE(""https://docs.google.com/spreadsheets/d/1_7EEO26q9Yq-XhNFiy7I6Zh4Yg6uGjTs9y0UqNvPKcQ/edit"",""17!Q2:Q45""))"),8491.962999999994)</f>
        <v>8491.963</v>
      </c>
      <c r="G444" s="54">
        <f>IFERROR(__xludf.DUMMYFUNCTION("IMPORTRANGE(""https://docs.google.com/spreadsheets/d/1_7EEO26q9Yq-XhNFiy7I6Zh4Yg6uGjTs9y0UqNvPKcQ/edit"",""17!e53"")"),1137.0)</f>
        <v>1137</v>
      </c>
      <c r="H444" s="54">
        <f>IFERROR(__xludf.DUMMYFUNCTION("IMPORTRANGE(""https://docs.google.com/spreadsheets/d/1_7EEO26q9Yq-XhNFiy7I6Zh4Yg6uGjTs9y0UqNvPKcQ/edit"",""17!e54"")"),0.0)</f>
        <v>0</v>
      </c>
      <c r="I444" s="54">
        <f t="shared" si="1215"/>
        <v>1137</v>
      </c>
      <c r="J444" s="54">
        <f>IFERROR(__xludf.DUMMYFUNCTION("IMPORTRANGE(""https://docs.google.com/spreadsheets/d/1_7EEO26q9Yq-XhNFiy7I6Zh4Yg6uGjTs9y0UqNvPKcQ/edit"",""17!e57"")"),1313.0)</f>
        <v>1313</v>
      </c>
      <c r="K444" s="54">
        <f>IFERROR(__xludf.DUMMYFUNCTION("IMPORTRANGE(""https://docs.google.com/spreadsheets/d/1_7EEO26q9Yq-XhNFiy7I6Zh4Yg6uGjTs9y0UqNvPKcQ/edit"",""17!e58"")"),0.0)</f>
        <v>0</v>
      </c>
      <c r="L444" s="40">
        <f t="shared" si="1216"/>
        <v>1313</v>
      </c>
      <c r="M444" s="40">
        <f t="shared" si="1217"/>
        <v>2450</v>
      </c>
      <c r="N444" s="41">
        <f t="shared" si="1218"/>
        <v>192.9991591</v>
      </c>
      <c r="O444" s="38">
        <v>1580.0</v>
      </c>
      <c r="P444" s="56">
        <f t="shared" si="1219"/>
        <v>1.550632911</v>
      </c>
      <c r="Q444" s="43">
        <v>1.5</v>
      </c>
      <c r="R444" s="42">
        <f t="shared" si="1220"/>
        <v>0.1923387247</v>
      </c>
      <c r="S444" s="44">
        <f t="shared" si="1221"/>
        <v>0.288508087</v>
      </c>
      <c r="T444" s="43">
        <f>F444/26.805</f>
        <v>316.8051856</v>
      </c>
      <c r="U444" s="43">
        <f t="shared" si="1222"/>
        <v>7.200117855</v>
      </c>
      <c r="V444" s="40">
        <f t="shared" si="1223"/>
        <v>55.68181818</v>
      </c>
      <c r="X444" s="22">
        <v>1.0</v>
      </c>
      <c r="Y444" s="22" t="s">
        <v>28</v>
      </c>
      <c r="Z444" s="22">
        <f t="shared" ref="Z444:AI444" si="1232">SUM(D439)</f>
        <v>33</v>
      </c>
      <c r="AA444" s="23">
        <f t="shared" si="1232"/>
        <v>33</v>
      </c>
      <c r="AB444" s="25">
        <f t="shared" si="1232"/>
        <v>548.625</v>
      </c>
      <c r="AC444" s="23">
        <f t="shared" si="1232"/>
        <v>2910</v>
      </c>
      <c r="AD444" s="23">
        <f t="shared" si="1232"/>
        <v>106</v>
      </c>
      <c r="AE444" s="23">
        <f t="shared" si="1232"/>
        <v>3016</v>
      </c>
      <c r="AF444" s="23">
        <f t="shared" si="1232"/>
        <v>2886</v>
      </c>
      <c r="AG444" s="23">
        <f t="shared" si="1232"/>
        <v>218</v>
      </c>
      <c r="AH444" s="23">
        <f t="shared" si="1232"/>
        <v>3104</v>
      </c>
      <c r="AI444" s="23">
        <f t="shared" si="1232"/>
        <v>6120</v>
      </c>
      <c r="AJ444" s="25">
        <f t="shared" ref="AJ444:AJ450" si="1235">AB444/AA444</f>
        <v>16.625</v>
      </c>
      <c r="AK444" s="22">
        <f t="shared" ref="AK444:AK445" si="1236">SUM(O439)</f>
        <v>7315</v>
      </c>
      <c r="AL444" s="26">
        <f t="shared" ref="AL444:AL450" si="1237">AI444/AK444</f>
        <v>0.8366370472</v>
      </c>
      <c r="AM444" s="27">
        <f t="shared" ref="AM444:AM445" si="1238">SUM(Q439)</f>
        <v>1.5</v>
      </c>
      <c r="AN444" s="26">
        <f t="shared" ref="AN444:AN450" si="1239">AO444/AM444</f>
        <v>7.436773753</v>
      </c>
      <c r="AO444" s="28">
        <f t="shared" ref="AO444:AO450" si="1240">AI444/AB444</f>
        <v>11.15516063</v>
      </c>
      <c r="AP444" s="27">
        <f t="shared" ref="AP444:AQ444" si="1233">SUM(T439)</f>
        <v>17.75657831</v>
      </c>
      <c r="AQ444" s="27">
        <f t="shared" si="1233"/>
        <v>0.5380781306</v>
      </c>
      <c r="AR444" s="23">
        <f t="shared" ref="AR444:AR450" si="1242">AI444/AA444</f>
        <v>185.4545455</v>
      </c>
    </row>
    <row r="445" ht="15.75" customHeight="1">
      <c r="A445" s="21"/>
      <c r="B445" s="38">
        <v>8.0</v>
      </c>
      <c r="C445" s="38" t="s">
        <v>25</v>
      </c>
      <c r="D445" s="57">
        <v>32.0</v>
      </c>
      <c r="E445" s="40">
        <f>IFERROR(__xludf.DUMMYFUNCTION("COUNT(IMPORTRANGE(""https://docs.google.com/spreadsheets/d/1vLOLpiE-XsbnCnwWPcoi87PlUSXfqIAAQn3kvqHfO6s/edit"",""17!d2:D33""))"),31.0)</f>
        <v>31</v>
      </c>
      <c r="F445" s="45">
        <f>IFERROR(__xludf.DUMMYFUNCTION("SUM(IMPORTRANGE(""https://docs.google.com/spreadsheets/d/1vLOLpiE-XsbnCnwWPcoi87PlUSXfqIAAQn3kvqHfO6s/edit"",""17!Q2:Q33""))"),6129.560000000002)</f>
        <v>6129.56</v>
      </c>
      <c r="G445" s="40">
        <f>IFERROR(__xludf.DUMMYFUNCTION("IMPORTRANGE(""https://docs.google.com/spreadsheets/d/1vLOLpiE-XsbnCnwWPcoi87PlUSXfqIAAQn3kvqHfO6s/edit"",""17!e40"")"),2341.0)</f>
        <v>2341</v>
      </c>
      <c r="H445" s="40">
        <f>IFERROR(__xludf.DUMMYFUNCTION("IMPORTRANGE(""https://docs.google.com/spreadsheets/d/1vLOLpiE-XsbnCnwWPcoi87PlUSXfqIAAQn3kvqHfO6s/edit"",""17!e41"")"),444.0)</f>
        <v>444</v>
      </c>
      <c r="I445" s="40">
        <f t="shared" si="1215"/>
        <v>2785</v>
      </c>
      <c r="J445" s="40">
        <f>IFERROR(__xludf.DUMMYFUNCTION("IMPORTRANGE(""https://docs.google.com/spreadsheets/d/1vLOLpiE-XsbnCnwWPcoi87PlUSXfqIAAQn3kvqHfO6s/edit"",""17!e44"")"),3187.0)</f>
        <v>3187</v>
      </c>
      <c r="K445" s="40">
        <f>IFERROR(__xludf.DUMMYFUNCTION("IMPORTRANGE(""https://docs.google.com/spreadsheets/d/1vLOLpiE-XsbnCnwWPcoi87PlUSXfqIAAQn3kvqHfO6s/edit"",""17!e45"")"),639.0)</f>
        <v>639</v>
      </c>
      <c r="L445" s="40">
        <f>J445+K445</f>
        <v>3826</v>
      </c>
      <c r="M445" s="40">
        <f t="shared" si="1217"/>
        <v>6611</v>
      </c>
      <c r="N445" s="41">
        <f t="shared" si="1218"/>
        <v>197.7277419</v>
      </c>
      <c r="O445" s="38">
        <v>6622.0</v>
      </c>
      <c r="P445" s="42">
        <f t="shared" si="1219"/>
        <v>0.9983388704</v>
      </c>
      <c r="Q445" s="43">
        <v>1.5</v>
      </c>
      <c r="R445" s="42">
        <f t="shared" si="1220"/>
        <v>0.7190293159</v>
      </c>
      <c r="S445" s="44">
        <f t="shared" si="1221"/>
        <v>1.078543974</v>
      </c>
      <c r="T445" s="43">
        <f>F445/23.84</f>
        <v>257.1124161</v>
      </c>
      <c r="U445" s="43">
        <f t="shared" si="1222"/>
        <v>8.293948907</v>
      </c>
      <c r="V445" s="40">
        <f t="shared" si="1223"/>
        <v>213.2580645</v>
      </c>
      <c r="X445" s="31">
        <v>2.0</v>
      </c>
      <c r="Y445" s="31" t="s">
        <v>30</v>
      </c>
      <c r="Z445" s="31">
        <f t="shared" ref="Z445:AI445" si="1234">SUM(D440)</f>
        <v>60</v>
      </c>
      <c r="AA445" s="32">
        <f t="shared" si="1234"/>
        <v>57</v>
      </c>
      <c r="AB445" s="33">
        <f t="shared" si="1234"/>
        <v>11189.934</v>
      </c>
      <c r="AC445" s="32">
        <f t="shared" si="1234"/>
        <v>3281</v>
      </c>
      <c r="AD445" s="32">
        <f t="shared" si="1234"/>
        <v>0</v>
      </c>
      <c r="AE445" s="32">
        <f t="shared" si="1234"/>
        <v>3281</v>
      </c>
      <c r="AF445" s="32">
        <f t="shared" si="1234"/>
        <v>5185</v>
      </c>
      <c r="AG445" s="32">
        <f t="shared" si="1234"/>
        <v>52</v>
      </c>
      <c r="AH445" s="32">
        <f t="shared" si="1234"/>
        <v>5237</v>
      </c>
      <c r="AI445" s="32">
        <f t="shared" si="1234"/>
        <v>8518</v>
      </c>
      <c r="AJ445" s="34">
        <f t="shared" si="1235"/>
        <v>196.3146316</v>
      </c>
      <c r="AK445" s="31">
        <f t="shared" si="1236"/>
        <v>11164</v>
      </c>
      <c r="AL445" s="35">
        <f t="shared" si="1237"/>
        <v>0.7629881763</v>
      </c>
      <c r="AM445" s="36">
        <f t="shared" si="1238"/>
        <v>1.5</v>
      </c>
      <c r="AN445" s="35">
        <f t="shared" si="1239"/>
        <v>0.5074799071</v>
      </c>
      <c r="AO445" s="37">
        <f t="shared" si="1240"/>
        <v>0.7612198606</v>
      </c>
      <c r="AP445" s="36">
        <f t="shared" ref="AP445:AQ445" si="1241">SUM(T440)</f>
        <v>378</v>
      </c>
      <c r="AQ445" s="36">
        <f t="shared" si="1241"/>
        <v>6.631578947</v>
      </c>
      <c r="AR445" s="32">
        <f t="shared" si="1242"/>
        <v>149.4385965</v>
      </c>
    </row>
    <row r="446" ht="15.75" customHeight="1">
      <c r="A446" s="21"/>
      <c r="B446" s="38">
        <v>9.0</v>
      </c>
      <c r="C446" s="38" t="s">
        <v>36</v>
      </c>
      <c r="D446" s="58">
        <v>29.0</v>
      </c>
      <c r="E446" s="40">
        <f>IFERROR(__xludf.DUMMYFUNCTION("COUNT(IMPORTRANGE(""https://docs.google.com/spreadsheets/d/1WJJVq25XDtGjt-J2JPxeKs3jIvDZtkIREC0lFPXwf74/edit"",""17!d2:d31""))"),28.0)</f>
        <v>28</v>
      </c>
      <c r="F446" s="45">
        <f>IFERROR(__xludf.DUMMYFUNCTION("SUM(IMPORTRANGE(""https://docs.google.com/spreadsheets/d/1WJJVq25XDtGjt-J2JPxeKs3jIvDZtkIREC0lFPXwf74/edit"",""17!Q2:Q31""))"),5491.877999999998)</f>
        <v>5491.878</v>
      </c>
      <c r="G446" s="40">
        <f>IFERROR(__xludf.DUMMYFUNCTION("IMPORTRANGE(""https://docs.google.com/spreadsheets/d/1WJJVq25XDtGjt-J2JPxeKs3jIvDZtkIREC0lFPXwf74/edit"",""17!e38"")"),1523.0)</f>
        <v>1523</v>
      </c>
      <c r="H446" s="40">
        <f>IFERROR(__xludf.DUMMYFUNCTION("IMPORTRANGE(""https://docs.google.com/spreadsheets/d/1WJJVq25XDtGjt-J2JPxeKs3jIvDZtkIREC0lFPXwf74/edit"",""17!e39"")"),0.0)</f>
        <v>0</v>
      </c>
      <c r="I446" s="40">
        <f t="shared" si="1215"/>
        <v>1523</v>
      </c>
      <c r="J446" s="40">
        <f>IFERROR(__xludf.DUMMYFUNCTION("IMPORTRANGE(""https://docs.google.com/spreadsheets/d/1WJJVq25XDtGjt-J2JPxeKs3jIvDZtkIREC0lFPXwf74/edit"",""17!e42"")"),2105.0)</f>
        <v>2105</v>
      </c>
      <c r="K446" s="40">
        <f>IFERROR(__xludf.DUMMYFUNCTION("IMPORTRANGE(""https://docs.google.com/spreadsheets/d/1WJJVq25XDtGjt-J2JPxeKs3jIvDZtkIREC0lFPXwf74/edit"",""17!e43"")"),0.0)</f>
        <v>0</v>
      </c>
      <c r="L446" s="40">
        <f t="shared" ref="L446:L455" si="1245">SUM(J446:K446)</f>
        <v>2105</v>
      </c>
      <c r="M446" s="40">
        <f t="shared" si="1217"/>
        <v>3628</v>
      </c>
      <c r="N446" s="41">
        <f t="shared" si="1218"/>
        <v>196.1385</v>
      </c>
      <c r="O446" s="38">
        <v>4796.0</v>
      </c>
      <c r="P446" s="42">
        <f t="shared" si="1219"/>
        <v>0.7564637198</v>
      </c>
      <c r="Q446" s="43">
        <v>1.5</v>
      </c>
      <c r="R446" s="42">
        <f t="shared" si="1220"/>
        <v>0.4404079382</v>
      </c>
      <c r="S446" s="44">
        <f t="shared" si="1221"/>
        <v>0.6606119073</v>
      </c>
      <c r="T446" s="43">
        <f>F446/37.414</f>
        <v>146.7867109</v>
      </c>
      <c r="U446" s="43">
        <f t="shared" si="1222"/>
        <v>5.242382531</v>
      </c>
      <c r="V446" s="40">
        <f t="shared" si="1223"/>
        <v>129.5714286</v>
      </c>
      <c r="X446" s="22">
        <v>3.0</v>
      </c>
      <c r="Y446" s="22" t="s">
        <v>34</v>
      </c>
      <c r="Z446" s="22">
        <f t="shared" ref="Z446:AI446" si="1243">SUM(D442)</f>
        <v>40</v>
      </c>
      <c r="AA446" s="23">
        <f t="shared" si="1243"/>
        <v>39</v>
      </c>
      <c r="AB446" s="24">
        <f t="shared" si="1243"/>
        <v>7412.037</v>
      </c>
      <c r="AC446" s="23">
        <f t="shared" si="1243"/>
        <v>3010</v>
      </c>
      <c r="AD446" s="23">
        <f t="shared" si="1243"/>
        <v>0</v>
      </c>
      <c r="AE446" s="23">
        <f t="shared" si="1243"/>
        <v>3010</v>
      </c>
      <c r="AF446" s="23">
        <f t="shared" si="1243"/>
        <v>2748</v>
      </c>
      <c r="AG446" s="23">
        <f t="shared" si="1243"/>
        <v>0</v>
      </c>
      <c r="AH446" s="23">
        <f t="shared" si="1243"/>
        <v>2748</v>
      </c>
      <c r="AI446" s="23">
        <f t="shared" si="1243"/>
        <v>5758</v>
      </c>
      <c r="AJ446" s="25">
        <f t="shared" si="1235"/>
        <v>190.0522308</v>
      </c>
      <c r="AK446" s="22">
        <f>SUM(O442)</f>
        <v>9354</v>
      </c>
      <c r="AL446" s="26">
        <f t="shared" si="1237"/>
        <v>0.6155655335</v>
      </c>
      <c r="AM446" s="27">
        <f>SUM(Q442)</f>
        <v>1.5</v>
      </c>
      <c r="AN446" s="26">
        <f t="shared" si="1239"/>
        <v>0.5178963174</v>
      </c>
      <c r="AO446" s="28">
        <f t="shared" si="1240"/>
        <v>0.7768444761</v>
      </c>
      <c r="AP446" s="27">
        <f t="shared" ref="AP446:AQ446" si="1244">SUM(T442)</f>
        <v>241.3322372</v>
      </c>
      <c r="AQ446" s="27">
        <f t="shared" si="1244"/>
        <v>6.188006081</v>
      </c>
      <c r="AR446" s="23">
        <f t="shared" si="1242"/>
        <v>147.6410256</v>
      </c>
    </row>
    <row r="447" ht="15.75" customHeight="1">
      <c r="A447" s="21"/>
      <c r="B447" s="38">
        <v>10.0</v>
      </c>
      <c r="C447" s="38" t="s">
        <v>37</v>
      </c>
      <c r="D447" s="39">
        <v>30.0</v>
      </c>
      <c r="E447" s="40">
        <f>IFERROR(__xludf.DUMMYFUNCTION("COUNT(IMPORTRANGE(""https://docs.google.com/spreadsheets/d/1rJyYfywRpWJW0zvDJHLOJtqUQqffoCGaqTVxxTDgV0k/edit"",""17!d2:d31""))"),30.0)</f>
        <v>30</v>
      </c>
      <c r="F447" s="45">
        <f>IFERROR(__xludf.DUMMYFUNCTION("SUM(IMPORTRANGE(""https://docs.google.com/spreadsheets/d/1rJyYfywRpWJW0zvDJHLOJtqUQqffoCGaqTVxxTDgV0k/edit"",""17!Q2:Q31""))"),5985.732)</f>
        <v>5985.732</v>
      </c>
      <c r="G447" s="40">
        <f>IFERROR(__xludf.DUMMYFUNCTION("(IMPORTRANGE(""https://docs.google.com/spreadsheets/d/1rJyYfywRpWJW0zvDJHLOJtqUQqffoCGaqTVxxTDgV0k/edit"",""17!e38""))"),1984.0)</f>
        <v>1984</v>
      </c>
      <c r="H447" s="40">
        <f>IFERROR(__xludf.DUMMYFUNCTION("(IMPORTRANGE(""https://docs.google.com/spreadsheets/d/1rJyYfywRpWJW0zvDJHLOJtqUQqffoCGaqTVxxTDgV0k/edit"",""17!e39""))"),131.0)</f>
        <v>131</v>
      </c>
      <c r="I447" s="40">
        <f t="shared" si="1215"/>
        <v>2115</v>
      </c>
      <c r="J447" s="40">
        <f>IFERROR(__xludf.DUMMYFUNCTION("(IMPORTRANGE(""https://docs.google.com/spreadsheets/d/1rJyYfywRpWJW0zvDJHLOJtqUQqffoCGaqTVxxTDgV0k/edit"",""17!e42""))"),2916.0)</f>
        <v>2916</v>
      </c>
      <c r="K447" s="40">
        <f>IFERROR(__xludf.DUMMYFUNCTION("(IMPORTRANGE(""https://docs.google.com/spreadsheets/d/1rJyYfywRpWJW0zvDJHLOJtqUQqffoCGaqTVxxTDgV0k/edit"",""17!e43""))"),113.0)</f>
        <v>113</v>
      </c>
      <c r="L447" s="40">
        <f t="shared" si="1245"/>
        <v>3029</v>
      </c>
      <c r="M447" s="40">
        <f t="shared" si="1217"/>
        <v>5144</v>
      </c>
      <c r="N447" s="41">
        <f t="shared" si="1218"/>
        <v>199.5244</v>
      </c>
      <c r="O447" s="38">
        <v>5887.0</v>
      </c>
      <c r="P447" s="42">
        <f t="shared" si="1219"/>
        <v>0.8737897061</v>
      </c>
      <c r="Q447" s="43">
        <v>1.5</v>
      </c>
      <c r="R447" s="42">
        <f t="shared" si="1220"/>
        <v>0.5729179545</v>
      </c>
      <c r="S447" s="44">
        <f t="shared" si="1221"/>
        <v>0.8593769317</v>
      </c>
      <c r="T447" s="43">
        <f>F447/24.792</f>
        <v>241.4380445</v>
      </c>
      <c r="U447" s="43">
        <f t="shared" si="1222"/>
        <v>8.047934818</v>
      </c>
      <c r="V447" s="40">
        <f t="shared" si="1223"/>
        <v>171.4666667</v>
      </c>
      <c r="X447" s="31">
        <v>4.0</v>
      </c>
      <c r="Y447" s="31" t="s">
        <v>38</v>
      </c>
      <c r="Z447" s="31">
        <f t="shared" ref="Z447:AI447" si="1246">SUM(D450)</f>
        <v>30</v>
      </c>
      <c r="AA447" s="32">
        <f t="shared" si="1246"/>
        <v>28</v>
      </c>
      <c r="AB447" s="33">
        <f t="shared" si="1246"/>
        <v>5873.259</v>
      </c>
      <c r="AC447" s="32">
        <f t="shared" si="1246"/>
        <v>2282</v>
      </c>
      <c r="AD447" s="32">
        <f t="shared" si="1246"/>
        <v>61</v>
      </c>
      <c r="AE447" s="32">
        <f t="shared" si="1246"/>
        <v>2343</v>
      </c>
      <c r="AF447" s="32">
        <f t="shared" si="1246"/>
        <v>2568</v>
      </c>
      <c r="AG447" s="32">
        <f t="shared" si="1246"/>
        <v>0</v>
      </c>
      <c r="AH447" s="32">
        <f t="shared" si="1246"/>
        <v>2568</v>
      </c>
      <c r="AI447" s="32">
        <f t="shared" si="1246"/>
        <v>4911</v>
      </c>
      <c r="AJ447" s="34">
        <f t="shared" si="1235"/>
        <v>209.75925</v>
      </c>
      <c r="AK447" s="31">
        <v>7324.0</v>
      </c>
      <c r="AL447" s="35">
        <f t="shared" si="1237"/>
        <v>0.6705352267</v>
      </c>
      <c r="AM447" s="36">
        <f>SUM(Q450)</f>
        <v>1.5</v>
      </c>
      <c r="AN447" s="35">
        <f t="shared" si="1239"/>
        <v>0.5574417883</v>
      </c>
      <c r="AO447" s="37">
        <f t="shared" si="1240"/>
        <v>0.8361626824</v>
      </c>
      <c r="AP447" s="36">
        <f t="shared" ref="AP447:AQ447" si="1247">SUM(T450)</f>
        <v>142.5375319</v>
      </c>
      <c r="AQ447" s="36">
        <f t="shared" si="1247"/>
        <v>5.090626138</v>
      </c>
      <c r="AR447" s="32">
        <f t="shared" si="1242"/>
        <v>175.3928571</v>
      </c>
    </row>
    <row r="448" ht="15.75" customHeight="1">
      <c r="A448" s="21"/>
      <c r="B448" s="38">
        <v>12.0</v>
      </c>
      <c r="C448" s="38" t="s">
        <v>39</v>
      </c>
      <c r="D448" s="39">
        <v>28.0</v>
      </c>
      <c r="E448" s="40">
        <f>IFERROR(__xludf.DUMMYFUNCTION("COUNT(IMPORTRANGE(""https://docs.google.com/spreadsheets/d/1uaTn2DZCfr7O1PvovOd0wElzVz8kpl_iPfnrkNPp0Is/edit"",""17!d2:d29""))"),28.0)</f>
        <v>28</v>
      </c>
      <c r="F448" s="45">
        <f>IFERROR(__xludf.DUMMYFUNCTION("SUM(IMPORTRANGE(""https://docs.google.com/spreadsheets/d/1uaTn2DZCfr7O1PvovOd0wElzVz8kpl_iPfnrkNPp0Is/edit"",""17!Q2:Q29""))"),5373.026)</f>
        <v>5373.026</v>
      </c>
      <c r="G448" s="40">
        <f>IFERROR(__xludf.DUMMYFUNCTION("IMPORTRANGE(""https://docs.google.com/spreadsheets/d/1uaTn2DZCfr7O1PvovOd0wElzVz8kpl_iPfnrkNPp0Is/edit"",""17!e36"")"),1182.0)</f>
        <v>1182</v>
      </c>
      <c r="H448" s="40">
        <f>IFERROR(__xludf.DUMMYFUNCTION("(IMPORTRANGE(""https://docs.google.com/spreadsheets/d/1uaTn2DZCfr7O1PvovOd0wElzVz8kpl_iPfnrkNPp0Is/edit"",""17!e37""))"),0.0)</f>
        <v>0</v>
      </c>
      <c r="I448" s="40">
        <f t="shared" si="1215"/>
        <v>1182</v>
      </c>
      <c r="J448" s="40">
        <f>IFERROR(__xludf.DUMMYFUNCTION("IMPORTRANGE(""https://docs.google.com/spreadsheets/d/1uaTn2DZCfr7O1PvovOd0wElzVz8kpl_iPfnrkNPp0Is/edit"",""17!e40"")"),1715.0)</f>
        <v>1715</v>
      </c>
      <c r="K448" s="40">
        <f>IFERROR(__xludf.DUMMYFUNCTION("IMPORTRANGE(""https://docs.google.com/spreadsheets/d/1uaTn2DZCfr7O1PvovOd0wElzVz8kpl_iPfnrkNPp0Is/edit"",""17!e41"")"),0.0)</f>
        <v>0</v>
      </c>
      <c r="L448" s="40">
        <f t="shared" si="1245"/>
        <v>1715</v>
      </c>
      <c r="M448" s="40">
        <f t="shared" si="1217"/>
        <v>2897</v>
      </c>
      <c r="N448" s="41">
        <f t="shared" si="1218"/>
        <v>191.8937857</v>
      </c>
      <c r="O448" s="38">
        <v>3569.0</v>
      </c>
      <c r="P448" s="42">
        <f t="shared" si="1219"/>
        <v>0.8117119641</v>
      </c>
      <c r="Q448" s="43">
        <v>1.5</v>
      </c>
      <c r="R448" s="42">
        <f t="shared" si="1220"/>
        <v>0.3594498395</v>
      </c>
      <c r="S448" s="44">
        <f t="shared" si="1221"/>
        <v>0.5391747593</v>
      </c>
      <c r="T448" s="43">
        <f>F448/21.463</f>
        <v>250.339002</v>
      </c>
      <c r="U448" s="43">
        <f t="shared" si="1222"/>
        <v>8.940678643</v>
      </c>
      <c r="V448" s="40">
        <f t="shared" si="1223"/>
        <v>103.4642857</v>
      </c>
      <c r="X448" s="31">
        <v>5.0</v>
      </c>
      <c r="Y448" s="31" t="s">
        <v>40</v>
      </c>
      <c r="Z448" s="31">
        <f t="shared" ref="Z448:AI448" si="1248">SUM(D452)</f>
        <v>30</v>
      </c>
      <c r="AA448" s="32">
        <f t="shared" si="1248"/>
        <v>30</v>
      </c>
      <c r="AB448" s="33">
        <f t="shared" si="1248"/>
        <v>5703.488</v>
      </c>
      <c r="AC448" s="32">
        <f t="shared" si="1248"/>
        <v>3482</v>
      </c>
      <c r="AD448" s="32">
        <f t="shared" si="1248"/>
        <v>137</v>
      </c>
      <c r="AE448" s="32">
        <f t="shared" si="1248"/>
        <v>3619</v>
      </c>
      <c r="AF448" s="32">
        <f t="shared" si="1248"/>
        <v>3819</v>
      </c>
      <c r="AG448" s="32">
        <f t="shared" si="1248"/>
        <v>135</v>
      </c>
      <c r="AH448" s="32">
        <f t="shared" si="1248"/>
        <v>3954</v>
      </c>
      <c r="AI448" s="32">
        <f t="shared" si="1248"/>
        <v>7573</v>
      </c>
      <c r="AJ448" s="34">
        <f t="shared" si="1235"/>
        <v>190.1162667</v>
      </c>
      <c r="AK448" s="31">
        <f t="shared" ref="AK448:AK449" si="1251">SUM(O452)</f>
        <v>8239</v>
      </c>
      <c r="AL448" s="35">
        <f t="shared" si="1237"/>
        <v>0.9191649472</v>
      </c>
      <c r="AM448" s="36">
        <f t="shared" ref="AM448:AM449" si="1252">SUM(Q452)</f>
        <v>1.5</v>
      </c>
      <c r="AN448" s="35">
        <f t="shared" si="1239"/>
        <v>0.8851893204</v>
      </c>
      <c r="AO448" s="37">
        <f t="shared" si="1240"/>
        <v>1.327783981</v>
      </c>
      <c r="AP448" s="36">
        <f t="shared" ref="AP448:AQ448" si="1249">SUM(T452)</f>
        <v>200.5234328</v>
      </c>
      <c r="AQ448" s="36">
        <f t="shared" si="1249"/>
        <v>6.684114428</v>
      </c>
      <c r="AR448" s="32">
        <f t="shared" si="1242"/>
        <v>252.4333333</v>
      </c>
    </row>
    <row r="449" ht="15.75" customHeight="1">
      <c r="A449" s="21"/>
      <c r="B449" s="38">
        <v>12.0</v>
      </c>
      <c r="C449" s="38" t="s">
        <v>41</v>
      </c>
      <c r="D449" s="39">
        <v>24.0</v>
      </c>
      <c r="E449" s="40">
        <f>IFERROR(__xludf.DUMMYFUNCTION("COUNT(IMPORTRANGE(""https://docs.google.com/spreadsheets/d/1oYscvfOJW7GMkxt8QcupWuzb3ohaYePd3Mt2V2ufHok/edit"",""17!d2:d25""))"),23.0)</f>
        <v>23</v>
      </c>
      <c r="F449" s="45">
        <f>IFERROR(__xludf.DUMMYFUNCTION("SUM(IMPORTRANGE(""https://docs.google.com/spreadsheets/d/1oYscvfOJW7GMkxt8QcupWuzb3ohaYePd3Mt2V2ufHok/edit"",""17!Q2:Q25""))"),4539.668000000001)</f>
        <v>4539.668</v>
      </c>
      <c r="G449" s="40">
        <f>IFERROR(__xludf.DUMMYFUNCTION("IMPORTRANGE(""https://docs.google.com/spreadsheets/d/1oYscvfOJW7GMkxt8QcupWuzb3ohaYePd3Mt2V2ufHok/edit"",""17!e32"")"),1275.0)</f>
        <v>1275</v>
      </c>
      <c r="H449" s="40">
        <f>IFERROR(__xludf.DUMMYFUNCTION("IMPORTRANGE(""https://docs.google.com/spreadsheets/d/1oYscvfOJW7GMkxt8QcupWuzb3ohaYePd3Mt2V2ufHok/edit"",""17!e33"")"),0.0)</f>
        <v>0</v>
      </c>
      <c r="I449" s="40">
        <f t="shared" si="1215"/>
        <v>1275</v>
      </c>
      <c r="J449" s="40">
        <f>IFERROR(__xludf.DUMMYFUNCTION("IMPORTRANGE(""https://docs.google.com/spreadsheets/d/1oYscvfOJW7GMkxt8QcupWuzb3ohaYePd3Mt2V2ufHok/edit"",""17!e36"")"),1628.0)</f>
        <v>1628</v>
      </c>
      <c r="K449" s="40">
        <f>IFERROR(__xludf.DUMMYFUNCTION("IMPORTRANGE(""https://docs.google.com/spreadsheets/d/1oYscvfOJW7GMkxt8QcupWuzb3ohaYePd3Mt2V2ufHok/edit"",""17!e37"")"),0.0)</f>
        <v>0</v>
      </c>
      <c r="L449" s="40">
        <f t="shared" si="1245"/>
        <v>1628</v>
      </c>
      <c r="M449" s="40">
        <f t="shared" si="1217"/>
        <v>2903</v>
      </c>
      <c r="N449" s="41">
        <f t="shared" si="1218"/>
        <v>197.3768696</v>
      </c>
      <c r="O449" s="38">
        <v>3801.0</v>
      </c>
      <c r="P449" s="42">
        <f t="shared" si="1219"/>
        <v>0.7637463825</v>
      </c>
      <c r="Q449" s="43">
        <v>1.5</v>
      </c>
      <c r="R449" s="42">
        <f t="shared" si="1220"/>
        <v>0.4263160507</v>
      </c>
      <c r="S449" s="44">
        <f t="shared" si="1221"/>
        <v>0.6394740761</v>
      </c>
      <c r="T449" s="43">
        <f>F449/29.628</f>
        <v>153.2222222</v>
      </c>
      <c r="U449" s="43">
        <f t="shared" si="1222"/>
        <v>6.661835749</v>
      </c>
      <c r="V449" s="40">
        <f t="shared" si="1223"/>
        <v>126.2173913</v>
      </c>
      <c r="X449" s="22">
        <v>6.0</v>
      </c>
      <c r="Y449" s="22" t="s">
        <v>42</v>
      </c>
      <c r="Z449" s="22">
        <f t="shared" ref="Z449:AI449" si="1250">SUM(D453)</f>
        <v>33</v>
      </c>
      <c r="AA449" s="23">
        <f t="shared" si="1250"/>
        <v>32</v>
      </c>
      <c r="AB449" s="24">
        <f t="shared" si="1250"/>
        <v>6240.276</v>
      </c>
      <c r="AC449" s="23">
        <f t="shared" si="1250"/>
        <v>3520</v>
      </c>
      <c r="AD449" s="23">
        <f t="shared" si="1250"/>
        <v>0</v>
      </c>
      <c r="AE449" s="23">
        <f t="shared" si="1250"/>
        <v>3520</v>
      </c>
      <c r="AF449" s="23">
        <f t="shared" si="1250"/>
        <v>4058</v>
      </c>
      <c r="AG449" s="23">
        <f t="shared" si="1250"/>
        <v>0</v>
      </c>
      <c r="AH449" s="23">
        <f t="shared" si="1250"/>
        <v>4058</v>
      </c>
      <c r="AI449" s="23">
        <f t="shared" si="1250"/>
        <v>7578</v>
      </c>
      <c r="AJ449" s="25">
        <f t="shared" si="1235"/>
        <v>195.008625</v>
      </c>
      <c r="AK449" s="22">
        <f t="shared" si="1251"/>
        <v>9877</v>
      </c>
      <c r="AL449" s="26">
        <f t="shared" si="1237"/>
        <v>0.7672370153</v>
      </c>
      <c r="AM449" s="27">
        <f t="shared" si="1252"/>
        <v>1.5</v>
      </c>
      <c r="AN449" s="26">
        <f t="shared" si="1239"/>
        <v>0.8095795763</v>
      </c>
      <c r="AO449" s="28">
        <f t="shared" si="1240"/>
        <v>1.214369364</v>
      </c>
      <c r="AP449" s="27">
        <f t="shared" ref="AP449:AQ449" si="1253">SUM(T453)</f>
        <v>238.5882623</v>
      </c>
      <c r="AQ449" s="27">
        <f t="shared" si="1253"/>
        <v>7.455883196</v>
      </c>
      <c r="AR449" s="23">
        <f t="shared" si="1242"/>
        <v>236.8125</v>
      </c>
    </row>
    <row r="450" ht="15.75" customHeight="1">
      <c r="A450" s="21"/>
      <c r="B450" s="38">
        <v>13.0</v>
      </c>
      <c r="C450" s="38" t="s">
        <v>43</v>
      </c>
      <c r="D450" s="39">
        <v>30.0</v>
      </c>
      <c r="E450" s="40">
        <f>IFERROR(__xludf.DUMMYFUNCTION("COUNT(IMPORTRANGE(""https://docs.google.com/spreadsheets/d/1AxBmuQEdOYAeRnZ4C8vO6kuTNp7X_SGhpLXuY0n4ln4/edit"",""17!d2:d31""))"),28.0)</f>
        <v>28</v>
      </c>
      <c r="F450" s="45">
        <f>IFERROR(__xludf.DUMMYFUNCTION("SUM(IMPORTRANGE(""https://docs.google.com/spreadsheets/d/1AxBmuQEdOYAeRnZ4C8vO6kuTNp7X_SGhpLXuY0n4ln4/edit"",""17!Q2:Q31""))"),5873.259000000001)</f>
        <v>5873.259</v>
      </c>
      <c r="G450" s="40">
        <f>IFERROR(__xludf.DUMMYFUNCTION("IMPORTRANGE(""https://docs.google.com/spreadsheets/d/1AxBmuQEdOYAeRnZ4C8vO6kuTNp7X_SGhpLXuY0n4ln4/edit"",""17!e38"")"),2282.0)</f>
        <v>2282</v>
      </c>
      <c r="H450" s="40">
        <f>IFERROR(__xludf.DUMMYFUNCTION("IMPORTRANGE(""https://docs.google.com/spreadsheets/d/1AxBmuQEdOYAeRnZ4C8vO6kuTNp7X_SGhpLXuY0n4ln4/edit"",""17!e39"")"),61.0)</f>
        <v>61</v>
      </c>
      <c r="I450" s="40">
        <f t="shared" si="1215"/>
        <v>2343</v>
      </c>
      <c r="J450" s="40">
        <f>IFERROR(__xludf.DUMMYFUNCTION("IMPORTRANGE(""https://docs.google.com/spreadsheets/d/1AxBmuQEdOYAeRnZ4C8vO6kuTNp7X_SGhpLXuY0n4ln4/edit"",""17!e42"")"),2568.0)</f>
        <v>2568</v>
      </c>
      <c r="K450" s="40">
        <f>IFERROR(__xludf.DUMMYFUNCTION("IMPORTRANGE(""https://docs.google.com/spreadsheets/d/1AxBmuQEdOYAeRnZ4C8vO6kuTNp7X_SGhpLXuY0n4ln4/edit"",""17!e43"")"),0.0)</f>
        <v>0</v>
      </c>
      <c r="L450" s="40">
        <f t="shared" si="1245"/>
        <v>2568</v>
      </c>
      <c r="M450" s="40">
        <f t="shared" si="1217"/>
        <v>4911</v>
      </c>
      <c r="N450" s="41">
        <f t="shared" si="1218"/>
        <v>209.75925</v>
      </c>
      <c r="O450" s="38">
        <v>8345.0</v>
      </c>
      <c r="P450" s="42">
        <f t="shared" si="1219"/>
        <v>0.5884961055</v>
      </c>
      <c r="Q450" s="43">
        <v>1.5</v>
      </c>
      <c r="R450" s="42">
        <f t="shared" si="1220"/>
        <v>0.5574417883</v>
      </c>
      <c r="S450" s="44">
        <f t="shared" si="1221"/>
        <v>0.8361626824</v>
      </c>
      <c r="T450" s="43">
        <f>F450/41.205</f>
        <v>142.5375319</v>
      </c>
      <c r="U450" s="43">
        <f t="shared" si="1222"/>
        <v>5.090626138</v>
      </c>
      <c r="V450" s="40">
        <f t="shared" si="1223"/>
        <v>175.3928571</v>
      </c>
      <c r="X450" s="46" t="s">
        <v>33</v>
      </c>
      <c r="Y450" s="46">
        <v>6.0</v>
      </c>
      <c r="Z450" s="46">
        <f t="shared" ref="Z450:AI450" si="1254">SUM(Z444:Z449)</f>
        <v>226</v>
      </c>
      <c r="AA450" s="47">
        <f t="shared" si="1254"/>
        <v>219</v>
      </c>
      <c r="AB450" s="49">
        <f t="shared" si="1254"/>
        <v>36967.619</v>
      </c>
      <c r="AC450" s="47">
        <f t="shared" si="1254"/>
        <v>18485</v>
      </c>
      <c r="AD450" s="47">
        <f t="shared" si="1254"/>
        <v>304</v>
      </c>
      <c r="AE450" s="47">
        <f t="shared" si="1254"/>
        <v>18789</v>
      </c>
      <c r="AF450" s="47">
        <f t="shared" si="1254"/>
        <v>21264</v>
      </c>
      <c r="AG450" s="47">
        <f t="shared" si="1254"/>
        <v>405</v>
      </c>
      <c r="AH450" s="47">
        <f t="shared" si="1254"/>
        <v>21669</v>
      </c>
      <c r="AI450" s="47">
        <f t="shared" si="1254"/>
        <v>40458</v>
      </c>
      <c r="AJ450" s="49">
        <f t="shared" si="1235"/>
        <v>168.8019132</v>
      </c>
      <c r="AK450" s="46">
        <f>SUM(AK444:AK449)</f>
        <v>53273</v>
      </c>
      <c r="AL450" s="50">
        <f t="shared" si="1237"/>
        <v>0.759446624</v>
      </c>
      <c r="AM450" s="51">
        <v>1.5</v>
      </c>
      <c r="AN450" s="50">
        <f t="shared" si="1239"/>
        <v>0.7296115014</v>
      </c>
      <c r="AO450" s="52">
        <f t="shared" si="1240"/>
        <v>1.094417252</v>
      </c>
      <c r="AP450" s="51">
        <f>SUM(AP444:AP449)</f>
        <v>1218.738042</v>
      </c>
      <c r="AQ450" s="51">
        <f>AP450/AA450</f>
        <v>5.565013892</v>
      </c>
      <c r="AR450" s="47">
        <f t="shared" si="1242"/>
        <v>184.739726</v>
      </c>
    </row>
    <row r="451" ht="15.75" customHeight="1">
      <c r="A451" s="21"/>
      <c r="B451" s="38">
        <v>14.0</v>
      </c>
      <c r="C451" s="38" t="s">
        <v>27</v>
      </c>
      <c r="D451" s="39">
        <v>30.0</v>
      </c>
      <c r="E451" s="40">
        <f>IFERROR(__xludf.DUMMYFUNCTION("COUNT(IMPORTRANGE(""https://docs.google.com/spreadsheets/d/1LsL4JuXvBtfJ-TVi4NFml9lV_pmd61b789A_nbO-QrA/edit"",""17!d2:d31""))"),27.0)</f>
        <v>27</v>
      </c>
      <c r="F451" s="45">
        <f>IFERROR(__xludf.DUMMYFUNCTION("SUM(IMPORTRANGE(""https://docs.google.com/spreadsheets/d/1LsL4JuXvBtfJ-TVi4NFml9lV_pmd61b789A_nbO-QrA/edit"",""17!Q2:Q31""))"),5172.008000000001)</f>
        <v>5172.008</v>
      </c>
      <c r="G451" s="40">
        <f>IFERROR(__xludf.DUMMYFUNCTION("IMPORTRANGE(""https://docs.google.com/spreadsheets/d/1LsL4JuXvBtfJ-TVi4NFml9lV_pmd61b789A_nbO-QrA/edit"",""17!e38"")"),2470.0)</f>
        <v>2470</v>
      </c>
      <c r="H451" s="40">
        <f>IFERROR(__xludf.DUMMYFUNCTION("IMPORTRANGE(""https://docs.google.com/spreadsheets/d/1LsL4JuXvBtfJ-TVi4NFml9lV_pmd61b789A_nbO-QrA/edit"",""17!e39"")"),53.0)</f>
        <v>53</v>
      </c>
      <c r="I451" s="40">
        <f t="shared" si="1215"/>
        <v>2523</v>
      </c>
      <c r="J451" s="40">
        <f>IFERROR(__xludf.DUMMYFUNCTION("IMPORTRANGE(""https://docs.google.com/spreadsheets/d/1LsL4JuXvBtfJ-TVi4NFml9lV_pmd61b789A_nbO-QrA/edit"",""17!e42"")"),2954.0)</f>
        <v>2954</v>
      </c>
      <c r="K451" s="40">
        <f>IFERROR(__xludf.DUMMYFUNCTION("IMPORTRANGE(""https://docs.google.com/spreadsheets/d/1LsL4JuXvBtfJ-TVi4NFml9lV_pmd61b789A_nbO-QrA/edit"",""17!e43"")"),0.0)</f>
        <v>0</v>
      </c>
      <c r="L451" s="40">
        <f t="shared" si="1245"/>
        <v>2954</v>
      </c>
      <c r="M451" s="40">
        <f t="shared" si="1217"/>
        <v>5477</v>
      </c>
      <c r="N451" s="41">
        <f t="shared" si="1218"/>
        <v>191.5558519</v>
      </c>
      <c r="O451" s="38">
        <v>8101.0</v>
      </c>
      <c r="P451" s="42">
        <f t="shared" si="1219"/>
        <v>0.6760893717</v>
      </c>
      <c r="Q451" s="43">
        <v>1.5</v>
      </c>
      <c r="R451" s="42">
        <f t="shared" si="1220"/>
        <v>0.7059798309</v>
      </c>
      <c r="S451" s="44">
        <f t="shared" si="1221"/>
        <v>1.058969746</v>
      </c>
      <c r="T451" s="43">
        <f>F451/19.985</f>
        <v>258.7944959</v>
      </c>
      <c r="U451" s="43">
        <f t="shared" si="1222"/>
        <v>9.584981329</v>
      </c>
      <c r="V451" s="40">
        <f t="shared" si="1223"/>
        <v>202.8518519</v>
      </c>
      <c r="X451" s="59" t="s">
        <v>44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6"/>
    </row>
    <row r="452" ht="15.75" customHeight="1">
      <c r="A452" s="21"/>
      <c r="B452" s="38">
        <v>15.0</v>
      </c>
      <c r="C452" s="38" t="s">
        <v>40</v>
      </c>
      <c r="D452" s="39">
        <v>30.0</v>
      </c>
      <c r="E452" s="40">
        <f>IFERROR(__xludf.DUMMYFUNCTION("COUNT(IMPORTRANGE(""https://docs.google.com/spreadsheets/d/1Krav0MVlY0vbUNsFRDnb_kR72_tyuGnWBYbGjNZrl18/edit"",""17!d2:d31""))"),30.0)</f>
        <v>30</v>
      </c>
      <c r="F452" s="45">
        <f>IFERROR(__xludf.DUMMYFUNCTION("SUM(IMPORTRANGE(""https://docs.google.com/spreadsheets/d/1Krav0MVlY0vbUNsFRDnb_kR72_tyuGnWBYbGjNZrl18/edit"",""17!Q2:Q31""))"),5703.487999999999)</f>
        <v>5703.488</v>
      </c>
      <c r="G452" s="40">
        <f>IFERROR(__xludf.DUMMYFUNCTION("IMPORTRANGE(""https://docs.google.com/spreadsheets/d/1Krav0MVlY0vbUNsFRDnb_kR72_tyuGnWBYbGjNZrl18/edit"",""17!e38"")"),3482.0)</f>
        <v>3482</v>
      </c>
      <c r="H452" s="40">
        <f>IFERROR(__xludf.DUMMYFUNCTION("IMPORTRANGE(""https://docs.google.com/spreadsheets/d/1Krav0MVlY0vbUNsFRDnb_kR72_tyuGnWBYbGjNZrl18/edit"",""17!e39"")"),137.0)</f>
        <v>137</v>
      </c>
      <c r="I452" s="40">
        <f t="shared" si="1215"/>
        <v>3619</v>
      </c>
      <c r="J452" s="40">
        <f>IFERROR(__xludf.DUMMYFUNCTION("IMPORTRANGE(""https://docs.google.com/spreadsheets/d/1Krav0MVlY0vbUNsFRDnb_kR72_tyuGnWBYbGjNZrl18/edit"",""17!e42"")"),3819.0)</f>
        <v>3819</v>
      </c>
      <c r="K452" s="40">
        <f>IFERROR(__xludf.DUMMYFUNCTION("IMPORTRANGE(""https://docs.google.com/spreadsheets/d/1Krav0MVlY0vbUNsFRDnb_kR72_tyuGnWBYbGjNZrl18/edit"",""17!e43"")"),135.0)</f>
        <v>135</v>
      </c>
      <c r="L452" s="40">
        <f t="shared" si="1245"/>
        <v>3954</v>
      </c>
      <c r="M452" s="40">
        <f t="shared" si="1217"/>
        <v>7573</v>
      </c>
      <c r="N452" s="41">
        <f t="shared" si="1218"/>
        <v>190.1162667</v>
      </c>
      <c r="O452" s="38">
        <v>8239.0</v>
      </c>
      <c r="P452" s="42">
        <f t="shared" si="1219"/>
        <v>0.9191649472</v>
      </c>
      <c r="Q452" s="43">
        <v>1.5</v>
      </c>
      <c r="R452" s="42">
        <f t="shared" si="1220"/>
        <v>0.8851893204</v>
      </c>
      <c r="S452" s="44">
        <f t="shared" si="1221"/>
        <v>1.327783981</v>
      </c>
      <c r="T452" s="43">
        <f>F452/28.443</f>
        <v>200.5234328</v>
      </c>
      <c r="U452" s="43">
        <f t="shared" si="1222"/>
        <v>6.684114428</v>
      </c>
      <c r="V452" s="40">
        <f t="shared" si="1223"/>
        <v>252.4333333</v>
      </c>
      <c r="X452" s="14" t="s">
        <v>2</v>
      </c>
      <c r="Y452" s="14" t="s">
        <v>3</v>
      </c>
      <c r="Z452" s="14" t="s">
        <v>4</v>
      </c>
      <c r="AA452" s="14" t="s">
        <v>5</v>
      </c>
      <c r="AB452" s="15" t="s">
        <v>6</v>
      </c>
      <c r="AC452" s="14" t="s">
        <v>7</v>
      </c>
      <c r="AD452" s="14" t="s">
        <v>8</v>
      </c>
      <c r="AE452" s="14" t="s">
        <v>9</v>
      </c>
      <c r="AF452" s="14" t="s">
        <v>10</v>
      </c>
      <c r="AG452" s="14" t="s">
        <v>11</v>
      </c>
      <c r="AH452" s="14" t="s">
        <v>12</v>
      </c>
      <c r="AI452" s="14" t="s">
        <v>13</v>
      </c>
      <c r="AJ452" s="15" t="s">
        <v>14</v>
      </c>
      <c r="AK452" s="14" t="s">
        <v>15</v>
      </c>
      <c r="AL452" s="14" t="s">
        <v>16</v>
      </c>
      <c r="AM452" s="16" t="s">
        <v>17</v>
      </c>
      <c r="AN452" s="17" t="s">
        <v>18</v>
      </c>
      <c r="AO452" s="18" t="s">
        <v>19</v>
      </c>
      <c r="AP452" s="19" t="s">
        <v>20</v>
      </c>
      <c r="AQ452" s="19" t="s">
        <v>21</v>
      </c>
      <c r="AR452" s="20" t="s">
        <v>22</v>
      </c>
    </row>
    <row r="453" ht="15.75" customHeight="1">
      <c r="A453" s="21"/>
      <c r="B453" s="38">
        <v>16.0</v>
      </c>
      <c r="C453" s="38" t="s">
        <v>42</v>
      </c>
      <c r="D453" s="39">
        <v>33.0</v>
      </c>
      <c r="E453" s="40">
        <f>IFERROR(__xludf.DUMMYFUNCTION("COUNT(IMPORTRANGE(""https://docs.google.com/spreadsheets/d/1uXtm-E8PG0CetlFmSpTX3RK0LNEMnpR-mxbET9AGD6w/edit"",""17!d2:d34""))"),32.0)</f>
        <v>32</v>
      </c>
      <c r="F453" s="45">
        <f>IFERROR(__xludf.DUMMYFUNCTION("SUM(IMPORTRANGE(""https://docs.google.com/spreadsheets/d/1uXtm-E8PG0CetlFmSpTX3RK0LNEMnpR-mxbET9AGD6w/edit"",""17!Q2:Q34""))"),6240.275999999998)</f>
        <v>6240.276</v>
      </c>
      <c r="G453" s="40">
        <f>IFERROR(__xludf.DUMMYFUNCTION("IMPORTRANGE(""https://docs.google.com/spreadsheets/d/1uXtm-E8PG0CetlFmSpTX3RK0LNEMnpR-mxbET9AGD6w/edit"",""17!e41"")"),3520.0)</f>
        <v>3520</v>
      </c>
      <c r="H453" s="40">
        <f>IFERROR(__xludf.DUMMYFUNCTION("IMPORTRANGE(""https://docs.google.com/spreadsheets/d/1uXtm-E8PG0CetlFmSpTX3RK0LNEMnpR-mxbET9AGD6w/edit"",""17!e42"")"),0.0)</f>
        <v>0</v>
      </c>
      <c r="I453" s="40">
        <f t="shared" si="1215"/>
        <v>3520</v>
      </c>
      <c r="J453" s="40">
        <f>IFERROR(__xludf.DUMMYFUNCTION("IMPORTRANGE(""https://docs.google.com/spreadsheets/d/1uXtm-E8PG0CetlFmSpTX3RK0LNEMnpR-mxbET9AGD6w/edit"",""17!e45"")"),4058.0)</f>
        <v>4058</v>
      </c>
      <c r="K453" s="40">
        <f>IFERROR(__xludf.DUMMYFUNCTION("IMPORTRANGE(""https://docs.google.com/spreadsheets/d/1uXtm-E8PG0CetlFmSpTX3RK0LNEMnpR-mxbET9AGD6w/edit"",""17!e46"")"),0.0)</f>
        <v>0</v>
      </c>
      <c r="L453" s="40">
        <f t="shared" si="1245"/>
        <v>4058</v>
      </c>
      <c r="M453" s="40">
        <f t="shared" si="1217"/>
        <v>7578</v>
      </c>
      <c r="N453" s="41">
        <f t="shared" si="1218"/>
        <v>195.008625</v>
      </c>
      <c r="O453" s="38">
        <v>9877.0</v>
      </c>
      <c r="P453" s="42">
        <f t="shared" si="1219"/>
        <v>0.7672370153</v>
      </c>
      <c r="Q453" s="43">
        <v>1.5</v>
      </c>
      <c r="R453" s="42">
        <f t="shared" si="1220"/>
        <v>0.8095795763</v>
      </c>
      <c r="S453" s="44">
        <f t="shared" si="1221"/>
        <v>1.214369364</v>
      </c>
      <c r="T453" s="43">
        <f>F453/26.155</f>
        <v>238.5882623</v>
      </c>
      <c r="U453" s="43">
        <f t="shared" si="1222"/>
        <v>7.455883196</v>
      </c>
      <c r="V453" s="40">
        <f t="shared" si="1223"/>
        <v>236.8125</v>
      </c>
      <c r="X453" s="31">
        <v>1.0</v>
      </c>
      <c r="Y453" s="31" t="s">
        <v>26</v>
      </c>
      <c r="Z453" s="31">
        <f t="shared" ref="Z453:AI453" si="1255">SUM(D438)</f>
        <v>20</v>
      </c>
      <c r="AA453" s="32">
        <f t="shared" si="1255"/>
        <v>19</v>
      </c>
      <c r="AB453" s="34">
        <f t="shared" si="1255"/>
        <v>3416.814</v>
      </c>
      <c r="AC453" s="32">
        <f t="shared" si="1255"/>
        <v>2162</v>
      </c>
      <c r="AD453" s="32">
        <f t="shared" si="1255"/>
        <v>0</v>
      </c>
      <c r="AE453" s="32">
        <f t="shared" si="1255"/>
        <v>2162</v>
      </c>
      <c r="AF453" s="32">
        <f t="shared" si="1255"/>
        <v>2612</v>
      </c>
      <c r="AG453" s="32">
        <f t="shared" si="1255"/>
        <v>0</v>
      </c>
      <c r="AH453" s="32">
        <f t="shared" si="1255"/>
        <v>2612</v>
      </c>
      <c r="AI453" s="32">
        <f t="shared" si="1255"/>
        <v>4774</v>
      </c>
      <c r="AJ453" s="34">
        <f t="shared" ref="AJ453:AJ459" si="1258">AB453/AA453</f>
        <v>179.8323158</v>
      </c>
      <c r="AK453" s="31">
        <f>SUM(O438)</f>
        <v>5161</v>
      </c>
      <c r="AL453" s="35">
        <f t="shared" ref="AL453:AL459" si="1259">AI453/AK453</f>
        <v>0.9250145321</v>
      </c>
      <c r="AM453" s="36">
        <f>SUM(Q438)</f>
        <v>1.5</v>
      </c>
      <c r="AN453" s="35">
        <f t="shared" ref="AN453:AN459" si="1260">AO453/AM453</f>
        <v>0.9314720282</v>
      </c>
      <c r="AO453" s="37">
        <f t="shared" ref="AO453:AO459" si="1261">AI453/AB453</f>
        <v>1.397208042</v>
      </c>
      <c r="AP453" s="36">
        <f t="shared" ref="AP453:AQ453" si="1256">SUM(T438)</f>
        <v>237.0318418</v>
      </c>
      <c r="AQ453" s="36">
        <f t="shared" si="1256"/>
        <v>12.4753601</v>
      </c>
      <c r="AR453" s="32">
        <f t="shared" ref="AR453:AR459" si="1263">AI453/AA453</f>
        <v>251.2631579</v>
      </c>
    </row>
    <row r="454" ht="15.75" customHeight="1">
      <c r="A454" s="21"/>
      <c r="B454" s="38">
        <v>17.0</v>
      </c>
      <c r="C454" s="38" t="s">
        <v>29</v>
      </c>
      <c r="D454" s="39">
        <v>30.0</v>
      </c>
      <c r="E454" s="40">
        <f>IFERROR(__xludf.DUMMYFUNCTION("COUNT(IMPORTRANGE(""https://docs.google.com/spreadsheets/d/12xcKI0lSnAsjEsxfm9K8Qx0B_89Gzsh816mowItkQao/edit"",""17!d2:d31""))"),27.0)</f>
        <v>27</v>
      </c>
      <c r="F454" s="45">
        <f>IFERROR(__xludf.DUMMYFUNCTION("SUM(IMPORTRANGE(""https://docs.google.com/spreadsheets/d/12xcKI0lSnAsjEsxfm9K8Qx0B_89Gzsh816mowItkQao/edit"",""17!Q2:Q31""))"),5337.789999999999)</f>
        <v>5337.79</v>
      </c>
      <c r="G454" s="40">
        <f>IFERROR(__xludf.DUMMYFUNCTION("IMPORTRANGE(""https://docs.google.com/spreadsheets/d/12xcKI0lSnAsjEsxfm9K8Qx0B_89Gzsh816mowItkQao/edit"",""17!e38"")"),2603.0)</f>
        <v>2603</v>
      </c>
      <c r="H454" s="40">
        <f>IFERROR(__xludf.DUMMYFUNCTION("IMPORTRANGE(""https://docs.google.com/spreadsheets/d/12xcKI0lSnAsjEsxfm9K8Qx0B_89Gzsh816mowItkQao/edit"",""17!e39"")"),0.0)</f>
        <v>0</v>
      </c>
      <c r="I454" s="40">
        <f t="shared" si="1215"/>
        <v>2603</v>
      </c>
      <c r="J454" s="40">
        <f>IFERROR(__xludf.DUMMYFUNCTION("IMPORTRANGE(""https://docs.google.com/spreadsheets/d/12xcKI0lSnAsjEsxfm9K8Qx0B_89Gzsh816mowItkQao/edit"",""17!e42"")"),4065.0)</f>
        <v>4065</v>
      </c>
      <c r="K454" s="40">
        <f>IFERROR(__xludf.DUMMYFUNCTION("IMPORTRANGE(""https://docs.google.com/spreadsheets/d/12xcKI0lSnAsjEsxfm9K8Qx0B_89Gzsh816mowItkQao/edit"",""17!e43"")"),0.0)</f>
        <v>0</v>
      </c>
      <c r="L454" s="40">
        <f t="shared" si="1245"/>
        <v>4065</v>
      </c>
      <c r="M454" s="40">
        <f t="shared" si="1217"/>
        <v>6668</v>
      </c>
      <c r="N454" s="41">
        <f t="shared" si="1218"/>
        <v>197.6959259</v>
      </c>
      <c r="O454" s="38">
        <v>9201.0</v>
      </c>
      <c r="P454" s="42">
        <f t="shared" si="1219"/>
        <v>0.7247038365</v>
      </c>
      <c r="Q454" s="43">
        <v>1.5</v>
      </c>
      <c r="R454" s="42">
        <f t="shared" si="1220"/>
        <v>0.8328040881</v>
      </c>
      <c r="S454" s="44">
        <f t="shared" si="1221"/>
        <v>1.249206132</v>
      </c>
      <c r="T454" s="43">
        <f>F454/26.038</f>
        <v>205</v>
      </c>
      <c r="U454" s="43">
        <f t="shared" si="1222"/>
        <v>7.592592593</v>
      </c>
      <c r="V454" s="40">
        <f t="shared" si="1223"/>
        <v>246.962963</v>
      </c>
      <c r="X454" s="31">
        <v>2.0</v>
      </c>
      <c r="Y454" s="31" t="s">
        <v>32</v>
      </c>
      <c r="Z454" s="31">
        <f t="shared" ref="Z454:AI454" si="1257">SUM(D441)</f>
        <v>42</v>
      </c>
      <c r="AA454" s="32">
        <f t="shared" si="1257"/>
        <v>41</v>
      </c>
      <c r="AB454" s="33">
        <f t="shared" si="1257"/>
        <v>8103.747</v>
      </c>
      <c r="AC454" s="31">
        <f t="shared" si="1257"/>
        <v>4673</v>
      </c>
      <c r="AD454" s="31">
        <f t="shared" si="1257"/>
        <v>178</v>
      </c>
      <c r="AE454" s="32">
        <f t="shared" si="1257"/>
        <v>4851</v>
      </c>
      <c r="AF454" s="31">
        <f t="shared" si="1257"/>
        <v>5476</v>
      </c>
      <c r="AG454" s="31">
        <f t="shared" si="1257"/>
        <v>0</v>
      </c>
      <c r="AH454" s="32">
        <f t="shared" si="1257"/>
        <v>5476</v>
      </c>
      <c r="AI454" s="32">
        <f t="shared" si="1257"/>
        <v>10327</v>
      </c>
      <c r="AJ454" s="34">
        <f t="shared" si="1258"/>
        <v>197.6523659</v>
      </c>
      <c r="AK454" s="31">
        <f>SUM(O441)</f>
        <v>13817</v>
      </c>
      <c r="AL454" s="35">
        <f t="shared" si="1259"/>
        <v>0.7474126077</v>
      </c>
      <c r="AM454" s="36">
        <f>SUM(Q441)</f>
        <v>1.5</v>
      </c>
      <c r="AN454" s="35">
        <f t="shared" si="1260"/>
        <v>0.8495658449</v>
      </c>
      <c r="AO454" s="37">
        <f t="shared" si="1261"/>
        <v>1.274348767</v>
      </c>
      <c r="AP454" s="36">
        <f t="shared" ref="AP454:AQ454" si="1262">SUM(T441)</f>
        <v>323</v>
      </c>
      <c r="AQ454" s="36">
        <f t="shared" si="1262"/>
        <v>7.87804878</v>
      </c>
      <c r="AR454" s="32">
        <f t="shared" si="1263"/>
        <v>251.8780488</v>
      </c>
    </row>
    <row r="455" ht="15.75" customHeight="1">
      <c r="A455" s="21"/>
      <c r="B455" s="38">
        <v>18.0</v>
      </c>
      <c r="C455" s="38" t="s">
        <v>31</v>
      </c>
      <c r="D455" s="39">
        <v>15.0</v>
      </c>
      <c r="E455" s="40">
        <f>IFERROR(__xludf.DUMMYFUNCTION("COUNT(IMPORTRANGE(""https://docs.google.com/spreadsheets/d/1fgCFOFzOla4Qim6_-zG-lbYhLCItqv_kZiAHoErRgcM/edit"",""17!d2:d16""))"),14.0)</f>
        <v>14</v>
      </c>
      <c r="F455" s="41">
        <f>IFERROR(__xludf.DUMMYFUNCTION("SUM(IMPORTRANGE(""https://docs.google.com/spreadsheets/d/1fgCFOFzOla4Qim6_-zG-lbYhLCItqv_kZiAHoErRgcM/edit"",""17!Q2:Q16""))"),2738.295)</f>
        <v>2738.295</v>
      </c>
      <c r="G455" s="40">
        <f>IFERROR(__xludf.DUMMYFUNCTION("IMPORTRANGE(""https://docs.google.com/spreadsheets/d/1fgCFOFzOla4Qim6_-zG-lbYhLCItqv_kZiAHoErRgcM/edit"",""17!e23"")"),854.0)</f>
        <v>854</v>
      </c>
      <c r="H455" s="40">
        <f>IFERROR(__xludf.DUMMYFUNCTION("IMPORTRANGE(""https://docs.google.com/spreadsheets/d/1fgCFOFzOla4Qim6_-zG-lbYhLCItqv_kZiAHoErRgcM/edit"",""17!e24"")"),68.0)</f>
        <v>68</v>
      </c>
      <c r="I455" s="40">
        <f t="shared" si="1215"/>
        <v>922</v>
      </c>
      <c r="J455" s="40">
        <f>IFERROR(__xludf.DUMMYFUNCTION("IMPORTRANGE(""https://docs.google.com/spreadsheets/d/1fgCFOFzOla4Qim6_-zG-lbYhLCItqv_kZiAHoErRgcM/edit"",""17!e27"")"),1018.0)</f>
        <v>1018</v>
      </c>
      <c r="K455" s="40">
        <f>IFERROR(__xludf.DUMMYFUNCTION("IMPORTRANGE(""https://docs.google.com/spreadsheets/d/1fgCFOFzOla4Qim6_-zG-lbYhLCItqv_kZiAHoErRgcM/edit"",""17!e28"")"),0.0)</f>
        <v>0</v>
      </c>
      <c r="L455" s="40">
        <f t="shared" si="1245"/>
        <v>1018</v>
      </c>
      <c r="M455" s="40">
        <f t="shared" si="1217"/>
        <v>1940</v>
      </c>
      <c r="N455" s="41">
        <f t="shared" si="1218"/>
        <v>195.5925</v>
      </c>
      <c r="O455" s="38">
        <v>2717.0</v>
      </c>
      <c r="P455" s="42">
        <f t="shared" si="1219"/>
        <v>0.7140228193</v>
      </c>
      <c r="Q455" s="43">
        <v>1.5</v>
      </c>
      <c r="R455" s="42">
        <f t="shared" si="1220"/>
        <v>0.4723133677</v>
      </c>
      <c r="S455" s="44">
        <f t="shared" si="1221"/>
        <v>0.7084700516</v>
      </c>
      <c r="T455" s="43">
        <f>F455/43.465</f>
        <v>63</v>
      </c>
      <c r="U455" s="43">
        <f t="shared" si="1222"/>
        <v>4.5</v>
      </c>
      <c r="V455" s="40">
        <f t="shared" si="1223"/>
        <v>138.5714286</v>
      </c>
      <c r="X455" s="31">
        <v>3.0</v>
      </c>
      <c r="Y455" s="31" t="s">
        <v>36</v>
      </c>
      <c r="Z455" s="31">
        <f t="shared" ref="Z455:AI455" si="1264">SUM(D446)</f>
        <v>29</v>
      </c>
      <c r="AA455" s="32">
        <f t="shared" si="1264"/>
        <v>28</v>
      </c>
      <c r="AB455" s="33">
        <f t="shared" si="1264"/>
        <v>5491.878</v>
      </c>
      <c r="AC455" s="32">
        <f t="shared" si="1264"/>
        <v>1523</v>
      </c>
      <c r="AD455" s="32">
        <f t="shared" si="1264"/>
        <v>0</v>
      </c>
      <c r="AE455" s="32">
        <f t="shared" si="1264"/>
        <v>1523</v>
      </c>
      <c r="AF455" s="32">
        <f t="shared" si="1264"/>
        <v>2105</v>
      </c>
      <c r="AG455" s="32">
        <f t="shared" si="1264"/>
        <v>0</v>
      </c>
      <c r="AH455" s="32">
        <f t="shared" si="1264"/>
        <v>2105</v>
      </c>
      <c r="AI455" s="32">
        <f t="shared" si="1264"/>
        <v>3628</v>
      </c>
      <c r="AJ455" s="34">
        <f t="shared" si="1258"/>
        <v>196.1385</v>
      </c>
      <c r="AK455" s="31">
        <f t="shared" ref="AK455:AK458" si="1268">SUM(O446)</f>
        <v>4796</v>
      </c>
      <c r="AL455" s="35">
        <f t="shared" si="1259"/>
        <v>0.7564637198</v>
      </c>
      <c r="AM455" s="36">
        <f t="shared" ref="AM455:AM458" si="1269">SUM(Q446)</f>
        <v>1.5</v>
      </c>
      <c r="AN455" s="35">
        <f t="shared" si="1260"/>
        <v>0.4404079382</v>
      </c>
      <c r="AO455" s="37">
        <f t="shared" si="1261"/>
        <v>0.6606119073</v>
      </c>
      <c r="AP455" s="36">
        <f t="shared" ref="AP455:AQ455" si="1265">SUM(T446)</f>
        <v>146.7867109</v>
      </c>
      <c r="AQ455" s="36">
        <f t="shared" si="1265"/>
        <v>5.242382531</v>
      </c>
      <c r="AR455" s="32">
        <f t="shared" si="1263"/>
        <v>129.5714286</v>
      </c>
    </row>
    <row r="456" ht="15.75" customHeight="1">
      <c r="A456" s="21"/>
      <c r="B456" s="60" t="s">
        <v>33</v>
      </c>
      <c r="C456" s="60">
        <v>18.0</v>
      </c>
      <c r="D456" s="60">
        <f t="shared" ref="D456:M456" si="1266">SUM(D438:D455)</f>
        <v>585</v>
      </c>
      <c r="E456" s="61">
        <f t="shared" si="1266"/>
        <v>565</v>
      </c>
      <c r="F456" s="62">
        <f t="shared" si="1266"/>
        <v>104394.88</v>
      </c>
      <c r="G456" s="61">
        <f t="shared" si="1266"/>
        <v>42520</v>
      </c>
      <c r="H456" s="61">
        <f t="shared" si="1266"/>
        <v>1178</v>
      </c>
      <c r="I456" s="61">
        <f t="shared" si="1266"/>
        <v>43698</v>
      </c>
      <c r="J456" s="61">
        <f t="shared" si="1266"/>
        <v>53316</v>
      </c>
      <c r="K456" s="61">
        <f t="shared" si="1266"/>
        <v>1157</v>
      </c>
      <c r="L456" s="61">
        <f t="shared" si="1266"/>
        <v>54473</v>
      </c>
      <c r="M456" s="61">
        <f t="shared" si="1266"/>
        <v>98171</v>
      </c>
      <c r="N456" s="62">
        <f t="shared" si="1218"/>
        <v>184.7696991</v>
      </c>
      <c r="O456" s="60">
        <f>SUM(O438:O455)</f>
        <v>126399</v>
      </c>
      <c r="P456" s="63">
        <f t="shared" si="1219"/>
        <v>0.7766754484</v>
      </c>
      <c r="Q456" s="64">
        <v>1.5</v>
      </c>
      <c r="R456" s="63">
        <f t="shared" si="1220"/>
        <v>0.6269209116</v>
      </c>
      <c r="S456" s="65">
        <f t="shared" si="1221"/>
        <v>0.9403813674</v>
      </c>
      <c r="T456" s="64">
        <f>SUM(T438:T455)</f>
        <v>3868.267961</v>
      </c>
      <c r="U456" s="64">
        <f t="shared" si="1222"/>
        <v>6.846491967</v>
      </c>
      <c r="V456" s="61">
        <f t="shared" si="1223"/>
        <v>173.7539823</v>
      </c>
      <c r="X456" s="31">
        <v>4.0</v>
      </c>
      <c r="Y456" s="31" t="s">
        <v>37</v>
      </c>
      <c r="Z456" s="31">
        <f t="shared" ref="Z456:AI456" si="1267">SUM(D447)</f>
        <v>30</v>
      </c>
      <c r="AA456" s="32">
        <f t="shared" si="1267"/>
        <v>30</v>
      </c>
      <c r="AB456" s="33">
        <f t="shared" si="1267"/>
        <v>5985.732</v>
      </c>
      <c r="AC456" s="32">
        <f t="shared" si="1267"/>
        <v>1984</v>
      </c>
      <c r="AD456" s="32">
        <f t="shared" si="1267"/>
        <v>131</v>
      </c>
      <c r="AE456" s="32">
        <f t="shared" si="1267"/>
        <v>2115</v>
      </c>
      <c r="AF456" s="32">
        <f t="shared" si="1267"/>
        <v>2916</v>
      </c>
      <c r="AG456" s="32">
        <f t="shared" si="1267"/>
        <v>113</v>
      </c>
      <c r="AH456" s="32">
        <f t="shared" si="1267"/>
        <v>3029</v>
      </c>
      <c r="AI456" s="32">
        <f t="shared" si="1267"/>
        <v>5144</v>
      </c>
      <c r="AJ456" s="34">
        <f t="shared" si="1258"/>
        <v>199.5244</v>
      </c>
      <c r="AK456" s="31">
        <f t="shared" si="1268"/>
        <v>5887</v>
      </c>
      <c r="AL456" s="35">
        <f t="shared" si="1259"/>
        <v>0.8737897061</v>
      </c>
      <c r="AM456" s="36">
        <f t="shared" si="1269"/>
        <v>1.5</v>
      </c>
      <c r="AN456" s="35">
        <f t="shared" si="1260"/>
        <v>0.5729179545</v>
      </c>
      <c r="AO456" s="37">
        <f t="shared" si="1261"/>
        <v>0.8593769317</v>
      </c>
      <c r="AP456" s="36">
        <f t="shared" ref="AP456:AQ456" si="1270">SUM(T447)</f>
        <v>241.4380445</v>
      </c>
      <c r="AQ456" s="36">
        <f t="shared" si="1270"/>
        <v>8.047934818</v>
      </c>
      <c r="AR456" s="32">
        <f t="shared" si="1263"/>
        <v>171.4666667</v>
      </c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X457" s="31">
        <v>5.0</v>
      </c>
      <c r="Y457" s="31" t="s">
        <v>39</v>
      </c>
      <c r="Z457" s="31">
        <f t="shared" ref="Z457:AI457" si="1271">SUM(D448)</f>
        <v>28</v>
      </c>
      <c r="AA457" s="32">
        <f t="shared" si="1271"/>
        <v>28</v>
      </c>
      <c r="AB457" s="33">
        <f t="shared" si="1271"/>
        <v>5373.026</v>
      </c>
      <c r="AC457" s="32">
        <f t="shared" si="1271"/>
        <v>1182</v>
      </c>
      <c r="AD457" s="32">
        <f t="shared" si="1271"/>
        <v>0</v>
      </c>
      <c r="AE457" s="32">
        <f t="shared" si="1271"/>
        <v>1182</v>
      </c>
      <c r="AF457" s="32">
        <f t="shared" si="1271"/>
        <v>1715</v>
      </c>
      <c r="AG457" s="32">
        <f t="shared" si="1271"/>
        <v>0</v>
      </c>
      <c r="AH457" s="32">
        <f t="shared" si="1271"/>
        <v>1715</v>
      </c>
      <c r="AI457" s="32">
        <f t="shared" si="1271"/>
        <v>2897</v>
      </c>
      <c r="AJ457" s="34">
        <f t="shared" si="1258"/>
        <v>191.8937857</v>
      </c>
      <c r="AK457" s="31">
        <f t="shared" si="1268"/>
        <v>3569</v>
      </c>
      <c r="AL457" s="35">
        <f t="shared" si="1259"/>
        <v>0.8117119641</v>
      </c>
      <c r="AM457" s="36">
        <f t="shared" si="1269"/>
        <v>1.5</v>
      </c>
      <c r="AN457" s="35">
        <f t="shared" si="1260"/>
        <v>0.3594498395</v>
      </c>
      <c r="AO457" s="37">
        <f t="shared" si="1261"/>
        <v>0.5391747593</v>
      </c>
      <c r="AP457" s="36">
        <f t="shared" ref="AP457:AQ457" si="1272">SUM(T448)</f>
        <v>250.339002</v>
      </c>
      <c r="AQ457" s="36">
        <f t="shared" si="1272"/>
        <v>8.940678643</v>
      </c>
      <c r="AR457" s="32">
        <f t="shared" si="1263"/>
        <v>103.4642857</v>
      </c>
    </row>
    <row r="458" ht="15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X458" s="31">
        <v>6.0</v>
      </c>
      <c r="Y458" s="31" t="s">
        <v>41</v>
      </c>
      <c r="Z458" s="31">
        <f t="shared" ref="Z458:AI458" si="1273">SUM(D449)</f>
        <v>24</v>
      </c>
      <c r="AA458" s="32">
        <f t="shared" si="1273"/>
        <v>23</v>
      </c>
      <c r="AB458" s="33">
        <f t="shared" si="1273"/>
        <v>4539.668</v>
      </c>
      <c r="AC458" s="32">
        <f t="shared" si="1273"/>
        <v>1275</v>
      </c>
      <c r="AD458" s="32">
        <f t="shared" si="1273"/>
        <v>0</v>
      </c>
      <c r="AE458" s="32">
        <f t="shared" si="1273"/>
        <v>1275</v>
      </c>
      <c r="AF458" s="32">
        <f t="shared" si="1273"/>
        <v>1628</v>
      </c>
      <c r="AG458" s="32">
        <f t="shared" si="1273"/>
        <v>0</v>
      </c>
      <c r="AH458" s="32">
        <f t="shared" si="1273"/>
        <v>1628</v>
      </c>
      <c r="AI458" s="32">
        <f t="shared" si="1273"/>
        <v>2903</v>
      </c>
      <c r="AJ458" s="34">
        <f t="shared" si="1258"/>
        <v>197.3768696</v>
      </c>
      <c r="AK458" s="31">
        <f t="shared" si="1268"/>
        <v>3801</v>
      </c>
      <c r="AL458" s="35">
        <f t="shared" si="1259"/>
        <v>0.7637463825</v>
      </c>
      <c r="AM458" s="36">
        <f t="shared" si="1269"/>
        <v>1.5</v>
      </c>
      <c r="AN458" s="35">
        <f t="shared" si="1260"/>
        <v>0.4263160507</v>
      </c>
      <c r="AO458" s="37">
        <f t="shared" si="1261"/>
        <v>0.6394740761</v>
      </c>
      <c r="AP458" s="36">
        <f t="shared" ref="AP458:AQ458" si="1274">SUM(T449)</f>
        <v>153.2222222</v>
      </c>
      <c r="AQ458" s="36">
        <f t="shared" si="1274"/>
        <v>6.661835749</v>
      </c>
      <c r="AR458" s="32">
        <f t="shared" si="1263"/>
        <v>126.2173913</v>
      </c>
    </row>
    <row r="459" ht="15.75" customHeight="1">
      <c r="A459" s="1" t="s">
        <v>45</v>
      </c>
      <c r="D459" s="2"/>
      <c r="X459" s="46" t="s">
        <v>33</v>
      </c>
      <c r="Y459" s="46">
        <v>6.0</v>
      </c>
      <c r="Z459" s="46">
        <f t="shared" ref="Z459:AI459" si="1275">SUM(Z453:Z458)</f>
        <v>173</v>
      </c>
      <c r="AA459" s="47">
        <f t="shared" si="1275"/>
        <v>169</v>
      </c>
      <c r="AB459" s="49">
        <f t="shared" si="1275"/>
        <v>32910.865</v>
      </c>
      <c r="AC459" s="47">
        <f t="shared" si="1275"/>
        <v>12799</v>
      </c>
      <c r="AD459" s="47">
        <f t="shared" si="1275"/>
        <v>309</v>
      </c>
      <c r="AE459" s="47">
        <f t="shared" si="1275"/>
        <v>13108</v>
      </c>
      <c r="AF459" s="47">
        <f t="shared" si="1275"/>
        <v>16452</v>
      </c>
      <c r="AG459" s="47">
        <f t="shared" si="1275"/>
        <v>113</v>
      </c>
      <c r="AH459" s="47">
        <f t="shared" si="1275"/>
        <v>16565</v>
      </c>
      <c r="AI459" s="47">
        <f t="shared" si="1275"/>
        <v>29673</v>
      </c>
      <c r="AJ459" s="49">
        <f t="shared" si="1258"/>
        <v>194.7388462</v>
      </c>
      <c r="AK459" s="46">
        <f>SUM(AK453:AK458)</f>
        <v>37031</v>
      </c>
      <c r="AL459" s="50">
        <f t="shared" si="1259"/>
        <v>0.8013016122</v>
      </c>
      <c r="AM459" s="51">
        <v>1.5</v>
      </c>
      <c r="AN459" s="50">
        <f t="shared" si="1260"/>
        <v>0.6010780938</v>
      </c>
      <c r="AO459" s="52">
        <f t="shared" si="1261"/>
        <v>0.9016171407</v>
      </c>
      <c r="AP459" s="51">
        <f>SUM(AP453:AP458)</f>
        <v>1351.817821</v>
      </c>
      <c r="AQ459" s="51">
        <f>AP459/AA459</f>
        <v>7.99892202</v>
      </c>
      <c r="AR459" s="47">
        <f t="shared" si="1263"/>
        <v>175.5798817</v>
      </c>
    </row>
    <row r="460" ht="15.75" customHeight="1">
      <c r="A460" s="1" t="s">
        <v>45</v>
      </c>
      <c r="D460" s="2"/>
      <c r="X460" s="66" t="s">
        <v>1</v>
      </c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6"/>
    </row>
    <row r="461" ht="15.75" customHeight="1">
      <c r="A461" s="10">
        <v>46221.0</v>
      </c>
      <c r="B461" s="8" t="s">
        <v>2</v>
      </c>
      <c r="C461" s="8" t="s">
        <v>3</v>
      </c>
      <c r="D461" s="8" t="s">
        <v>4</v>
      </c>
      <c r="E461" s="8" t="s">
        <v>5</v>
      </c>
      <c r="F461" s="9" t="s">
        <v>6</v>
      </c>
      <c r="G461" s="8" t="s">
        <v>7</v>
      </c>
      <c r="H461" s="8" t="s">
        <v>8</v>
      </c>
      <c r="I461" s="8" t="s">
        <v>9</v>
      </c>
      <c r="J461" s="8" t="s">
        <v>10</v>
      </c>
      <c r="K461" s="8" t="s">
        <v>11</v>
      </c>
      <c r="L461" s="8" t="s">
        <v>12</v>
      </c>
      <c r="M461" s="8" t="s">
        <v>13</v>
      </c>
      <c r="N461" s="9" t="s">
        <v>14</v>
      </c>
      <c r="O461" s="8" t="s">
        <v>15</v>
      </c>
      <c r="P461" s="8" t="s">
        <v>16</v>
      </c>
      <c r="Q461" s="8" t="s">
        <v>17</v>
      </c>
      <c r="R461" s="8" t="s">
        <v>18</v>
      </c>
      <c r="S461" s="11" t="s">
        <v>19</v>
      </c>
      <c r="T461" s="12" t="s">
        <v>20</v>
      </c>
      <c r="U461" s="12" t="s">
        <v>21</v>
      </c>
      <c r="V461" s="13" t="s">
        <v>22</v>
      </c>
      <c r="X461" s="14" t="s">
        <v>2</v>
      </c>
      <c r="Y461" s="14" t="s">
        <v>3</v>
      </c>
      <c r="Z461" s="14" t="s">
        <v>4</v>
      </c>
      <c r="AA461" s="14" t="s">
        <v>5</v>
      </c>
      <c r="AB461" s="15" t="s">
        <v>6</v>
      </c>
      <c r="AC461" s="14" t="s">
        <v>7</v>
      </c>
      <c r="AD461" s="14" t="s">
        <v>8</v>
      </c>
      <c r="AE461" s="14" t="s">
        <v>9</v>
      </c>
      <c r="AF461" s="14" t="s">
        <v>10</v>
      </c>
      <c r="AG461" s="14" t="s">
        <v>11</v>
      </c>
      <c r="AH461" s="14" t="s">
        <v>12</v>
      </c>
      <c r="AI461" s="14" t="s">
        <v>13</v>
      </c>
      <c r="AJ461" s="15" t="s">
        <v>14</v>
      </c>
      <c r="AK461" s="14" t="s">
        <v>15</v>
      </c>
      <c r="AL461" s="14" t="s">
        <v>16</v>
      </c>
      <c r="AM461" s="16" t="s">
        <v>17</v>
      </c>
      <c r="AN461" s="17" t="s">
        <v>18</v>
      </c>
      <c r="AO461" s="18" t="s">
        <v>19</v>
      </c>
      <c r="AP461" s="19" t="s">
        <v>20</v>
      </c>
      <c r="AQ461" s="19" t="s">
        <v>21</v>
      </c>
      <c r="AR461" s="20" t="s">
        <v>22</v>
      </c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X462" s="22">
        <v>1.0</v>
      </c>
      <c r="Y462" s="22" t="s">
        <v>23</v>
      </c>
      <c r="Z462" s="22">
        <f t="shared" ref="Z462:AI462" si="1276">SUM(D470)</f>
        <v>28</v>
      </c>
      <c r="AA462" s="23">
        <f t="shared" si="1276"/>
        <v>27</v>
      </c>
      <c r="AB462" s="24">
        <f t="shared" si="1276"/>
        <v>5162.22</v>
      </c>
      <c r="AC462" s="23">
        <f t="shared" si="1276"/>
        <v>1588</v>
      </c>
      <c r="AD462" s="23">
        <f t="shared" si="1276"/>
        <v>0</v>
      </c>
      <c r="AE462" s="23">
        <f t="shared" si="1276"/>
        <v>1588</v>
      </c>
      <c r="AF462" s="23">
        <f t="shared" si="1276"/>
        <v>2135</v>
      </c>
      <c r="AG462" s="23">
        <f t="shared" si="1276"/>
        <v>0</v>
      </c>
      <c r="AH462" s="23">
        <f t="shared" si="1276"/>
        <v>2135</v>
      </c>
      <c r="AI462" s="23">
        <f t="shared" si="1276"/>
        <v>3723</v>
      </c>
      <c r="AJ462" s="25">
        <f t="shared" ref="AJ462:AJ464" si="1279">AB462/AA462</f>
        <v>191.1933333</v>
      </c>
      <c r="AK462" s="22">
        <f>SUM(O470)</f>
        <v>6853</v>
      </c>
      <c r="AL462" s="26">
        <f t="shared" ref="AL462:AL468" si="1280">AI462/AK462</f>
        <v>0.543265723</v>
      </c>
      <c r="AM462" s="27">
        <f t="shared" ref="AM462:AM464" si="1281">SUM(Q470)</f>
        <v>1.5</v>
      </c>
      <c r="AN462" s="26">
        <f t="shared" ref="AN462:AN468" si="1282">AO462/AM462</f>
        <v>0.4808008957</v>
      </c>
      <c r="AO462" s="28">
        <f t="shared" ref="AO462:AO468" si="1283">AI462/AB462</f>
        <v>0.7212013436</v>
      </c>
      <c r="AP462" s="27">
        <f t="shared" ref="AP462:AQ462" si="1277">SUM(T470)</f>
        <v>153</v>
      </c>
      <c r="AQ462" s="27">
        <f t="shared" si="1277"/>
        <v>5.666666667</v>
      </c>
      <c r="AR462" s="23">
        <f t="shared" ref="AR462:AR468" si="1285">AI462/AA462</f>
        <v>137.8888889</v>
      </c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X463" s="22">
        <v>2.0</v>
      </c>
      <c r="Y463" s="22" t="s">
        <v>24</v>
      </c>
      <c r="Z463" s="22">
        <f t="shared" ref="Z463:AI463" si="1278">SUM(D471)</f>
        <v>37</v>
      </c>
      <c r="AA463" s="23">
        <f t="shared" si="1278"/>
        <v>36</v>
      </c>
      <c r="AB463" s="24">
        <f t="shared" si="1278"/>
        <v>6902.347</v>
      </c>
      <c r="AC463" s="23">
        <f t="shared" si="1278"/>
        <v>748</v>
      </c>
      <c r="AD463" s="23">
        <f t="shared" si="1278"/>
        <v>0</v>
      </c>
      <c r="AE463" s="23">
        <f t="shared" si="1278"/>
        <v>748</v>
      </c>
      <c r="AF463" s="23">
        <f t="shared" si="1278"/>
        <v>1203</v>
      </c>
      <c r="AG463" s="23">
        <f t="shared" si="1278"/>
        <v>6</v>
      </c>
      <c r="AH463" s="23">
        <f t="shared" si="1278"/>
        <v>1209</v>
      </c>
      <c r="AI463" s="23">
        <f t="shared" si="1278"/>
        <v>1957</v>
      </c>
      <c r="AJ463" s="25">
        <f t="shared" si="1279"/>
        <v>191.7318611</v>
      </c>
      <c r="AK463" s="22">
        <v>1580.0</v>
      </c>
      <c r="AL463" s="29">
        <f t="shared" si="1280"/>
        <v>1.238607595</v>
      </c>
      <c r="AM463" s="27">
        <f t="shared" si="1281"/>
        <v>1.5</v>
      </c>
      <c r="AN463" s="26">
        <f t="shared" si="1282"/>
        <v>0.1890178321</v>
      </c>
      <c r="AO463" s="28">
        <f t="shared" si="1283"/>
        <v>0.2835267482</v>
      </c>
      <c r="AP463" s="27">
        <f t="shared" ref="AP463:AQ463" si="1284">SUM(T471)</f>
        <v>257.5022197</v>
      </c>
      <c r="AQ463" s="27">
        <f t="shared" si="1284"/>
        <v>7.152839437</v>
      </c>
      <c r="AR463" s="23">
        <f t="shared" si="1285"/>
        <v>54.36111111</v>
      </c>
    </row>
    <row r="464" ht="15.75" customHeight="1">
      <c r="A464" s="21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X464" s="31">
        <v>3.0</v>
      </c>
      <c r="Y464" s="31" t="s">
        <v>25</v>
      </c>
      <c r="Z464" s="31">
        <f t="shared" ref="Z464:AI464" si="1286">SUM(D472)</f>
        <v>27</v>
      </c>
      <c r="AA464" s="32">
        <f t="shared" si="1286"/>
        <v>25</v>
      </c>
      <c r="AB464" s="33">
        <f t="shared" si="1286"/>
        <v>4967.132</v>
      </c>
      <c r="AC464" s="32">
        <f t="shared" si="1286"/>
        <v>1675</v>
      </c>
      <c r="AD464" s="32">
        <f t="shared" si="1286"/>
        <v>261</v>
      </c>
      <c r="AE464" s="32">
        <f t="shared" si="1286"/>
        <v>1936</v>
      </c>
      <c r="AF464" s="32">
        <f t="shared" si="1286"/>
        <v>2929</v>
      </c>
      <c r="AG464" s="32">
        <f t="shared" si="1286"/>
        <v>262</v>
      </c>
      <c r="AH464" s="32">
        <f t="shared" si="1286"/>
        <v>3191</v>
      </c>
      <c r="AI464" s="32">
        <f t="shared" si="1286"/>
        <v>5127</v>
      </c>
      <c r="AJ464" s="34">
        <f t="shared" si="1279"/>
        <v>198.68528</v>
      </c>
      <c r="AK464" s="31">
        <f>SUM(O472)</f>
        <v>6622</v>
      </c>
      <c r="AL464" s="35">
        <f t="shared" si="1280"/>
        <v>0.7742373905</v>
      </c>
      <c r="AM464" s="36">
        <f t="shared" si="1281"/>
        <v>1.5</v>
      </c>
      <c r="AN464" s="35">
        <f t="shared" si="1282"/>
        <v>0.6881234483</v>
      </c>
      <c r="AO464" s="37">
        <f t="shared" si="1283"/>
        <v>1.032185172</v>
      </c>
      <c r="AP464" s="36">
        <f t="shared" ref="AP464:AQ464" si="1287">SUM(T472)</f>
        <v>208.3528523</v>
      </c>
      <c r="AQ464" s="36">
        <f t="shared" si="1287"/>
        <v>8.334114094</v>
      </c>
      <c r="AR464" s="32">
        <f t="shared" si="1285"/>
        <v>205.08</v>
      </c>
    </row>
    <row r="465" ht="15.75" customHeight="1">
      <c r="A465" s="21"/>
      <c r="B465" s="38">
        <v>1.0</v>
      </c>
      <c r="C465" s="38" t="s">
        <v>26</v>
      </c>
      <c r="D465" s="39">
        <v>16.0</v>
      </c>
      <c r="E465" s="40">
        <f>IFERROR(__xludf.DUMMYFUNCTION("COUNT(IMPORTRANGE(""https://docs.google.com/spreadsheets/d/1z0o91thOT38lgejTE_Bd2p3v_9VCDdQRkUsMIVqpQCk/edit"",""18!d2:d21""))"),14.0)</f>
        <v>14</v>
      </c>
      <c r="F465" s="41">
        <f>IFERROR(__xludf.DUMMYFUNCTION("SUM(IMPORTRANGE(""https://docs.google.com/spreadsheets/d/1z0o91thOT38lgejTE_Bd2p3v_9VCDdQRkUsMIVqpQCk/edit"",""18!Q2:Q21""))"),2559.045)</f>
        <v>2559.045</v>
      </c>
      <c r="G465" s="40">
        <f>IFERROR(__xludf.DUMMYFUNCTION("IMPORTRANGE(""https://docs.google.com/spreadsheets/d/1z0o91thOT38lgejTE_Bd2p3v_9VCDdQRkUsMIVqpQCk/edit"",""18!e28"")"),1331.0)</f>
        <v>1331</v>
      </c>
      <c r="H465" s="40">
        <f>IFERROR(__xludf.DUMMYFUNCTION("IMPORTRANGE(""https://docs.google.com/spreadsheets/d/1z0o91thOT38lgejTE_Bd2p3v_9VCDdQRkUsMIVqpQCk/edit"",""18!e29"")"),0.0)</f>
        <v>0</v>
      </c>
      <c r="I465" s="40">
        <f t="shared" ref="I465:I482" si="1290">SUM(G465:H465)</f>
        <v>1331</v>
      </c>
      <c r="J465" s="40">
        <f>IFERROR(__xludf.DUMMYFUNCTION("IMPORTRANGE(""https://docs.google.com/spreadsheets/d/1z0o91thOT38lgejTE_Bd2p3v_9VCDdQRkUsMIVqpQCk/edit"",""18!e32"")"),2167.0)</f>
        <v>2167</v>
      </c>
      <c r="K465" s="40">
        <f>IFERROR(__xludf.DUMMYFUNCTION("IMPORTRANGE(""https://docs.google.com/spreadsheets/d/1z0o91thOT38lgejTE_Bd2p3v_9VCDdQRkUsMIVqpQCk/edit"",""18!e33"")"),0.0)</f>
        <v>0</v>
      </c>
      <c r="L465" s="40">
        <f t="shared" ref="L465:L471" si="1291">SUM(J465:K465)</f>
        <v>2167</v>
      </c>
      <c r="M465" s="40">
        <f t="shared" ref="M465:M482" si="1292">SUM(I465+L465)</f>
        <v>3498</v>
      </c>
      <c r="N465" s="41">
        <f t="shared" ref="N465:N483" si="1293">F465/E465</f>
        <v>182.7889286</v>
      </c>
      <c r="O465" s="38">
        <v>5161.0</v>
      </c>
      <c r="P465" s="42">
        <f t="shared" ref="P465:P483" si="1294">M465/O465</f>
        <v>0.6777756249</v>
      </c>
      <c r="Q465" s="43">
        <v>1.5</v>
      </c>
      <c r="R465" s="42">
        <f t="shared" ref="R465:R483" si="1295">S465/Q465</f>
        <v>0.9112774492</v>
      </c>
      <c r="S465" s="44">
        <f t="shared" ref="S465:S483" si="1296">M465/F465</f>
        <v>1.366916174</v>
      </c>
      <c r="T465" s="43">
        <f>F465/14.415</f>
        <v>177.5265349</v>
      </c>
      <c r="U465" s="43">
        <f t="shared" ref="U465:U483" si="1297">T465/E465</f>
        <v>12.68046678</v>
      </c>
      <c r="V465" s="40">
        <f t="shared" ref="V465:V483" si="1298">M465/E465</f>
        <v>249.8571429</v>
      </c>
      <c r="X465" s="22">
        <v>4.0</v>
      </c>
      <c r="Y465" s="22" t="s">
        <v>27</v>
      </c>
      <c r="Z465" s="22">
        <f t="shared" ref="Z465:AK465" si="1288">SUM(D478)</f>
        <v>24</v>
      </c>
      <c r="AA465" s="23">
        <f t="shared" si="1288"/>
        <v>24</v>
      </c>
      <c r="AB465" s="24">
        <f t="shared" si="1288"/>
        <v>4332.638</v>
      </c>
      <c r="AC465" s="23">
        <f t="shared" si="1288"/>
        <v>1637</v>
      </c>
      <c r="AD465" s="23">
        <f t="shared" si="1288"/>
        <v>0</v>
      </c>
      <c r="AE465" s="23">
        <f t="shared" si="1288"/>
        <v>1637</v>
      </c>
      <c r="AF465" s="23">
        <f t="shared" si="1288"/>
        <v>2192</v>
      </c>
      <c r="AG465" s="23">
        <f t="shared" si="1288"/>
        <v>0</v>
      </c>
      <c r="AH465" s="23">
        <f t="shared" si="1288"/>
        <v>2192</v>
      </c>
      <c r="AI465" s="23">
        <f t="shared" si="1288"/>
        <v>3829</v>
      </c>
      <c r="AJ465" s="25">
        <f t="shared" si="1288"/>
        <v>180.5265833</v>
      </c>
      <c r="AK465" s="22">
        <f t="shared" si="1288"/>
        <v>8101</v>
      </c>
      <c r="AL465" s="26">
        <f t="shared" si="1280"/>
        <v>0.4726576966</v>
      </c>
      <c r="AM465" s="27">
        <f>SUM(Q478)</f>
        <v>1.5</v>
      </c>
      <c r="AN465" s="26">
        <f t="shared" si="1282"/>
        <v>0.5891714624</v>
      </c>
      <c r="AO465" s="28">
        <f t="shared" si="1283"/>
        <v>0.8837571937</v>
      </c>
      <c r="AP465" s="27">
        <f t="shared" ref="AP465:AQ465" si="1289">SUM(T478)</f>
        <v>216.7944959</v>
      </c>
      <c r="AQ465" s="27">
        <f t="shared" si="1289"/>
        <v>9.033103995</v>
      </c>
      <c r="AR465" s="23">
        <f t="shared" si="1285"/>
        <v>159.5416667</v>
      </c>
    </row>
    <row r="466" ht="15.75" customHeight="1">
      <c r="A466" s="21"/>
      <c r="B466" s="38">
        <v>2.0</v>
      </c>
      <c r="C466" s="38" t="s">
        <v>28</v>
      </c>
      <c r="D466" s="39">
        <v>26.0</v>
      </c>
      <c r="E466" s="40">
        <f>IFERROR(__xludf.DUMMYFUNCTION("COUNT(IMPORTRANGE(""https://docs.google.com/spreadsheets/d/10a85iNN0y9GF6ngQfF1JXGAzFk-T7ywH4-TZtQcOTaE/edit"",""18!d2:d34""))"),26.0)</f>
        <v>26</v>
      </c>
      <c r="F466" s="41">
        <f>IFERROR(__xludf.DUMMYFUNCTION("SUM(IMPORTRANGE(""https://docs.google.com/spreadsheets/d/10a85iNN0y9GF6ngQfF1JXGAzFk-T7ywH4-TZtQcOTaE/edit"",""18!Q2:Q34""))"),4751.079)</f>
        <v>4751.079</v>
      </c>
      <c r="G466" s="40">
        <f>IFERROR(__xludf.DUMMYFUNCTION("IMPORTRANGE(""https://docs.google.com/spreadsheets/d/10a85iNN0y9GF6ngQfF1JXGAzFk-T7ywH4-TZtQcOTaE/edit"",""18!e41"")"),1701.0)</f>
        <v>1701</v>
      </c>
      <c r="H466" s="40">
        <f>IFERROR(__xludf.DUMMYFUNCTION("IMPORTRANGE(""https://docs.google.com/spreadsheets/d/10a85iNN0y9GF6ngQfF1JXGAzFk-T7ywH4-TZtQcOTaE/edit"",""18!e42"")"),55.0)</f>
        <v>55</v>
      </c>
      <c r="I466" s="40">
        <f t="shared" si="1290"/>
        <v>1756</v>
      </c>
      <c r="J466" s="40">
        <f>IFERROR(__xludf.DUMMYFUNCTION("IMPORTRANGE(""https://docs.google.com/spreadsheets/d/10a85iNN0y9GF6ngQfF1JXGAzFk-T7ywH4-TZtQcOTaE/edit"",""18!e45"")"),2031.0)</f>
        <v>2031</v>
      </c>
      <c r="K466" s="40">
        <f>IFERROR(__xludf.DUMMYFUNCTION("IMPORTRANGE(""https://docs.google.com/spreadsheets/d/10a85iNN0y9GF6ngQfF1JXGAzFk-T7ywH4-TZtQcOTaE/edit"",""18!e46"")"),171.0)</f>
        <v>171</v>
      </c>
      <c r="L466" s="40">
        <f t="shared" si="1291"/>
        <v>2202</v>
      </c>
      <c r="M466" s="40">
        <f t="shared" si="1292"/>
        <v>3958</v>
      </c>
      <c r="N466" s="41">
        <f t="shared" si="1293"/>
        <v>182.7338077</v>
      </c>
      <c r="O466" s="38">
        <v>7315.0</v>
      </c>
      <c r="P466" s="42">
        <f t="shared" si="1294"/>
        <v>0.5410799727</v>
      </c>
      <c r="Q466" s="43">
        <v>1.5</v>
      </c>
      <c r="R466" s="42">
        <f t="shared" si="1295"/>
        <v>0.5553826124</v>
      </c>
      <c r="S466" s="44">
        <f t="shared" si="1296"/>
        <v>0.8330739186</v>
      </c>
      <c r="T466" s="43">
        <f>F466/30.897</f>
        <v>153.7715312</v>
      </c>
      <c r="U466" s="43">
        <f t="shared" si="1297"/>
        <v>5.914289662</v>
      </c>
      <c r="V466" s="40">
        <f t="shared" si="1298"/>
        <v>152.2307692</v>
      </c>
      <c r="X466" s="22">
        <v>5.0</v>
      </c>
      <c r="Y466" s="22" t="s">
        <v>29</v>
      </c>
      <c r="Z466" s="22">
        <f t="shared" ref="Z466:AI466" si="1299">SUM(D481)</f>
        <v>24</v>
      </c>
      <c r="AA466" s="23">
        <f t="shared" si="1299"/>
        <v>22</v>
      </c>
      <c r="AB466" s="24">
        <f t="shared" si="1299"/>
        <v>4296.27</v>
      </c>
      <c r="AC466" s="23">
        <f t="shared" si="1299"/>
        <v>1861</v>
      </c>
      <c r="AD466" s="23">
        <f t="shared" si="1299"/>
        <v>0</v>
      </c>
      <c r="AE466" s="23">
        <f t="shared" si="1299"/>
        <v>1861</v>
      </c>
      <c r="AF466" s="23">
        <f t="shared" si="1299"/>
        <v>3038</v>
      </c>
      <c r="AG466" s="23">
        <f t="shared" si="1299"/>
        <v>0</v>
      </c>
      <c r="AH466" s="23">
        <f t="shared" si="1299"/>
        <v>3038</v>
      </c>
      <c r="AI466" s="23">
        <f t="shared" si="1299"/>
        <v>4899</v>
      </c>
      <c r="AJ466" s="25">
        <f t="shared" ref="AJ466:AJ468" si="1302">AB466/AA466</f>
        <v>195.285</v>
      </c>
      <c r="AK466" s="22">
        <f t="shared" ref="AK466:AK467" si="1303">SUM(O481)</f>
        <v>9201</v>
      </c>
      <c r="AL466" s="26">
        <f t="shared" si="1280"/>
        <v>0.5324421259</v>
      </c>
      <c r="AM466" s="27">
        <f t="shared" ref="AM466:AM467" si="1304">SUM(Q481)</f>
        <v>1.5</v>
      </c>
      <c r="AN466" s="26">
        <f t="shared" si="1282"/>
        <v>0.7601943081</v>
      </c>
      <c r="AO466" s="28">
        <f t="shared" si="1283"/>
        <v>1.140291462</v>
      </c>
      <c r="AP466" s="27">
        <f t="shared" ref="AP466:AQ466" si="1300">SUM(T481)</f>
        <v>165</v>
      </c>
      <c r="AQ466" s="27">
        <f t="shared" si="1300"/>
        <v>7.5</v>
      </c>
      <c r="AR466" s="23">
        <f t="shared" si="1285"/>
        <v>222.6818182</v>
      </c>
    </row>
    <row r="467" ht="15.75" customHeight="1">
      <c r="A467" s="21"/>
      <c r="B467" s="38">
        <v>3.0</v>
      </c>
      <c r="C467" s="38" t="s">
        <v>30</v>
      </c>
      <c r="D467" s="39">
        <v>48.0</v>
      </c>
      <c r="E467" s="40">
        <f>IFERROR(__xludf.DUMMYFUNCTION("COUNT(IMPORTRANGE(""https://docs.google.com/spreadsheets/d/1WojVzHhpzodJL1e5UDHeu3A3u5MTSZwvxHu0BrwvL9w/edit"",""18!d2:d61""))"),46.0)</f>
        <v>46</v>
      </c>
      <c r="F467" s="45">
        <f>IFERROR(__xludf.DUMMYFUNCTION("SUM(IMPORTRANGE(""https://docs.google.com/spreadsheets/d/1WojVzHhpzodJL1e5UDHeu3A3u5MTSZwvxHu0BrwvL9w/edit"",""18!Q2:Q61""))"),9147.326999999996)</f>
        <v>9147.327</v>
      </c>
      <c r="G467" s="40">
        <f>IFERROR(__xludf.DUMMYFUNCTION("IMPORTRANGE(""https://docs.google.com/spreadsheets/d/1WojVzHhpzodJL1e5UDHeu3A3u5MTSZwvxHu0BrwvL9w/edit"",""18!e68"")"),2503.0)</f>
        <v>2503</v>
      </c>
      <c r="H467" s="40">
        <f>IFERROR(__xludf.DUMMYFUNCTION("IMPORTRANGE(""https://docs.google.com/spreadsheets/d/1WojVzHhpzodJL1e5UDHeu3A3u5MTSZwvxHu0BrwvL9w/edit"",""18!e69"")"),0.0)</f>
        <v>0</v>
      </c>
      <c r="I467" s="40">
        <f t="shared" si="1290"/>
        <v>2503</v>
      </c>
      <c r="J467" s="40">
        <f>IFERROR(__xludf.DUMMYFUNCTION("IMPORTRANGE(""https://docs.google.com/spreadsheets/d/1WojVzHhpzodJL1e5UDHeu3A3u5MTSZwvxHu0BrwvL9w/edit"",""18!e72"")"),3899.0)</f>
        <v>3899</v>
      </c>
      <c r="K467" s="40">
        <f>IFERROR(__xludf.DUMMYFUNCTION("IMPORTRANGE(""https://docs.google.com/spreadsheets/d/1WojVzHhpzodJL1e5UDHeu3A3u5MTSZwvxHu0BrwvL9w/edit"",""18!e73"")"),39.0)</f>
        <v>39</v>
      </c>
      <c r="L467" s="40">
        <f t="shared" si="1291"/>
        <v>3938</v>
      </c>
      <c r="M467" s="40">
        <f t="shared" si="1292"/>
        <v>6441</v>
      </c>
      <c r="N467" s="41">
        <f t="shared" si="1293"/>
        <v>198.8549348</v>
      </c>
      <c r="O467" s="38">
        <v>11164.0</v>
      </c>
      <c r="P467" s="42">
        <f t="shared" si="1294"/>
        <v>0.5769437478</v>
      </c>
      <c r="Q467" s="43">
        <v>1.5</v>
      </c>
      <c r="R467" s="42">
        <f t="shared" si="1295"/>
        <v>0.4694267517</v>
      </c>
      <c r="S467" s="44">
        <f t="shared" si="1296"/>
        <v>0.7041401275</v>
      </c>
      <c r="T467" s="43">
        <f>F467/29.603</f>
        <v>309</v>
      </c>
      <c r="U467" s="43">
        <f t="shared" si="1297"/>
        <v>6.717391304</v>
      </c>
      <c r="V467" s="40">
        <f t="shared" si="1298"/>
        <v>140.0217391</v>
      </c>
      <c r="X467" s="22">
        <v>6.0</v>
      </c>
      <c r="Y467" s="22" t="s">
        <v>31</v>
      </c>
      <c r="Z467" s="22">
        <f t="shared" ref="Z467:AI467" si="1301">SUM(D482)</f>
        <v>12</v>
      </c>
      <c r="AA467" s="23">
        <f t="shared" si="1301"/>
        <v>12</v>
      </c>
      <c r="AB467" s="25">
        <f t="shared" si="1301"/>
        <v>2303.645</v>
      </c>
      <c r="AC467" s="23">
        <f t="shared" si="1301"/>
        <v>686</v>
      </c>
      <c r="AD467" s="23">
        <f t="shared" si="1301"/>
        <v>12</v>
      </c>
      <c r="AE467" s="23">
        <f t="shared" si="1301"/>
        <v>698</v>
      </c>
      <c r="AF467" s="23">
        <f t="shared" si="1301"/>
        <v>842</v>
      </c>
      <c r="AG467" s="23">
        <f t="shared" si="1301"/>
        <v>0</v>
      </c>
      <c r="AH467" s="23">
        <f t="shared" si="1301"/>
        <v>842</v>
      </c>
      <c r="AI467" s="23">
        <f t="shared" si="1301"/>
        <v>1540</v>
      </c>
      <c r="AJ467" s="25">
        <f t="shared" si="1302"/>
        <v>191.9704167</v>
      </c>
      <c r="AK467" s="22">
        <f t="shared" si="1303"/>
        <v>2717</v>
      </c>
      <c r="AL467" s="26">
        <f t="shared" si="1280"/>
        <v>0.5668016194</v>
      </c>
      <c r="AM467" s="27">
        <f t="shared" si="1304"/>
        <v>1.5</v>
      </c>
      <c r="AN467" s="26">
        <f t="shared" si="1282"/>
        <v>0.4456705207</v>
      </c>
      <c r="AO467" s="28">
        <f t="shared" si="1283"/>
        <v>0.6685057811</v>
      </c>
      <c r="AP467" s="27">
        <f t="shared" ref="AP467:AQ467" si="1305">SUM(T482)</f>
        <v>53</v>
      </c>
      <c r="AQ467" s="27">
        <f t="shared" si="1305"/>
        <v>4.416666667</v>
      </c>
      <c r="AR467" s="23">
        <f t="shared" si="1285"/>
        <v>128.3333333</v>
      </c>
    </row>
    <row r="468" ht="15.75" customHeight="1">
      <c r="A468" s="21"/>
      <c r="B468" s="38">
        <v>4.0</v>
      </c>
      <c r="C468" s="38" t="s">
        <v>32</v>
      </c>
      <c r="D468" s="39">
        <v>33.0</v>
      </c>
      <c r="E468" s="40">
        <f>IFERROR(__xludf.DUMMYFUNCTION("COUNT(IMPORTRANGE(""https://docs.google.com/spreadsheets/d/1vmCj5YcMSPHj1m64syDndQ6cqVL3yolcU03Y8KHmvdc/edit"",""18!d2:d43""))"),32.0)</f>
        <v>32</v>
      </c>
      <c r="F468" s="45">
        <f>IFERROR(__xludf.DUMMYFUNCTION("SUM(IMPORTRANGE(""https://docs.google.com/spreadsheets/d/1vmCj5YcMSPHj1m64syDndQ6cqVL3yolcU03Y8KHmvdc/edit"",""18!Q2:Q43""))"),6148.953999999996)</f>
        <v>6148.954</v>
      </c>
      <c r="G468" s="38">
        <f>IFERROR(__xludf.DUMMYFUNCTION("IMPORTRANGE(""https://docs.google.com/spreadsheets/d/1vmCj5YcMSPHj1m64syDndQ6cqVL3yolcU03Y8KHmvdc/edit"",""18!e50"")"),3418.0)</f>
        <v>3418</v>
      </c>
      <c r="H468" s="38">
        <f>IFERROR(__xludf.DUMMYFUNCTION("IMPORTRANGE(""https://docs.google.com/spreadsheets/d/1vmCj5YcMSPHj1m64syDndQ6cqVL3yolcU03Y8KHmvdc/edit"",""18!e51"")"),0.0)</f>
        <v>0</v>
      </c>
      <c r="I468" s="40">
        <f t="shared" si="1290"/>
        <v>3418</v>
      </c>
      <c r="J468" s="38">
        <f>IFERROR(__xludf.DUMMYFUNCTION("IMPORTRANGE(""https://docs.google.com/spreadsheets/d/1vmCj5YcMSPHj1m64syDndQ6cqVL3yolcU03Y8KHmvdc/edit"",""18!e54"")"),3917.0)</f>
        <v>3917</v>
      </c>
      <c r="K468" s="38">
        <f>IFERROR(__xludf.DUMMYFUNCTION("IMPORTRANGE(""https://docs.google.com/spreadsheets/d/1vmCj5YcMSPHj1m64syDndQ6cqVL3yolcU03Y8KHmvdc/edit"",""18!e55"")"),0.0)</f>
        <v>0</v>
      </c>
      <c r="L468" s="40">
        <f t="shared" si="1291"/>
        <v>3917</v>
      </c>
      <c r="M468" s="40">
        <f t="shared" si="1292"/>
        <v>7335</v>
      </c>
      <c r="N468" s="41">
        <f t="shared" si="1293"/>
        <v>192.1548125</v>
      </c>
      <c r="O468" s="38">
        <v>13817.0</v>
      </c>
      <c r="P468" s="42">
        <f t="shared" si="1294"/>
        <v>0.5308677716</v>
      </c>
      <c r="Q468" s="43">
        <v>1.5</v>
      </c>
      <c r="R468" s="42">
        <f t="shared" si="1295"/>
        <v>0.7952572096</v>
      </c>
      <c r="S468" s="44">
        <f t="shared" si="1296"/>
        <v>1.192885814</v>
      </c>
      <c r="T468" s="43">
        <f>F468/25.089</f>
        <v>245.0856551</v>
      </c>
      <c r="U468" s="43">
        <f t="shared" si="1297"/>
        <v>7.658926721</v>
      </c>
      <c r="V468" s="40">
        <f t="shared" si="1298"/>
        <v>229.21875</v>
      </c>
      <c r="X468" s="46" t="s">
        <v>33</v>
      </c>
      <c r="Y468" s="46">
        <v>6.0</v>
      </c>
      <c r="Z468" s="46">
        <f t="shared" ref="Z468:AI468" si="1306">SUM(Z462:Z467)</f>
        <v>152</v>
      </c>
      <c r="AA468" s="47">
        <f t="shared" si="1306"/>
        <v>146</v>
      </c>
      <c r="AB468" s="48">
        <f t="shared" si="1306"/>
        <v>27964.252</v>
      </c>
      <c r="AC468" s="47">
        <f t="shared" si="1306"/>
        <v>8195</v>
      </c>
      <c r="AD468" s="47">
        <f t="shared" si="1306"/>
        <v>273</v>
      </c>
      <c r="AE468" s="47">
        <f t="shared" si="1306"/>
        <v>8468</v>
      </c>
      <c r="AF468" s="47">
        <f t="shared" si="1306"/>
        <v>12339</v>
      </c>
      <c r="AG468" s="47">
        <f t="shared" si="1306"/>
        <v>268</v>
      </c>
      <c r="AH468" s="47">
        <f t="shared" si="1306"/>
        <v>12607</v>
      </c>
      <c r="AI468" s="47">
        <f t="shared" si="1306"/>
        <v>21075</v>
      </c>
      <c r="AJ468" s="49">
        <f t="shared" si="1302"/>
        <v>191.5359726</v>
      </c>
      <c r="AK468" s="46">
        <f>SUM(AK462:AK467)</f>
        <v>35074</v>
      </c>
      <c r="AL468" s="50">
        <f t="shared" si="1280"/>
        <v>0.6008724411</v>
      </c>
      <c r="AM468" s="51">
        <v>1.5</v>
      </c>
      <c r="AN468" s="50">
        <f t="shared" si="1282"/>
        <v>0.5024271702</v>
      </c>
      <c r="AO468" s="52">
        <f t="shared" si="1283"/>
        <v>0.7536407553</v>
      </c>
      <c r="AP468" s="51">
        <f>SUM(AP462:AP467)</f>
        <v>1053.649568</v>
      </c>
      <c r="AQ468" s="51">
        <f>AP468/AA468</f>
        <v>7.216777863</v>
      </c>
      <c r="AR468" s="47">
        <f t="shared" si="1285"/>
        <v>144.3493151</v>
      </c>
    </row>
    <row r="469" ht="15.75" customHeight="1">
      <c r="A469" s="21"/>
      <c r="B469" s="38">
        <v>5.0</v>
      </c>
      <c r="C469" s="38" t="s">
        <v>34</v>
      </c>
      <c r="D469" s="39">
        <v>32.0</v>
      </c>
      <c r="E469" s="40">
        <f>IFERROR(__xludf.DUMMYFUNCTION("COUNT(IMPORTRANGE(""https://docs.google.com/spreadsheets/d/14_Y-fpuq1wcec3DlT_1PBYekOC0YblQMrWVfO12YO3k/edit"",""18!d2:d41""))"),32.0)</f>
        <v>32</v>
      </c>
      <c r="F469" s="45">
        <f>IFERROR(__xludf.DUMMYFUNCTION("SUM(IMPORTRANGE(""https://docs.google.com/spreadsheets/d/14_Y-fpuq1wcec3DlT_1PBYekOC0YblQMrWVfO12YO3k/edit"",""18!Q2:Q41""))"),6391.545000000002)</f>
        <v>6391.545</v>
      </c>
      <c r="G469" s="40">
        <f>IFERROR(__xludf.DUMMYFUNCTION("IMPORTRANGE(""https://docs.google.com/spreadsheets/d/14_Y-fpuq1wcec3DlT_1PBYekOC0YblQMrWVfO12YO3k/edit"",""18!e48"")"),1668.0)</f>
        <v>1668</v>
      </c>
      <c r="H469" s="40">
        <f>IFERROR(__xludf.DUMMYFUNCTION("IMPORTRANGE(""https://docs.google.com/spreadsheets/d/14_Y-fpuq1wcec3DlT_1PBYekOC0YblQMrWVfO12YO3k/edit"",""18!e49"")"),0.0)</f>
        <v>0</v>
      </c>
      <c r="I469" s="40">
        <f t="shared" si="1290"/>
        <v>1668</v>
      </c>
      <c r="J469" s="40">
        <f>IFERROR(__xludf.DUMMYFUNCTION("IMPORTRANGE(""https://docs.google.com/spreadsheets/d/14_Y-fpuq1wcec3DlT_1PBYekOC0YblQMrWVfO12YO3k/edit"",""18!e52"")"),2773.0)</f>
        <v>2773</v>
      </c>
      <c r="K469" s="40">
        <f>IFERROR(__xludf.DUMMYFUNCTION("IMPORTRANGE(""https://docs.google.com/spreadsheets/d/14_Y-fpuq1wcec3DlT_1PBYekOC0YblQMrWVfO12YO3k/edit"",""18!e53"")"),29.0)</f>
        <v>29</v>
      </c>
      <c r="L469" s="40">
        <f t="shared" si="1291"/>
        <v>2802</v>
      </c>
      <c r="M469" s="40">
        <f t="shared" si="1292"/>
        <v>4470</v>
      </c>
      <c r="N469" s="41">
        <f t="shared" si="1293"/>
        <v>199.7357813</v>
      </c>
      <c r="O469" s="38">
        <v>9354.0</v>
      </c>
      <c r="P469" s="42">
        <f t="shared" si="1294"/>
        <v>0.4778704298</v>
      </c>
      <c r="Q469" s="43">
        <v>1.5</v>
      </c>
      <c r="R469" s="42">
        <f t="shared" si="1295"/>
        <v>0.466240948</v>
      </c>
      <c r="S469" s="44">
        <f t="shared" si="1296"/>
        <v>0.699361422</v>
      </c>
      <c r="T469" s="43">
        <f>F469/30.713</f>
        <v>208.1055253</v>
      </c>
      <c r="U469" s="43">
        <f t="shared" si="1297"/>
        <v>6.503297667</v>
      </c>
      <c r="V469" s="40">
        <f t="shared" si="1298"/>
        <v>139.6875</v>
      </c>
      <c r="X469" s="53" t="s">
        <v>35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6"/>
    </row>
    <row r="470" ht="15.75" customHeight="1">
      <c r="A470" s="21"/>
      <c r="B470" s="38">
        <v>6.0</v>
      </c>
      <c r="C470" s="38" t="s">
        <v>23</v>
      </c>
      <c r="D470" s="39">
        <v>28.0</v>
      </c>
      <c r="E470" s="40">
        <f>IFERROR(__xludf.DUMMYFUNCTION("COUNT(IMPORTRANGE(""https://docs.google.com/spreadsheets/d/1lJqjdj05V4LOXuBOiTdE65GV4ZITyx1cMLcDdcuoUnE/edit"",""18!d2:d36""))"),27.0)</f>
        <v>27</v>
      </c>
      <c r="F470" s="45">
        <f>IFERROR(__xludf.DUMMYFUNCTION("SUM(IMPORTRANGE(""https://docs.google.com/spreadsheets/d/1lJqjdj05V4LOXuBOiTdE65GV4ZITyx1cMLcDdcuoUnE/edit"",""18!Q2:Q36""))"),5162.219999999998)</f>
        <v>5162.22</v>
      </c>
      <c r="G470" s="40">
        <f>IFERROR(__xludf.DUMMYFUNCTION("IMPORTRANGE(""https://docs.google.com/spreadsheets/d/1lJqjdj05V4LOXuBOiTdE65GV4ZITyx1cMLcDdcuoUnE/edit"",""18!e43"")"),1588.0)</f>
        <v>1588</v>
      </c>
      <c r="H470" s="40">
        <f>IFERROR(__xludf.DUMMYFUNCTION("IMPORTRANGE(""https://docs.google.com/spreadsheets/d/1lJqjdj05V4LOXuBOiTdE65GV4ZITyx1cMLcDdcuoUnE/edit"",""18!e44"")"),0.0)</f>
        <v>0</v>
      </c>
      <c r="I470" s="40">
        <f t="shared" si="1290"/>
        <v>1588</v>
      </c>
      <c r="J470" s="40">
        <f>IFERROR(__xludf.DUMMYFUNCTION("IMPORTRANGE(""https://docs.google.com/spreadsheets/d/1lJqjdj05V4LOXuBOiTdE65GV4ZITyx1cMLcDdcuoUnE/edit"",""18!e47"")"),2135.0)</f>
        <v>2135</v>
      </c>
      <c r="K470" s="40">
        <f>IFERROR(__xludf.DUMMYFUNCTION("IMPORTRANGE(""https://docs.google.com/spreadsheets/d/1lJqjdj05V4LOXuBOiTdE65GV4ZITyx1cMLcDdcuoUnE/edit"",""18!e48"")"),0.0)</f>
        <v>0</v>
      </c>
      <c r="L470" s="40">
        <f t="shared" si="1291"/>
        <v>2135</v>
      </c>
      <c r="M470" s="40">
        <f t="shared" si="1292"/>
        <v>3723</v>
      </c>
      <c r="N470" s="41">
        <f t="shared" si="1293"/>
        <v>191.1933333</v>
      </c>
      <c r="O470" s="38">
        <v>6853.0</v>
      </c>
      <c r="P470" s="42">
        <f t="shared" si="1294"/>
        <v>0.543265723</v>
      </c>
      <c r="Q470" s="43">
        <v>1.5</v>
      </c>
      <c r="R470" s="42">
        <f t="shared" si="1295"/>
        <v>0.4808008957</v>
      </c>
      <c r="S470" s="44">
        <f t="shared" si="1296"/>
        <v>0.7212013436</v>
      </c>
      <c r="T470" s="43">
        <f>F470/33.74</f>
        <v>153</v>
      </c>
      <c r="U470" s="43">
        <f t="shared" si="1297"/>
        <v>5.666666667</v>
      </c>
      <c r="V470" s="40">
        <f t="shared" si="1298"/>
        <v>137.8888889</v>
      </c>
      <c r="X470" s="14" t="s">
        <v>2</v>
      </c>
      <c r="Y470" s="14" t="s">
        <v>3</v>
      </c>
      <c r="Z470" s="14" t="s">
        <v>4</v>
      </c>
      <c r="AA470" s="14" t="s">
        <v>5</v>
      </c>
      <c r="AB470" s="15" t="s">
        <v>6</v>
      </c>
      <c r="AC470" s="14" t="s">
        <v>7</v>
      </c>
      <c r="AD470" s="14" t="s">
        <v>8</v>
      </c>
      <c r="AE470" s="14" t="s">
        <v>9</v>
      </c>
      <c r="AF470" s="14" t="s">
        <v>10</v>
      </c>
      <c r="AG470" s="14" t="s">
        <v>11</v>
      </c>
      <c r="AH470" s="14" t="s">
        <v>12</v>
      </c>
      <c r="AI470" s="14" t="s">
        <v>13</v>
      </c>
      <c r="AJ470" s="15" t="s">
        <v>14</v>
      </c>
      <c r="AK470" s="14" t="s">
        <v>15</v>
      </c>
      <c r="AL470" s="14" t="s">
        <v>16</v>
      </c>
      <c r="AM470" s="16" t="s">
        <v>17</v>
      </c>
      <c r="AN470" s="17" t="s">
        <v>18</v>
      </c>
      <c r="AO470" s="18" t="s">
        <v>19</v>
      </c>
      <c r="AP470" s="19" t="s">
        <v>20</v>
      </c>
      <c r="AQ470" s="19" t="s">
        <v>21</v>
      </c>
      <c r="AR470" s="20" t="s">
        <v>22</v>
      </c>
    </row>
    <row r="471" ht="15.75" customHeight="1">
      <c r="A471" s="21"/>
      <c r="B471" s="38">
        <v>7.0</v>
      </c>
      <c r="C471" s="38" t="s">
        <v>24</v>
      </c>
      <c r="D471" s="39">
        <v>37.0</v>
      </c>
      <c r="E471" s="54">
        <f>IFERROR(__xludf.DUMMYFUNCTION("COUNT(IMPORTRANGE(""https://docs.google.com/spreadsheets/d/1_7EEO26q9Yq-XhNFiy7I6Zh4Yg6uGjTs9y0UqNvPKcQ/edit"",""18!d2:d45""))"),36.0)</f>
        <v>36</v>
      </c>
      <c r="F471" s="55">
        <f>IFERROR(__xludf.DUMMYFUNCTION("SUM(IMPORTRANGE(""https://docs.google.com/spreadsheets/d/1_7EEO26q9Yq-XhNFiy7I6Zh4Yg6uGjTs9y0UqNvPKcQ/edit"",""18!Q2:Q45""))"),6902.346999999995)</f>
        <v>6902.347</v>
      </c>
      <c r="G471" s="54">
        <f>IFERROR(__xludf.DUMMYFUNCTION("IMPORTRANGE(""https://docs.google.com/spreadsheets/d/1_7EEO26q9Yq-XhNFiy7I6Zh4Yg6uGjTs9y0UqNvPKcQ/edit"",""18!e53"")"),748.0)</f>
        <v>748</v>
      </c>
      <c r="H471" s="54">
        <f>IFERROR(__xludf.DUMMYFUNCTION("IMPORTRANGE(""https://docs.google.com/spreadsheets/d/1_7EEO26q9Yq-XhNFiy7I6Zh4Yg6uGjTs9y0UqNvPKcQ/edit"",""18!e54"")"),0.0)</f>
        <v>0</v>
      </c>
      <c r="I471" s="54">
        <f t="shared" si="1290"/>
        <v>748</v>
      </c>
      <c r="J471" s="54">
        <f>IFERROR(__xludf.DUMMYFUNCTION("IMPORTRANGE(""https://docs.google.com/spreadsheets/d/1_7EEO26q9Yq-XhNFiy7I6Zh4Yg6uGjTs9y0UqNvPKcQ/edit"",""18!e57"")"),1203.0)</f>
        <v>1203</v>
      </c>
      <c r="K471" s="54">
        <f>IFERROR(__xludf.DUMMYFUNCTION("IMPORTRANGE(""https://docs.google.com/spreadsheets/d/1_7EEO26q9Yq-XhNFiy7I6Zh4Yg6uGjTs9y0UqNvPKcQ/edit"",""18!e58"")"),6.0)</f>
        <v>6</v>
      </c>
      <c r="L471" s="40">
        <f t="shared" si="1291"/>
        <v>1209</v>
      </c>
      <c r="M471" s="40">
        <f t="shared" si="1292"/>
        <v>1957</v>
      </c>
      <c r="N471" s="41">
        <f t="shared" si="1293"/>
        <v>191.7318611</v>
      </c>
      <c r="O471" s="38">
        <v>1580.0</v>
      </c>
      <c r="P471" s="56">
        <f t="shared" si="1294"/>
        <v>1.238607595</v>
      </c>
      <c r="Q471" s="43">
        <v>1.5</v>
      </c>
      <c r="R471" s="42">
        <f t="shared" si="1295"/>
        <v>0.1890178321</v>
      </c>
      <c r="S471" s="44">
        <f t="shared" si="1296"/>
        <v>0.2835267482</v>
      </c>
      <c r="T471" s="43">
        <f>F471/26.805</f>
        <v>257.5022197</v>
      </c>
      <c r="U471" s="43">
        <f t="shared" si="1297"/>
        <v>7.152839437</v>
      </c>
      <c r="V471" s="40">
        <f t="shared" si="1298"/>
        <v>54.36111111</v>
      </c>
      <c r="X471" s="22">
        <v>1.0</v>
      </c>
      <c r="Y471" s="22" t="s">
        <v>28</v>
      </c>
      <c r="Z471" s="22">
        <f t="shared" ref="Z471:AI471" si="1307">SUM(D466)</f>
        <v>26</v>
      </c>
      <c r="AA471" s="23">
        <f t="shared" si="1307"/>
        <v>26</v>
      </c>
      <c r="AB471" s="25">
        <f t="shared" si="1307"/>
        <v>4751.079</v>
      </c>
      <c r="AC471" s="23">
        <f t="shared" si="1307"/>
        <v>1701</v>
      </c>
      <c r="AD471" s="23">
        <f t="shared" si="1307"/>
        <v>55</v>
      </c>
      <c r="AE471" s="23">
        <f t="shared" si="1307"/>
        <v>1756</v>
      </c>
      <c r="AF471" s="23">
        <f t="shared" si="1307"/>
        <v>2031</v>
      </c>
      <c r="AG471" s="23">
        <f t="shared" si="1307"/>
        <v>171</v>
      </c>
      <c r="AH471" s="23">
        <f t="shared" si="1307"/>
        <v>2202</v>
      </c>
      <c r="AI471" s="23">
        <f t="shared" si="1307"/>
        <v>3958</v>
      </c>
      <c r="AJ471" s="25">
        <f t="shared" ref="AJ471:AJ477" si="1310">AB471/AA471</f>
        <v>182.7338077</v>
      </c>
      <c r="AK471" s="22">
        <f t="shared" ref="AK471:AK472" si="1311">SUM(O466)</f>
        <v>7315</v>
      </c>
      <c r="AL471" s="26">
        <f t="shared" ref="AL471:AL477" si="1312">AI471/AK471</f>
        <v>0.5410799727</v>
      </c>
      <c r="AM471" s="27">
        <f t="shared" ref="AM471:AM472" si="1313">SUM(Q466)</f>
        <v>1.5</v>
      </c>
      <c r="AN471" s="26">
        <f t="shared" ref="AN471:AN477" si="1314">AO471/AM471</f>
        <v>0.5553826124</v>
      </c>
      <c r="AO471" s="28">
        <f t="shared" ref="AO471:AO477" si="1315">AI471/AB471</f>
        <v>0.8330739186</v>
      </c>
      <c r="AP471" s="27">
        <f t="shared" ref="AP471:AQ471" si="1308">SUM(T466)</f>
        <v>153.7715312</v>
      </c>
      <c r="AQ471" s="27">
        <f t="shared" si="1308"/>
        <v>5.914289662</v>
      </c>
      <c r="AR471" s="23">
        <f t="shared" ref="AR471:AR477" si="1317">AI471/AA471</f>
        <v>152.2307692</v>
      </c>
    </row>
    <row r="472" ht="15.75" customHeight="1">
      <c r="A472" s="21"/>
      <c r="B472" s="38">
        <v>8.0</v>
      </c>
      <c r="C472" s="38" t="s">
        <v>25</v>
      </c>
      <c r="D472" s="57">
        <v>27.0</v>
      </c>
      <c r="E472" s="40">
        <f>IFERROR(__xludf.DUMMYFUNCTION("COUNT(IMPORTRANGE(""https://docs.google.com/spreadsheets/d/1vLOLpiE-XsbnCnwWPcoi87PlUSXfqIAAQn3kvqHfO6s/edit"",""18!d2:D33""))"),25.0)</f>
        <v>25</v>
      </c>
      <c r="F472" s="45">
        <f>IFERROR(__xludf.DUMMYFUNCTION("SUM(IMPORTRANGE(""https://docs.google.com/spreadsheets/d/1vLOLpiE-XsbnCnwWPcoi87PlUSXfqIAAQn3kvqHfO6s/edit"",""18!Q2:Q33""))"),4967.1320000000005)</f>
        <v>4967.132</v>
      </c>
      <c r="G472" s="40">
        <f>IFERROR(__xludf.DUMMYFUNCTION("IMPORTRANGE(""https://docs.google.com/spreadsheets/d/1vLOLpiE-XsbnCnwWPcoi87PlUSXfqIAAQn3kvqHfO6s/edit"",""18!e40"")"),1675.0)</f>
        <v>1675</v>
      </c>
      <c r="H472" s="40">
        <f>IFERROR(__xludf.DUMMYFUNCTION("IMPORTRANGE(""https://docs.google.com/spreadsheets/d/1vLOLpiE-XsbnCnwWPcoi87PlUSXfqIAAQn3kvqHfO6s/edit"",""18!e41"")"),261.0)</f>
        <v>261</v>
      </c>
      <c r="I472" s="40">
        <f t="shared" si="1290"/>
        <v>1936</v>
      </c>
      <c r="J472" s="40">
        <f>IFERROR(__xludf.DUMMYFUNCTION("IMPORTRANGE(""https://docs.google.com/spreadsheets/d/1vLOLpiE-XsbnCnwWPcoi87PlUSXfqIAAQn3kvqHfO6s/edit"",""18!e44"")"),2929.0)</f>
        <v>2929</v>
      </c>
      <c r="K472" s="40">
        <f>IFERROR(__xludf.DUMMYFUNCTION("IMPORTRANGE(""https://docs.google.com/spreadsheets/d/1vLOLpiE-XsbnCnwWPcoi87PlUSXfqIAAQn3kvqHfO6s/edit"",""18!e45"")"),262.0)</f>
        <v>262</v>
      </c>
      <c r="L472" s="40">
        <f>J472+K472</f>
        <v>3191</v>
      </c>
      <c r="M472" s="40">
        <f t="shared" si="1292"/>
        <v>5127</v>
      </c>
      <c r="N472" s="41">
        <f t="shared" si="1293"/>
        <v>198.68528</v>
      </c>
      <c r="O472" s="38">
        <v>6622.0</v>
      </c>
      <c r="P472" s="42">
        <f t="shared" si="1294"/>
        <v>0.7742373905</v>
      </c>
      <c r="Q472" s="43">
        <v>1.5</v>
      </c>
      <c r="R472" s="42">
        <f t="shared" si="1295"/>
        <v>0.6881234483</v>
      </c>
      <c r="S472" s="44">
        <f t="shared" si="1296"/>
        <v>1.032185172</v>
      </c>
      <c r="T472" s="43">
        <f>F472/23.84</f>
        <v>208.3528523</v>
      </c>
      <c r="U472" s="43">
        <f t="shared" si="1297"/>
        <v>8.334114094</v>
      </c>
      <c r="V472" s="40">
        <f t="shared" si="1298"/>
        <v>205.08</v>
      </c>
      <c r="X472" s="31">
        <v>2.0</v>
      </c>
      <c r="Y472" s="31" t="s">
        <v>30</v>
      </c>
      <c r="Z472" s="31">
        <f t="shared" ref="Z472:AI472" si="1309">SUM(D467)</f>
        <v>48</v>
      </c>
      <c r="AA472" s="32">
        <f t="shared" si="1309"/>
        <v>46</v>
      </c>
      <c r="AB472" s="33">
        <f t="shared" si="1309"/>
        <v>9147.327</v>
      </c>
      <c r="AC472" s="32">
        <f t="shared" si="1309"/>
        <v>2503</v>
      </c>
      <c r="AD472" s="32">
        <f t="shared" si="1309"/>
        <v>0</v>
      </c>
      <c r="AE472" s="32">
        <f t="shared" si="1309"/>
        <v>2503</v>
      </c>
      <c r="AF472" s="32">
        <f t="shared" si="1309"/>
        <v>3899</v>
      </c>
      <c r="AG472" s="32">
        <f t="shared" si="1309"/>
        <v>39</v>
      </c>
      <c r="AH472" s="32">
        <f t="shared" si="1309"/>
        <v>3938</v>
      </c>
      <c r="AI472" s="32">
        <f t="shared" si="1309"/>
        <v>6441</v>
      </c>
      <c r="AJ472" s="34">
        <f t="shared" si="1310"/>
        <v>198.8549348</v>
      </c>
      <c r="AK472" s="31">
        <f t="shared" si="1311"/>
        <v>11164</v>
      </c>
      <c r="AL472" s="35">
        <f t="shared" si="1312"/>
        <v>0.5769437478</v>
      </c>
      <c r="AM472" s="36">
        <f t="shared" si="1313"/>
        <v>1.5</v>
      </c>
      <c r="AN472" s="35">
        <f t="shared" si="1314"/>
        <v>0.4694267517</v>
      </c>
      <c r="AO472" s="37">
        <f t="shared" si="1315"/>
        <v>0.7041401275</v>
      </c>
      <c r="AP472" s="36">
        <f t="shared" ref="AP472:AQ472" si="1316">SUM(T467)</f>
        <v>309</v>
      </c>
      <c r="AQ472" s="36">
        <f t="shared" si="1316"/>
        <v>6.717391304</v>
      </c>
      <c r="AR472" s="32">
        <f t="shared" si="1317"/>
        <v>140.0217391</v>
      </c>
    </row>
    <row r="473" ht="15.75" customHeight="1">
      <c r="A473" s="21"/>
      <c r="B473" s="38">
        <v>9.0</v>
      </c>
      <c r="C473" s="38" t="s">
        <v>36</v>
      </c>
      <c r="D473" s="58">
        <v>23.0</v>
      </c>
      <c r="E473" s="40">
        <f>IFERROR(__xludf.DUMMYFUNCTION("COUNT(IMPORTRANGE(""https://docs.google.com/spreadsheets/d/1WJJVq25XDtGjt-J2JPxeKs3jIvDZtkIREC0lFPXwf74/edit"",""18!d2:d31""))"),23.0)</f>
        <v>23</v>
      </c>
      <c r="F473" s="45">
        <f>IFERROR(__xludf.DUMMYFUNCTION("SUM(IMPORTRANGE(""https://docs.google.com/spreadsheets/d/1WJJVq25XDtGjt-J2JPxeKs3jIvDZtkIREC0lFPXwf74/edit"",""18!Q2:Q31""))"),4445.8820000000005)</f>
        <v>4445.882</v>
      </c>
      <c r="G473" s="40">
        <f>IFERROR(__xludf.DUMMYFUNCTION("IMPORTRANGE(""https://docs.google.com/spreadsheets/d/1WJJVq25XDtGjt-J2JPxeKs3jIvDZtkIREC0lFPXwf74/edit"",""18!e38"")"),974.0)</f>
        <v>974</v>
      </c>
      <c r="H473" s="40">
        <f>IFERROR(__xludf.DUMMYFUNCTION("IMPORTRANGE(""https://docs.google.com/spreadsheets/d/1WJJVq25XDtGjt-J2JPxeKs3jIvDZtkIREC0lFPXwf74/edit"",""18!e39"")"),0.0)</f>
        <v>0</v>
      </c>
      <c r="I473" s="40">
        <f t="shared" si="1290"/>
        <v>974</v>
      </c>
      <c r="J473" s="40">
        <f>IFERROR(__xludf.DUMMYFUNCTION("IMPORTRANGE(""https://docs.google.com/spreadsheets/d/1WJJVq25XDtGjt-J2JPxeKs3jIvDZtkIREC0lFPXwf74/edit"",""18!e42"")"),1611.0)</f>
        <v>1611</v>
      </c>
      <c r="K473" s="40">
        <f>IFERROR(__xludf.DUMMYFUNCTION("IMPORTRANGE(""https://docs.google.com/spreadsheets/d/1WJJVq25XDtGjt-J2JPxeKs3jIvDZtkIREC0lFPXwf74/edit"",""18!e43"")"),0.0)</f>
        <v>0</v>
      </c>
      <c r="L473" s="40">
        <f t="shared" ref="L473:L482" si="1320">SUM(J473:K473)</f>
        <v>1611</v>
      </c>
      <c r="M473" s="40">
        <f t="shared" si="1292"/>
        <v>2585</v>
      </c>
      <c r="N473" s="41">
        <f t="shared" si="1293"/>
        <v>193.2992174</v>
      </c>
      <c r="O473" s="38">
        <v>4796.0</v>
      </c>
      <c r="P473" s="42">
        <f t="shared" si="1294"/>
        <v>0.5389908257</v>
      </c>
      <c r="Q473" s="43">
        <v>1.5</v>
      </c>
      <c r="R473" s="42">
        <f t="shared" si="1295"/>
        <v>0.3876246228</v>
      </c>
      <c r="S473" s="44">
        <f t="shared" si="1296"/>
        <v>0.5814369342</v>
      </c>
      <c r="T473" s="43">
        <f>F473/37.414</f>
        <v>118.8293687</v>
      </c>
      <c r="U473" s="43">
        <f t="shared" si="1297"/>
        <v>5.166494291</v>
      </c>
      <c r="V473" s="40">
        <f t="shared" si="1298"/>
        <v>112.3913043</v>
      </c>
      <c r="X473" s="22">
        <v>3.0</v>
      </c>
      <c r="Y473" s="22" t="s">
        <v>34</v>
      </c>
      <c r="Z473" s="22">
        <f t="shared" ref="Z473:AI473" si="1318">SUM(D469)</f>
        <v>32</v>
      </c>
      <c r="AA473" s="23">
        <f t="shared" si="1318"/>
        <v>32</v>
      </c>
      <c r="AB473" s="24">
        <f t="shared" si="1318"/>
        <v>6391.545</v>
      </c>
      <c r="AC473" s="23">
        <f t="shared" si="1318"/>
        <v>1668</v>
      </c>
      <c r="AD473" s="23">
        <f t="shared" si="1318"/>
        <v>0</v>
      </c>
      <c r="AE473" s="23">
        <f t="shared" si="1318"/>
        <v>1668</v>
      </c>
      <c r="AF473" s="23">
        <f t="shared" si="1318"/>
        <v>2773</v>
      </c>
      <c r="AG473" s="23">
        <f t="shared" si="1318"/>
        <v>29</v>
      </c>
      <c r="AH473" s="23">
        <f t="shared" si="1318"/>
        <v>2802</v>
      </c>
      <c r="AI473" s="23">
        <f t="shared" si="1318"/>
        <v>4470</v>
      </c>
      <c r="AJ473" s="25">
        <f t="shared" si="1310"/>
        <v>199.7357813</v>
      </c>
      <c r="AK473" s="22">
        <f>SUM(O469)</f>
        <v>9354</v>
      </c>
      <c r="AL473" s="26">
        <f t="shared" si="1312"/>
        <v>0.4778704298</v>
      </c>
      <c r="AM473" s="27">
        <f>SUM(Q469)</f>
        <v>1.5</v>
      </c>
      <c r="AN473" s="26">
        <f t="shared" si="1314"/>
        <v>0.466240948</v>
      </c>
      <c r="AO473" s="28">
        <f t="shared" si="1315"/>
        <v>0.699361422</v>
      </c>
      <c r="AP473" s="27">
        <f t="shared" ref="AP473:AQ473" si="1319">SUM(T469)</f>
        <v>208.1055253</v>
      </c>
      <c r="AQ473" s="27">
        <f t="shared" si="1319"/>
        <v>6.503297667</v>
      </c>
      <c r="AR473" s="23">
        <f t="shared" si="1317"/>
        <v>139.6875</v>
      </c>
    </row>
    <row r="474" ht="15.75" customHeight="1">
      <c r="A474" s="21"/>
      <c r="B474" s="38">
        <v>10.0</v>
      </c>
      <c r="C474" s="38" t="s">
        <v>37</v>
      </c>
      <c r="D474" s="39">
        <v>24.0</v>
      </c>
      <c r="E474" s="40">
        <f>IFERROR(__xludf.DUMMYFUNCTION("COUNT(IMPORTRANGE(""https://docs.google.com/spreadsheets/d/1rJyYfywRpWJW0zvDJHLOJtqUQqffoCGaqTVxxTDgV0k/edit"",""18!d2:d31""))"),24.0)</f>
        <v>24</v>
      </c>
      <c r="F474" s="45">
        <f>IFERROR(__xludf.DUMMYFUNCTION("SUM(IMPORTRANGE(""https://docs.google.com/spreadsheets/d/1rJyYfywRpWJW0zvDJHLOJtqUQqffoCGaqTVxxTDgV0k/edit"",""18!Q2:Q31""))"),4633.482)</f>
        <v>4633.482</v>
      </c>
      <c r="G474" s="40">
        <f>IFERROR(__xludf.DUMMYFUNCTION("(IMPORTRANGE(""https://docs.google.com/spreadsheets/d/1rJyYfywRpWJW0zvDJHLOJtqUQqffoCGaqTVxxTDgV0k/edit"",""18!e38""))"),1433.0)</f>
        <v>1433</v>
      </c>
      <c r="H474" s="40">
        <f>IFERROR(__xludf.DUMMYFUNCTION("(IMPORTRANGE(""https://docs.google.com/spreadsheets/d/1rJyYfywRpWJW0zvDJHLOJtqUQqffoCGaqTVxxTDgV0k/edit"",""18!e39""))"),81.0)</f>
        <v>81</v>
      </c>
      <c r="I474" s="40">
        <f t="shared" si="1290"/>
        <v>1514</v>
      </c>
      <c r="J474" s="40">
        <f>IFERROR(__xludf.DUMMYFUNCTION("(IMPORTRANGE(""https://docs.google.com/spreadsheets/d/1rJyYfywRpWJW0zvDJHLOJtqUQqffoCGaqTVxxTDgV0k/edit"",""18!e42""))"),2156.0)</f>
        <v>2156</v>
      </c>
      <c r="K474" s="40">
        <f>IFERROR(__xludf.DUMMYFUNCTION("(IMPORTRANGE(""https://docs.google.com/spreadsheets/d/1rJyYfywRpWJW0zvDJHLOJtqUQqffoCGaqTVxxTDgV0k/edit"",""18!e43""))"),43.0)</f>
        <v>43</v>
      </c>
      <c r="L474" s="40">
        <f t="shared" si="1320"/>
        <v>2199</v>
      </c>
      <c r="M474" s="40">
        <f t="shared" si="1292"/>
        <v>3713</v>
      </c>
      <c r="N474" s="41">
        <f t="shared" si="1293"/>
        <v>193.06175</v>
      </c>
      <c r="O474" s="38">
        <v>5887.0</v>
      </c>
      <c r="P474" s="42">
        <f t="shared" si="1294"/>
        <v>0.6307117377</v>
      </c>
      <c r="Q474" s="43">
        <v>1.5</v>
      </c>
      <c r="R474" s="42">
        <f t="shared" si="1295"/>
        <v>0.5342274629</v>
      </c>
      <c r="S474" s="44">
        <f t="shared" si="1296"/>
        <v>0.8013411944</v>
      </c>
      <c r="T474" s="43">
        <f>F474/24.792</f>
        <v>186.8942401</v>
      </c>
      <c r="U474" s="43">
        <f t="shared" si="1297"/>
        <v>7.787260003</v>
      </c>
      <c r="V474" s="40">
        <f t="shared" si="1298"/>
        <v>154.7083333</v>
      </c>
      <c r="X474" s="31">
        <v>4.0</v>
      </c>
      <c r="Y474" s="31" t="s">
        <v>38</v>
      </c>
      <c r="Z474" s="31">
        <f t="shared" ref="Z474:AI474" si="1321">SUM(D477)</f>
        <v>24</v>
      </c>
      <c r="AA474" s="32">
        <f t="shared" si="1321"/>
        <v>24</v>
      </c>
      <c r="AB474" s="33">
        <f t="shared" si="1321"/>
        <v>4327.556</v>
      </c>
      <c r="AC474" s="32">
        <f t="shared" si="1321"/>
        <v>1281</v>
      </c>
      <c r="AD474" s="32">
        <f t="shared" si="1321"/>
        <v>73</v>
      </c>
      <c r="AE474" s="32">
        <f t="shared" si="1321"/>
        <v>1354</v>
      </c>
      <c r="AF474" s="32">
        <f t="shared" si="1321"/>
        <v>1719</v>
      </c>
      <c r="AG474" s="32">
        <f t="shared" si="1321"/>
        <v>0</v>
      </c>
      <c r="AH474" s="32">
        <f t="shared" si="1321"/>
        <v>1719</v>
      </c>
      <c r="AI474" s="32">
        <f t="shared" si="1321"/>
        <v>3073</v>
      </c>
      <c r="AJ474" s="34">
        <f t="shared" si="1310"/>
        <v>180.3148333</v>
      </c>
      <c r="AK474" s="31">
        <v>7324.0</v>
      </c>
      <c r="AL474" s="35">
        <f t="shared" si="1312"/>
        <v>0.4195794648</v>
      </c>
      <c r="AM474" s="36">
        <f>SUM(Q477)</f>
        <v>1.5</v>
      </c>
      <c r="AN474" s="35">
        <f t="shared" si="1314"/>
        <v>0.4734003827</v>
      </c>
      <c r="AO474" s="37">
        <f t="shared" si="1315"/>
        <v>0.7101005741</v>
      </c>
      <c r="AP474" s="36">
        <f t="shared" ref="AP474:AQ474" si="1322">SUM(T477)</f>
        <v>105.0250212</v>
      </c>
      <c r="AQ474" s="36">
        <f t="shared" si="1322"/>
        <v>4.376042551</v>
      </c>
      <c r="AR474" s="32">
        <f t="shared" si="1317"/>
        <v>128.0416667</v>
      </c>
    </row>
    <row r="475" ht="15.75" customHeight="1">
      <c r="A475" s="21"/>
      <c r="B475" s="38">
        <v>12.0</v>
      </c>
      <c r="C475" s="38" t="s">
        <v>39</v>
      </c>
      <c r="D475" s="39">
        <v>22.0</v>
      </c>
      <c r="E475" s="40">
        <f>IFERROR(__xludf.DUMMYFUNCTION("COUNT(IMPORTRANGE(""https://docs.google.com/spreadsheets/d/1uaTn2DZCfr7O1PvovOd0wElzVz8kpl_iPfnrkNPp0Is/edit"",""18!d2:d29""))"),22.0)</f>
        <v>22</v>
      </c>
      <c r="F475" s="45">
        <f>IFERROR(__xludf.DUMMYFUNCTION("SUM(IMPORTRANGE(""https://docs.google.com/spreadsheets/d/1uaTn2DZCfr7O1PvovOd0wElzVz8kpl_iPfnrkNPp0Is/edit"",""18!Q2:Q29""))"),4040.500999999999)</f>
        <v>4040.501</v>
      </c>
      <c r="G475" s="40">
        <f>IFERROR(__xludf.DUMMYFUNCTION("IMPORTRANGE(""https://docs.google.com/spreadsheets/d/1uaTn2DZCfr7O1PvovOd0wElzVz8kpl_iPfnrkNPp0Is/edit"",""18!e36"")"),889.0)</f>
        <v>889</v>
      </c>
      <c r="H475" s="40">
        <f>IFERROR(__xludf.DUMMYFUNCTION("(IMPORTRANGE(""https://docs.google.com/spreadsheets/d/1uaTn2DZCfr7O1PvovOd0wElzVz8kpl_iPfnrkNPp0Is/edit"",""18!e37""))"),0.0)</f>
        <v>0</v>
      </c>
      <c r="I475" s="40">
        <f t="shared" si="1290"/>
        <v>889</v>
      </c>
      <c r="J475" s="40">
        <f>IFERROR(__xludf.DUMMYFUNCTION("IMPORTRANGE(""https://docs.google.com/spreadsheets/d/1uaTn2DZCfr7O1PvovOd0wElzVz8kpl_iPfnrkNPp0Is/edit"",""18!e40"")"),1795.0)</f>
        <v>1795</v>
      </c>
      <c r="K475" s="40">
        <f>IFERROR(__xludf.DUMMYFUNCTION("IMPORTRANGE(""https://docs.google.com/spreadsheets/d/1uaTn2DZCfr7O1PvovOd0wElzVz8kpl_iPfnrkNPp0Is/edit"",""18!e41"")"),0.0)</f>
        <v>0</v>
      </c>
      <c r="L475" s="40">
        <f t="shared" si="1320"/>
        <v>1795</v>
      </c>
      <c r="M475" s="40">
        <f t="shared" si="1292"/>
        <v>2684</v>
      </c>
      <c r="N475" s="41">
        <f t="shared" si="1293"/>
        <v>183.6591364</v>
      </c>
      <c r="O475" s="38">
        <v>3569.0</v>
      </c>
      <c r="P475" s="42">
        <f t="shared" si="1294"/>
        <v>0.7520313813</v>
      </c>
      <c r="Q475" s="43">
        <v>1.5</v>
      </c>
      <c r="R475" s="42">
        <f t="shared" si="1295"/>
        <v>0.4428493727</v>
      </c>
      <c r="S475" s="44">
        <f t="shared" si="1296"/>
        <v>0.6642740591</v>
      </c>
      <c r="T475" s="43">
        <f>F475/21.463</f>
        <v>188.2542515</v>
      </c>
      <c r="U475" s="43">
        <f t="shared" si="1297"/>
        <v>8.557011432</v>
      </c>
      <c r="V475" s="40">
        <f t="shared" si="1298"/>
        <v>122</v>
      </c>
      <c r="X475" s="31">
        <v>5.0</v>
      </c>
      <c r="Y475" s="31" t="s">
        <v>40</v>
      </c>
      <c r="Z475" s="31">
        <f t="shared" ref="Z475:AI475" si="1323">SUM(D479)</f>
        <v>24</v>
      </c>
      <c r="AA475" s="32">
        <f t="shared" si="1323"/>
        <v>24</v>
      </c>
      <c r="AB475" s="33">
        <f t="shared" si="1323"/>
        <v>4678.207</v>
      </c>
      <c r="AC475" s="32">
        <f t="shared" si="1323"/>
        <v>2568</v>
      </c>
      <c r="AD475" s="32">
        <f t="shared" si="1323"/>
        <v>13</v>
      </c>
      <c r="AE475" s="32">
        <f t="shared" si="1323"/>
        <v>2581</v>
      </c>
      <c r="AF475" s="32">
        <f t="shared" si="1323"/>
        <v>3281</v>
      </c>
      <c r="AG475" s="32">
        <f t="shared" si="1323"/>
        <v>0</v>
      </c>
      <c r="AH475" s="32">
        <f t="shared" si="1323"/>
        <v>3281</v>
      </c>
      <c r="AI475" s="32">
        <f t="shared" si="1323"/>
        <v>5862</v>
      </c>
      <c r="AJ475" s="34">
        <f t="shared" si="1310"/>
        <v>194.9252917</v>
      </c>
      <c r="AK475" s="31">
        <f t="shared" ref="AK475:AK476" si="1326">SUM(O479)</f>
        <v>8239</v>
      </c>
      <c r="AL475" s="35">
        <f t="shared" si="1312"/>
        <v>0.7114941134</v>
      </c>
      <c r="AM475" s="36">
        <f t="shared" ref="AM475:AM476" si="1327">SUM(Q479)</f>
        <v>1.5</v>
      </c>
      <c r="AN475" s="35">
        <f t="shared" si="1314"/>
        <v>0.8353627789</v>
      </c>
      <c r="AO475" s="37">
        <f t="shared" si="1315"/>
        <v>1.253044168</v>
      </c>
      <c r="AP475" s="36">
        <f t="shared" ref="AP475:AQ475" si="1324">SUM(T479)</f>
        <v>164.4765672</v>
      </c>
      <c r="AQ475" s="36">
        <f t="shared" si="1324"/>
        <v>6.853190299</v>
      </c>
      <c r="AR475" s="32">
        <f t="shared" si="1317"/>
        <v>244.25</v>
      </c>
    </row>
    <row r="476" ht="15.75" customHeight="1">
      <c r="A476" s="21"/>
      <c r="B476" s="38">
        <v>12.0</v>
      </c>
      <c r="C476" s="38" t="s">
        <v>41</v>
      </c>
      <c r="D476" s="39">
        <v>20.0</v>
      </c>
      <c r="E476" s="40">
        <f>IFERROR(__xludf.DUMMYFUNCTION("COUNT(IMPORTRANGE(""https://docs.google.com/spreadsheets/d/1oYscvfOJW7GMkxt8QcupWuzb3ohaYePd3Mt2V2ufHok/edit"",""18!d2:d25""))"),20.0)</f>
        <v>20</v>
      </c>
      <c r="F476" s="45">
        <f>IFERROR(__xludf.DUMMYFUNCTION("SUM(IMPORTRANGE(""https://docs.google.com/spreadsheets/d/1oYscvfOJW7GMkxt8QcupWuzb3ohaYePd3Mt2V2ufHok/edit"",""18!Q2:Q25""))"),3739.712000000001)</f>
        <v>3739.712</v>
      </c>
      <c r="G476" s="40">
        <f>IFERROR(__xludf.DUMMYFUNCTION("IMPORTRANGE(""https://docs.google.com/spreadsheets/d/1oYscvfOJW7GMkxt8QcupWuzb3ohaYePd3Mt2V2ufHok/edit"",""18!e32"")"),853.0)</f>
        <v>853</v>
      </c>
      <c r="H476" s="40">
        <f>IFERROR(__xludf.DUMMYFUNCTION("IMPORTRANGE(""https://docs.google.com/spreadsheets/d/1oYscvfOJW7GMkxt8QcupWuzb3ohaYePd3Mt2V2ufHok/edit"",""18!e33"")"),0.0)</f>
        <v>0</v>
      </c>
      <c r="I476" s="40">
        <f t="shared" si="1290"/>
        <v>853</v>
      </c>
      <c r="J476" s="40">
        <f>IFERROR(__xludf.DUMMYFUNCTION("IMPORTRANGE(""https://docs.google.com/spreadsheets/d/1oYscvfOJW7GMkxt8QcupWuzb3ohaYePd3Mt2V2ufHok/edit"",""18!e36"")"),1345.0)</f>
        <v>1345</v>
      </c>
      <c r="K476" s="40">
        <f>IFERROR(__xludf.DUMMYFUNCTION("IMPORTRANGE(""https://docs.google.com/spreadsheets/d/1oYscvfOJW7GMkxt8QcupWuzb3ohaYePd3Mt2V2ufHok/edit"",""18!e37"")"),0.0)</f>
        <v>0</v>
      </c>
      <c r="L476" s="40">
        <f t="shared" si="1320"/>
        <v>1345</v>
      </c>
      <c r="M476" s="40">
        <f t="shared" si="1292"/>
        <v>2198</v>
      </c>
      <c r="N476" s="41">
        <f t="shared" si="1293"/>
        <v>186.9856</v>
      </c>
      <c r="O476" s="38">
        <v>3801.0</v>
      </c>
      <c r="P476" s="42">
        <f t="shared" si="1294"/>
        <v>0.5782688766</v>
      </c>
      <c r="Q476" s="43">
        <v>1.5</v>
      </c>
      <c r="R476" s="42">
        <f t="shared" si="1295"/>
        <v>0.3918305296</v>
      </c>
      <c r="S476" s="44">
        <f t="shared" si="1296"/>
        <v>0.5877457943</v>
      </c>
      <c r="T476" s="43">
        <f>F476/29.628</f>
        <v>126.2222222</v>
      </c>
      <c r="U476" s="43">
        <f t="shared" si="1297"/>
        <v>6.311111111</v>
      </c>
      <c r="V476" s="40">
        <f t="shared" si="1298"/>
        <v>109.9</v>
      </c>
      <c r="X476" s="22">
        <v>6.0</v>
      </c>
      <c r="Y476" s="22" t="s">
        <v>42</v>
      </c>
      <c r="Z476" s="22">
        <f t="shared" ref="Z476:AI476" si="1325">SUM(D480)</f>
        <v>26</v>
      </c>
      <c r="AA476" s="23">
        <f t="shared" si="1325"/>
        <v>25</v>
      </c>
      <c r="AB476" s="24">
        <f t="shared" si="1325"/>
        <v>4952.526</v>
      </c>
      <c r="AC476" s="23">
        <f t="shared" si="1325"/>
        <v>2451</v>
      </c>
      <c r="AD476" s="23">
        <f t="shared" si="1325"/>
        <v>0</v>
      </c>
      <c r="AE476" s="23">
        <f t="shared" si="1325"/>
        <v>2451</v>
      </c>
      <c r="AF476" s="23">
        <f t="shared" si="1325"/>
        <v>3228</v>
      </c>
      <c r="AG476" s="23">
        <f t="shared" si="1325"/>
        <v>0</v>
      </c>
      <c r="AH476" s="23">
        <f t="shared" si="1325"/>
        <v>3228</v>
      </c>
      <c r="AI476" s="23">
        <f t="shared" si="1325"/>
        <v>5679</v>
      </c>
      <c r="AJ476" s="25">
        <f t="shared" si="1310"/>
        <v>198.10104</v>
      </c>
      <c r="AK476" s="22">
        <f t="shared" si="1326"/>
        <v>9877</v>
      </c>
      <c r="AL476" s="26">
        <f t="shared" si="1312"/>
        <v>0.5749721575</v>
      </c>
      <c r="AM476" s="27">
        <f t="shared" si="1327"/>
        <v>1.5</v>
      </c>
      <c r="AN476" s="26">
        <f t="shared" si="1314"/>
        <v>0.7644583794</v>
      </c>
      <c r="AO476" s="28">
        <f t="shared" si="1315"/>
        <v>1.146687569</v>
      </c>
      <c r="AP476" s="27">
        <f t="shared" ref="AP476:AQ476" si="1328">SUM(T480)</f>
        <v>189.3529344</v>
      </c>
      <c r="AQ476" s="27">
        <f t="shared" si="1328"/>
        <v>7.574117377</v>
      </c>
      <c r="AR476" s="23">
        <f t="shared" si="1317"/>
        <v>227.16</v>
      </c>
    </row>
    <row r="477" ht="15.75" customHeight="1">
      <c r="A477" s="21"/>
      <c r="B477" s="38">
        <v>13.0</v>
      </c>
      <c r="C477" s="38" t="s">
        <v>43</v>
      </c>
      <c r="D477" s="39">
        <v>24.0</v>
      </c>
      <c r="E477" s="40">
        <f>IFERROR(__xludf.DUMMYFUNCTION("COUNT(IMPORTRANGE(""https://docs.google.com/spreadsheets/d/1AxBmuQEdOYAeRnZ4C8vO6kuTNp7X_SGhpLXuY0n4ln4/edit"",""18!d2:d31""))"),24.0)</f>
        <v>24</v>
      </c>
      <c r="F477" s="45">
        <f>IFERROR(__xludf.DUMMYFUNCTION("SUM(IMPORTRANGE(""https://docs.google.com/spreadsheets/d/1AxBmuQEdOYAeRnZ4C8vO6kuTNp7X_SGhpLXuY0n4ln4/edit"",""18!Q2:Q31""))"),4327.5560000000005)</f>
        <v>4327.556</v>
      </c>
      <c r="G477" s="40">
        <f>IFERROR(__xludf.DUMMYFUNCTION("IMPORTRANGE(""https://docs.google.com/spreadsheets/d/1AxBmuQEdOYAeRnZ4C8vO6kuTNp7X_SGhpLXuY0n4ln4/edit"",""18!e38"")"),1281.0)</f>
        <v>1281</v>
      </c>
      <c r="H477" s="40">
        <f>IFERROR(__xludf.DUMMYFUNCTION("IMPORTRANGE(""https://docs.google.com/spreadsheets/d/1AxBmuQEdOYAeRnZ4C8vO6kuTNp7X_SGhpLXuY0n4ln4/edit"",""18!e39"")"),73.0)</f>
        <v>73</v>
      </c>
      <c r="I477" s="40">
        <f t="shared" si="1290"/>
        <v>1354</v>
      </c>
      <c r="J477" s="40">
        <f>IFERROR(__xludf.DUMMYFUNCTION("IMPORTRANGE(""https://docs.google.com/spreadsheets/d/1AxBmuQEdOYAeRnZ4C8vO6kuTNp7X_SGhpLXuY0n4ln4/edit"",""18!e42"")"),1719.0)</f>
        <v>1719</v>
      </c>
      <c r="K477" s="40">
        <f>IFERROR(__xludf.DUMMYFUNCTION("IMPORTRANGE(""https://docs.google.com/spreadsheets/d/1AxBmuQEdOYAeRnZ4C8vO6kuTNp7X_SGhpLXuY0n4ln4/edit"",""18!e43"")"),0.0)</f>
        <v>0</v>
      </c>
      <c r="L477" s="40">
        <f t="shared" si="1320"/>
        <v>1719</v>
      </c>
      <c r="M477" s="40">
        <f t="shared" si="1292"/>
        <v>3073</v>
      </c>
      <c r="N477" s="41">
        <f t="shared" si="1293"/>
        <v>180.3148333</v>
      </c>
      <c r="O477" s="38">
        <v>8345.0</v>
      </c>
      <c r="P477" s="42">
        <f t="shared" si="1294"/>
        <v>0.3682444578</v>
      </c>
      <c r="Q477" s="43">
        <v>1.5</v>
      </c>
      <c r="R477" s="42">
        <f t="shared" si="1295"/>
        <v>0.4734003827</v>
      </c>
      <c r="S477" s="44">
        <f t="shared" si="1296"/>
        <v>0.7101005741</v>
      </c>
      <c r="T477" s="43">
        <f>F477/41.205</f>
        <v>105.0250212</v>
      </c>
      <c r="U477" s="43">
        <f t="shared" si="1297"/>
        <v>4.376042551</v>
      </c>
      <c r="V477" s="40">
        <f t="shared" si="1298"/>
        <v>128.0416667</v>
      </c>
      <c r="X477" s="46" t="s">
        <v>33</v>
      </c>
      <c r="Y477" s="46">
        <v>6.0</v>
      </c>
      <c r="Z477" s="46">
        <f t="shared" ref="Z477:AI477" si="1329">SUM(Z471:Z476)</f>
        <v>180</v>
      </c>
      <c r="AA477" s="47">
        <f t="shared" si="1329"/>
        <v>177</v>
      </c>
      <c r="AB477" s="49">
        <f t="shared" si="1329"/>
        <v>34248.24</v>
      </c>
      <c r="AC477" s="47">
        <f t="shared" si="1329"/>
        <v>12172</v>
      </c>
      <c r="AD477" s="47">
        <f t="shared" si="1329"/>
        <v>141</v>
      </c>
      <c r="AE477" s="47">
        <f t="shared" si="1329"/>
        <v>12313</v>
      </c>
      <c r="AF477" s="47">
        <f t="shared" si="1329"/>
        <v>16931</v>
      </c>
      <c r="AG477" s="47">
        <f t="shared" si="1329"/>
        <v>239</v>
      </c>
      <c r="AH477" s="47">
        <f t="shared" si="1329"/>
        <v>17170</v>
      </c>
      <c r="AI477" s="47">
        <f t="shared" si="1329"/>
        <v>29483</v>
      </c>
      <c r="AJ477" s="49">
        <f t="shared" si="1310"/>
        <v>193.4928814</v>
      </c>
      <c r="AK477" s="46">
        <f>SUM(AK471:AK476)</f>
        <v>53273</v>
      </c>
      <c r="AL477" s="50">
        <f t="shared" si="1312"/>
        <v>0.5534323203</v>
      </c>
      <c r="AM477" s="51">
        <v>1.5</v>
      </c>
      <c r="AN477" s="50">
        <f t="shared" si="1314"/>
        <v>0.5739078368</v>
      </c>
      <c r="AO477" s="52">
        <f t="shared" si="1315"/>
        <v>0.8608617552</v>
      </c>
      <c r="AP477" s="51">
        <f>SUM(AP471:AP476)</f>
        <v>1129.731579</v>
      </c>
      <c r="AQ477" s="51">
        <f>AP477/AA477</f>
        <v>6.38266429</v>
      </c>
      <c r="AR477" s="47">
        <f t="shared" si="1317"/>
        <v>166.5706215</v>
      </c>
    </row>
    <row r="478" ht="15.75" customHeight="1">
      <c r="A478" s="21"/>
      <c r="B478" s="38">
        <v>14.0</v>
      </c>
      <c r="C478" s="38" t="s">
        <v>27</v>
      </c>
      <c r="D478" s="39">
        <v>24.0</v>
      </c>
      <c r="E478" s="40">
        <f>IFERROR(__xludf.DUMMYFUNCTION("COUNT(IMPORTRANGE(""https://docs.google.com/spreadsheets/d/1LsL4JuXvBtfJ-TVi4NFml9lV_pmd61b789A_nbO-QrA/edit"",""18!d2:d31""))"),24.0)</f>
        <v>24</v>
      </c>
      <c r="F478" s="45">
        <f>IFERROR(__xludf.DUMMYFUNCTION("SUM(IMPORTRANGE(""https://docs.google.com/spreadsheets/d/1LsL4JuXvBtfJ-TVi4NFml9lV_pmd61b789A_nbO-QrA/edit"",""18!Q2:Q31""))"),4332.638)</f>
        <v>4332.638</v>
      </c>
      <c r="G478" s="40">
        <f>IFERROR(__xludf.DUMMYFUNCTION("IMPORTRANGE(""https://docs.google.com/spreadsheets/d/1LsL4JuXvBtfJ-TVi4NFml9lV_pmd61b789A_nbO-QrA/edit"",""18!e38"")"),1637.0)</f>
        <v>1637</v>
      </c>
      <c r="H478" s="40">
        <f>IFERROR(__xludf.DUMMYFUNCTION("IMPORTRANGE(""https://docs.google.com/spreadsheets/d/1LsL4JuXvBtfJ-TVi4NFml9lV_pmd61b789A_nbO-QrA/edit"",""18!e39"")"),0.0)</f>
        <v>0</v>
      </c>
      <c r="I478" s="40">
        <f t="shared" si="1290"/>
        <v>1637</v>
      </c>
      <c r="J478" s="40">
        <f>IFERROR(__xludf.DUMMYFUNCTION("IMPORTRANGE(""https://docs.google.com/spreadsheets/d/1LsL4JuXvBtfJ-TVi4NFml9lV_pmd61b789A_nbO-QrA/edit"",""18!e42"")"),2192.0)</f>
        <v>2192</v>
      </c>
      <c r="K478" s="40">
        <f>IFERROR(__xludf.DUMMYFUNCTION("IMPORTRANGE(""https://docs.google.com/spreadsheets/d/1LsL4JuXvBtfJ-TVi4NFml9lV_pmd61b789A_nbO-QrA/edit"",""18!e43"")"),0.0)</f>
        <v>0</v>
      </c>
      <c r="L478" s="40">
        <f t="shared" si="1320"/>
        <v>2192</v>
      </c>
      <c r="M478" s="40">
        <f t="shared" si="1292"/>
        <v>3829</v>
      </c>
      <c r="N478" s="41">
        <f t="shared" si="1293"/>
        <v>180.5265833</v>
      </c>
      <c r="O478" s="38">
        <v>8101.0</v>
      </c>
      <c r="P478" s="42">
        <f t="shared" si="1294"/>
        <v>0.4726576966</v>
      </c>
      <c r="Q478" s="43">
        <v>1.5</v>
      </c>
      <c r="R478" s="42">
        <f t="shared" si="1295"/>
        <v>0.5891714624</v>
      </c>
      <c r="S478" s="44">
        <f t="shared" si="1296"/>
        <v>0.8837571937</v>
      </c>
      <c r="T478" s="43">
        <f>F478/19.985</f>
        <v>216.7944959</v>
      </c>
      <c r="U478" s="43">
        <f t="shared" si="1297"/>
        <v>9.033103995</v>
      </c>
      <c r="V478" s="40">
        <f t="shared" si="1298"/>
        <v>159.5416667</v>
      </c>
      <c r="X478" s="59" t="s">
        <v>44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6"/>
    </row>
    <row r="479" ht="15.75" customHeight="1">
      <c r="A479" s="21"/>
      <c r="B479" s="38">
        <v>15.0</v>
      </c>
      <c r="C479" s="38" t="s">
        <v>40</v>
      </c>
      <c r="D479" s="39">
        <v>24.0</v>
      </c>
      <c r="E479" s="40">
        <f>IFERROR(__xludf.DUMMYFUNCTION("COUNT(IMPORTRANGE(""https://docs.google.com/spreadsheets/d/1Krav0MVlY0vbUNsFRDnb_kR72_tyuGnWBYbGjNZrl18/edit"",""18!d2:d31""))"),24.0)</f>
        <v>24</v>
      </c>
      <c r="F479" s="45">
        <f>IFERROR(__xludf.DUMMYFUNCTION("SUM(IMPORTRANGE(""https://docs.google.com/spreadsheets/d/1Krav0MVlY0vbUNsFRDnb_kR72_tyuGnWBYbGjNZrl18/edit"",""18!Q2:Q31""))"),4678.207)</f>
        <v>4678.207</v>
      </c>
      <c r="G479" s="40">
        <f>IFERROR(__xludf.DUMMYFUNCTION("IMPORTRANGE(""https://docs.google.com/spreadsheets/d/1Krav0MVlY0vbUNsFRDnb_kR72_tyuGnWBYbGjNZrl18/edit"",""18!e38"")"),2568.0)</f>
        <v>2568</v>
      </c>
      <c r="H479" s="40">
        <f>IFERROR(__xludf.DUMMYFUNCTION("IMPORTRANGE(""https://docs.google.com/spreadsheets/d/1Krav0MVlY0vbUNsFRDnb_kR72_tyuGnWBYbGjNZrl18/edit"",""18!e39"")"),13.0)</f>
        <v>13</v>
      </c>
      <c r="I479" s="40">
        <f t="shared" si="1290"/>
        <v>2581</v>
      </c>
      <c r="J479" s="40">
        <f>IFERROR(__xludf.DUMMYFUNCTION("IMPORTRANGE(""https://docs.google.com/spreadsheets/d/1Krav0MVlY0vbUNsFRDnb_kR72_tyuGnWBYbGjNZrl18/edit"",""18!e42"")"),3281.0)</f>
        <v>3281</v>
      </c>
      <c r="K479" s="40">
        <f>IFERROR(__xludf.DUMMYFUNCTION("IMPORTRANGE(""https://docs.google.com/spreadsheets/d/1Krav0MVlY0vbUNsFRDnb_kR72_tyuGnWBYbGjNZrl18/edit"",""18!e43"")"),0.0)</f>
        <v>0</v>
      </c>
      <c r="L479" s="40">
        <f t="shared" si="1320"/>
        <v>3281</v>
      </c>
      <c r="M479" s="40">
        <f t="shared" si="1292"/>
        <v>5862</v>
      </c>
      <c r="N479" s="41">
        <f t="shared" si="1293"/>
        <v>194.9252917</v>
      </c>
      <c r="O479" s="38">
        <v>8239.0</v>
      </c>
      <c r="P479" s="42">
        <f t="shared" si="1294"/>
        <v>0.7114941134</v>
      </c>
      <c r="Q479" s="43">
        <v>1.5</v>
      </c>
      <c r="R479" s="42">
        <f t="shared" si="1295"/>
        <v>0.8353627789</v>
      </c>
      <c r="S479" s="44">
        <f t="shared" si="1296"/>
        <v>1.253044168</v>
      </c>
      <c r="T479" s="43">
        <f>F479/28.443</f>
        <v>164.4765672</v>
      </c>
      <c r="U479" s="43">
        <f t="shared" si="1297"/>
        <v>6.853190299</v>
      </c>
      <c r="V479" s="40">
        <f t="shared" si="1298"/>
        <v>244.25</v>
      </c>
      <c r="X479" s="14" t="s">
        <v>2</v>
      </c>
      <c r="Y479" s="14" t="s">
        <v>3</v>
      </c>
      <c r="Z479" s="14" t="s">
        <v>4</v>
      </c>
      <c r="AA479" s="14" t="s">
        <v>5</v>
      </c>
      <c r="AB479" s="15" t="s">
        <v>6</v>
      </c>
      <c r="AC479" s="14" t="s">
        <v>7</v>
      </c>
      <c r="AD479" s="14" t="s">
        <v>8</v>
      </c>
      <c r="AE479" s="14" t="s">
        <v>9</v>
      </c>
      <c r="AF479" s="14" t="s">
        <v>10</v>
      </c>
      <c r="AG479" s="14" t="s">
        <v>11</v>
      </c>
      <c r="AH479" s="14" t="s">
        <v>12</v>
      </c>
      <c r="AI479" s="14" t="s">
        <v>13</v>
      </c>
      <c r="AJ479" s="15" t="s">
        <v>14</v>
      </c>
      <c r="AK479" s="14" t="s">
        <v>15</v>
      </c>
      <c r="AL479" s="14" t="s">
        <v>16</v>
      </c>
      <c r="AM479" s="16" t="s">
        <v>17</v>
      </c>
      <c r="AN479" s="17" t="s">
        <v>18</v>
      </c>
      <c r="AO479" s="18" t="s">
        <v>19</v>
      </c>
      <c r="AP479" s="19" t="s">
        <v>20</v>
      </c>
      <c r="AQ479" s="19" t="s">
        <v>21</v>
      </c>
      <c r="AR479" s="20" t="s">
        <v>22</v>
      </c>
    </row>
    <row r="480" ht="15.75" customHeight="1">
      <c r="A480" s="21"/>
      <c r="B480" s="38">
        <v>16.0</v>
      </c>
      <c r="C480" s="38" t="s">
        <v>42</v>
      </c>
      <c r="D480" s="39">
        <v>26.0</v>
      </c>
      <c r="E480" s="40">
        <f>IFERROR(__xludf.DUMMYFUNCTION("COUNT(IMPORTRANGE(""https://docs.google.com/spreadsheets/d/1uXtm-E8PG0CetlFmSpTX3RK0LNEMnpR-mxbET9AGD6w/edit"",""18!d2:d34""))"),25.0)</f>
        <v>25</v>
      </c>
      <c r="F480" s="45">
        <f>IFERROR(__xludf.DUMMYFUNCTION("SUM(IMPORTRANGE(""https://docs.google.com/spreadsheets/d/1uXtm-E8PG0CetlFmSpTX3RK0LNEMnpR-mxbET9AGD6w/edit"",""18!Q2:Q34""))"),4952.526)</f>
        <v>4952.526</v>
      </c>
      <c r="G480" s="40">
        <f>IFERROR(__xludf.DUMMYFUNCTION("IMPORTRANGE(""https://docs.google.com/spreadsheets/d/1uXtm-E8PG0CetlFmSpTX3RK0LNEMnpR-mxbET9AGD6w/edit"",""18!e41"")"),2451.0)</f>
        <v>2451</v>
      </c>
      <c r="H480" s="40">
        <f>IFERROR(__xludf.DUMMYFUNCTION("IMPORTRANGE(""https://docs.google.com/spreadsheets/d/1uXtm-E8PG0CetlFmSpTX3RK0LNEMnpR-mxbET9AGD6w/edit"",""18!e42"")"),0.0)</f>
        <v>0</v>
      </c>
      <c r="I480" s="40">
        <f t="shared" si="1290"/>
        <v>2451</v>
      </c>
      <c r="J480" s="40">
        <f>IFERROR(__xludf.DUMMYFUNCTION("IMPORTRANGE(""https://docs.google.com/spreadsheets/d/1uXtm-E8PG0CetlFmSpTX3RK0LNEMnpR-mxbET9AGD6w/edit"",""18!e45"")"),3228.0)</f>
        <v>3228</v>
      </c>
      <c r="K480" s="40">
        <f>IFERROR(__xludf.DUMMYFUNCTION("IMPORTRANGE(""https://docs.google.com/spreadsheets/d/1uXtm-E8PG0CetlFmSpTX3RK0LNEMnpR-mxbET9AGD6w/edit"",""18!e46"")"),0.0)</f>
        <v>0</v>
      </c>
      <c r="L480" s="40">
        <f t="shared" si="1320"/>
        <v>3228</v>
      </c>
      <c r="M480" s="40">
        <f t="shared" si="1292"/>
        <v>5679</v>
      </c>
      <c r="N480" s="41">
        <f t="shared" si="1293"/>
        <v>198.10104</v>
      </c>
      <c r="O480" s="38">
        <v>9877.0</v>
      </c>
      <c r="P480" s="42">
        <f t="shared" si="1294"/>
        <v>0.5749721575</v>
      </c>
      <c r="Q480" s="43">
        <v>1.5</v>
      </c>
      <c r="R480" s="42">
        <f t="shared" si="1295"/>
        <v>0.7644583794</v>
      </c>
      <c r="S480" s="44">
        <f t="shared" si="1296"/>
        <v>1.146687569</v>
      </c>
      <c r="T480" s="43">
        <f>F480/26.155</f>
        <v>189.3529344</v>
      </c>
      <c r="U480" s="43">
        <f t="shared" si="1297"/>
        <v>7.574117377</v>
      </c>
      <c r="V480" s="40">
        <f t="shared" si="1298"/>
        <v>227.16</v>
      </c>
      <c r="X480" s="31">
        <v>1.0</v>
      </c>
      <c r="Y480" s="31" t="s">
        <v>26</v>
      </c>
      <c r="Z480" s="31">
        <f t="shared" ref="Z480:AI480" si="1330">SUM(D465)</f>
        <v>16</v>
      </c>
      <c r="AA480" s="32">
        <f t="shared" si="1330"/>
        <v>14</v>
      </c>
      <c r="AB480" s="34">
        <f t="shared" si="1330"/>
        <v>2559.045</v>
      </c>
      <c r="AC480" s="32">
        <f t="shared" si="1330"/>
        <v>1331</v>
      </c>
      <c r="AD480" s="32">
        <f t="shared" si="1330"/>
        <v>0</v>
      </c>
      <c r="AE480" s="32">
        <f t="shared" si="1330"/>
        <v>1331</v>
      </c>
      <c r="AF480" s="32">
        <f t="shared" si="1330"/>
        <v>2167</v>
      </c>
      <c r="AG480" s="32">
        <f t="shared" si="1330"/>
        <v>0</v>
      </c>
      <c r="AH480" s="32">
        <f t="shared" si="1330"/>
        <v>2167</v>
      </c>
      <c r="AI480" s="32">
        <f t="shared" si="1330"/>
        <v>3498</v>
      </c>
      <c r="AJ480" s="34">
        <f t="shared" ref="AJ480:AJ486" si="1333">AB480/AA480</f>
        <v>182.7889286</v>
      </c>
      <c r="AK480" s="31">
        <f>SUM(O465)</f>
        <v>5161</v>
      </c>
      <c r="AL480" s="35">
        <f t="shared" ref="AL480:AL486" si="1334">AI480/AK480</f>
        <v>0.6777756249</v>
      </c>
      <c r="AM480" s="36">
        <f>SUM(Q465)</f>
        <v>1.5</v>
      </c>
      <c r="AN480" s="35">
        <f t="shared" ref="AN480:AN486" si="1335">AO480/AM480</f>
        <v>0.9112774492</v>
      </c>
      <c r="AO480" s="37">
        <f t="shared" ref="AO480:AO486" si="1336">AI480/AB480</f>
        <v>1.366916174</v>
      </c>
      <c r="AP480" s="36">
        <f t="shared" ref="AP480:AQ480" si="1331">SUM(T465)</f>
        <v>177.5265349</v>
      </c>
      <c r="AQ480" s="36">
        <f t="shared" si="1331"/>
        <v>12.68046678</v>
      </c>
      <c r="AR480" s="32">
        <f t="shared" ref="AR480:AR486" si="1338">AI480/AA480</f>
        <v>249.8571429</v>
      </c>
    </row>
    <row r="481" ht="15.75" customHeight="1">
      <c r="A481" s="21"/>
      <c r="B481" s="38">
        <v>17.0</v>
      </c>
      <c r="C481" s="38" t="s">
        <v>29</v>
      </c>
      <c r="D481" s="39">
        <v>24.0</v>
      </c>
      <c r="E481" s="40">
        <f>IFERROR(__xludf.DUMMYFUNCTION("COUNT(IMPORTRANGE(""https://docs.google.com/spreadsheets/d/12xcKI0lSnAsjEsxfm9K8Qx0B_89Gzsh816mowItkQao/edit"",""18!d2:d31""))"),22.0)</f>
        <v>22</v>
      </c>
      <c r="F481" s="45">
        <f>IFERROR(__xludf.DUMMYFUNCTION("SUM(IMPORTRANGE(""https://docs.google.com/spreadsheets/d/12xcKI0lSnAsjEsxfm9K8Qx0B_89Gzsh816mowItkQao/edit"",""18!Q2:Q31""))"),4296.27)</f>
        <v>4296.27</v>
      </c>
      <c r="G481" s="40">
        <f>IFERROR(__xludf.DUMMYFUNCTION("IMPORTRANGE(""https://docs.google.com/spreadsheets/d/12xcKI0lSnAsjEsxfm9K8Qx0B_89Gzsh816mowItkQao/edit"",""18!e38"")"),1861.0)</f>
        <v>1861</v>
      </c>
      <c r="H481" s="40">
        <f>IFERROR(__xludf.DUMMYFUNCTION("IMPORTRANGE(""https://docs.google.com/spreadsheets/d/12xcKI0lSnAsjEsxfm9K8Qx0B_89Gzsh816mowItkQao/edit"",""18!e39"")"),0.0)</f>
        <v>0</v>
      </c>
      <c r="I481" s="40">
        <f t="shared" si="1290"/>
        <v>1861</v>
      </c>
      <c r="J481" s="40">
        <f>IFERROR(__xludf.DUMMYFUNCTION("IMPORTRANGE(""https://docs.google.com/spreadsheets/d/12xcKI0lSnAsjEsxfm9K8Qx0B_89Gzsh816mowItkQao/edit"",""18!e42"")"),3038.0)</f>
        <v>3038</v>
      </c>
      <c r="K481" s="40">
        <f>IFERROR(__xludf.DUMMYFUNCTION("IMPORTRANGE(""https://docs.google.com/spreadsheets/d/12xcKI0lSnAsjEsxfm9K8Qx0B_89Gzsh816mowItkQao/edit"",""18!e43"")"),0.0)</f>
        <v>0</v>
      </c>
      <c r="L481" s="40">
        <f t="shared" si="1320"/>
        <v>3038</v>
      </c>
      <c r="M481" s="40">
        <f t="shared" si="1292"/>
        <v>4899</v>
      </c>
      <c r="N481" s="41">
        <f t="shared" si="1293"/>
        <v>195.285</v>
      </c>
      <c r="O481" s="38">
        <v>9201.0</v>
      </c>
      <c r="P481" s="42">
        <f t="shared" si="1294"/>
        <v>0.5324421259</v>
      </c>
      <c r="Q481" s="43">
        <v>1.5</v>
      </c>
      <c r="R481" s="42">
        <f t="shared" si="1295"/>
        <v>0.7601943081</v>
      </c>
      <c r="S481" s="44">
        <f t="shared" si="1296"/>
        <v>1.140291462</v>
      </c>
      <c r="T481" s="43">
        <f>F481/26.038</f>
        <v>165</v>
      </c>
      <c r="U481" s="43">
        <f t="shared" si="1297"/>
        <v>7.5</v>
      </c>
      <c r="V481" s="40">
        <f t="shared" si="1298"/>
        <v>222.6818182</v>
      </c>
      <c r="X481" s="31">
        <v>2.0</v>
      </c>
      <c r="Y481" s="31" t="s">
        <v>32</v>
      </c>
      <c r="Z481" s="31">
        <f t="shared" ref="Z481:AI481" si="1332">SUM(D468)</f>
        <v>33</v>
      </c>
      <c r="AA481" s="32">
        <f t="shared" si="1332"/>
        <v>32</v>
      </c>
      <c r="AB481" s="33">
        <f t="shared" si="1332"/>
        <v>6148.954</v>
      </c>
      <c r="AC481" s="31">
        <f t="shared" si="1332"/>
        <v>3418</v>
      </c>
      <c r="AD481" s="31">
        <f t="shared" si="1332"/>
        <v>0</v>
      </c>
      <c r="AE481" s="32">
        <f t="shared" si="1332"/>
        <v>3418</v>
      </c>
      <c r="AF481" s="31">
        <f t="shared" si="1332"/>
        <v>3917</v>
      </c>
      <c r="AG481" s="31">
        <f t="shared" si="1332"/>
        <v>0</v>
      </c>
      <c r="AH481" s="32">
        <f t="shared" si="1332"/>
        <v>3917</v>
      </c>
      <c r="AI481" s="32">
        <f t="shared" si="1332"/>
        <v>7335</v>
      </c>
      <c r="AJ481" s="34">
        <f t="shared" si="1333"/>
        <v>192.1548125</v>
      </c>
      <c r="AK481" s="31">
        <f>SUM(O468)</f>
        <v>13817</v>
      </c>
      <c r="AL481" s="35">
        <f t="shared" si="1334"/>
        <v>0.5308677716</v>
      </c>
      <c r="AM481" s="36">
        <f>SUM(Q468)</f>
        <v>1.5</v>
      </c>
      <c r="AN481" s="35">
        <f t="shared" si="1335"/>
        <v>0.7952572096</v>
      </c>
      <c r="AO481" s="37">
        <f t="shared" si="1336"/>
        <v>1.192885814</v>
      </c>
      <c r="AP481" s="36">
        <f t="shared" ref="AP481:AQ481" si="1337">SUM(T468)</f>
        <v>245.0856551</v>
      </c>
      <c r="AQ481" s="36">
        <f t="shared" si="1337"/>
        <v>7.658926721</v>
      </c>
      <c r="AR481" s="32">
        <f t="shared" si="1338"/>
        <v>229.21875</v>
      </c>
    </row>
    <row r="482" ht="15.75" customHeight="1">
      <c r="A482" s="21"/>
      <c r="B482" s="38">
        <v>18.0</v>
      </c>
      <c r="C482" s="38" t="s">
        <v>31</v>
      </c>
      <c r="D482" s="39">
        <v>12.0</v>
      </c>
      <c r="E482" s="40">
        <f>IFERROR(__xludf.DUMMYFUNCTION("COUNT(IMPORTRANGE(""https://docs.google.com/spreadsheets/d/1fgCFOFzOla4Qim6_-zG-lbYhLCItqv_kZiAHoErRgcM/edit"",""18!d2:d16""))"),12.0)</f>
        <v>12</v>
      </c>
      <c r="F482" s="41">
        <f>IFERROR(__xludf.DUMMYFUNCTION("SUM(IMPORTRANGE(""https://docs.google.com/spreadsheets/d/1fgCFOFzOla4Qim6_-zG-lbYhLCItqv_kZiAHoErRgcM/edit"",""18!Q2:Q16""))"),2303.645)</f>
        <v>2303.645</v>
      </c>
      <c r="G482" s="40">
        <f>IFERROR(__xludf.DUMMYFUNCTION("IMPORTRANGE(""https://docs.google.com/spreadsheets/d/1fgCFOFzOla4Qim6_-zG-lbYhLCItqv_kZiAHoErRgcM/edit"",""18!e23"")"),686.0)</f>
        <v>686</v>
      </c>
      <c r="H482" s="40">
        <f>IFERROR(__xludf.DUMMYFUNCTION("IMPORTRANGE(""https://docs.google.com/spreadsheets/d/1fgCFOFzOla4Qim6_-zG-lbYhLCItqv_kZiAHoErRgcM/edit"",""18!e24"")"),12.0)</f>
        <v>12</v>
      </c>
      <c r="I482" s="40">
        <f t="shared" si="1290"/>
        <v>698</v>
      </c>
      <c r="J482" s="40">
        <f>IFERROR(__xludf.DUMMYFUNCTION("IMPORTRANGE(""https://docs.google.com/spreadsheets/d/1fgCFOFzOla4Qim6_-zG-lbYhLCItqv_kZiAHoErRgcM/edit"",""18!e27"")"),842.0)</f>
        <v>842</v>
      </c>
      <c r="K482" s="40">
        <f>IFERROR(__xludf.DUMMYFUNCTION("IMPORTRANGE(""https://docs.google.com/spreadsheets/d/1fgCFOFzOla4Qim6_-zG-lbYhLCItqv_kZiAHoErRgcM/edit"",""18!e28"")"),0.0)</f>
        <v>0</v>
      </c>
      <c r="L482" s="40">
        <f t="shared" si="1320"/>
        <v>842</v>
      </c>
      <c r="M482" s="40">
        <f t="shared" si="1292"/>
        <v>1540</v>
      </c>
      <c r="N482" s="41">
        <f t="shared" si="1293"/>
        <v>191.9704167</v>
      </c>
      <c r="O482" s="38">
        <v>2717.0</v>
      </c>
      <c r="P482" s="42">
        <f t="shared" si="1294"/>
        <v>0.5668016194</v>
      </c>
      <c r="Q482" s="43">
        <v>1.5</v>
      </c>
      <c r="R482" s="42">
        <f t="shared" si="1295"/>
        <v>0.4456705207</v>
      </c>
      <c r="S482" s="44">
        <f t="shared" si="1296"/>
        <v>0.6685057811</v>
      </c>
      <c r="T482" s="43">
        <f>F482/43.465</f>
        <v>53</v>
      </c>
      <c r="U482" s="43">
        <f t="shared" si="1297"/>
        <v>4.416666667</v>
      </c>
      <c r="V482" s="40">
        <f t="shared" si="1298"/>
        <v>128.3333333</v>
      </c>
      <c r="X482" s="31">
        <v>3.0</v>
      </c>
      <c r="Y482" s="31" t="s">
        <v>36</v>
      </c>
      <c r="Z482" s="31">
        <f t="shared" ref="Z482:AI482" si="1339">SUM(D473)</f>
        <v>23</v>
      </c>
      <c r="AA482" s="32">
        <f t="shared" si="1339"/>
        <v>23</v>
      </c>
      <c r="AB482" s="33">
        <f t="shared" si="1339"/>
        <v>4445.882</v>
      </c>
      <c r="AC482" s="32">
        <f t="shared" si="1339"/>
        <v>974</v>
      </c>
      <c r="AD482" s="32">
        <f t="shared" si="1339"/>
        <v>0</v>
      </c>
      <c r="AE482" s="32">
        <f t="shared" si="1339"/>
        <v>974</v>
      </c>
      <c r="AF482" s="32">
        <f t="shared" si="1339"/>
        <v>1611</v>
      </c>
      <c r="AG482" s="32">
        <f t="shared" si="1339"/>
        <v>0</v>
      </c>
      <c r="AH482" s="32">
        <f t="shared" si="1339"/>
        <v>1611</v>
      </c>
      <c r="AI482" s="32">
        <f t="shared" si="1339"/>
        <v>2585</v>
      </c>
      <c r="AJ482" s="34">
        <f t="shared" si="1333"/>
        <v>193.2992174</v>
      </c>
      <c r="AK482" s="31">
        <f t="shared" ref="AK482:AK485" si="1343">SUM(O473)</f>
        <v>4796</v>
      </c>
      <c r="AL482" s="35">
        <f t="shared" si="1334"/>
        <v>0.5389908257</v>
      </c>
      <c r="AM482" s="36">
        <f t="shared" ref="AM482:AM485" si="1344">SUM(Q473)</f>
        <v>1.5</v>
      </c>
      <c r="AN482" s="35">
        <f t="shared" si="1335"/>
        <v>0.3876246228</v>
      </c>
      <c r="AO482" s="37">
        <f t="shared" si="1336"/>
        <v>0.5814369342</v>
      </c>
      <c r="AP482" s="36">
        <f t="shared" ref="AP482:AQ482" si="1340">SUM(T473)</f>
        <v>118.8293687</v>
      </c>
      <c r="AQ482" s="36">
        <f t="shared" si="1340"/>
        <v>5.166494291</v>
      </c>
      <c r="AR482" s="32">
        <f t="shared" si="1338"/>
        <v>112.3913043</v>
      </c>
    </row>
    <row r="483" ht="15.75" customHeight="1">
      <c r="A483" s="21"/>
      <c r="B483" s="60" t="s">
        <v>33</v>
      </c>
      <c r="C483" s="60">
        <v>18.0</v>
      </c>
      <c r="D483" s="60">
        <f t="shared" ref="D483:M483" si="1341">SUM(D465:D482)</f>
        <v>470</v>
      </c>
      <c r="E483" s="61">
        <f t="shared" si="1341"/>
        <v>458</v>
      </c>
      <c r="F483" s="62">
        <f t="shared" si="1341"/>
        <v>87780.068</v>
      </c>
      <c r="G483" s="61">
        <f t="shared" si="1341"/>
        <v>29265</v>
      </c>
      <c r="H483" s="61">
        <f t="shared" si="1341"/>
        <v>495</v>
      </c>
      <c r="I483" s="61">
        <f t="shared" si="1341"/>
        <v>29760</v>
      </c>
      <c r="J483" s="61">
        <f t="shared" si="1341"/>
        <v>42261</v>
      </c>
      <c r="K483" s="61">
        <f t="shared" si="1341"/>
        <v>550</v>
      </c>
      <c r="L483" s="61">
        <f t="shared" si="1341"/>
        <v>42811</v>
      </c>
      <c r="M483" s="61">
        <f t="shared" si="1341"/>
        <v>72571</v>
      </c>
      <c r="N483" s="62">
        <f t="shared" si="1293"/>
        <v>191.6595371</v>
      </c>
      <c r="O483" s="60">
        <f>SUM(O465:O482)</f>
        <v>126399</v>
      </c>
      <c r="P483" s="63">
        <f t="shared" si="1294"/>
        <v>0.5741422005</v>
      </c>
      <c r="Q483" s="64">
        <v>1.5</v>
      </c>
      <c r="R483" s="63">
        <f t="shared" si="1295"/>
        <v>0.5511577716</v>
      </c>
      <c r="S483" s="65">
        <f t="shared" si="1296"/>
        <v>0.8267366573</v>
      </c>
      <c r="T483" s="64">
        <f>SUM(T465:T482)</f>
        <v>3226.19342</v>
      </c>
      <c r="U483" s="64">
        <f t="shared" si="1297"/>
        <v>7.044090436</v>
      </c>
      <c r="V483" s="61">
        <f t="shared" si="1298"/>
        <v>158.4519651</v>
      </c>
      <c r="X483" s="31">
        <v>4.0</v>
      </c>
      <c r="Y483" s="31" t="s">
        <v>37</v>
      </c>
      <c r="Z483" s="31">
        <f t="shared" ref="Z483:AI483" si="1342">SUM(D474)</f>
        <v>24</v>
      </c>
      <c r="AA483" s="32">
        <f t="shared" si="1342"/>
        <v>24</v>
      </c>
      <c r="AB483" s="33">
        <f t="shared" si="1342"/>
        <v>4633.482</v>
      </c>
      <c r="AC483" s="32">
        <f t="shared" si="1342"/>
        <v>1433</v>
      </c>
      <c r="AD483" s="32">
        <f t="shared" si="1342"/>
        <v>81</v>
      </c>
      <c r="AE483" s="32">
        <f t="shared" si="1342"/>
        <v>1514</v>
      </c>
      <c r="AF483" s="32">
        <f t="shared" si="1342"/>
        <v>2156</v>
      </c>
      <c r="AG483" s="32">
        <f t="shared" si="1342"/>
        <v>43</v>
      </c>
      <c r="AH483" s="32">
        <f t="shared" si="1342"/>
        <v>2199</v>
      </c>
      <c r="AI483" s="32">
        <f t="shared" si="1342"/>
        <v>3713</v>
      </c>
      <c r="AJ483" s="34">
        <f t="shared" si="1333"/>
        <v>193.06175</v>
      </c>
      <c r="AK483" s="31">
        <f t="shared" si="1343"/>
        <v>5887</v>
      </c>
      <c r="AL483" s="35">
        <f t="shared" si="1334"/>
        <v>0.6307117377</v>
      </c>
      <c r="AM483" s="36">
        <f t="shared" si="1344"/>
        <v>1.5</v>
      </c>
      <c r="AN483" s="35">
        <f t="shared" si="1335"/>
        <v>0.5342274629</v>
      </c>
      <c r="AO483" s="37">
        <f t="shared" si="1336"/>
        <v>0.8013411944</v>
      </c>
      <c r="AP483" s="36">
        <f t="shared" ref="AP483:AQ483" si="1345">SUM(T474)</f>
        <v>186.8942401</v>
      </c>
      <c r="AQ483" s="36">
        <f t="shared" si="1345"/>
        <v>7.787260003</v>
      </c>
      <c r="AR483" s="32">
        <f t="shared" si="1338"/>
        <v>154.7083333</v>
      </c>
    </row>
    <row r="484" ht="15.7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X484" s="31">
        <v>5.0</v>
      </c>
      <c r="Y484" s="31" t="s">
        <v>39</v>
      </c>
      <c r="Z484" s="31">
        <f t="shared" ref="Z484:AI484" si="1346">SUM(D475)</f>
        <v>22</v>
      </c>
      <c r="AA484" s="32">
        <f t="shared" si="1346"/>
        <v>22</v>
      </c>
      <c r="AB484" s="33">
        <f t="shared" si="1346"/>
        <v>4040.501</v>
      </c>
      <c r="AC484" s="32">
        <f t="shared" si="1346"/>
        <v>889</v>
      </c>
      <c r="AD484" s="32">
        <f t="shared" si="1346"/>
        <v>0</v>
      </c>
      <c r="AE484" s="32">
        <f t="shared" si="1346"/>
        <v>889</v>
      </c>
      <c r="AF484" s="32">
        <f t="shared" si="1346"/>
        <v>1795</v>
      </c>
      <c r="AG484" s="32">
        <f t="shared" si="1346"/>
        <v>0</v>
      </c>
      <c r="AH484" s="32">
        <f t="shared" si="1346"/>
        <v>1795</v>
      </c>
      <c r="AI484" s="32">
        <f t="shared" si="1346"/>
        <v>2684</v>
      </c>
      <c r="AJ484" s="34">
        <f t="shared" si="1333"/>
        <v>183.6591364</v>
      </c>
      <c r="AK484" s="31">
        <f t="shared" si="1343"/>
        <v>3569</v>
      </c>
      <c r="AL484" s="35">
        <f t="shared" si="1334"/>
        <v>0.7520313813</v>
      </c>
      <c r="AM484" s="36">
        <f t="shared" si="1344"/>
        <v>1.5</v>
      </c>
      <c r="AN484" s="35">
        <f t="shared" si="1335"/>
        <v>0.4428493727</v>
      </c>
      <c r="AO484" s="37">
        <f t="shared" si="1336"/>
        <v>0.6642740591</v>
      </c>
      <c r="AP484" s="36">
        <f t="shared" ref="AP484:AQ484" si="1347">SUM(T475)</f>
        <v>188.2542515</v>
      </c>
      <c r="AQ484" s="36">
        <f t="shared" si="1347"/>
        <v>8.557011432</v>
      </c>
      <c r="AR484" s="32">
        <f t="shared" si="1338"/>
        <v>122</v>
      </c>
    </row>
    <row r="485" ht="15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X485" s="31">
        <v>6.0</v>
      </c>
      <c r="Y485" s="31" t="s">
        <v>41</v>
      </c>
      <c r="Z485" s="31">
        <f t="shared" ref="Z485:AI485" si="1348">SUM(D476)</f>
        <v>20</v>
      </c>
      <c r="AA485" s="32">
        <f t="shared" si="1348"/>
        <v>20</v>
      </c>
      <c r="AB485" s="33">
        <f t="shared" si="1348"/>
        <v>3739.712</v>
      </c>
      <c r="AC485" s="32">
        <f t="shared" si="1348"/>
        <v>853</v>
      </c>
      <c r="AD485" s="32">
        <f t="shared" si="1348"/>
        <v>0</v>
      </c>
      <c r="AE485" s="32">
        <f t="shared" si="1348"/>
        <v>853</v>
      </c>
      <c r="AF485" s="32">
        <f t="shared" si="1348"/>
        <v>1345</v>
      </c>
      <c r="AG485" s="32">
        <f t="shared" si="1348"/>
        <v>0</v>
      </c>
      <c r="AH485" s="32">
        <f t="shared" si="1348"/>
        <v>1345</v>
      </c>
      <c r="AI485" s="32">
        <f t="shared" si="1348"/>
        <v>2198</v>
      </c>
      <c r="AJ485" s="34">
        <f t="shared" si="1333"/>
        <v>186.9856</v>
      </c>
      <c r="AK485" s="31">
        <f t="shared" si="1343"/>
        <v>3801</v>
      </c>
      <c r="AL485" s="35">
        <f t="shared" si="1334"/>
        <v>0.5782688766</v>
      </c>
      <c r="AM485" s="36">
        <f t="shared" si="1344"/>
        <v>1.5</v>
      </c>
      <c r="AN485" s="35">
        <f t="shared" si="1335"/>
        <v>0.3918305296</v>
      </c>
      <c r="AO485" s="37">
        <f t="shared" si="1336"/>
        <v>0.5877457943</v>
      </c>
      <c r="AP485" s="36">
        <f t="shared" ref="AP485:AQ485" si="1349">SUM(T476)</f>
        <v>126.2222222</v>
      </c>
      <c r="AQ485" s="36">
        <f t="shared" si="1349"/>
        <v>6.311111111</v>
      </c>
      <c r="AR485" s="32">
        <f t="shared" si="1338"/>
        <v>109.9</v>
      </c>
    </row>
    <row r="486" ht="15.75" customHeight="1">
      <c r="A486" s="1" t="s">
        <v>45</v>
      </c>
      <c r="D486" s="2"/>
      <c r="X486" s="46" t="s">
        <v>33</v>
      </c>
      <c r="Y486" s="46">
        <v>6.0</v>
      </c>
      <c r="Z486" s="46">
        <f t="shared" ref="Z486:AI486" si="1350">SUM(Z480:Z485)</f>
        <v>138</v>
      </c>
      <c r="AA486" s="47">
        <f t="shared" si="1350"/>
        <v>135</v>
      </c>
      <c r="AB486" s="49">
        <f t="shared" si="1350"/>
        <v>25567.576</v>
      </c>
      <c r="AC486" s="47">
        <f t="shared" si="1350"/>
        <v>8898</v>
      </c>
      <c r="AD486" s="47">
        <f t="shared" si="1350"/>
        <v>81</v>
      </c>
      <c r="AE486" s="47">
        <f t="shared" si="1350"/>
        <v>8979</v>
      </c>
      <c r="AF486" s="47">
        <f t="shared" si="1350"/>
        <v>12991</v>
      </c>
      <c r="AG486" s="47">
        <f t="shared" si="1350"/>
        <v>43</v>
      </c>
      <c r="AH486" s="47">
        <f t="shared" si="1350"/>
        <v>13034</v>
      </c>
      <c r="AI486" s="47">
        <f t="shared" si="1350"/>
        <v>22013</v>
      </c>
      <c r="AJ486" s="49">
        <f t="shared" si="1333"/>
        <v>189.3894519</v>
      </c>
      <c r="AK486" s="46">
        <f>SUM(AK480:AK485)</f>
        <v>37031</v>
      </c>
      <c r="AL486" s="50">
        <f t="shared" si="1334"/>
        <v>0.594447895</v>
      </c>
      <c r="AM486" s="51">
        <v>1.5</v>
      </c>
      <c r="AN486" s="50">
        <f t="shared" si="1335"/>
        <v>0.5739821927</v>
      </c>
      <c r="AO486" s="52">
        <f t="shared" si="1336"/>
        <v>0.860973289</v>
      </c>
      <c r="AP486" s="51">
        <f>SUM(AP480:AP485)</f>
        <v>1042.812272</v>
      </c>
      <c r="AQ486" s="51">
        <f>AP486/AA486</f>
        <v>7.724535351</v>
      </c>
      <c r="AR486" s="47">
        <f t="shared" si="1338"/>
        <v>163.0592593</v>
      </c>
    </row>
    <row r="487" ht="15.75" customHeight="1">
      <c r="A487" s="1" t="s">
        <v>45</v>
      </c>
      <c r="D487" s="2"/>
      <c r="X487" s="66" t="s">
        <v>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6"/>
    </row>
    <row r="488" ht="15.75" customHeight="1">
      <c r="A488" s="10">
        <v>46222.0</v>
      </c>
      <c r="B488" s="8" t="s">
        <v>2</v>
      </c>
      <c r="C488" s="8" t="s">
        <v>3</v>
      </c>
      <c r="D488" s="8" t="s">
        <v>4</v>
      </c>
      <c r="E488" s="8" t="s">
        <v>5</v>
      </c>
      <c r="F488" s="9" t="s">
        <v>6</v>
      </c>
      <c r="G488" s="8" t="s">
        <v>7</v>
      </c>
      <c r="H488" s="8" t="s">
        <v>8</v>
      </c>
      <c r="I488" s="8" t="s">
        <v>9</v>
      </c>
      <c r="J488" s="8" t="s">
        <v>10</v>
      </c>
      <c r="K488" s="8" t="s">
        <v>11</v>
      </c>
      <c r="L488" s="8" t="s">
        <v>12</v>
      </c>
      <c r="M488" s="8" t="s">
        <v>13</v>
      </c>
      <c r="N488" s="9" t="s">
        <v>14</v>
      </c>
      <c r="O488" s="8" t="s">
        <v>15</v>
      </c>
      <c r="P488" s="8" t="s">
        <v>16</v>
      </c>
      <c r="Q488" s="8" t="s">
        <v>17</v>
      </c>
      <c r="R488" s="8" t="s">
        <v>18</v>
      </c>
      <c r="S488" s="11" t="s">
        <v>19</v>
      </c>
      <c r="T488" s="12" t="s">
        <v>20</v>
      </c>
      <c r="U488" s="12" t="s">
        <v>21</v>
      </c>
      <c r="V488" s="13" t="s">
        <v>22</v>
      </c>
      <c r="X488" s="14" t="s">
        <v>2</v>
      </c>
      <c r="Y488" s="14" t="s">
        <v>3</v>
      </c>
      <c r="Z488" s="14" t="s">
        <v>4</v>
      </c>
      <c r="AA488" s="14" t="s">
        <v>5</v>
      </c>
      <c r="AB488" s="15" t="s">
        <v>6</v>
      </c>
      <c r="AC488" s="14" t="s">
        <v>7</v>
      </c>
      <c r="AD488" s="14" t="s">
        <v>8</v>
      </c>
      <c r="AE488" s="14" t="s">
        <v>9</v>
      </c>
      <c r="AF488" s="14" t="s">
        <v>10</v>
      </c>
      <c r="AG488" s="14" t="s">
        <v>11</v>
      </c>
      <c r="AH488" s="14" t="s">
        <v>12</v>
      </c>
      <c r="AI488" s="14" t="s">
        <v>13</v>
      </c>
      <c r="AJ488" s="15" t="s">
        <v>14</v>
      </c>
      <c r="AK488" s="14" t="s">
        <v>15</v>
      </c>
      <c r="AL488" s="14" t="s">
        <v>16</v>
      </c>
      <c r="AM488" s="16" t="s">
        <v>17</v>
      </c>
      <c r="AN488" s="17" t="s">
        <v>18</v>
      </c>
      <c r="AO488" s="18" t="s">
        <v>19</v>
      </c>
      <c r="AP488" s="19" t="s">
        <v>20</v>
      </c>
      <c r="AQ488" s="19" t="s">
        <v>21</v>
      </c>
      <c r="AR488" s="20" t="s">
        <v>22</v>
      </c>
    </row>
    <row r="489" ht="15.7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X489" s="22">
        <v>1.0</v>
      </c>
      <c r="Y489" s="22" t="s">
        <v>23</v>
      </c>
      <c r="Z489" s="22">
        <f t="shared" ref="Z489:AI489" si="1351">SUM(D497)</f>
        <v>26</v>
      </c>
      <c r="AA489" s="23">
        <f t="shared" si="1351"/>
        <v>24</v>
      </c>
      <c r="AB489" s="24">
        <f t="shared" si="1351"/>
        <v>4791.08</v>
      </c>
      <c r="AC489" s="23">
        <f t="shared" si="1351"/>
        <v>973</v>
      </c>
      <c r="AD489" s="23">
        <f t="shared" si="1351"/>
        <v>0</v>
      </c>
      <c r="AE489" s="23">
        <f t="shared" si="1351"/>
        <v>973</v>
      </c>
      <c r="AF489" s="23">
        <f t="shared" si="1351"/>
        <v>1860</v>
      </c>
      <c r="AG489" s="23">
        <f t="shared" si="1351"/>
        <v>0</v>
      </c>
      <c r="AH489" s="23">
        <f t="shared" si="1351"/>
        <v>1860</v>
      </c>
      <c r="AI489" s="23">
        <f t="shared" si="1351"/>
        <v>2833</v>
      </c>
      <c r="AJ489" s="25">
        <f t="shared" ref="AJ489:AJ491" si="1354">AB489/AA489</f>
        <v>199.6283333</v>
      </c>
      <c r="AK489" s="22">
        <f>SUM(O497)</f>
        <v>6853</v>
      </c>
      <c r="AL489" s="26">
        <f t="shared" ref="AL489:AL495" si="1355">AI489/AK489</f>
        <v>0.4133955932</v>
      </c>
      <c r="AM489" s="27">
        <f t="shared" ref="AM489:AM491" si="1356">SUM(Q497)</f>
        <v>1.5</v>
      </c>
      <c r="AN489" s="26">
        <f t="shared" ref="AN489:AN495" si="1357">AO489/AM489</f>
        <v>0.3942047861</v>
      </c>
      <c r="AO489" s="28">
        <f t="shared" ref="AO489:AO495" si="1358">AI489/AB489</f>
        <v>0.5913071792</v>
      </c>
      <c r="AP489" s="27">
        <f t="shared" ref="AP489:AQ489" si="1352">SUM(T497)</f>
        <v>142</v>
      </c>
      <c r="AQ489" s="27">
        <f t="shared" si="1352"/>
        <v>5.916666667</v>
      </c>
      <c r="AR489" s="23">
        <f t="shared" ref="AR489:AR495" si="1360">AI489/AA489</f>
        <v>118.0416667</v>
      </c>
    </row>
    <row r="490" ht="15.7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X490" s="22">
        <v>2.0</v>
      </c>
      <c r="Y490" s="22" t="s">
        <v>24</v>
      </c>
      <c r="Z490" s="22">
        <f t="shared" ref="Z490:AI490" si="1353">SUM(D498)</f>
        <v>35</v>
      </c>
      <c r="AA490" s="23">
        <f t="shared" si="1353"/>
        <v>34</v>
      </c>
      <c r="AB490" s="24">
        <f t="shared" si="1353"/>
        <v>6521.077</v>
      </c>
      <c r="AC490" s="23">
        <f t="shared" si="1353"/>
        <v>941</v>
      </c>
      <c r="AD490" s="23">
        <f t="shared" si="1353"/>
        <v>0</v>
      </c>
      <c r="AE490" s="23">
        <f t="shared" si="1353"/>
        <v>941</v>
      </c>
      <c r="AF490" s="23">
        <f t="shared" si="1353"/>
        <v>872</v>
      </c>
      <c r="AG490" s="23">
        <f t="shared" si="1353"/>
        <v>60</v>
      </c>
      <c r="AH490" s="23">
        <f t="shared" si="1353"/>
        <v>932</v>
      </c>
      <c r="AI490" s="23">
        <f t="shared" si="1353"/>
        <v>1873</v>
      </c>
      <c r="AJ490" s="25">
        <f t="shared" si="1354"/>
        <v>191.7963824</v>
      </c>
      <c r="AK490" s="22">
        <v>1580.0</v>
      </c>
      <c r="AL490" s="29">
        <f t="shared" si="1355"/>
        <v>1.185443038</v>
      </c>
      <c r="AM490" s="27">
        <f t="shared" si="1356"/>
        <v>1.5</v>
      </c>
      <c r="AN490" s="26">
        <f t="shared" si="1357"/>
        <v>0.1914816627</v>
      </c>
      <c r="AO490" s="28">
        <f t="shared" si="1358"/>
        <v>0.2872224941</v>
      </c>
      <c r="AP490" s="27">
        <f t="shared" ref="AP490:AQ490" si="1359">SUM(T498)</f>
        <v>243.2783809</v>
      </c>
      <c r="AQ490" s="27">
        <f t="shared" si="1359"/>
        <v>7.155246497</v>
      </c>
      <c r="AR490" s="23">
        <f t="shared" si="1360"/>
        <v>55.08823529</v>
      </c>
    </row>
    <row r="491" ht="15.75" customHeight="1">
      <c r="A491" s="21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X491" s="31">
        <v>3.0</v>
      </c>
      <c r="Y491" s="31" t="s">
        <v>25</v>
      </c>
      <c r="Z491" s="31">
        <f t="shared" ref="Z491:AI491" si="1361">SUM(D499)</f>
        <v>26</v>
      </c>
      <c r="AA491" s="32">
        <f t="shared" si="1361"/>
        <v>23</v>
      </c>
      <c r="AB491" s="33">
        <f t="shared" si="1361"/>
        <v>4380.4</v>
      </c>
      <c r="AC491" s="32">
        <f t="shared" si="1361"/>
        <v>1327</v>
      </c>
      <c r="AD491" s="32">
        <f t="shared" si="1361"/>
        <v>298</v>
      </c>
      <c r="AE491" s="32">
        <f t="shared" si="1361"/>
        <v>1625</v>
      </c>
      <c r="AF491" s="32">
        <f t="shared" si="1361"/>
        <v>2298</v>
      </c>
      <c r="AG491" s="32">
        <f t="shared" si="1361"/>
        <v>262</v>
      </c>
      <c r="AH491" s="32">
        <f t="shared" si="1361"/>
        <v>2560</v>
      </c>
      <c r="AI491" s="32">
        <f t="shared" si="1361"/>
        <v>4185</v>
      </c>
      <c r="AJ491" s="34">
        <f t="shared" si="1354"/>
        <v>190.4521739</v>
      </c>
      <c r="AK491" s="31">
        <f>SUM(O499)</f>
        <v>6622</v>
      </c>
      <c r="AL491" s="35">
        <f t="shared" si="1355"/>
        <v>0.6319842948</v>
      </c>
      <c r="AM491" s="36">
        <f t="shared" si="1356"/>
        <v>1.5</v>
      </c>
      <c r="AN491" s="35">
        <f t="shared" si="1357"/>
        <v>0.6369281344</v>
      </c>
      <c r="AO491" s="37">
        <f t="shared" si="1358"/>
        <v>0.9553922016</v>
      </c>
      <c r="AP491" s="36">
        <f t="shared" ref="AP491:AQ491" si="1362">SUM(T499)</f>
        <v>183.7416107</v>
      </c>
      <c r="AQ491" s="36">
        <f t="shared" si="1362"/>
        <v>7.988765684</v>
      </c>
      <c r="AR491" s="32">
        <f t="shared" si="1360"/>
        <v>181.9565217</v>
      </c>
    </row>
    <row r="492" ht="15.75" customHeight="1">
      <c r="A492" s="21"/>
      <c r="B492" s="38">
        <v>1.0</v>
      </c>
      <c r="C492" s="38" t="s">
        <v>26</v>
      </c>
      <c r="D492" s="39">
        <v>15.0</v>
      </c>
      <c r="E492" s="40">
        <f>IFERROR(__xludf.DUMMYFUNCTION("COUNT(IMPORTRANGE(""https://docs.google.com/spreadsheets/d/1z0o91thOT38lgejTE_Bd2p3v_9VCDdQRkUsMIVqpQCk/edit"",""19!d2:d21""))"),15.0)</f>
        <v>15</v>
      </c>
      <c r="F492" s="41">
        <f>IFERROR(__xludf.DUMMYFUNCTION("SUM(IMPORTRANGE(""https://docs.google.com/spreadsheets/d/1z0o91thOT38lgejTE_Bd2p3v_9VCDdQRkUsMIVqpQCk/edit"",""19!Q2:Q21""))"),2674.3650000000002)</f>
        <v>2674.365</v>
      </c>
      <c r="G492" s="40">
        <f>IFERROR(__xludf.DUMMYFUNCTION("IMPORTRANGE(""https://docs.google.com/spreadsheets/d/1z0o91thOT38lgejTE_Bd2p3v_9VCDdQRkUsMIVqpQCk/edit"",""19!e28"")"),1404.0)</f>
        <v>1404</v>
      </c>
      <c r="H492" s="40">
        <f>IFERROR(__xludf.DUMMYFUNCTION("IMPORTRANGE(""https://docs.google.com/spreadsheets/d/1z0o91thOT38lgejTE_Bd2p3v_9VCDdQRkUsMIVqpQCk/edit"",""19!e29"")"),0.0)</f>
        <v>0</v>
      </c>
      <c r="I492" s="40">
        <f t="shared" ref="I492:I509" si="1365">SUM(G492:H492)</f>
        <v>1404</v>
      </c>
      <c r="J492" s="40">
        <f>IFERROR(__xludf.DUMMYFUNCTION("IMPORTRANGE(""https://docs.google.com/spreadsheets/d/1z0o91thOT38lgejTE_Bd2p3v_9VCDdQRkUsMIVqpQCk/edit"",""19!e32"")"),2018.0)</f>
        <v>2018</v>
      </c>
      <c r="K492" s="40">
        <f>IFERROR(__xludf.DUMMYFUNCTION("IMPORTRANGE(""https://docs.google.com/spreadsheets/d/1z0o91thOT38lgejTE_Bd2p3v_9VCDdQRkUsMIVqpQCk/edit"",""19!e33"")"),0.0)</f>
        <v>0</v>
      </c>
      <c r="L492" s="40">
        <f t="shared" ref="L492:L498" si="1366">SUM(J492:K492)</f>
        <v>2018</v>
      </c>
      <c r="M492" s="40">
        <f t="shared" ref="M492:M509" si="1367">SUM(I492+L492)</f>
        <v>3422</v>
      </c>
      <c r="N492" s="41">
        <f t="shared" ref="N492:N510" si="1368">F492/E492</f>
        <v>178.291</v>
      </c>
      <c r="O492" s="38">
        <v>5161.0</v>
      </c>
      <c r="P492" s="42">
        <f t="shared" ref="P492:P510" si="1369">M492/O492</f>
        <v>0.6630497966</v>
      </c>
      <c r="Q492" s="43">
        <v>1.5</v>
      </c>
      <c r="R492" s="42">
        <f t="shared" ref="R492:R510" si="1370">S492/Q492</f>
        <v>0.8530373877</v>
      </c>
      <c r="S492" s="44">
        <f t="shared" ref="S492:S510" si="1371">M492/F492</f>
        <v>1.279556082</v>
      </c>
      <c r="T492" s="43">
        <f>F492/14.415</f>
        <v>185.5265349</v>
      </c>
      <c r="U492" s="43">
        <f t="shared" ref="U492:U510" si="1372">T492/E492</f>
        <v>12.36843566</v>
      </c>
      <c r="V492" s="40">
        <f t="shared" ref="V492:V510" si="1373">M492/E492</f>
        <v>228.1333333</v>
      </c>
      <c r="X492" s="22">
        <v>4.0</v>
      </c>
      <c r="Y492" s="22" t="s">
        <v>27</v>
      </c>
      <c r="Z492" s="22">
        <f t="shared" ref="Z492:AK492" si="1363">SUM(D505)</f>
        <v>23</v>
      </c>
      <c r="AA492" s="23">
        <f t="shared" si="1363"/>
        <v>22</v>
      </c>
      <c r="AB492" s="24">
        <f t="shared" si="1363"/>
        <v>4166.735</v>
      </c>
      <c r="AC492" s="23">
        <f t="shared" si="1363"/>
        <v>1484</v>
      </c>
      <c r="AD492" s="23">
        <f t="shared" si="1363"/>
        <v>0</v>
      </c>
      <c r="AE492" s="23">
        <f t="shared" si="1363"/>
        <v>1484</v>
      </c>
      <c r="AF492" s="23">
        <f t="shared" si="1363"/>
        <v>1968</v>
      </c>
      <c r="AG492" s="23">
        <f t="shared" si="1363"/>
        <v>0</v>
      </c>
      <c r="AH492" s="23">
        <f t="shared" si="1363"/>
        <v>1968</v>
      </c>
      <c r="AI492" s="23">
        <f t="shared" si="1363"/>
        <v>3452</v>
      </c>
      <c r="AJ492" s="25">
        <f t="shared" si="1363"/>
        <v>189.3970455</v>
      </c>
      <c r="AK492" s="22">
        <f t="shared" si="1363"/>
        <v>8101</v>
      </c>
      <c r="AL492" s="26">
        <f t="shared" si="1355"/>
        <v>0.4261202321</v>
      </c>
      <c r="AM492" s="27">
        <f>SUM(Q505)</f>
        <v>1.5</v>
      </c>
      <c r="AN492" s="26">
        <f t="shared" si="1357"/>
        <v>0.5523109421</v>
      </c>
      <c r="AO492" s="28">
        <f t="shared" si="1358"/>
        <v>0.8284664132</v>
      </c>
      <c r="AP492" s="27">
        <f t="shared" ref="AP492:AQ492" si="1364">SUM(T505)</f>
        <v>208.4931198</v>
      </c>
      <c r="AQ492" s="27">
        <f t="shared" si="1364"/>
        <v>9.476959993</v>
      </c>
      <c r="AR492" s="23">
        <f t="shared" si="1360"/>
        <v>156.9090909</v>
      </c>
    </row>
    <row r="493" ht="15.75" customHeight="1">
      <c r="A493" s="21"/>
      <c r="B493" s="38">
        <v>2.0</v>
      </c>
      <c r="C493" s="38" t="s">
        <v>28</v>
      </c>
      <c r="D493" s="39">
        <v>24.0</v>
      </c>
      <c r="E493" s="40">
        <f>IFERROR(__xludf.DUMMYFUNCTION("COUNT(IMPORTRANGE(""https://docs.google.com/spreadsheets/d/10a85iNN0y9GF6ngQfF1JXGAzFk-T7ywH4-TZtQcOTaE/edit"",""19!d2:d34""))"),24.0)</f>
        <v>24</v>
      </c>
      <c r="F493" s="41">
        <f>IFERROR(__xludf.DUMMYFUNCTION("SUM(IMPORTRANGE(""https://docs.google.com/spreadsheets/d/10a85iNN0y9GF6ngQfF1JXGAzFk-T7ywH4-TZtQcOTaE/edit"",""19!Q2:Q34""))"),4798.600999999999)</f>
        <v>4798.601</v>
      </c>
      <c r="G493" s="40">
        <f>IFERROR(__xludf.DUMMYFUNCTION("IMPORTRANGE(""https://docs.google.com/spreadsheets/d/10a85iNN0y9GF6ngQfF1JXGAzFk-T7ywH4-TZtQcOTaE/edit"",""19!e41"")"),1453.0)</f>
        <v>1453</v>
      </c>
      <c r="H493" s="40">
        <f>IFERROR(__xludf.DUMMYFUNCTION("IMPORTRANGE(""https://docs.google.com/spreadsheets/d/10a85iNN0y9GF6ngQfF1JXGAzFk-T7ywH4-TZtQcOTaE/edit"",""19!e42"")"),54.0)</f>
        <v>54</v>
      </c>
      <c r="I493" s="40">
        <f t="shared" si="1365"/>
        <v>1507</v>
      </c>
      <c r="J493" s="40">
        <f>IFERROR(__xludf.DUMMYFUNCTION("IMPORTRANGE(""https://docs.google.com/spreadsheets/d/10a85iNN0y9GF6ngQfF1JXGAzFk-T7ywH4-TZtQcOTaE/edit"",""19!e45"")"),1941.0)</f>
        <v>1941</v>
      </c>
      <c r="K493" s="40">
        <f>IFERROR(__xludf.DUMMYFUNCTION("IMPORTRANGE(""https://docs.google.com/spreadsheets/d/10a85iNN0y9GF6ngQfF1JXGAzFk-T7ywH4-TZtQcOTaE/edit"",""19!e46"")"),192.0)</f>
        <v>192</v>
      </c>
      <c r="L493" s="40">
        <f t="shared" si="1366"/>
        <v>2133</v>
      </c>
      <c r="M493" s="40">
        <f t="shared" si="1367"/>
        <v>3640</v>
      </c>
      <c r="N493" s="41">
        <f t="shared" si="1368"/>
        <v>199.9417083</v>
      </c>
      <c r="O493" s="38">
        <v>7315.0</v>
      </c>
      <c r="P493" s="42">
        <f t="shared" si="1369"/>
        <v>0.4976076555</v>
      </c>
      <c r="Q493" s="43">
        <v>1.5</v>
      </c>
      <c r="R493" s="42">
        <f t="shared" si="1370"/>
        <v>0.5057029469</v>
      </c>
      <c r="S493" s="44">
        <f t="shared" si="1371"/>
        <v>0.7585544203</v>
      </c>
      <c r="T493" s="43">
        <f>F493/30.897</f>
        <v>155.3096093</v>
      </c>
      <c r="U493" s="43">
        <f t="shared" si="1372"/>
        <v>6.471233723</v>
      </c>
      <c r="V493" s="40">
        <f t="shared" si="1373"/>
        <v>151.6666667</v>
      </c>
      <c r="X493" s="22">
        <v>5.0</v>
      </c>
      <c r="Y493" s="22" t="s">
        <v>29</v>
      </c>
      <c r="Z493" s="22">
        <f t="shared" ref="Z493:AI493" si="1374">SUM(D508)</f>
        <v>23</v>
      </c>
      <c r="AA493" s="23">
        <f t="shared" si="1374"/>
        <v>23</v>
      </c>
      <c r="AB493" s="24">
        <f t="shared" si="1374"/>
        <v>4381.582</v>
      </c>
      <c r="AC493" s="23">
        <f t="shared" si="1374"/>
        <v>1554</v>
      </c>
      <c r="AD493" s="23">
        <f t="shared" si="1374"/>
        <v>0</v>
      </c>
      <c r="AE493" s="23">
        <f t="shared" si="1374"/>
        <v>1554</v>
      </c>
      <c r="AF493" s="23">
        <f t="shared" si="1374"/>
        <v>2385</v>
      </c>
      <c r="AG493" s="23">
        <f t="shared" si="1374"/>
        <v>0</v>
      </c>
      <c r="AH493" s="23">
        <f t="shared" si="1374"/>
        <v>2385</v>
      </c>
      <c r="AI493" s="23">
        <f t="shared" si="1374"/>
        <v>3939</v>
      </c>
      <c r="AJ493" s="25">
        <f t="shared" ref="AJ493:AJ495" si="1377">AB493/AA493</f>
        <v>190.5035652</v>
      </c>
      <c r="AK493" s="22">
        <f t="shared" ref="AK493:AK494" si="1378">SUM(O508)</f>
        <v>9201</v>
      </c>
      <c r="AL493" s="26">
        <f t="shared" si="1355"/>
        <v>0.4281056407</v>
      </c>
      <c r="AM493" s="27">
        <f t="shared" ref="AM493:AM494" si="1379">SUM(Q508)</f>
        <v>1.5</v>
      </c>
      <c r="AN493" s="26">
        <f t="shared" si="1357"/>
        <v>0.5993269098</v>
      </c>
      <c r="AO493" s="28">
        <f t="shared" si="1358"/>
        <v>0.8989903647</v>
      </c>
      <c r="AP493" s="27">
        <f t="shared" ref="AP493:AQ493" si="1375">SUM(T508)</f>
        <v>168.2764421</v>
      </c>
      <c r="AQ493" s="27">
        <f t="shared" si="1375"/>
        <v>7.316367049</v>
      </c>
      <c r="AR493" s="23">
        <f t="shared" si="1360"/>
        <v>171.2608696</v>
      </c>
    </row>
    <row r="494" ht="15.75" customHeight="1">
      <c r="A494" s="21"/>
      <c r="B494" s="38">
        <v>3.0</v>
      </c>
      <c r="C494" s="38" t="s">
        <v>30</v>
      </c>
      <c r="D494" s="39">
        <v>45.0</v>
      </c>
      <c r="E494" s="40">
        <f>IFERROR(__xludf.DUMMYFUNCTION("COUNT(IMPORTRANGE(""https://docs.google.com/spreadsheets/d/1WojVzHhpzodJL1e5UDHeu3A3u5MTSZwvxHu0BrwvL9w/edit"",""19!d2:d61""))"),44.0)</f>
        <v>44</v>
      </c>
      <c r="F494" s="45">
        <f>IFERROR(__xludf.DUMMYFUNCTION("SUM(IMPORTRANGE(""https://docs.google.com/spreadsheets/d/1WojVzHhpzodJL1e5UDHeu3A3u5MTSZwvxHu0BrwvL9w/edit"",""19!Q2:Q61""))"),8690.582999999993)</f>
        <v>8690.583</v>
      </c>
      <c r="G494" s="40">
        <f>IFERROR(__xludf.DUMMYFUNCTION("IMPORTRANGE(""https://docs.google.com/spreadsheets/d/1WojVzHhpzodJL1e5UDHeu3A3u5MTSZwvxHu0BrwvL9w/edit"",""19!e68"")"),2059.0)</f>
        <v>2059</v>
      </c>
      <c r="H494" s="40">
        <f>IFERROR(__xludf.DUMMYFUNCTION("IMPORTRANGE(""https://docs.google.com/spreadsheets/d/1WojVzHhpzodJL1e5UDHeu3A3u5MTSZwvxHu0BrwvL9w/edit"",""19!e69"")"),0.0)</f>
        <v>0</v>
      </c>
      <c r="I494" s="40">
        <f t="shared" si="1365"/>
        <v>2059</v>
      </c>
      <c r="J494" s="40">
        <f>IFERROR(__xludf.DUMMYFUNCTION("IMPORTRANGE(""https://docs.google.com/spreadsheets/d/1WojVzHhpzodJL1e5UDHeu3A3u5MTSZwvxHu0BrwvL9w/edit"",""19!e72"")"),2384.0)</f>
        <v>2384</v>
      </c>
      <c r="K494" s="40">
        <f>IFERROR(__xludf.DUMMYFUNCTION("IMPORTRANGE(""https://docs.google.com/spreadsheets/d/1WojVzHhpzodJL1e5UDHeu3A3u5MTSZwvxHu0BrwvL9w/edit"",""19!e73"")"),0.0)</f>
        <v>0</v>
      </c>
      <c r="L494" s="40">
        <f t="shared" si="1366"/>
        <v>2384</v>
      </c>
      <c r="M494" s="40">
        <f t="shared" si="1367"/>
        <v>4443</v>
      </c>
      <c r="N494" s="41">
        <f t="shared" si="1368"/>
        <v>197.51325</v>
      </c>
      <c r="O494" s="38">
        <v>11164.0</v>
      </c>
      <c r="P494" s="42">
        <f t="shared" si="1369"/>
        <v>0.397975636</v>
      </c>
      <c r="Q494" s="43">
        <v>1.5</v>
      </c>
      <c r="R494" s="42">
        <f t="shared" si="1370"/>
        <v>0.3408286878</v>
      </c>
      <c r="S494" s="44">
        <f t="shared" si="1371"/>
        <v>0.5112430317</v>
      </c>
      <c r="T494" s="43">
        <f>F494/29.603</f>
        <v>293.5710232</v>
      </c>
      <c r="U494" s="43">
        <f t="shared" si="1372"/>
        <v>6.672068709</v>
      </c>
      <c r="V494" s="40">
        <f t="shared" si="1373"/>
        <v>100.9772727</v>
      </c>
      <c r="X494" s="22">
        <v>6.0</v>
      </c>
      <c r="Y494" s="22" t="s">
        <v>31</v>
      </c>
      <c r="Z494" s="22">
        <f t="shared" ref="Z494:AI494" si="1376">SUM(D509)</f>
        <v>11</v>
      </c>
      <c r="AA494" s="23">
        <f t="shared" si="1376"/>
        <v>10</v>
      </c>
      <c r="AB494" s="25">
        <f t="shared" si="1376"/>
        <v>1999.39</v>
      </c>
      <c r="AC494" s="23">
        <f t="shared" si="1376"/>
        <v>425</v>
      </c>
      <c r="AD494" s="23">
        <f t="shared" si="1376"/>
        <v>0</v>
      </c>
      <c r="AE494" s="23">
        <f t="shared" si="1376"/>
        <v>425</v>
      </c>
      <c r="AF494" s="23">
        <f t="shared" si="1376"/>
        <v>643</v>
      </c>
      <c r="AG494" s="23">
        <f t="shared" si="1376"/>
        <v>7</v>
      </c>
      <c r="AH494" s="23">
        <f t="shared" si="1376"/>
        <v>650</v>
      </c>
      <c r="AI494" s="23">
        <f t="shared" si="1376"/>
        <v>1075</v>
      </c>
      <c r="AJ494" s="25">
        <f t="shared" si="1377"/>
        <v>199.939</v>
      </c>
      <c r="AK494" s="22">
        <f t="shared" si="1378"/>
        <v>2717</v>
      </c>
      <c r="AL494" s="26">
        <f t="shared" si="1355"/>
        <v>0.3956569746</v>
      </c>
      <c r="AM494" s="27">
        <f t="shared" si="1379"/>
        <v>1.5</v>
      </c>
      <c r="AN494" s="26">
        <f t="shared" si="1357"/>
        <v>0.3584426583</v>
      </c>
      <c r="AO494" s="28">
        <f t="shared" si="1358"/>
        <v>0.5376639875</v>
      </c>
      <c r="AP494" s="27">
        <f t="shared" ref="AP494:AQ494" si="1380">SUM(T509)</f>
        <v>46</v>
      </c>
      <c r="AQ494" s="27">
        <f t="shared" si="1380"/>
        <v>4.6</v>
      </c>
      <c r="AR494" s="23">
        <f t="shared" si="1360"/>
        <v>107.5</v>
      </c>
    </row>
    <row r="495" ht="15.75" customHeight="1">
      <c r="A495" s="21"/>
      <c r="B495" s="38">
        <v>4.0</v>
      </c>
      <c r="C495" s="38" t="s">
        <v>32</v>
      </c>
      <c r="D495" s="39">
        <v>32.0</v>
      </c>
      <c r="E495" s="40">
        <f>IFERROR(__xludf.DUMMYFUNCTION("COUNT(IMPORTRANGE(""https://docs.google.com/spreadsheets/d/1vmCj5YcMSPHj1m64syDndQ6cqVL3yolcU03Y8KHmvdc/edit"",""19!d2:d43""))"),32.0)</f>
        <v>32</v>
      </c>
      <c r="F495" s="45">
        <f>IFERROR(__xludf.DUMMYFUNCTION("SUM(IMPORTRANGE(""https://docs.google.com/spreadsheets/d/1vmCj5YcMSPHj1m64syDndQ6cqVL3yolcU03Y8KHmvdc/edit"",""19!Q2:Q43""))"),6422.783999999994)</f>
        <v>6422.784</v>
      </c>
      <c r="G495" s="38">
        <f>IFERROR(__xludf.DUMMYFUNCTION("IMPORTRANGE(""https://docs.google.com/spreadsheets/d/1vmCj5YcMSPHj1m64syDndQ6cqVL3yolcU03Y8KHmvdc/edit"",""19!e50"")"),2812.0)</f>
        <v>2812</v>
      </c>
      <c r="H495" s="38">
        <f>IFERROR(__xludf.DUMMYFUNCTION("IMPORTRANGE(""https://docs.google.com/spreadsheets/d/1vmCj5YcMSPHj1m64syDndQ6cqVL3yolcU03Y8KHmvdc/edit"",""19!e51"")"),114.0)</f>
        <v>114</v>
      </c>
      <c r="I495" s="40">
        <f t="shared" si="1365"/>
        <v>2926</v>
      </c>
      <c r="J495" s="38">
        <f>IFERROR(__xludf.DUMMYFUNCTION("IMPORTRANGE(""https://docs.google.com/spreadsheets/d/1vmCj5YcMSPHj1m64syDndQ6cqVL3yolcU03Y8KHmvdc/edit"",""19!e54"")"),3371.0)</f>
        <v>3371</v>
      </c>
      <c r="K495" s="38">
        <f>IFERROR(__xludf.DUMMYFUNCTION("IMPORTRANGE(""https://docs.google.com/spreadsheets/d/1vmCj5YcMSPHj1m64syDndQ6cqVL3yolcU03Y8KHmvdc/edit"",""19!e55"")"),0.0)</f>
        <v>0</v>
      </c>
      <c r="L495" s="40">
        <f t="shared" si="1366"/>
        <v>3371</v>
      </c>
      <c r="M495" s="40">
        <f t="shared" si="1367"/>
        <v>6297</v>
      </c>
      <c r="N495" s="41">
        <f t="shared" si="1368"/>
        <v>200.712</v>
      </c>
      <c r="O495" s="38">
        <v>13817.0</v>
      </c>
      <c r="P495" s="42">
        <f t="shared" si="1369"/>
        <v>0.4557429254</v>
      </c>
      <c r="Q495" s="43">
        <v>1.5</v>
      </c>
      <c r="R495" s="42">
        <f t="shared" si="1370"/>
        <v>0.6536106461</v>
      </c>
      <c r="S495" s="44">
        <f t="shared" si="1371"/>
        <v>0.9804159691</v>
      </c>
      <c r="T495" s="43">
        <f>F495/25.089</f>
        <v>256</v>
      </c>
      <c r="U495" s="43">
        <f t="shared" si="1372"/>
        <v>8</v>
      </c>
      <c r="V495" s="40">
        <f t="shared" si="1373"/>
        <v>196.78125</v>
      </c>
      <c r="X495" s="46" t="s">
        <v>33</v>
      </c>
      <c r="Y495" s="46">
        <v>6.0</v>
      </c>
      <c r="Z495" s="46">
        <f t="shared" ref="Z495:AI495" si="1381">SUM(Z489:Z494)</f>
        <v>144</v>
      </c>
      <c r="AA495" s="47">
        <f t="shared" si="1381"/>
        <v>136</v>
      </c>
      <c r="AB495" s="48">
        <f t="shared" si="1381"/>
        <v>26240.264</v>
      </c>
      <c r="AC495" s="47">
        <f t="shared" si="1381"/>
        <v>6704</v>
      </c>
      <c r="AD495" s="47">
        <f t="shared" si="1381"/>
        <v>298</v>
      </c>
      <c r="AE495" s="47">
        <f t="shared" si="1381"/>
        <v>7002</v>
      </c>
      <c r="AF495" s="47">
        <f t="shared" si="1381"/>
        <v>10026</v>
      </c>
      <c r="AG495" s="47">
        <f t="shared" si="1381"/>
        <v>329</v>
      </c>
      <c r="AH495" s="47">
        <f t="shared" si="1381"/>
        <v>10355</v>
      </c>
      <c r="AI495" s="47">
        <f t="shared" si="1381"/>
        <v>17357</v>
      </c>
      <c r="AJ495" s="49">
        <f t="shared" si="1377"/>
        <v>192.9431176</v>
      </c>
      <c r="AK495" s="46">
        <f>SUM(AK489:AK494)</f>
        <v>35074</v>
      </c>
      <c r="AL495" s="50">
        <f t="shared" si="1355"/>
        <v>0.4948679934</v>
      </c>
      <c r="AM495" s="51">
        <v>1.5</v>
      </c>
      <c r="AN495" s="50">
        <f t="shared" si="1357"/>
        <v>0.4409762544</v>
      </c>
      <c r="AO495" s="52">
        <f t="shared" si="1358"/>
        <v>0.6614643816</v>
      </c>
      <c r="AP495" s="51">
        <f>SUM(AP489:AP494)</f>
        <v>991.7895536</v>
      </c>
      <c r="AQ495" s="51">
        <f>AP495/AA495</f>
        <v>7.292570247</v>
      </c>
      <c r="AR495" s="47">
        <f t="shared" si="1360"/>
        <v>127.625</v>
      </c>
    </row>
    <row r="496" ht="15.75" customHeight="1">
      <c r="A496" s="21"/>
      <c r="B496" s="38">
        <v>5.0</v>
      </c>
      <c r="C496" s="38" t="s">
        <v>34</v>
      </c>
      <c r="D496" s="39">
        <v>30.0</v>
      </c>
      <c r="E496" s="40">
        <f>IFERROR(__xludf.DUMMYFUNCTION("COUNT(IMPORTRANGE(""https://docs.google.com/spreadsheets/d/14_Y-fpuq1wcec3DlT_1PBYekOC0YblQMrWVfO12YO3k/edit"",""19!d2:d41""))"),30.0)</f>
        <v>30</v>
      </c>
      <c r="F496" s="45">
        <f>IFERROR(__xludf.DUMMYFUNCTION("SUM(IMPORTRANGE(""https://docs.google.com/spreadsheets/d/14_Y-fpuq1wcec3DlT_1PBYekOC0YblQMrWVfO12YO3k/edit"",""19!Q2:Q41""))"),5896.176000000002)</f>
        <v>5896.176</v>
      </c>
      <c r="G496" s="40">
        <f>IFERROR(__xludf.DUMMYFUNCTION("IMPORTRANGE(""https://docs.google.com/spreadsheets/d/14_Y-fpuq1wcec3DlT_1PBYekOC0YblQMrWVfO12YO3k/edit"",""19!e48"")"),1709.0)</f>
        <v>1709</v>
      </c>
      <c r="H496" s="40">
        <f>IFERROR(__xludf.DUMMYFUNCTION("IMPORTRANGE(""https://docs.google.com/spreadsheets/d/14_Y-fpuq1wcec3DlT_1PBYekOC0YblQMrWVfO12YO3k/edit"",""19!e49"")"),0.0)</f>
        <v>0</v>
      </c>
      <c r="I496" s="40">
        <f t="shared" si="1365"/>
        <v>1709</v>
      </c>
      <c r="J496" s="40">
        <f>IFERROR(__xludf.DUMMYFUNCTION("IMPORTRANGE(""https://docs.google.com/spreadsheets/d/14_Y-fpuq1wcec3DlT_1PBYekOC0YblQMrWVfO12YO3k/edit"",""19!e52"")"),2407.0)</f>
        <v>2407</v>
      </c>
      <c r="K496" s="40">
        <f>IFERROR(__xludf.DUMMYFUNCTION("IMPORTRANGE(""https://docs.google.com/spreadsheets/d/14_Y-fpuq1wcec3DlT_1PBYekOC0YblQMrWVfO12YO3k/edit"",""19!e53"")"),0.0)</f>
        <v>0</v>
      </c>
      <c r="L496" s="40">
        <f t="shared" si="1366"/>
        <v>2407</v>
      </c>
      <c r="M496" s="40">
        <f t="shared" si="1367"/>
        <v>4116</v>
      </c>
      <c r="N496" s="41">
        <f t="shared" si="1368"/>
        <v>196.5392</v>
      </c>
      <c r="O496" s="38">
        <v>9354.0</v>
      </c>
      <c r="P496" s="42">
        <f t="shared" si="1369"/>
        <v>0.4400256575</v>
      </c>
      <c r="Q496" s="43">
        <v>1.5</v>
      </c>
      <c r="R496" s="42">
        <f t="shared" si="1370"/>
        <v>0.4653863792</v>
      </c>
      <c r="S496" s="44">
        <f t="shared" si="1371"/>
        <v>0.6980795689</v>
      </c>
      <c r="T496" s="43">
        <f>F496/30.713</f>
        <v>191.9765572</v>
      </c>
      <c r="U496" s="43">
        <f t="shared" si="1372"/>
        <v>6.399218572</v>
      </c>
      <c r="V496" s="40">
        <f t="shared" si="1373"/>
        <v>137.2</v>
      </c>
      <c r="X496" s="53" t="s">
        <v>35</v>
      </c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6"/>
    </row>
    <row r="497" ht="15.75" customHeight="1">
      <c r="A497" s="21"/>
      <c r="B497" s="38">
        <v>6.0</v>
      </c>
      <c r="C497" s="38" t="s">
        <v>23</v>
      </c>
      <c r="D497" s="39">
        <v>26.0</v>
      </c>
      <c r="E497" s="40">
        <f>IFERROR(__xludf.DUMMYFUNCTION("COUNT(IMPORTRANGE(""https://docs.google.com/spreadsheets/d/1lJqjdj05V4LOXuBOiTdE65GV4ZITyx1cMLcDdcuoUnE/edit"",""19!d2:d36""))"),24.0)</f>
        <v>24</v>
      </c>
      <c r="F497" s="45">
        <f>IFERROR(__xludf.DUMMYFUNCTION("SUM(IMPORTRANGE(""https://docs.google.com/spreadsheets/d/1lJqjdj05V4LOXuBOiTdE65GV4ZITyx1cMLcDdcuoUnE/edit"",""19!Q2:Q36""))"),4791.079999999999)</f>
        <v>4791.08</v>
      </c>
      <c r="G497" s="40">
        <f>IFERROR(__xludf.DUMMYFUNCTION("IMPORTRANGE(""https://docs.google.com/spreadsheets/d/1lJqjdj05V4LOXuBOiTdE65GV4ZITyx1cMLcDdcuoUnE/edit"",""19!e43"")"),973.0)</f>
        <v>973</v>
      </c>
      <c r="H497" s="40">
        <f>IFERROR(__xludf.DUMMYFUNCTION("IMPORTRANGE(""https://docs.google.com/spreadsheets/d/1lJqjdj05V4LOXuBOiTdE65GV4ZITyx1cMLcDdcuoUnE/edit"",""19!e44"")"),0.0)</f>
        <v>0</v>
      </c>
      <c r="I497" s="40">
        <f t="shared" si="1365"/>
        <v>973</v>
      </c>
      <c r="J497" s="40">
        <f>IFERROR(__xludf.DUMMYFUNCTION("IMPORTRANGE(""https://docs.google.com/spreadsheets/d/1lJqjdj05V4LOXuBOiTdE65GV4ZITyx1cMLcDdcuoUnE/edit"",""19!e47"")"),1860.0)</f>
        <v>1860</v>
      </c>
      <c r="K497" s="40">
        <f>IFERROR(__xludf.DUMMYFUNCTION("IMPORTRANGE(""https://docs.google.com/spreadsheets/d/1lJqjdj05V4LOXuBOiTdE65GV4ZITyx1cMLcDdcuoUnE/edit"",""19!e48"")"),0.0)</f>
        <v>0</v>
      </c>
      <c r="L497" s="40">
        <f t="shared" si="1366"/>
        <v>1860</v>
      </c>
      <c r="M497" s="40">
        <f t="shared" si="1367"/>
        <v>2833</v>
      </c>
      <c r="N497" s="41">
        <f t="shared" si="1368"/>
        <v>199.6283333</v>
      </c>
      <c r="O497" s="38">
        <v>6853.0</v>
      </c>
      <c r="P497" s="42">
        <f t="shared" si="1369"/>
        <v>0.4133955932</v>
      </c>
      <c r="Q497" s="43">
        <v>1.5</v>
      </c>
      <c r="R497" s="42">
        <f t="shared" si="1370"/>
        <v>0.3942047861</v>
      </c>
      <c r="S497" s="44">
        <f t="shared" si="1371"/>
        <v>0.5913071792</v>
      </c>
      <c r="T497" s="43">
        <f>F497/33.74</f>
        <v>142</v>
      </c>
      <c r="U497" s="43">
        <f t="shared" si="1372"/>
        <v>5.916666667</v>
      </c>
      <c r="V497" s="40">
        <f t="shared" si="1373"/>
        <v>118.0416667</v>
      </c>
      <c r="X497" s="14" t="s">
        <v>2</v>
      </c>
      <c r="Y497" s="14" t="s">
        <v>3</v>
      </c>
      <c r="Z497" s="14" t="s">
        <v>4</v>
      </c>
      <c r="AA497" s="14" t="s">
        <v>5</v>
      </c>
      <c r="AB497" s="15" t="s">
        <v>6</v>
      </c>
      <c r="AC497" s="14" t="s">
        <v>7</v>
      </c>
      <c r="AD497" s="14" t="s">
        <v>8</v>
      </c>
      <c r="AE497" s="14" t="s">
        <v>9</v>
      </c>
      <c r="AF497" s="14" t="s">
        <v>10</v>
      </c>
      <c r="AG497" s="14" t="s">
        <v>11</v>
      </c>
      <c r="AH497" s="14" t="s">
        <v>12</v>
      </c>
      <c r="AI497" s="14" t="s">
        <v>13</v>
      </c>
      <c r="AJ497" s="15" t="s">
        <v>14</v>
      </c>
      <c r="AK497" s="14" t="s">
        <v>15</v>
      </c>
      <c r="AL497" s="14" t="s">
        <v>16</v>
      </c>
      <c r="AM497" s="16" t="s">
        <v>17</v>
      </c>
      <c r="AN497" s="17" t="s">
        <v>18</v>
      </c>
      <c r="AO497" s="18" t="s">
        <v>19</v>
      </c>
      <c r="AP497" s="19" t="s">
        <v>20</v>
      </c>
      <c r="AQ497" s="19" t="s">
        <v>21</v>
      </c>
      <c r="AR497" s="20" t="s">
        <v>22</v>
      </c>
    </row>
    <row r="498" ht="15.75" customHeight="1">
      <c r="A498" s="21"/>
      <c r="B498" s="38">
        <v>7.0</v>
      </c>
      <c r="C498" s="38" t="s">
        <v>24</v>
      </c>
      <c r="D498" s="39">
        <v>35.0</v>
      </c>
      <c r="E498" s="54">
        <f>IFERROR(__xludf.DUMMYFUNCTION("COUNT(IMPORTRANGE(""https://docs.google.com/spreadsheets/d/1_7EEO26q9Yq-XhNFiy7I6Zh4Yg6uGjTs9y0UqNvPKcQ/edit"",""19!d2:d45""))"),34.0)</f>
        <v>34</v>
      </c>
      <c r="F498" s="55">
        <f>IFERROR(__xludf.DUMMYFUNCTION("SUM(IMPORTRANGE(""https://docs.google.com/spreadsheets/d/1_7EEO26q9Yq-XhNFiy7I6Zh4Yg6uGjTs9y0UqNvPKcQ/edit"",""19!Q2:Q45""))"),6521.076999999996)</f>
        <v>6521.077</v>
      </c>
      <c r="G498" s="54">
        <f>IFERROR(__xludf.DUMMYFUNCTION("IMPORTRANGE(""https://docs.google.com/spreadsheets/d/1_7EEO26q9Yq-XhNFiy7I6Zh4Yg6uGjTs9y0UqNvPKcQ/edit"",""19!e53"")"),941.0)</f>
        <v>941</v>
      </c>
      <c r="H498" s="54">
        <f>IFERROR(__xludf.DUMMYFUNCTION("IMPORTRANGE(""https://docs.google.com/spreadsheets/d/1_7EEO26q9Yq-XhNFiy7I6Zh4Yg6uGjTs9y0UqNvPKcQ/edit"",""19!e54"")"),0.0)</f>
        <v>0</v>
      </c>
      <c r="I498" s="54">
        <f t="shared" si="1365"/>
        <v>941</v>
      </c>
      <c r="J498" s="54">
        <f>IFERROR(__xludf.DUMMYFUNCTION("IMPORTRANGE(""https://docs.google.com/spreadsheets/d/1_7EEO26q9Yq-XhNFiy7I6Zh4Yg6uGjTs9y0UqNvPKcQ/edit"",""19!e57"")"),872.0)</f>
        <v>872</v>
      </c>
      <c r="K498" s="54">
        <f>IFERROR(__xludf.DUMMYFUNCTION("IMPORTRANGE(""https://docs.google.com/spreadsheets/d/1_7EEO26q9Yq-XhNFiy7I6Zh4Yg6uGjTs9y0UqNvPKcQ/edit"",""19!e58"")"),60.0)</f>
        <v>60</v>
      </c>
      <c r="L498" s="40">
        <f t="shared" si="1366"/>
        <v>932</v>
      </c>
      <c r="M498" s="40">
        <f t="shared" si="1367"/>
        <v>1873</v>
      </c>
      <c r="N498" s="41">
        <f t="shared" si="1368"/>
        <v>191.7963824</v>
      </c>
      <c r="O498" s="38">
        <v>1580.0</v>
      </c>
      <c r="P498" s="56">
        <f t="shared" si="1369"/>
        <v>1.185443038</v>
      </c>
      <c r="Q498" s="43">
        <v>1.5</v>
      </c>
      <c r="R498" s="42">
        <f t="shared" si="1370"/>
        <v>0.1914816627</v>
      </c>
      <c r="S498" s="44">
        <f t="shared" si="1371"/>
        <v>0.2872224941</v>
      </c>
      <c r="T498" s="43">
        <f>F498/26.805</f>
        <v>243.2783809</v>
      </c>
      <c r="U498" s="43">
        <f t="shared" si="1372"/>
        <v>7.155246497</v>
      </c>
      <c r="V498" s="40">
        <f t="shared" si="1373"/>
        <v>55.08823529</v>
      </c>
      <c r="X498" s="22">
        <v>1.0</v>
      </c>
      <c r="Y498" s="22" t="s">
        <v>28</v>
      </c>
      <c r="Z498" s="22">
        <f t="shared" ref="Z498:AI498" si="1382">SUM(D493)</f>
        <v>24</v>
      </c>
      <c r="AA498" s="23">
        <f t="shared" si="1382"/>
        <v>24</v>
      </c>
      <c r="AB498" s="25">
        <f t="shared" si="1382"/>
        <v>4798.601</v>
      </c>
      <c r="AC498" s="23">
        <f t="shared" si="1382"/>
        <v>1453</v>
      </c>
      <c r="AD498" s="23">
        <f t="shared" si="1382"/>
        <v>54</v>
      </c>
      <c r="AE498" s="23">
        <f t="shared" si="1382"/>
        <v>1507</v>
      </c>
      <c r="AF498" s="23">
        <f t="shared" si="1382"/>
        <v>1941</v>
      </c>
      <c r="AG498" s="23">
        <f t="shared" si="1382"/>
        <v>192</v>
      </c>
      <c r="AH498" s="23">
        <f t="shared" si="1382"/>
        <v>2133</v>
      </c>
      <c r="AI498" s="23">
        <f t="shared" si="1382"/>
        <v>3640</v>
      </c>
      <c r="AJ498" s="25">
        <f t="shared" ref="AJ498:AJ504" si="1385">AB498/AA498</f>
        <v>199.9417083</v>
      </c>
      <c r="AK498" s="22">
        <f t="shared" ref="AK498:AK499" si="1386">SUM(O493)</f>
        <v>7315</v>
      </c>
      <c r="AL498" s="26">
        <f t="shared" ref="AL498:AL504" si="1387">AI498/AK498</f>
        <v>0.4976076555</v>
      </c>
      <c r="AM498" s="27">
        <f t="shared" ref="AM498:AM499" si="1388">SUM(Q493)</f>
        <v>1.5</v>
      </c>
      <c r="AN498" s="26">
        <f t="shared" ref="AN498:AN504" si="1389">AO498/AM498</f>
        <v>0.5057029469</v>
      </c>
      <c r="AO498" s="28">
        <f t="shared" ref="AO498:AO504" si="1390">AI498/AB498</f>
        <v>0.7585544203</v>
      </c>
      <c r="AP498" s="27">
        <f t="shared" ref="AP498:AQ498" si="1383">SUM(T493)</f>
        <v>155.3096093</v>
      </c>
      <c r="AQ498" s="27">
        <f t="shared" si="1383"/>
        <v>6.471233723</v>
      </c>
      <c r="AR498" s="23">
        <f t="shared" ref="AR498:AR504" si="1392">AI498/AA498</f>
        <v>151.6666667</v>
      </c>
    </row>
    <row r="499" ht="15.75" customHeight="1">
      <c r="A499" s="21"/>
      <c r="B499" s="38">
        <v>8.0</v>
      </c>
      <c r="C499" s="38" t="s">
        <v>25</v>
      </c>
      <c r="D499" s="57">
        <v>26.0</v>
      </c>
      <c r="E499" s="40">
        <f>IFERROR(__xludf.DUMMYFUNCTION("COUNT(IMPORTRANGE(""https://docs.google.com/spreadsheets/d/1vLOLpiE-XsbnCnwWPcoi87PlUSXfqIAAQn3kvqHfO6s/edit"",""19!d2:D33""))"),23.0)</f>
        <v>23</v>
      </c>
      <c r="F499" s="45">
        <f>IFERROR(__xludf.DUMMYFUNCTION("SUM(IMPORTRANGE(""https://docs.google.com/spreadsheets/d/1vLOLpiE-XsbnCnwWPcoi87PlUSXfqIAAQn3kvqHfO6s/edit"",""19!Q2:Q33""))"),4380.399999999999)</f>
        <v>4380.4</v>
      </c>
      <c r="G499" s="40">
        <f>IFERROR(__xludf.DUMMYFUNCTION("IMPORTRANGE(""https://docs.google.com/spreadsheets/d/1vLOLpiE-XsbnCnwWPcoi87PlUSXfqIAAQn3kvqHfO6s/edit"",""19!e40"")"),1327.0)</f>
        <v>1327</v>
      </c>
      <c r="H499" s="40">
        <f>IFERROR(__xludf.DUMMYFUNCTION("IMPORTRANGE(""https://docs.google.com/spreadsheets/d/1vLOLpiE-XsbnCnwWPcoi87PlUSXfqIAAQn3kvqHfO6s/edit"",""19!e41"")"),298.0)</f>
        <v>298</v>
      </c>
      <c r="I499" s="40">
        <f t="shared" si="1365"/>
        <v>1625</v>
      </c>
      <c r="J499" s="40">
        <f>IFERROR(__xludf.DUMMYFUNCTION("IMPORTRANGE(""https://docs.google.com/spreadsheets/d/1vLOLpiE-XsbnCnwWPcoi87PlUSXfqIAAQn3kvqHfO6s/edit"",""19!e44"")"),2298.0)</f>
        <v>2298</v>
      </c>
      <c r="K499" s="40">
        <f>IFERROR(__xludf.DUMMYFUNCTION("IMPORTRANGE(""https://docs.google.com/spreadsheets/d/1vLOLpiE-XsbnCnwWPcoi87PlUSXfqIAAQn3kvqHfO6s/edit"",""19!e45"")"),262.0)</f>
        <v>262</v>
      </c>
      <c r="L499" s="40">
        <f>J499+K499</f>
        <v>2560</v>
      </c>
      <c r="M499" s="40">
        <f t="shared" si="1367"/>
        <v>4185</v>
      </c>
      <c r="N499" s="41">
        <f t="shared" si="1368"/>
        <v>190.4521739</v>
      </c>
      <c r="O499" s="38">
        <v>6622.0</v>
      </c>
      <c r="P499" s="42">
        <f t="shared" si="1369"/>
        <v>0.6319842948</v>
      </c>
      <c r="Q499" s="43">
        <v>1.5</v>
      </c>
      <c r="R499" s="42">
        <f t="shared" si="1370"/>
        <v>0.6369281344</v>
      </c>
      <c r="S499" s="44">
        <f t="shared" si="1371"/>
        <v>0.9553922016</v>
      </c>
      <c r="T499" s="43">
        <f>F499/23.84</f>
        <v>183.7416107</v>
      </c>
      <c r="U499" s="43">
        <f t="shared" si="1372"/>
        <v>7.988765684</v>
      </c>
      <c r="V499" s="40">
        <f t="shared" si="1373"/>
        <v>181.9565217</v>
      </c>
      <c r="X499" s="31">
        <v>2.0</v>
      </c>
      <c r="Y499" s="31" t="s">
        <v>30</v>
      </c>
      <c r="Z499" s="31">
        <f t="shared" ref="Z499:AI499" si="1384">SUM(D494)</f>
        <v>45</v>
      </c>
      <c r="AA499" s="32">
        <f t="shared" si="1384"/>
        <v>44</v>
      </c>
      <c r="AB499" s="33">
        <f t="shared" si="1384"/>
        <v>8690.583</v>
      </c>
      <c r="AC499" s="32">
        <f t="shared" si="1384"/>
        <v>2059</v>
      </c>
      <c r="AD499" s="32">
        <f t="shared" si="1384"/>
        <v>0</v>
      </c>
      <c r="AE499" s="32">
        <f t="shared" si="1384"/>
        <v>2059</v>
      </c>
      <c r="AF499" s="32">
        <f t="shared" si="1384"/>
        <v>2384</v>
      </c>
      <c r="AG499" s="32">
        <f t="shared" si="1384"/>
        <v>0</v>
      </c>
      <c r="AH499" s="32">
        <f t="shared" si="1384"/>
        <v>2384</v>
      </c>
      <c r="AI499" s="32">
        <f t="shared" si="1384"/>
        <v>4443</v>
      </c>
      <c r="AJ499" s="34">
        <f t="shared" si="1385"/>
        <v>197.51325</v>
      </c>
      <c r="AK499" s="31">
        <f t="shared" si="1386"/>
        <v>11164</v>
      </c>
      <c r="AL499" s="35">
        <f t="shared" si="1387"/>
        <v>0.397975636</v>
      </c>
      <c r="AM499" s="36">
        <f t="shared" si="1388"/>
        <v>1.5</v>
      </c>
      <c r="AN499" s="35">
        <f t="shared" si="1389"/>
        <v>0.3408286878</v>
      </c>
      <c r="AO499" s="37">
        <f t="shared" si="1390"/>
        <v>0.5112430317</v>
      </c>
      <c r="AP499" s="36">
        <f t="shared" ref="AP499:AQ499" si="1391">SUM(T494)</f>
        <v>293.5710232</v>
      </c>
      <c r="AQ499" s="36">
        <f t="shared" si="1391"/>
        <v>6.672068709</v>
      </c>
      <c r="AR499" s="32">
        <f t="shared" si="1392"/>
        <v>100.9772727</v>
      </c>
    </row>
    <row r="500" ht="15.75" customHeight="1">
      <c r="A500" s="21"/>
      <c r="B500" s="38">
        <v>9.0</v>
      </c>
      <c r="C500" s="38" t="s">
        <v>36</v>
      </c>
      <c r="D500" s="58">
        <v>22.0</v>
      </c>
      <c r="E500" s="40">
        <f>IFERROR(__xludf.DUMMYFUNCTION("COUNT(IMPORTRANGE(""https://docs.google.com/spreadsheets/d/1WJJVq25XDtGjt-J2JPxeKs3jIvDZtkIREC0lFPXwf74/edit"",""19!d2:d31""))"),22.0)</f>
        <v>22</v>
      </c>
      <c r="F500" s="45">
        <f>IFERROR(__xludf.DUMMYFUNCTION("SUM(IMPORTRANGE(""https://docs.google.com/spreadsheets/d/1WJJVq25XDtGjt-J2JPxeKs3jIvDZtkIREC0lFPXwf74/edit"",""19!Q2:Q31""))"),4372.649999999999)</f>
        <v>4372.65</v>
      </c>
      <c r="G500" s="40">
        <f>IFERROR(__xludf.DUMMYFUNCTION("IMPORTRANGE(""https://docs.google.com/spreadsheets/d/1WJJVq25XDtGjt-J2JPxeKs3jIvDZtkIREC0lFPXwf74/edit"",""19!e38"")"),744.0)</f>
        <v>744</v>
      </c>
      <c r="H500" s="40">
        <f>IFERROR(__xludf.DUMMYFUNCTION("IMPORTRANGE(""https://docs.google.com/spreadsheets/d/1WJJVq25XDtGjt-J2JPxeKs3jIvDZtkIREC0lFPXwf74/edit"",""19!e39"")"),0.0)</f>
        <v>0</v>
      </c>
      <c r="I500" s="40">
        <f t="shared" si="1365"/>
        <v>744</v>
      </c>
      <c r="J500" s="40">
        <f>IFERROR(__xludf.DUMMYFUNCTION("IMPORTRANGE(""https://docs.google.com/spreadsheets/d/1WJJVq25XDtGjt-J2JPxeKs3jIvDZtkIREC0lFPXwf74/edit"",""19!e42"")"),1706.0)</f>
        <v>1706</v>
      </c>
      <c r="K500" s="40">
        <f>IFERROR(__xludf.DUMMYFUNCTION("IMPORTRANGE(""https://docs.google.com/spreadsheets/d/1WJJVq25XDtGjt-J2JPxeKs3jIvDZtkIREC0lFPXwf74/edit"",""19!e43"")"),0.0)</f>
        <v>0</v>
      </c>
      <c r="L500" s="40">
        <f t="shared" ref="L500:L509" si="1395">SUM(J500:K500)</f>
        <v>1706</v>
      </c>
      <c r="M500" s="40">
        <f t="shared" si="1367"/>
        <v>2450</v>
      </c>
      <c r="N500" s="41">
        <f t="shared" si="1368"/>
        <v>198.7568182</v>
      </c>
      <c r="O500" s="38">
        <v>4796.0</v>
      </c>
      <c r="P500" s="42">
        <f t="shared" si="1369"/>
        <v>0.5108423686</v>
      </c>
      <c r="Q500" s="43">
        <v>1.5</v>
      </c>
      <c r="R500" s="42">
        <f t="shared" si="1370"/>
        <v>0.3735339744</v>
      </c>
      <c r="S500" s="44">
        <f t="shared" si="1371"/>
        <v>0.5603009617</v>
      </c>
      <c r="T500" s="43">
        <f>F500/37.414</f>
        <v>116.8720265</v>
      </c>
      <c r="U500" s="43">
        <f t="shared" si="1372"/>
        <v>5.312364842</v>
      </c>
      <c r="V500" s="40">
        <f t="shared" si="1373"/>
        <v>111.3636364</v>
      </c>
      <c r="X500" s="22">
        <v>3.0</v>
      </c>
      <c r="Y500" s="22" t="s">
        <v>34</v>
      </c>
      <c r="Z500" s="22">
        <f t="shared" ref="Z500:AI500" si="1393">SUM(D496)</f>
        <v>30</v>
      </c>
      <c r="AA500" s="23">
        <f t="shared" si="1393"/>
        <v>30</v>
      </c>
      <c r="AB500" s="24">
        <f t="shared" si="1393"/>
        <v>5896.176</v>
      </c>
      <c r="AC500" s="23">
        <f t="shared" si="1393"/>
        <v>1709</v>
      </c>
      <c r="AD500" s="23">
        <f t="shared" si="1393"/>
        <v>0</v>
      </c>
      <c r="AE500" s="23">
        <f t="shared" si="1393"/>
        <v>1709</v>
      </c>
      <c r="AF500" s="23">
        <f t="shared" si="1393"/>
        <v>2407</v>
      </c>
      <c r="AG500" s="23">
        <f t="shared" si="1393"/>
        <v>0</v>
      </c>
      <c r="AH500" s="23">
        <f t="shared" si="1393"/>
        <v>2407</v>
      </c>
      <c r="AI500" s="23">
        <f t="shared" si="1393"/>
        <v>4116</v>
      </c>
      <c r="AJ500" s="25">
        <f t="shared" si="1385"/>
        <v>196.5392</v>
      </c>
      <c r="AK500" s="22">
        <f>SUM(O496)</f>
        <v>9354</v>
      </c>
      <c r="AL500" s="26">
        <f t="shared" si="1387"/>
        <v>0.4400256575</v>
      </c>
      <c r="AM500" s="27">
        <f>SUM(Q496)</f>
        <v>1.5</v>
      </c>
      <c r="AN500" s="26">
        <f t="shared" si="1389"/>
        <v>0.4653863792</v>
      </c>
      <c r="AO500" s="28">
        <f t="shared" si="1390"/>
        <v>0.6980795689</v>
      </c>
      <c r="AP500" s="27">
        <f t="shared" ref="AP500:AQ500" si="1394">SUM(T496)</f>
        <v>191.9765572</v>
      </c>
      <c r="AQ500" s="27">
        <f t="shared" si="1394"/>
        <v>6.399218572</v>
      </c>
      <c r="AR500" s="23">
        <f t="shared" si="1392"/>
        <v>137.2</v>
      </c>
    </row>
    <row r="501" ht="15.75" customHeight="1">
      <c r="A501" s="21"/>
      <c r="B501" s="38">
        <v>10.0</v>
      </c>
      <c r="C501" s="38" t="s">
        <v>37</v>
      </c>
      <c r="D501" s="39">
        <v>23.0</v>
      </c>
      <c r="E501" s="40">
        <f>IFERROR(__xludf.DUMMYFUNCTION("COUNT(IMPORTRANGE(""https://docs.google.com/spreadsheets/d/1rJyYfywRpWJW0zvDJHLOJtqUQqffoCGaqTVxxTDgV0k/edit"",""19!d2:d31""))"),23.0)</f>
        <v>23</v>
      </c>
      <c r="F501" s="45">
        <f>IFERROR(__xludf.DUMMYFUNCTION("SUM(IMPORTRANGE(""https://docs.google.com/spreadsheets/d/1rJyYfywRpWJW0zvDJHLOJtqUQqffoCGaqTVxxTDgV0k/edit"",""19!Q2:Q31""))"),4583.897999999999)</f>
        <v>4583.898</v>
      </c>
      <c r="G501" s="40">
        <f>IFERROR(__xludf.DUMMYFUNCTION("(IMPORTRANGE(""https://docs.google.com/spreadsheets/d/1rJyYfywRpWJW0zvDJHLOJtqUQqffoCGaqTVxxTDgV0k/edit"",""19!e38""))"),971.0)</f>
        <v>971</v>
      </c>
      <c r="H501" s="40">
        <f>IFERROR(__xludf.DUMMYFUNCTION("(IMPORTRANGE(""https://docs.google.com/spreadsheets/d/1rJyYfywRpWJW0zvDJHLOJtqUQqffoCGaqTVxxTDgV0k/edit"",""19!e39""))"),0.0)</f>
        <v>0</v>
      </c>
      <c r="I501" s="40">
        <f t="shared" si="1365"/>
        <v>971</v>
      </c>
      <c r="J501" s="40">
        <f>IFERROR(__xludf.DUMMYFUNCTION("(IMPORTRANGE(""https://docs.google.com/spreadsheets/d/1rJyYfywRpWJW0zvDJHLOJtqUQqffoCGaqTVxxTDgV0k/edit"",""19!e42""))"),1915.0)</f>
        <v>1915</v>
      </c>
      <c r="K501" s="40">
        <f>IFERROR(__xludf.DUMMYFUNCTION("(IMPORTRANGE(""https://docs.google.com/spreadsheets/d/1rJyYfywRpWJW0zvDJHLOJtqUQqffoCGaqTVxxTDgV0k/edit"",""19!e43""))"),0.0)</f>
        <v>0</v>
      </c>
      <c r="L501" s="40">
        <f t="shared" si="1395"/>
        <v>1915</v>
      </c>
      <c r="M501" s="40">
        <f t="shared" si="1367"/>
        <v>2886</v>
      </c>
      <c r="N501" s="41">
        <f t="shared" si="1368"/>
        <v>199.299913</v>
      </c>
      <c r="O501" s="38">
        <v>5887.0</v>
      </c>
      <c r="P501" s="42">
        <f t="shared" si="1369"/>
        <v>0.4902327162</v>
      </c>
      <c r="Q501" s="43">
        <v>1.5</v>
      </c>
      <c r="R501" s="42">
        <f t="shared" si="1370"/>
        <v>0.4197301074</v>
      </c>
      <c r="S501" s="44">
        <f t="shared" si="1371"/>
        <v>0.6295951611</v>
      </c>
      <c r="T501" s="43">
        <f>F501/24.792</f>
        <v>184.8942401</v>
      </c>
      <c r="U501" s="43">
        <f t="shared" si="1372"/>
        <v>8.038880003</v>
      </c>
      <c r="V501" s="40">
        <f t="shared" si="1373"/>
        <v>125.4782609</v>
      </c>
      <c r="X501" s="31">
        <v>4.0</v>
      </c>
      <c r="Y501" s="31" t="s">
        <v>38</v>
      </c>
      <c r="Z501" s="31">
        <f t="shared" ref="Z501:AI501" si="1396">SUM(D504)</f>
        <v>23</v>
      </c>
      <c r="AA501" s="32">
        <f t="shared" si="1396"/>
        <v>23</v>
      </c>
      <c r="AB501" s="33">
        <f t="shared" si="1396"/>
        <v>4573.755</v>
      </c>
      <c r="AC501" s="32">
        <f t="shared" si="1396"/>
        <v>1206</v>
      </c>
      <c r="AD501" s="32">
        <f t="shared" si="1396"/>
        <v>107</v>
      </c>
      <c r="AE501" s="32">
        <f t="shared" si="1396"/>
        <v>1313</v>
      </c>
      <c r="AF501" s="32">
        <f t="shared" si="1396"/>
        <v>1891</v>
      </c>
      <c r="AG501" s="32">
        <f t="shared" si="1396"/>
        <v>0</v>
      </c>
      <c r="AH501" s="32">
        <f t="shared" si="1396"/>
        <v>1891</v>
      </c>
      <c r="AI501" s="32">
        <f t="shared" si="1396"/>
        <v>3204</v>
      </c>
      <c r="AJ501" s="34">
        <f t="shared" si="1385"/>
        <v>198.858913</v>
      </c>
      <c r="AK501" s="31">
        <v>7324.0</v>
      </c>
      <c r="AL501" s="35">
        <f t="shared" si="1387"/>
        <v>0.4374658656</v>
      </c>
      <c r="AM501" s="36">
        <f>SUM(Q504)</f>
        <v>1.5</v>
      </c>
      <c r="AN501" s="35">
        <f t="shared" si="1389"/>
        <v>0.4670123345</v>
      </c>
      <c r="AO501" s="37">
        <f t="shared" si="1390"/>
        <v>0.7005185018</v>
      </c>
      <c r="AP501" s="36">
        <f t="shared" ref="AP501:AQ501" si="1397">SUM(T504)</f>
        <v>111</v>
      </c>
      <c r="AQ501" s="36">
        <f t="shared" si="1397"/>
        <v>4.826086957</v>
      </c>
      <c r="AR501" s="32">
        <f t="shared" si="1392"/>
        <v>139.3043478</v>
      </c>
    </row>
    <row r="502" ht="15.75" customHeight="1">
      <c r="A502" s="21"/>
      <c r="B502" s="38">
        <v>12.0</v>
      </c>
      <c r="C502" s="38" t="s">
        <v>39</v>
      </c>
      <c r="D502" s="39">
        <v>21.0</v>
      </c>
      <c r="E502" s="40">
        <f>IFERROR(__xludf.DUMMYFUNCTION("COUNT(IMPORTRANGE(""https://docs.google.com/spreadsheets/d/1uaTn2DZCfr7O1PvovOd0wElzVz8kpl_iPfnrkNPp0Is/edit"",""19!d2:d29""))"),21.0)</f>
        <v>21</v>
      </c>
      <c r="F502" s="45">
        <f>IFERROR(__xludf.DUMMYFUNCTION("SUM(IMPORTRANGE(""https://docs.google.com/spreadsheets/d/1uaTn2DZCfr7O1PvovOd0wElzVz8kpl_iPfnrkNPp0Is/edit"",""19!Q2:Q29""))"),4212.204999999999)</f>
        <v>4212.205</v>
      </c>
      <c r="G502" s="40">
        <f>IFERROR(__xludf.DUMMYFUNCTION("IMPORTRANGE(""https://docs.google.com/spreadsheets/d/1uaTn2DZCfr7O1PvovOd0wElzVz8kpl_iPfnrkNPp0Is/edit"",""19!e36"")"),830.0)</f>
        <v>830</v>
      </c>
      <c r="H502" s="40">
        <f>IFERROR(__xludf.DUMMYFUNCTION("(IMPORTRANGE(""https://docs.google.com/spreadsheets/d/1uaTn2DZCfr7O1PvovOd0wElzVz8kpl_iPfnrkNPp0Is/edit"",""19!e37""))"),0.0)</f>
        <v>0</v>
      </c>
      <c r="I502" s="40">
        <f t="shared" si="1365"/>
        <v>830</v>
      </c>
      <c r="J502" s="40">
        <f>IFERROR(__xludf.DUMMYFUNCTION("IMPORTRANGE(""https://docs.google.com/spreadsheets/d/1uaTn2DZCfr7O1PvovOd0wElzVz8kpl_iPfnrkNPp0Is/edit"",""19!e40"")"),1305.0)</f>
        <v>1305</v>
      </c>
      <c r="K502" s="40">
        <f>IFERROR(__xludf.DUMMYFUNCTION("IMPORTRANGE(""https://docs.google.com/spreadsheets/d/1uaTn2DZCfr7O1PvovOd0wElzVz8kpl_iPfnrkNPp0Is/edit"",""19!e41"")"),0.0)</f>
        <v>0</v>
      </c>
      <c r="L502" s="40">
        <f t="shared" si="1395"/>
        <v>1305</v>
      </c>
      <c r="M502" s="40">
        <f t="shared" si="1367"/>
        <v>2135</v>
      </c>
      <c r="N502" s="41">
        <f t="shared" si="1368"/>
        <v>200.5811905</v>
      </c>
      <c r="O502" s="38">
        <v>3569.0</v>
      </c>
      <c r="P502" s="42">
        <f t="shared" si="1369"/>
        <v>0.5982067806</v>
      </c>
      <c r="Q502" s="43">
        <v>1.5</v>
      </c>
      <c r="R502" s="42">
        <f t="shared" si="1370"/>
        <v>0.3379069474</v>
      </c>
      <c r="S502" s="44">
        <f t="shared" si="1371"/>
        <v>0.5068604211</v>
      </c>
      <c r="T502" s="43">
        <f>F502/21.463</f>
        <v>196.2542515</v>
      </c>
      <c r="U502" s="43">
        <f t="shared" si="1372"/>
        <v>9.345440548</v>
      </c>
      <c r="V502" s="40">
        <f t="shared" si="1373"/>
        <v>101.6666667</v>
      </c>
      <c r="X502" s="31">
        <v>5.0</v>
      </c>
      <c r="Y502" s="31" t="s">
        <v>40</v>
      </c>
      <c r="Z502" s="31">
        <f t="shared" ref="Z502:AI502" si="1398">SUM(D506)</f>
        <v>23</v>
      </c>
      <c r="AA502" s="32">
        <f t="shared" si="1398"/>
        <v>23</v>
      </c>
      <c r="AB502" s="33">
        <f t="shared" si="1398"/>
        <v>4437.108</v>
      </c>
      <c r="AC502" s="32">
        <f t="shared" si="1398"/>
        <v>1996</v>
      </c>
      <c r="AD502" s="32">
        <f t="shared" si="1398"/>
        <v>102</v>
      </c>
      <c r="AE502" s="32">
        <f t="shared" si="1398"/>
        <v>2098</v>
      </c>
      <c r="AF502" s="32">
        <f t="shared" si="1398"/>
        <v>2599</v>
      </c>
      <c r="AG502" s="32">
        <f t="shared" si="1398"/>
        <v>120</v>
      </c>
      <c r="AH502" s="32">
        <f t="shared" si="1398"/>
        <v>2719</v>
      </c>
      <c r="AI502" s="32">
        <f t="shared" si="1398"/>
        <v>4817</v>
      </c>
      <c r="AJ502" s="34">
        <f t="shared" si="1385"/>
        <v>192.9177391</v>
      </c>
      <c r="AK502" s="31">
        <f t="shared" ref="AK502:AK503" si="1401">SUM(O506)</f>
        <v>8239</v>
      </c>
      <c r="AL502" s="35">
        <f t="shared" si="1387"/>
        <v>0.5846583323</v>
      </c>
      <c r="AM502" s="36">
        <f t="shared" ref="AM502:AM503" si="1402">SUM(Q506)</f>
        <v>1.5</v>
      </c>
      <c r="AN502" s="35">
        <f t="shared" si="1389"/>
        <v>0.7237446854</v>
      </c>
      <c r="AO502" s="37">
        <f t="shared" si="1390"/>
        <v>1.085617028</v>
      </c>
      <c r="AP502" s="36">
        <f t="shared" ref="AP502:AQ502" si="1399">SUM(T506)</f>
        <v>156</v>
      </c>
      <c r="AQ502" s="36">
        <f t="shared" si="1399"/>
        <v>6.782608696</v>
      </c>
      <c r="AR502" s="32">
        <f t="shared" si="1392"/>
        <v>209.4347826</v>
      </c>
    </row>
    <row r="503" ht="15.75" customHeight="1">
      <c r="A503" s="21"/>
      <c r="B503" s="38">
        <v>12.0</v>
      </c>
      <c r="C503" s="38" t="s">
        <v>41</v>
      </c>
      <c r="D503" s="39">
        <v>19.0</v>
      </c>
      <c r="E503" s="40">
        <f>IFERROR(__xludf.DUMMYFUNCTION("COUNT(IMPORTRANGE(""https://docs.google.com/spreadsheets/d/1oYscvfOJW7GMkxt8QcupWuzb3ohaYePd3Mt2V2ufHok/edit"",""19!d2:d25""))"),19.0)</f>
        <v>19</v>
      </c>
      <c r="F503" s="45">
        <f>IFERROR(__xludf.DUMMYFUNCTION("SUM(IMPORTRANGE(""https://docs.google.com/spreadsheets/d/1oYscvfOJW7GMkxt8QcupWuzb3ohaYePd3Mt2V2ufHok/edit"",""19!Q2:Q25""))"),3812.136000000001)</f>
        <v>3812.136</v>
      </c>
      <c r="G503" s="40">
        <f>IFERROR(__xludf.DUMMYFUNCTION("IMPORTRANGE(""https://docs.google.com/spreadsheets/d/1oYscvfOJW7GMkxt8QcupWuzb3ohaYePd3Mt2V2ufHok/edit"",""19!e32"")"),740.0)</f>
        <v>740</v>
      </c>
      <c r="H503" s="40">
        <f>IFERROR(__xludf.DUMMYFUNCTION("IMPORTRANGE(""https://docs.google.com/spreadsheets/d/1oYscvfOJW7GMkxt8QcupWuzb3ohaYePd3Mt2V2ufHok/edit"",""19!e33"")"),0.0)</f>
        <v>0</v>
      </c>
      <c r="I503" s="40">
        <f t="shared" si="1365"/>
        <v>740</v>
      </c>
      <c r="J503" s="40">
        <f>IFERROR(__xludf.DUMMYFUNCTION("IMPORTRANGE(""https://docs.google.com/spreadsheets/d/1oYscvfOJW7GMkxt8QcupWuzb3ohaYePd3Mt2V2ufHok/edit"",""19!e36"")"),988.0)</f>
        <v>988</v>
      </c>
      <c r="K503" s="40">
        <f>IFERROR(__xludf.DUMMYFUNCTION("IMPORTRANGE(""https://docs.google.com/spreadsheets/d/1oYscvfOJW7GMkxt8QcupWuzb3ohaYePd3Mt2V2ufHok/edit"",""19!e37"")"),0.0)</f>
        <v>0</v>
      </c>
      <c r="L503" s="40">
        <f t="shared" si="1395"/>
        <v>988</v>
      </c>
      <c r="M503" s="40">
        <f t="shared" si="1367"/>
        <v>1728</v>
      </c>
      <c r="N503" s="41">
        <f t="shared" si="1368"/>
        <v>200.6387368</v>
      </c>
      <c r="O503" s="38">
        <v>3801.0</v>
      </c>
      <c r="P503" s="42">
        <f t="shared" si="1369"/>
        <v>0.454617206</v>
      </c>
      <c r="Q503" s="43">
        <v>1.5</v>
      </c>
      <c r="R503" s="42">
        <f t="shared" si="1370"/>
        <v>0.3021927864</v>
      </c>
      <c r="S503" s="44">
        <f t="shared" si="1371"/>
        <v>0.4532891796</v>
      </c>
      <c r="T503" s="43">
        <f>F503/29.628</f>
        <v>128.6666667</v>
      </c>
      <c r="U503" s="43">
        <f t="shared" si="1372"/>
        <v>6.771929825</v>
      </c>
      <c r="V503" s="40">
        <f t="shared" si="1373"/>
        <v>90.94736842</v>
      </c>
      <c r="X503" s="22">
        <v>6.0</v>
      </c>
      <c r="Y503" s="22" t="s">
        <v>42</v>
      </c>
      <c r="Z503" s="22">
        <f t="shared" ref="Z503:AI503" si="1400">SUM(D507)</f>
        <v>24</v>
      </c>
      <c r="AA503" s="23">
        <f t="shared" si="1400"/>
        <v>23</v>
      </c>
      <c r="AB503" s="24">
        <f t="shared" si="1400"/>
        <v>4515.584</v>
      </c>
      <c r="AC503" s="23">
        <f t="shared" si="1400"/>
        <v>1926</v>
      </c>
      <c r="AD503" s="23">
        <f t="shared" si="1400"/>
        <v>0</v>
      </c>
      <c r="AE503" s="23">
        <f t="shared" si="1400"/>
        <v>1926</v>
      </c>
      <c r="AF503" s="23">
        <f t="shared" si="1400"/>
        <v>2539</v>
      </c>
      <c r="AG503" s="23">
        <f t="shared" si="1400"/>
        <v>0</v>
      </c>
      <c r="AH503" s="23">
        <f t="shared" si="1400"/>
        <v>2539</v>
      </c>
      <c r="AI503" s="23">
        <f t="shared" si="1400"/>
        <v>4465</v>
      </c>
      <c r="AJ503" s="25">
        <f t="shared" si="1385"/>
        <v>196.3297391</v>
      </c>
      <c r="AK503" s="22">
        <f t="shared" si="1401"/>
        <v>9877</v>
      </c>
      <c r="AL503" s="26">
        <f t="shared" si="1387"/>
        <v>0.4520603422</v>
      </c>
      <c r="AM503" s="27">
        <f t="shared" si="1402"/>
        <v>1.5</v>
      </c>
      <c r="AN503" s="26">
        <f t="shared" si="1389"/>
        <v>0.6591986035</v>
      </c>
      <c r="AO503" s="28">
        <f t="shared" si="1390"/>
        <v>0.9887979052</v>
      </c>
      <c r="AP503" s="27">
        <f t="shared" ref="AP503:AQ503" si="1403">SUM(T507)</f>
        <v>172.6470656</v>
      </c>
      <c r="AQ503" s="27">
        <f t="shared" si="1403"/>
        <v>7.506394155</v>
      </c>
      <c r="AR503" s="23">
        <f t="shared" si="1392"/>
        <v>194.1304348</v>
      </c>
    </row>
    <row r="504" ht="15.75" customHeight="1">
      <c r="A504" s="21"/>
      <c r="B504" s="38">
        <v>13.0</v>
      </c>
      <c r="C504" s="38" t="s">
        <v>43</v>
      </c>
      <c r="D504" s="39">
        <v>23.0</v>
      </c>
      <c r="E504" s="40">
        <f>IFERROR(__xludf.DUMMYFUNCTION("COUNT(IMPORTRANGE(""https://docs.google.com/spreadsheets/d/1AxBmuQEdOYAeRnZ4C8vO6kuTNp7X_SGhpLXuY0n4ln4/edit"",""19!d2:d31""))"),23.0)</f>
        <v>23</v>
      </c>
      <c r="F504" s="45">
        <f>IFERROR(__xludf.DUMMYFUNCTION("SUM(IMPORTRANGE(""https://docs.google.com/spreadsheets/d/1AxBmuQEdOYAeRnZ4C8vO6kuTNp7X_SGhpLXuY0n4ln4/edit"",""19!Q2:Q31""))"),4573.755)</f>
        <v>4573.755</v>
      </c>
      <c r="G504" s="40">
        <f>IFERROR(__xludf.DUMMYFUNCTION("IMPORTRANGE(""https://docs.google.com/spreadsheets/d/1AxBmuQEdOYAeRnZ4C8vO6kuTNp7X_SGhpLXuY0n4ln4/edit"",""19!e38"")"),1206.0)</f>
        <v>1206</v>
      </c>
      <c r="H504" s="40">
        <f>IFERROR(__xludf.DUMMYFUNCTION("IMPORTRANGE(""https://docs.google.com/spreadsheets/d/1AxBmuQEdOYAeRnZ4C8vO6kuTNp7X_SGhpLXuY0n4ln4/edit"",""19!e39"")"),107.0)</f>
        <v>107</v>
      </c>
      <c r="I504" s="40">
        <f t="shared" si="1365"/>
        <v>1313</v>
      </c>
      <c r="J504" s="40">
        <f>IFERROR(__xludf.DUMMYFUNCTION("IMPORTRANGE(""https://docs.google.com/spreadsheets/d/1AxBmuQEdOYAeRnZ4C8vO6kuTNp7X_SGhpLXuY0n4ln4/edit"",""19!e42"")"),1891.0)</f>
        <v>1891</v>
      </c>
      <c r="K504" s="40">
        <f>IFERROR(__xludf.DUMMYFUNCTION("IMPORTRANGE(""https://docs.google.com/spreadsheets/d/1AxBmuQEdOYAeRnZ4C8vO6kuTNp7X_SGhpLXuY0n4ln4/edit"",""19!e43"")"),0.0)</f>
        <v>0</v>
      </c>
      <c r="L504" s="40">
        <f t="shared" si="1395"/>
        <v>1891</v>
      </c>
      <c r="M504" s="40">
        <f t="shared" si="1367"/>
        <v>3204</v>
      </c>
      <c r="N504" s="41">
        <f t="shared" si="1368"/>
        <v>198.858913</v>
      </c>
      <c r="O504" s="38">
        <v>8345.0</v>
      </c>
      <c r="P504" s="42">
        <f t="shared" si="1369"/>
        <v>0.3839424805</v>
      </c>
      <c r="Q504" s="43">
        <v>1.5</v>
      </c>
      <c r="R504" s="42">
        <f t="shared" si="1370"/>
        <v>0.4670123345</v>
      </c>
      <c r="S504" s="44">
        <f t="shared" si="1371"/>
        <v>0.7005185018</v>
      </c>
      <c r="T504" s="43">
        <f>F504/41.205</f>
        <v>111</v>
      </c>
      <c r="U504" s="43">
        <f t="shared" si="1372"/>
        <v>4.826086957</v>
      </c>
      <c r="V504" s="40">
        <f t="shared" si="1373"/>
        <v>139.3043478</v>
      </c>
      <c r="X504" s="46" t="s">
        <v>33</v>
      </c>
      <c r="Y504" s="46">
        <v>6.0</v>
      </c>
      <c r="Z504" s="46">
        <f t="shared" ref="Z504:AI504" si="1404">SUM(Z498:Z503)</f>
        <v>169</v>
      </c>
      <c r="AA504" s="47">
        <f t="shared" si="1404"/>
        <v>167</v>
      </c>
      <c r="AB504" s="49">
        <f t="shared" si="1404"/>
        <v>32911.807</v>
      </c>
      <c r="AC504" s="47">
        <f t="shared" si="1404"/>
        <v>10349</v>
      </c>
      <c r="AD504" s="47">
        <f t="shared" si="1404"/>
        <v>263</v>
      </c>
      <c r="AE504" s="47">
        <f t="shared" si="1404"/>
        <v>10612</v>
      </c>
      <c r="AF504" s="47">
        <f t="shared" si="1404"/>
        <v>13761</v>
      </c>
      <c r="AG504" s="47">
        <f t="shared" si="1404"/>
        <v>312</v>
      </c>
      <c r="AH504" s="47">
        <f t="shared" si="1404"/>
        <v>14073</v>
      </c>
      <c r="AI504" s="47">
        <f t="shared" si="1404"/>
        <v>24685</v>
      </c>
      <c r="AJ504" s="49">
        <f t="shared" si="1385"/>
        <v>197.0766886</v>
      </c>
      <c r="AK504" s="46">
        <f>SUM(AK498:AK503)</f>
        <v>53273</v>
      </c>
      <c r="AL504" s="50">
        <f t="shared" si="1387"/>
        <v>0.463367935</v>
      </c>
      <c r="AM504" s="51">
        <v>1.5</v>
      </c>
      <c r="AN504" s="50">
        <f t="shared" si="1389"/>
        <v>0.5000231882</v>
      </c>
      <c r="AO504" s="52">
        <f t="shared" si="1390"/>
        <v>0.7500347824</v>
      </c>
      <c r="AP504" s="51">
        <f>SUM(AP498:AP503)</f>
        <v>1080.504255</v>
      </c>
      <c r="AQ504" s="51">
        <f>AP504/AA504</f>
        <v>6.470085361</v>
      </c>
      <c r="AR504" s="47">
        <f t="shared" si="1392"/>
        <v>147.8143713</v>
      </c>
    </row>
    <row r="505" ht="15.75" customHeight="1">
      <c r="A505" s="21"/>
      <c r="B505" s="38">
        <v>14.0</v>
      </c>
      <c r="C505" s="38" t="s">
        <v>27</v>
      </c>
      <c r="D505" s="39">
        <v>23.0</v>
      </c>
      <c r="E505" s="40">
        <f>IFERROR(__xludf.DUMMYFUNCTION("COUNT(IMPORTRANGE(""https://docs.google.com/spreadsheets/d/1LsL4JuXvBtfJ-TVi4NFml9lV_pmd61b789A_nbO-QrA/edit"",""19!d2:d31""))"),22.0)</f>
        <v>22</v>
      </c>
      <c r="F505" s="45">
        <f>IFERROR(__xludf.DUMMYFUNCTION("SUM(IMPORTRANGE(""https://docs.google.com/spreadsheets/d/1LsL4JuXvBtfJ-TVi4NFml9lV_pmd61b789A_nbO-QrA/edit"",""19!Q2:Q31""))"),4166.735)</f>
        <v>4166.735</v>
      </c>
      <c r="G505" s="40">
        <f>IFERROR(__xludf.DUMMYFUNCTION("IMPORTRANGE(""https://docs.google.com/spreadsheets/d/1LsL4JuXvBtfJ-TVi4NFml9lV_pmd61b789A_nbO-QrA/edit"",""19!e38"")"),1484.0)</f>
        <v>1484</v>
      </c>
      <c r="H505" s="40">
        <f>IFERROR(__xludf.DUMMYFUNCTION("IMPORTRANGE(""https://docs.google.com/spreadsheets/d/1LsL4JuXvBtfJ-TVi4NFml9lV_pmd61b789A_nbO-QrA/edit"",""19!e39"")"),0.0)</f>
        <v>0</v>
      </c>
      <c r="I505" s="40">
        <f t="shared" si="1365"/>
        <v>1484</v>
      </c>
      <c r="J505" s="40">
        <f>IFERROR(__xludf.DUMMYFUNCTION("IMPORTRANGE(""https://docs.google.com/spreadsheets/d/1LsL4JuXvBtfJ-TVi4NFml9lV_pmd61b789A_nbO-QrA/edit"",""19!e42"")"),1968.0)</f>
        <v>1968</v>
      </c>
      <c r="K505" s="40">
        <f>IFERROR(__xludf.DUMMYFUNCTION("IMPORTRANGE(""https://docs.google.com/spreadsheets/d/1LsL4JuXvBtfJ-TVi4NFml9lV_pmd61b789A_nbO-QrA/edit"",""19!e43"")"),0.0)</f>
        <v>0</v>
      </c>
      <c r="L505" s="40">
        <f t="shared" si="1395"/>
        <v>1968</v>
      </c>
      <c r="M505" s="40">
        <f t="shared" si="1367"/>
        <v>3452</v>
      </c>
      <c r="N505" s="41">
        <f t="shared" si="1368"/>
        <v>189.3970455</v>
      </c>
      <c r="O505" s="38">
        <v>8101.0</v>
      </c>
      <c r="P505" s="42">
        <f t="shared" si="1369"/>
        <v>0.4261202321</v>
      </c>
      <c r="Q505" s="43">
        <v>1.5</v>
      </c>
      <c r="R505" s="42">
        <f t="shared" si="1370"/>
        <v>0.5523109421</v>
      </c>
      <c r="S505" s="44">
        <f t="shared" si="1371"/>
        <v>0.8284664132</v>
      </c>
      <c r="T505" s="43">
        <f>F505/19.985</f>
        <v>208.4931198</v>
      </c>
      <c r="U505" s="43">
        <f t="shared" si="1372"/>
        <v>9.476959993</v>
      </c>
      <c r="V505" s="40">
        <f t="shared" si="1373"/>
        <v>156.9090909</v>
      </c>
      <c r="X505" s="59" t="s">
        <v>44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6"/>
    </row>
    <row r="506" ht="15.75" customHeight="1">
      <c r="A506" s="21"/>
      <c r="B506" s="38">
        <v>15.0</v>
      </c>
      <c r="C506" s="38" t="s">
        <v>40</v>
      </c>
      <c r="D506" s="39">
        <v>23.0</v>
      </c>
      <c r="E506" s="40">
        <f>IFERROR(__xludf.DUMMYFUNCTION("COUNT(IMPORTRANGE(""https://docs.google.com/spreadsheets/d/1Krav0MVlY0vbUNsFRDnb_kR72_tyuGnWBYbGjNZrl18/edit"",""19!d2:d31""))"),23.0)</f>
        <v>23</v>
      </c>
      <c r="F506" s="45">
        <f>IFERROR(__xludf.DUMMYFUNCTION("SUM(IMPORTRANGE(""https://docs.google.com/spreadsheets/d/1Krav0MVlY0vbUNsFRDnb_kR72_tyuGnWBYbGjNZrl18/edit"",""19!Q2:Q31""))"),4437.108000000001)</f>
        <v>4437.108</v>
      </c>
      <c r="G506" s="40">
        <f>IFERROR(__xludf.DUMMYFUNCTION("IMPORTRANGE(""https://docs.google.com/spreadsheets/d/1Krav0MVlY0vbUNsFRDnb_kR72_tyuGnWBYbGjNZrl18/edit"",""19!e38"")"),1996.0)</f>
        <v>1996</v>
      </c>
      <c r="H506" s="40">
        <f>IFERROR(__xludf.DUMMYFUNCTION("IMPORTRANGE(""https://docs.google.com/spreadsheets/d/1Krav0MVlY0vbUNsFRDnb_kR72_tyuGnWBYbGjNZrl18/edit"",""19!e39"")"),102.0)</f>
        <v>102</v>
      </c>
      <c r="I506" s="40">
        <f t="shared" si="1365"/>
        <v>2098</v>
      </c>
      <c r="J506" s="40">
        <f>IFERROR(__xludf.DUMMYFUNCTION("IMPORTRANGE(""https://docs.google.com/spreadsheets/d/1Krav0MVlY0vbUNsFRDnb_kR72_tyuGnWBYbGjNZrl18/edit"",""19!e42"")"),2599.0)</f>
        <v>2599</v>
      </c>
      <c r="K506" s="40">
        <f>IFERROR(__xludf.DUMMYFUNCTION("IMPORTRANGE(""https://docs.google.com/spreadsheets/d/1Krav0MVlY0vbUNsFRDnb_kR72_tyuGnWBYbGjNZrl18/edit"",""19!e43"")"),120.0)</f>
        <v>120</v>
      </c>
      <c r="L506" s="40">
        <f t="shared" si="1395"/>
        <v>2719</v>
      </c>
      <c r="M506" s="40">
        <f t="shared" si="1367"/>
        <v>4817</v>
      </c>
      <c r="N506" s="41">
        <f t="shared" si="1368"/>
        <v>192.9177391</v>
      </c>
      <c r="O506" s="38">
        <v>8239.0</v>
      </c>
      <c r="P506" s="42">
        <f t="shared" si="1369"/>
        <v>0.5846583323</v>
      </c>
      <c r="Q506" s="43">
        <v>1.5</v>
      </c>
      <c r="R506" s="42">
        <f t="shared" si="1370"/>
        <v>0.7237446854</v>
      </c>
      <c r="S506" s="44">
        <f t="shared" si="1371"/>
        <v>1.085617028</v>
      </c>
      <c r="T506" s="43">
        <f>F506/28.443</f>
        <v>156</v>
      </c>
      <c r="U506" s="43">
        <f t="shared" si="1372"/>
        <v>6.782608696</v>
      </c>
      <c r="V506" s="40">
        <f t="shared" si="1373"/>
        <v>209.4347826</v>
      </c>
      <c r="X506" s="14" t="s">
        <v>2</v>
      </c>
      <c r="Y506" s="14" t="s">
        <v>3</v>
      </c>
      <c r="Z506" s="14" t="s">
        <v>4</v>
      </c>
      <c r="AA506" s="14" t="s">
        <v>5</v>
      </c>
      <c r="AB506" s="15" t="s">
        <v>6</v>
      </c>
      <c r="AC506" s="14" t="s">
        <v>7</v>
      </c>
      <c r="AD506" s="14" t="s">
        <v>8</v>
      </c>
      <c r="AE506" s="14" t="s">
        <v>9</v>
      </c>
      <c r="AF506" s="14" t="s">
        <v>10</v>
      </c>
      <c r="AG506" s="14" t="s">
        <v>11</v>
      </c>
      <c r="AH506" s="14" t="s">
        <v>12</v>
      </c>
      <c r="AI506" s="14" t="s">
        <v>13</v>
      </c>
      <c r="AJ506" s="15" t="s">
        <v>14</v>
      </c>
      <c r="AK506" s="14" t="s">
        <v>15</v>
      </c>
      <c r="AL506" s="14" t="s">
        <v>16</v>
      </c>
      <c r="AM506" s="16" t="s">
        <v>17</v>
      </c>
      <c r="AN506" s="17" t="s">
        <v>18</v>
      </c>
      <c r="AO506" s="18" t="s">
        <v>19</v>
      </c>
      <c r="AP506" s="19" t="s">
        <v>20</v>
      </c>
      <c r="AQ506" s="19" t="s">
        <v>21</v>
      </c>
      <c r="AR506" s="20" t="s">
        <v>22</v>
      </c>
    </row>
    <row r="507" ht="15.75" customHeight="1">
      <c r="A507" s="21"/>
      <c r="B507" s="38">
        <v>16.0</v>
      </c>
      <c r="C507" s="38" t="s">
        <v>42</v>
      </c>
      <c r="D507" s="39">
        <v>24.0</v>
      </c>
      <c r="E507" s="40">
        <f>IFERROR(__xludf.DUMMYFUNCTION("COUNT(IMPORTRANGE(""https://docs.google.com/spreadsheets/d/1uXtm-E8PG0CetlFmSpTX3RK0LNEMnpR-mxbET9AGD6w/edit"",""19!d2:d34""))"),23.0)</f>
        <v>23</v>
      </c>
      <c r="F507" s="45">
        <f>IFERROR(__xludf.DUMMYFUNCTION("SUM(IMPORTRANGE(""https://docs.google.com/spreadsheets/d/1uXtm-E8PG0CetlFmSpTX3RK0LNEMnpR-mxbET9AGD6w/edit"",""19!Q2:Q34""))"),4515.584)</f>
        <v>4515.584</v>
      </c>
      <c r="G507" s="40">
        <f>IFERROR(__xludf.DUMMYFUNCTION("IMPORTRANGE(""https://docs.google.com/spreadsheets/d/1uXtm-E8PG0CetlFmSpTX3RK0LNEMnpR-mxbET9AGD6w/edit"",""19!e41"")"),1926.0)</f>
        <v>1926</v>
      </c>
      <c r="H507" s="40">
        <f>IFERROR(__xludf.DUMMYFUNCTION("IMPORTRANGE(""https://docs.google.com/spreadsheets/d/1uXtm-E8PG0CetlFmSpTX3RK0LNEMnpR-mxbET9AGD6w/edit"",""19!e42"")"),0.0)</f>
        <v>0</v>
      </c>
      <c r="I507" s="40">
        <f t="shared" si="1365"/>
        <v>1926</v>
      </c>
      <c r="J507" s="40">
        <f>IFERROR(__xludf.DUMMYFUNCTION("IMPORTRANGE(""https://docs.google.com/spreadsheets/d/1uXtm-E8PG0CetlFmSpTX3RK0LNEMnpR-mxbET9AGD6w/edit"",""19!e45"")"),2539.0)</f>
        <v>2539</v>
      </c>
      <c r="K507" s="40">
        <f>IFERROR(__xludf.DUMMYFUNCTION("IMPORTRANGE(""https://docs.google.com/spreadsheets/d/1uXtm-E8PG0CetlFmSpTX3RK0LNEMnpR-mxbET9AGD6w/edit"",""19!e46"")"),0.0)</f>
        <v>0</v>
      </c>
      <c r="L507" s="40">
        <f t="shared" si="1395"/>
        <v>2539</v>
      </c>
      <c r="M507" s="40">
        <f t="shared" si="1367"/>
        <v>4465</v>
      </c>
      <c r="N507" s="41">
        <f t="shared" si="1368"/>
        <v>196.3297391</v>
      </c>
      <c r="O507" s="38">
        <v>9877.0</v>
      </c>
      <c r="P507" s="42">
        <f t="shared" si="1369"/>
        <v>0.4520603422</v>
      </c>
      <c r="Q507" s="43">
        <v>1.5</v>
      </c>
      <c r="R507" s="42">
        <f t="shared" si="1370"/>
        <v>0.6591986035</v>
      </c>
      <c r="S507" s="44">
        <f t="shared" si="1371"/>
        <v>0.9887979052</v>
      </c>
      <c r="T507" s="43">
        <f>F507/26.155</f>
        <v>172.6470656</v>
      </c>
      <c r="U507" s="43">
        <f t="shared" si="1372"/>
        <v>7.506394155</v>
      </c>
      <c r="V507" s="40">
        <f t="shared" si="1373"/>
        <v>194.1304348</v>
      </c>
      <c r="X507" s="31">
        <v>1.0</v>
      </c>
      <c r="Y507" s="31" t="s">
        <v>26</v>
      </c>
      <c r="Z507" s="31">
        <f t="shared" ref="Z507:AI507" si="1405">SUM(D492)</f>
        <v>15</v>
      </c>
      <c r="AA507" s="32">
        <f t="shared" si="1405"/>
        <v>15</v>
      </c>
      <c r="AB507" s="34">
        <f t="shared" si="1405"/>
        <v>2674.365</v>
      </c>
      <c r="AC507" s="32">
        <f t="shared" si="1405"/>
        <v>1404</v>
      </c>
      <c r="AD507" s="32">
        <f t="shared" si="1405"/>
        <v>0</v>
      </c>
      <c r="AE507" s="32">
        <f t="shared" si="1405"/>
        <v>1404</v>
      </c>
      <c r="AF507" s="32">
        <f t="shared" si="1405"/>
        <v>2018</v>
      </c>
      <c r="AG507" s="32">
        <f t="shared" si="1405"/>
        <v>0</v>
      </c>
      <c r="AH507" s="32">
        <f t="shared" si="1405"/>
        <v>2018</v>
      </c>
      <c r="AI507" s="32">
        <f t="shared" si="1405"/>
        <v>3422</v>
      </c>
      <c r="AJ507" s="34">
        <f t="shared" ref="AJ507:AJ513" si="1408">AB507/AA507</f>
        <v>178.291</v>
      </c>
      <c r="AK507" s="31">
        <f>SUM(O492)</f>
        <v>5161</v>
      </c>
      <c r="AL507" s="35">
        <f t="shared" ref="AL507:AL513" si="1409">AI507/AK507</f>
        <v>0.6630497966</v>
      </c>
      <c r="AM507" s="36">
        <f>SUM(Q492)</f>
        <v>1.5</v>
      </c>
      <c r="AN507" s="35">
        <f t="shared" ref="AN507:AN513" si="1410">AO507/AM507</f>
        <v>0.8530373877</v>
      </c>
      <c r="AO507" s="37">
        <f t="shared" ref="AO507:AO513" si="1411">AI507/AB507</f>
        <v>1.279556082</v>
      </c>
      <c r="AP507" s="36">
        <f t="shared" ref="AP507:AQ507" si="1406">SUM(T492)</f>
        <v>185.5265349</v>
      </c>
      <c r="AQ507" s="36">
        <f t="shared" si="1406"/>
        <v>12.36843566</v>
      </c>
      <c r="AR507" s="32">
        <f t="shared" ref="AR507:AR513" si="1413">AI507/AA507</f>
        <v>228.1333333</v>
      </c>
    </row>
    <row r="508" ht="15.75" customHeight="1">
      <c r="A508" s="21"/>
      <c r="B508" s="38">
        <v>17.0</v>
      </c>
      <c r="C508" s="38" t="s">
        <v>29</v>
      </c>
      <c r="D508" s="39">
        <v>23.0</v>
      </c>
      <c r="E508" s="40">
        <f>IFERROR(__xludf.DUMMYFUNCTION("COUNT(IMPORTRANGE(""https://docs.google.com/spreadsheets/d/12xcKI0lSnAsjEsxfm9K8Qx0B_89Gzsh816mowItkQao/edit"",""19!d2:d31""))"),23.0)</f>
        <v>23</v>
      </c>
      <c r="F508" s="45">
        <f>IFERROR(__xludf.DUMMYFUNCTION("SUM(IMPORTRANGE(""https://docs.google.com/spreadsheets/d/12xcKI0lSnAsjEsxfm9K8Qx0B_89Gzsh816mowItkQao/edit"",""19!Q2:Q31""))"),4381.582000000001)</f>
        <v>4381.582</v>
      </c>
      <c r="G508" s="40">
        <f>IFERROR(__xludf.DUMMYFUNCTION("IMPORTRANGE(""https://docs.google.com/spreadsheets/d/12xcKI0lSnAsjEsxfm9K8Qx0B_89Gzsh816mowItkQao/edit"",""19!e38"")"),1554.0)</f>
        <v>1554</v>
      </c>
      <c r="H508" s="40">
        <f>IFERROR(__xludf.DUMMYFUNCTION("IMPORTRANGE(""https://docs.google.com/spreadsheets/d/12xcKI0lSnAsjEsxfm9K8Qx0B_89Gzsh816mowItkQao/edit"",""19!e39"")"),0.0)</f>
        <v>0</v>
      </c>
      <c r="I508" s="40">
        <f t="shared" si="1365"/>
        <v>1554</v>
      </c>
      <c r="J508" s="40">
        <f>IFERROR(__xludf.DUMMYFUNCTION("IMPORTRANGE(""https://docs.google.com/spreadsheets/d/12xcKI0lSnAsjEsxfm9K8Qx0B_89Gzsh816mowItkQao/edit"",""19!e42"")"),2385.0)</f>
        <v>2385</v>
      </c>
      <c r="K508" s="40">
        <f>IFERROR(__xludf.DUMMYFUNCTION("IMPORTRANGE(""https://docs.google.com/spreadsheets/d/12xcKI0lSnAsjEsxfm9K8Qx0B_89Gzsh816mowItkQao/edit"",""19!e43"")"),0.0)</f>
        <v>0</v>
      </c>
      <c r="L508" s="40">
        <f t="shared" si="1395"/>
        <v>2385</v>
      </c>
      <c r="M508" s="40">
        <f t="shared" si="1367"/>
        <v>3939</v>
      </c>
      <c r="N508" s="41">
        <f t="shared" si="1368"/>
        <v>190.5035652</v>
      </c>
      <c r="O508" s="38">
        <v>9201.0</v>
      </c>
      <c r="P508" s="42">
        <f t="shared" si="1369"/>
        <v>0.4281056407</v>
      </c>
      <c r="Q508" s="43">
        <v>1.5</v>
      </c>
      <c r="R508" s="42">
        <f t="shared" si="1370"/>
        <v>0.5993269098</v>
      </c>
      <c r="S508" s="44">
        <f t="shared" si="1371"/>
        <v>0.8989903647</v>
      </c>
      <c r="T508" s="43">
        <f>F508/26.038</f>
        <v>168.2764421</v>
      </c>
      <c r="U508" s="43">
        <f t="shared" si="1372"/>
        <v>7.316367049</v>
      </c>
      <c r="V508" s="40">
        <f t="shared" si="1373"/>
        <v>171.2608696</v>
      </c>
      <c r="X508" s="31">
        <v>2.0</v>
      </c>
      <c r="Y508" s="31" t="s">
        <v>32</v>
      </c>
      <c r="Z508" s="31">
        <f t="shared" ref="Z508:AI508" si="1407">SUM(D495)</f>
        <v>32</v>
      </c>
      <c r="AA508" s="32">
        <f t="shared" si="1407"/>
        <v>32</v>
      </c>
      <c r="AB508" s="33">
        <f t="shared" si="1407"/>
        <v>6422.784</v>
      </c>
      <c r="AC508" s="31">
        <f t="shared" si="1407"/>
        <v>2812</v>
      </c>
      <c r="AD508" s="31">
        <f t="shared" si="1407"/>
        <v>114</v>
      </c>
      <c r="AE508" s="32">
        <f t="shared" si="1407"/>
        <v>2926</v>
      </c>
      <c r="AF508" s="31">
        <f t="shared" si="1407"/>
        <v>3371</v>
      </c>
      <c r="AG508" s="31">
        <f t="shared" si="1407"/>
        <v>0</v>
      </c>
      <c r="AH508" s="32">
        <f t="shared" si="1407"/>
        <v>3371</v>
      </c>
      <c r="AI508" s="32">
        <f t="shared" si="1407"/>
        <v>6297</v>
      </c>
      <c r="AJ508" s="34">
        <f t="shared" si="1408"/>
        <v>200.712</v>
      </c>
      <c r="AK508" s="31">
        <f>SUM(O495)</f>
        <v>13817</v>
      </c>
      <c r="AL508" s="35">
        <f t="shared" si="1409"/>
        <v>0.4557429254</v>
      </c>
      <c r="AM508" s="36">
        <f>SUM(Q495)</f>
        <v>1.5</v>
      </c>
      <c r="AN508" s="35">
        <f t="shared" si="1410"/>
        <v>0.6536106461</v>
      </c>
      <c r="AO508" s="37">
        <f t="shared" si="1411"/>
        <v>0.9804159691</v>
      </c>
      <c r="AP508" s="36">
        <f t="shared" ref="AP508:AQ508" si="1412">SUM(T495)</f>
        <v>256</v>
      </c>
      <c r="AQ508" s="36">
        <f t="shared" si="1412"/>
        <v>8</v>
      </c>
      <c r="AR508" s="32">
        <f t="shared" si="1413"/>
        <v>196.78125</v>
      </c>
    </row>
    <row r="509" ht="15.75" customHeight="1">
      <c r="A509" s="21"/>
      <c r="B509" s="38">
        <v>18.0</v>
      </c>
      <c r="C509" s="38" t="s">
        <v>31</v>
      </c>
      <c r="D509" s="39">
        <v>11.0</v>
      </c>
      <c r="E509" s="40">
        <f>IFERROR(__xludf.DUMMYFUNCTION("COUNT(IMPORTRANGE(""https://docs.google.com/spreadsheets/d/1fgCFOFzOla4Qim6_-zG-lbYhLCItqv_kZiAHoErRgcM/edit"",""19!d2:d16""))"),10.0)</f>
        <v>10</v>
      </c>
      <c r="F509" s="41">
        <f>IFERROR(__xludf.DUMMYFUNCTION("SUM(IMPORTRANGE(""https://docs.google.com/spreadsheets/d/1fgCFOFzOla4Qim6_-zG-lbYhLCItqv_kZiAHoErRgcM/edit"",""19!Q2:Q16""))"),1999.3900000000003)</f>
        <v>1999.39</v>
      </c>
      <c r="G509" s="40">
        <f>IFERROR(__xludf.DUMMYFUNCTION("IMPORTRANGE(""https://docs.google.com/spreadsheets/d/1fgCFOFzOla4Qim6_-zG-lbYhLCItqv_kZiAHoErRgcM/edit"",""19!e23"")"),425.0)</f>
        <v>425</v>
      </c>
      <c r="H509" s="40">
        <f>IFERROR(__xludf.DUMMYFUNCTION("IMPORTRANGE(""https://docs.google.com/spreadsheets/d/1fgCFOFzOla4Qim6_-zG-lbYhLCItqv_kZiAHoErRgcM/edit"",""19!e24"")"),0.0)</f>
        <v>0</v>
      </c>
      <c r="I509" s="40">
        <f t="shared" si="1365"/>
        <v>425</v>
      </c>
      <c r="J509" s="40">
        <f>IFERROR(__xludf.DUMMYFUNCTION("IMPORTRANGE(""https://docs.google.com/spreadsheets/d/1fgCFOFzOla4Qim6_-zG-lbYhLCItqv_kZiAHoErRgcM/edit"",""19!e27"")"),643.0)</f>
        <v>643</v>
      </c>
      <c r="K509" s="40">
        <f>IFERROR(__xludf.DUMMYFUNCTION("IMPORTRANGE(""https://docs.google.com/spreadsheets/d/1fgCFOFzOla4Qim6_-zG-lbYhLCItqv_kZiAHoErRgcM/edit"",""19!e28"")"),7.0)</f>
        <v>7</v>
      </c>
      <c r="L509" s="40">
        <f t="shared" si="1395"/>
        <v>650</v>
      </c>
      <c r="M509" s="40">
        <f t="shared" si="1367"/>
        <v>1075</v>
      </c>
      <c r="N509" s="41">
        <f t="shared" si="1368"/>
        <v>199.939</v>
      </c>
      <c r="O509" s="38">
        <v>2717.0</v>
      </c>
      <c r="P509" s="42">
        <f t="shared" si="1369"/>
        <v>0.3956569746</v>
      </c>
      <c r="Q509" s="43">
        <v>1.5</v>
      </c>
      <c r="R509" s="42">
        <f t="shared" si="1370"/>
        <v>0.3584426583</v>
      </c>
      <c r="S509" s="44">
        <f t="shared" si="1371"/>
        <v>0.5376639875</v>
      </c>
      <c r="T509" s="43">
        <f>F509/43.465</f>
        <v>46</v>
      </c>
      <c r="U509" s="43">
        <f t="shared" si="1372"/>
        <v>4.6</v>
      </c>
      <c r="V509" s="40">
        <f t="shared" si="1373"/>
        <v>107.5</v>
      </c>
      <c r="X509" s="31">
        <v>3.0</v>
      </c>
      <c r="Y509" s="31" t="s">
        <v>36</v>
      </c>
      <c r="Z509" s="31">
        <f t="shared" ref="Z509:AI509" si="1414">SUM(D500)</f>
        <v>22</v>
      </c>
      <c r="AA509" s="32">
        <f t="shared" si="1414"/>
        <v>22</v>
      </c>
      <c r="AB509" s="33">
        <f t="shared" si="1414"/>
        <v>4372.65</v>
      </c>
      <c r="AC509" s="32">
        <f t="shared" si="1414"/>
        <v>744</v>
      </c>
      <c r="AD509" s="32">
        <f t="shared" si="1414"/>
        <v>0</v>
      </c>
      <c r="AE509" s="32">
        <f t="shared" si="1414"/>
        <v>744</v>
      </c>
      <c r="AF509" s="32">
        <f t="shared" si="1414"/>
        <v>1706</v>
      </c>
      <c r="AG509" s="32">
        <f t="shared" si="1414"/>
        <v>0</v>
      </c>
      <c r="AH509" s="32">
        <f t="shared" si="1414"/>
        <v>1706</v>
      </c>
      <c r="AI509" s="32">
        <f t="shared" si="1414"/>
        <v>2450</v>
      </c>
      <c r="AJ509" s="34">
        <f t="shared" si="1408"/>
        <v>198.7568182</v>
      </c>
      <c r="AK509" s="31">
        <f t="shared" ref="AK509:AK512" si="1418">SUM(O500)</f>
        <v>4796</v>
      </c>
      <c r="AL509" s="35">
        <f t="shared" si="1409"/>
        <v>0.5108423686</v>
      </c>
      <c r="AM509" s="36">
        <f t="shared" ref="AM509:AM512" si="1419">SUM(Q500)</f>
        <v>1.5</v>
      </c>
      <c r="AN509" s="35">
        <f t="shared" si="1410"/>
        <v>0.3735339744</v>
      </c>
      <c r="AO509" s="37">
        <f t="shared" si="1411"/>
        <v>0.5603009617</v>
      </c>
      <c r="AP509" s="36">
        <f t="shared" ref="AP509:AQ509" si="1415">SUM(T500)</f>
        <v>116.8720265</v>
      </c>
      <c r="AQ509" s="36">
        <f t="shared" si="1415"/>
        <v>5.312364842</v>
      </c>
      <c r="AR509" s="32">
        <f t="shared" si="1413"/>
        <v>111.3636364</v>
      </c>
    </row>
    <row r="510" ht="15.75" customHeight="1">
      <c r="A510" s="21"/>
      <c r="B510" s="60" t="s">
        <v>33</v>
      </c>
      <c r="C510" s="60">
        <v>18.0</v>
      </c>
      <c r="D510" s="60">
        <f t="shared" ref="D510:M510" si="1416">SUM(D492:D509)</f>
        <v>445</v>
      </c>
      <c r="E510" s="61">
        <f t="shared" si="1416"/>
        <v>435</v>
      </c>
      <c r="F510" s="62">
        <f t="shared" si="1416"/>
        <v>85230.109</v>
      </c>
      <c r="G510" s="61">
        <f t="shared" si="1416"/>
        <v>24554</v>
      </c>
      <c r="H510" s="61">
        <f t="shared" si="1416"/>
        <v>675</v>
      </c>
      <c r="I510" s="61">
        <f t="shared" si="1416"/>
        <v>25229</v>
      </c>
      <c r="J510" s="61">
        <f t="shared" si="1416"/>
        <v>35090</v>
      </c>
      <c r="K510" s="61">
        <f t="shared" si="1416"/>
        <v>641</v>
      </c>
      <c r="L510" s="61">
        <f t="shared" si="1416"/>
        <v>35731</v>
      </c>
      <c r="M510" s="61">
        <f t="shared" si="1416"/>
        <v>60960</v>
      </c>
      <c r="N510" s="62">
        <f t="shared" si="1368"/>
        <v>195.9312851</v>
      </c>
      <c r="O510" s="60">
        <f>SUM(O492:O509)</f>
        <v>126399</v>
      </c>
      <c r="P510" s="63">
        <f t="shared" si="1369"/>
        <v>0.4822822965</v>
      </c>
      <c r="Q510" s="64">
        <v>1.5</v>
      </c>
      <c r="R510" s="63">
        <f t="shared" si="1370"/>
        <v>0.4768267984</v>
      </c>
      <c r="S510" s="65">
        <f t="shared" si="1371"/>
        <v>0.7152401976</v>
      </c>
      <c r="T510" s="64">
        <f>SUM(T492:T509)</f>
        <v>3140.507529</v>
      </c>
      <c r="U510" s="64">
        <f t="shared" si="1372"/>
        <v>7.219557537</v>
      </c>
      <c r="V510" s="61">
        <f t="shared" si="1373"/>
        <v>140.137931</v>
      </c>
      <c r="X510" s="31">
        <v>4.0</v>
      </c>
      <c r="Y510" s="31" t="s">
        <v>37</v>
      </c>
      <c r="Z510" s="31">
        <f t="shared" ref="Z510:AI510" si="1417">SUM(D501)</f>
        <v>23</v>
      </c>
      <c r="AA510" s="32">
        <f t="shared" si="1417"/>
        <v>23</v>
      </c>
      <c r="AB510" s="33">
        <f t="shared" si="1417"/>
        <v>4583.898</v>
      </c>
      <c r="AC510" s="32">
        <f t="shared" si="1417"/>
        <v>971</v>
      </c>
      <c r="AD510" s="32">
        <f t="shared" si="1417"/>
        <v>0</v>
      </c>
      <c r="AE510" s="32">
        <f t="shared" si="1417"/>
        <v>971</v>
      </c>
      <c r="AF510" s="32">
        <f t="shared" si="1417"/>
        <v>1915</v>
      </c>
      <c r="AG510" s="32">
        <f t="shared" si="1417"/>
        <v>0</v>
      </c>
      <c r="AH510" s="32">
        <f t="shared" si="1417"/>
        <v>1915</v>
      </c>
      <c r="AI510" s="32">
        <f t="shared" si="1417"/>
        <v>2886</v>
      </c>
      <c r="AJ510" s="34">
        <f t="shared" si="1408"/>
        <v>199.299913</v>
      </c>
      <c r="AK510" s="31">
        <f t="shared" si="1418"/>
        <v>5887</v>
      </c>
      <c r="AL510" s="35">
        <f t="shared" si="1409"/>
        <v>0.4902327162</v>
      </c>
      <c r="AM510" s="36">
        <f t="shared" si="1419"/>
        <v>1.5</v>
      </c>
      <c r="AN510" s="35">
        <f t="shared" si="1410"/>
        <v>0.4197301074</v>
      </c>
      <c r="AO510" s="37">
        <f t="shared" si="1411"/>
        <v>0.6295951611</v>
      </c>
      <c r="AP510" s="36">
        <f t="shared" ref="AP510:AQ510" si="1420">SUM(T501)</f>
        <v>184.8942401</v>
      </c>
      <c r="AQ510" s="36">
        <f t="shared" si="1420"/>
        <v>8.038880003</v>
      </c>
      <c r="AR510" s="32">
        <f t="shared" si="1413"/>
        <v>125.4782609</v>
      </c>
    </row>
    <row r="511" ht="15.7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X511" s="31">
        <v>5.0</v>
      </c>
      <c r="Y511" s="31" t="s">
        <v>39</v>
      </c>
      <c r="Z511" s="31">
        <f t="shared" ref="Z511:AI511" si="1421">SUM(D502)</f>
        <v>21</v>
      </c>
      <c r="AA511" s="32">
        <f t="shared" si="1421"/>
        <v>21</v>
      </c>
      <c r="AB511" s="33">
        <f t="shared" si="1421"/>
        <v>4212.205</v>
      </c>
      <c r="AC511" s="32">
        <f t="shared" si="1421"/>
        <v>830</v>
      </c>
      <c r="AD511" s="32">
        <f t="shared" si="1421"/>
        <v>0</v>
      </c>
      <c r="AE511" s="32">
        <f t="shared" si="1421"/>
        <v>830</v>
      </c>
      <c r="AF511" s="32">
        <f t="shared" si="1421"/>
        <v>1305</v>
      </c>
      <c r="AG511" s="32">
        <f t="shared" si="1421"/>
        <v>0</v>
      </c>
      <c r="AH511" s="32">
        <f t="shared" si="1421"/>
        <v>1305</v>
      </c>
      <c r="AI511" s="32">
        <f t="shared" si="1421"/>
        <v>2135</v>
      </c>
      <c r="AJ511" s="34">
        <f t="shared" si="1408"/>
        <v>200.5811905</v>
      </c>
      <c r="AK511" s="31">
        <f t="shared" si="1418"/>
        <v>3569</v>
      </c>
      <c r="AL511" s="35">
        <f t="shared" si="1409"/>
        <v>0.5982067806</v>
      </c>
      <c r="AM511" s="36">
        <f t="shared" si="1419"/>
        <v>1.5</v>
      </c>
      <c r="AN511" s="35">
        <f t="shared" si="1410"/>
        <v>0.3379069474</v>
      </c>
      <c r="AO511" s="37">
        <f t="shared" si="1411"/>
        <v>0.5068604211</v>
      </c>
      <c r="AP511" s="36">
        <f t="shared" ref="AP511:AQ511" si="1422">SUM(T502)</f>
        <v>196.2542515</v>
      </c>
      <c r="AQ511" s="36">
        <f t="shared" si="1422"/>
        <v>9.345440548</v>
      </c>
      <c r="AR511" s="32">
        <f t="shared" si="1413"/>
        <v>101.6666667</v>
      </c>
    </row>
    <row r="512" ht="15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X512" s="31">
        <v>6.0</v>
      </c>
      <c r="Y512" s="31" t="s">
        <v>41</v>
      </c>
      <c r="Z512" s="31">
        <f t="shared" ref="Z512:AI512" si="1423">SUM(D503)</f>
        <v>19</v>
      </c>
      <c r="AA512" s="32">
        <f t="shared" si="1423"/>
        <v>19</v>
      </c>
      <c r="AB512" s="33">
        <f t="shared" si="1423"/>
        <v>3812.136</v>
      </c>
      <c r="AC512" s="32">
        <f t="shared" si="1423"/>
        <v>740</v>
      </c>
      <c r="AD512" s="32">
        <f t="shared" si="1423"/>
        <v>0</v>
      </c>
      <c r="AE512" s="32">
        <f t="shared" si="1423"/>
        <v>740</v>
      </c>
      <c r="AF512" s="32">
        <f t="shared" si="1423"/>
        <v>988</v>
      </c>
      <c r="AG512" s="32">
        <f t="shared" si="1423"/>
        <v>0</v>
      </c>
      <c r="AH512" s="32">
        <f t="shared" si="1423"/>
        <v>988</v>
      </c>
      <c r="AI512" s="32">
        <f t="shared" si="1423"/>
        <v>1728</v>
      </c>
      <c r="AJ512" s="34">
        <f t="shared" si="1408"/>
        <v>200.6387368</v>
      </c>
      <c r="AK512" s="31">
        <f t="shared" si="1418"/>
        <v>3801</v>
      </c>
      <c r="AL512" s="35">
        <f t="shared" si="1409"/>
        <v>0.454617206</v>
      </c>
      <c r="AM512" s="36">
        <f t="shared" si="1419"/>
        <v>1.5</v>
      </c>
      <c r="AN512" s="35">
        <f t="shared" si="1410"/>
        <v>0.3021927864</v>
      </c>
      <c r="AO512" s="37">
        <f t="shared" si="1411"/>
        <v>0.4532891796</v>
      </c>
      <c r="AP512" s="36">
        <f t="shared" ref="AP512:AQ512" si="1424">SUM(T503)</f>
        <v>128.6666667</v>
      </c>
      <c r="AQ512" s="36">
        <f t="shared" si="1424"/>
        <v>6.771929825</v>
      </c>
      <c r="AR512" s="32">
        <f t="shared" si="1413"/>
        <v>90.94736842</v>
      </c>
    </row>
    <row r="513" ht="15.75" customHeight="1">
      <c r="A513" s="1" t="s">
        <v>45</v>
      </c>
      <c r="D513" s="2"/>
      <c r="X513" s="46" t="s">
        <v>33</v>
      </c>
      <c r="Y513" s="46">
        <v>6.0</v>
      </c>
      <c r="Z513" s="46">
        <f t="shared" ref="Z513:AI513" si="1425">SUM(Z507:Z512)</f>
        <v>132</v>
      </c>
      <c r="AA513" s="47">
        <f t="shared" si="1425"/>
        <v>132</v>
      </c>
      <c r="AB513" s="49">
        <f t="shared" si="1425"/>
        <v>26078.038</v>
      </c>
      <c r="AC513" s="47">
        <f t="shared" si="1425"/>
        <v>7501</v>
      </c>
      <c r="AD513" s="47">
        <f t="shared" si="1425"/>
        <v>114</v>
      </c>
      <c r="AE513" s="47">
        <f t="shared" si="1425"/>
        <v>7615</v>
      </c>
      <c r="AF513" s="47">
        <f t="shared" si="1425"/>
        <v>11303</v>
      </c>
      <c r="AG513" s="47">
        <f t="shared" si="1425"/>
        <v>0</v>
      </c>
      <c r="AH513" s="47">
        <f t="shared" si="1425"/>
        <v>11303</v>
      </c>
      <c r="AI513" s="47">
        <f t="shared" si="1425"/>
        <v>18918</v>
      </c>
      <c r="AJ513" s="49">
        <f t="shared" si="1408"/>
        <v>197.5608939</v>
      </c>
      <c r="AK513" s="46">
        <f>SUM(AK507:AK512)</f>
        <v>37031</v>
      </c>
      <c r="AL513" s="50">
        <f t="shared" si="1409"/>
        <v>0.5108692717</v>
      </c>
      <c r="AM513" s="51">
        <v>1.5</v>
      </c>
      <c r="AN513" s="50">
        <f t="shared" si="1410"/>
        <v>0.4836253402</v>
      </c>
      <c r="AO513" s="52">
        <f t="shared" si="1411"/>
        <v>0.7254380103</v>
      </c>
      <c r="AP513" s="51">
        <f>SUM(AP507:AP512)</f>
        <v>1068.21372</v>
      </c>
      <c r="AQ513" s="51">
        <f>AP513/AA513</f>
        <v>8.092528179</v>
      </c>
      <c r="AR513" s="47">
        <f t="shared" si="1413"/>
        <v>143.3181818</v>
      </c>
    </row>
    <row r="514" ht="15.75" customHeight="1">
      <c r="A514" s="1" t="s">
        <v>45</v>
      </c>
      <c r="D514" s="2"/>
      <c r="X514" s="66" t="s">
        <v>1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6"/>
    </row>
    <row r="515" ht="15.75" customHeight="1">
      <c r="A515" s="7">
        <v>46223.0</v>
      </c>
      <c r="B515" s="8" t="s">
        <v>2</v>
      </c>
      <c r="C515" s="8" t="s">
        <v>3</v>
      </c>
      <c r="D515" s="8" t="s">
        <v>4</v>
      </c>
      <c r="E515" s="8" t="s">
        <v>5</v>
      </c>
      <c r="F515" s="9" t="s">
        <v>6</v>
      </c>
      <c r="G515" s="8" t="s">
        <v>7</v>
      </c>
      <c r="H515" s="8" t="s">
        <v>8</v>
      </c>
      <c r="I515" s="8" t="s">
        <v>9</v>
      </c>
      <c r="J515" s="8" t="s">
        <v>10</v>
      </c>
      <c r="K515" s="8" t="s">
        <v>11</v>
      </c>
      <c r="L515" s="8" t="s">
        <v>12</v>
      </c>
      <c r="M515" s="8" t="s">
        <v>13</v>
      </c>
      <c r="N515" s="9" t="s">
        <v>14</v>
      </c>
      <c r="O515" s="8" t="s">
        <v>15</v>
      </c>
      <c r="P515" s="8" t="s">
        <v>16</v>
      </c>
      <c r="Q515" s="8" t="s">
        <v>17</v>
      </c>
      <c r="R515" s="8" t="s">
        <v>18</v>
      </c>
      <c r="S515" s="11" t="s">
        <v>19</v>
      </c>
      <c r="T515" s="12" t="s">
        <v>20</v>
      </c>
      <c r="U515" s="12" t="s">
        <v>21</v>
      </c>
      <c r="V515" s="13" t="s">
        <v>22</v>
      </c>
      <c r="X515" s="14" t="s">
        <v>2</v>
      </c>
      <c r="Y515" s="14" t="s">
        <v>3</v>
      </c>
      <c r="Z515" s="14" t="s">
        <v>4</v>
      </c>
      <c r="AA515" s="14" t="s">
        <v>5</v>
      </c>
      <c r="AB515" s="15" t="s">
        <v>6</v>
      </c>
      <c r="AC515" s="14" t="s">
        <v>7</v>
      </c>
      <c r="AD515" s="14" t="s">
        <v>8</v>
      </c>
      <c r="AE515" s="14" t="s">
        <v>9</v>
      </c>
      <c r="AF515" s="14" t="s">
        <v>10</v>
      </c>
      <c r="AG515" s="14" t="s">
        <v>11</v>
      </c>
      <c r="AH515" s="14" t="s">
        <v>12</v>
      </c>
      <c r="AI515" s="14" t="s">
        <v>13</v>
      </c>
      <c r="AJ515" s="15" t="s">
        <v>14</v>
      </c>
      <c r="AK515" s="14" t="s">
        <v>15</v>
      </c>
      <c r="AL515" s="14" t="s">
        <v>16</v>
      </c>
      <c r="AM515" s="16" t="s">
        <v>17</v>
      </c>
      <c r="AN515" s="17" t="s">
        <v>18</v>
      </c>
      <c r="AO515" s="18" t="s">
        <v>19</v>
      </c>
      <c r="AP515" s="19" t="s">
        <v>20</v>
      </c>
      <c r="AQ515" s="19" t="s">
        <v>21</v>
      </c>
      <c r="AR515" s="20" t="s">
        <v>22</v>
      </c>
    </row>
    <row r="516" ht="15.7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X516" s="22">
        <v>1.0</v>
      </c>
      <c r="Y516" s="22" t="s">
        <v>23</v>
      </c>
      <c r="Z516" s="22">
        <f t="shared" ref="Z516:AI516" si="1426">SUM(D524)</f>
        <v>35</v>
      </c>
      <c r="AA516" s="23">
        <f t="shared" si="1426"/>
        <v>34</v>
      </c>
      <c r="AB516" s="24">
        <f t="shared" si="1426"/>
        <v>6579.3</v>
      </c>
      <c r="AC516" s="23">
        <f t="shared" si="1426"/>
        <v>1795</v>
      </c>
      <c r="AD516" s="23">
        <f t="shared" si="1426"/>
        <v>0</v>
      </c>
      <c r="AE516" s="23">
        <f t="shared" si="1426"/>
        <v>1795</v>
      </c>
      <c r="AF516" s="23">
        <f t="shared" si="1426"/>
        <v>3217</v>
      </c>
      <c r="AG516" s="23">
        <f t="shared" si="1426"/>
        <v>0</v>
      </c>
      <c r="AH516" s="23">
        <f t="shared" si="1426"/>
        <v>3217</v>
      </c>
      <c r="AI516" s="23">
        <f t="shared" si="1426"/>
        <v>5012</v>
      </c>
      <c r="AJ516" s="25">
        <f t="shared" ref="AJ516:AJ518" si="1429">AB516/AA516</f>
        <v>193.5088235</v>
      </c>
      <c r="AK516" s="22">
        <f>SUM(O524)</f>
        <v>6853</v>
      </c>
      <c r="AL516" s="26">
        <f t="shared" ref="AL516:AL522" si="1430">AI516/AK516</f>
        <v>0.7313585291</v>
      </c>
      <c r="AM516" s="27">
        <f t="shared" ref="AM516:AM518" si="1431">SUM(Q524)</f>
        <v>1.5</v>
      </c>
      <c r="AN516" s="26">
        <f t="shared" ref="AN516:AN522" si="1432">AO516/AM516</f>
        <v>0.5078554456</v>
      </c>
      <c r="AO516" s="28">
        <f t="shared" ref="AO516:AO522" si="1433">AI516/AB516</f>
        <v>0.7617831684</v>
      </c>
      <c r="AP516" s="27">
        <f t="shared" ref="AP516:AQ516" si="1427">SUM(T524)</f>
        <v>195</v>
      </c>
      <c r="AQ516" s="27">
        <f t="shared" si="1427"/>
        <v>5.735294118</v>
      </c>
      <c r="AR516" s="23">
        <f t="shared" ref="AR516:AR522" si="1435">AI516/AA516</f>
        <v>147.4117647</v>
      </c>
    </row>
    <row r="517" ht="15.7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X517" s="22">
        <v>2.0</v>
      </c>
      <c r="Y517" s="22" t="s">
        <v>24</v>
      </c>
      <c r="Z517" s="22">
        <f t="shared" ref="Z517:AI517" si="1428">SUM(D525)</f>
        <v>44</v>
      </c>
      <c r="AA517" s="23">
        <f t="shared" si="1428"/>
        <v>42</v>
      </c>
      <c r="AB517" s="24">
        <f t="shared" si="1428"/>
        <v>8049.008</v>
      </c>
      <c r="AC517" s="23">
        <f t="shared" si="1428"/>
        <v>997</v>
      </c>
      <c r="AD517" s="23">
        <f t="shared" si="1428"/>
        <v>10</v>
      </c>
      <c r="AE517" s="23">
        <f t="shared" si="1428"/>
        <v>1007</v>
      </c>
      <c r="AF517" s="23">
        <f t="shared" si="1428"/>
        <v>1632</v>
      </c>
      <c r="AG517" s="23">
        <f t="shared" si="1428"/>
        <v>17</v>
      </c>
      <c r="AH517" s="23">
        <f t="shared" si="1428"/>
        <v>1649</v>
      </c>
      <c r="AI517" s="23">
        <f t="shared" si="1428"/>
        <v>2656</v>
      </c>
      <c r="AJ517" s="25">
        <f t="shared" si="1429"/>
        <v>191.6430476</v>
      </c>
      <c r="AK517" s="22">
        <v>1580.0</v>
      </c>
      <c r="AL517" s="29">
        <f t="shared" si="1430"/>
        <v>1.681012658</v>
      </c>
      <c r="AM517" s="27">
        <f t="shared" si="1431"/>
        <v>1.5</v>
      </c>
      <c r="AN517" s="26">
        <f t="shared" si="1432"/>
        <v>0.2199857009</v>
      </c>
      <c r="AO517" s="28">
        <f t="shared" si="1433"/>
        <v>0.3299785514</v>
      </c>
      <c r="AP517" s="27">
        <f t="shared" ref="AP517:AQ517" si="1434">SUM(T525)</f>
        <v>300.280097</v>
      </c>
      <c r="AQ517" s="27">
        <f t="shared" si="1434"/>
        <v>7.149526119</v>
      </c>
      <c r="AR517" s="23">
        <f t="shared" si="1435"/>
        <v>63.23809524</v>
      </c>
    </row>
    <row r="518" ht="15.75" customHeight="1">
      <c r="A518" s="21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X518" s="31">
        <v>3.0</v>
      </c>
      <c r="Y518" s="31" t="s">
        <v>25</v>
      </c>
      <c r="Z518" s="31">
        <f t="shared" ref="Z518:AI518" si="1436">SUM(D526)</f>
        <v>32</v>
      </c>
      <c r="AA518" s="32">
        <f t="shared" si="1436"/>
        <v>30</v>
      </c>
      <c r="AB518" s="33">
        <f t="shared" si="1436"/>
        <v>5712.332</v>
      </c>
      <c r="AC518" s="32">
        <f t="shared" si="1436"/>
        <v>2050</v>
      </c>
      <c r="AD518" s="32">
        <f t="shared" si="1436"/>
        <v>265</v>
      </c>
      <c r="AE518" s="32">
        <f t="shared" si="1436"/>
        <v>2315</v>
      </c>
      <c r="AF518" s="32">
        <f t="shared" si="1436"/>
        <v>3270</v>
      </c>
      <c r="AG518" s="32">
        <f t="shared" si="1436"/>
        <v>294</v>
      </c>
      <c r="AH518" s="32">
        <f t="shared" si="1436"/>
        <v>3564</v>
      </c>
      <c r="AI518" s="32">
        <f t="shared" si="1436"/>
        <v>5879</v>
      </c>
      <c r="AJ518" s="34">
        <f t="shared" si="1429"/>
        <v>190.4110667</v>
      </c>
      <c r="AK518" s="31">
        <f>SUM(O526)</f>
        <v>6622</v>
      </c>
      <c r="AL518" s="35">
        <f t="shared" si="1430"/>
        <v>0.8877982483</v>
      </c>
      <c r="AM518" s="36">
        <f t="shared" si="1431"/>
        <v>1.5</v>
      </c>
      <c r="AN518" s="35">
        <f t="shared" si="1432"/>
        <v>0.686117917</v>
      </c>
      <c r="AO518" s="37">
        <f t="shared" si="1433"/>
        <v>1.029176876</v>
      </c>
      <c r="AP518" s="36">
        <f t="shared" ref="AP518:AQ518" si="1437">SUM(T526)</f>
        <v>239.6112416</v>
      </c>
      <c r="AQ518" s="36">
        <f t="shared" si="1437"/>
        <v>7.987041387</v>
      </c>
      <c r="AR518" s="32">
        <f t="shared" si="1435"/>
        <v>195.9666667</v>
      </c>
    </row>
    <row r="519" ht="15.75" customHeight="1">
      <c r="A519" s="21"/>
      <c r="B519" s="38">
        <v>1.0</v>
      </c>
      <c r="C519" s="38" t="s">
        <v>26</v>
      </c>
      <c r="D519" s="39">
        <v>20.0</v>
      </c>
      <c r="E519" s="40">
        <f>IFERROR(__xludf.DUMMYFUNCTION("COUNT(IMPORTRANGE(""https://docs.google.com/spreadsheets/d/1z0o91thOT38lgejTE_Bd2p3v_9VCDdQRkUsMIVqpQCk/edit"",""20!d2:d21""))"),18.0)</f>
        <v>18</v>
      </c>
      <c r="F519" s="41">
        <f>IFERROR(__xludf.DUMMYFUNCTION("SUM(IMPORTRANGE(""https://docs.google.com/spreadsheets/d/1z0o91thOT38lgejTE_Bd2p3v_9VCDdQRkUsMIVqpQCk/edit"",""20!Q2:Q21""))"),3517.719)</f>
        <v>3517.719</v>
      </c>
      <c r="G519" s="40">
        <f>IFERROR(__xludf.DUMMYFUNCTION("IMPORTRANGE(""https://docs.google.com/spreadsheets/d/1z0o91thOT38lgejTE_Bd2p3v_9VCDdQRkUsMIVqpQCk/edit"",""20!e28"")"),1938.0)</f>
        <v>1938</v>
      </c>
      <c r="H519" s="40">
        <f>IFERROR(__xludf.DUMMYFUNCTION("IMPORTRANGE(""https://docs.google.com/spreadsheets/d/1z0o91thOT38lgejTE_Bd2p3v_9VCDdQRkUsMIVqpQCk/edit"",""20!e29"")"),0.0)</f>
        <v>0</v>
      </c>
      <c r="I519" s="40">
        <f t="shared" ref="I519:I536" si="1440">SUM(G519:H519)</f>
        <v>1938</v>
      </c>
      <c r="J519" s="40">
        <f>IFERROR(__xludf.DUMMYFUNCTION("IMPORTRANGE(""https://docs.google.com/spreadsheets/d/1z0o91thOT38lgejTE_Bd2p3v_9VCDdQRkUsMIVqpQCk/edit"",""20!e32"")"),2930.0)</f>
        <v>2930</v>
      </c>
      <c r="K519" s="40">
        <f>IFERROR(__xludf.DUMMYFUNCTION("IMPORTRANGE(""https://docs.google.com/spreadsheets/d/1z0o91thOT38lgejTE_Bd2p3v_9VCDdQRkUsMIVqpQCk/edit"",""20!e33"")"),0.0)</f>
        <v>0</v>
      </c>
      <c r="L519" s="40">
        <f t="shared" ref="L519:L525" si="1441">SUM(J519:K519)</f>
        <v>2930</v>
      </c>
      <c r="M519" s="40">
        <f t="shared" ref="M519:M536" si="1442">SUM(I519+L519)</f>
        <v>4868</v>
      </c>
      <c r="N519" s="41">
        <f t="shared" ref="N519:N537" si="1443">F519/E519</f>
        <v>195.4288333</v>
      </c>
      <c r="O519" s="38">
        <v>5161.0</v>
      </c>
      <c r="P519" s="42">
        <f t="shared" ref="P519:P537" si="1444">M519/O519</f>
        <v>0.9432280566</v>
      </c>
      <c r="Q519" s="43">
        <v>1.5</v>
      </c>
      <c r="R519" s="42">
        <f t="shared" ref="R519:R537" si="1445">S519/Q519</f>
        <v>0.9225675312</v>
      </c>
      <c r="S519" s="44">
        <f t="shared" ref="S519:S537" si="1446">M519/F519</f>
        <v>1.383851297</v>
      </c>
      <c r="T519" s="43">
        <f>F519/14.415</f>
        <v>244.0318418</v>
      </c>
      <c r="U519" s="43">
        <f t="shared" ref="U519:U537" si="1447">T519/E519</f>
        <v>13.55732455</v>
      </c>
      <c r="V519" s="40">
        <f t="shared" ref="V519:V537" si="1448">M519/E519</f>
        <v>270.4444444</v>
      </c>
      <c r="X519" s="22">
        <v>4.0</v>
      </c>
      <c r="Y519" s="22" t="s">
        <v>27</v>
      </c>
      <c r="Z519" s="22">
        <f t="shared" ref="Z519:AK519" si="1438">SUM(D532)</f>
        <v>30</v>
      </c>
      <c r="AA519" s="23">
        <f t="shared" si="1438"/>
        <v>30</v>
      </c>
      <c r="AB519" s="24">
        <f t="shared" si="1438"/>
        <v>5585.67</v>
      </c>
      <c r="AC519" s="23">
        <f t="shared" si="1438"/>
        <v>2468</v>
      </c>
      <c r="AD519" s="23">
        <f t="shared" si="1438"/>
        <v>0</v>
      </c>
      <c r="AE519" s="23">
        <f t="shared" si="1438"/>
        <v>2468</v>
      </c>
      <c r="AF519" s="23">
        <f t="shared" si="1438"/>
        <v>2680</v>
      </c>
      <c r="AG519" s="23">
        <f t="shared" si="1438"/>
        <v>0</v>
      </c>
      <c r="AH519" s="23">
        <f t="shared" si="1438"/>
        <v>2680</v>
      </c>
      <c r="AI519" s="23">
        <f t="shared" si="1438"/>
        <v>5148</v>
      </c>
      <c r="AJ519" s="25">
        <f t="shared" si="1438"/>
        <v>186.189</v>
      </c>
      <c r="AK519" s="22">
        <f t="shared" si="1438"/>
        <v>8101</v>
      </c>
      <c r="AL519" s="26">
        <f t="shared" si="1430"/>
        <v>0.6354771016</v>
      </c>
      <c r="AM519" s="27">
        <f>SUM(Q532)</f>
        <v>1.5</v>
      </c>
      <c r="AN519" s="26">
        <f t="shared" si="1432"/>
        <v>0.6144294239</v>
      </c>
      <c r="AO519" s="28">
        <f t="shared" si="1433"/>
        <v>0.9216441358</v>
      </c>
      <c r="AP519" s="27">
        <f t="shared" ref="AP519:AQ519" si="1439">SUM(T532)</f>
        <v>279.4931198</v>
      </c>
      <c r="AQ519" s="27">
        <f t="shared" si="1439"/>
        <v>9.316437328</v>
      </c>
      <c r="AR519" s="23">
        <f t="shared" si="1435"/>
        <v>171.6</v>
      </c>
    </row>
    <row r="520" ht="15.75" customHeight="1">
      <c r="A520" s="21"/>
      <c r="B520" s="38">
        <v>2.0</v>
      </c>
      <c r="C520" s="38" t="s">
        <v>28</v>
      </c>
      <c r="D520" s="39">
        <v>33.0</v>
      </c>
      <c r="E520" s="40">
        <f>IFERROR(__xludf.DUMMYFUNCTION("COUNT(IMPORTRANGE(""https://docs.google.com/spreadsheets/d/10a85iNN0y9GF6ngQfF1JXGAzFk-T7ywH4-TZtQcOTaE/edit"",""20!d2:d34""))"),33.0)</f>
        <v>33</v>
      </c>
      <c r="F520" s="41">
        <f>IFERROR(__xludf.DUMMYFUNCTION("SUM(IMPORTRANGE(""https://docs.google.com/spreadsheets/d/10a85iNN0y9GF6ngQfF1JXGAzFk-T7ywH4-TZtQcOTaE/edit"",""20!Q2:Q34""))"),6158.0689999999995)</f>
        <v>6158.069</v>
      </c>
      <c r="G520" s="40">
        <f>IFERROR(__xludf.DUMMYFUNCTION("IMPORTRANGE(""https://docs.google.com/spreadsheets/d/10a85iNN0y9GF6ngQfF1JXGAzFk-T7ywH4-TZtQcOTaE/edit"",""20!e41"")"),2555.0)</f>
        <v>2555</v>
      </c>
      <c r="H520" s="40">
        <f>IFERROR(__xludf.DUMMYFUNCTION("IMPORTRANGE(""https://docs.google.com/spreadsheets/d/10a85iNN0y9GF6ngQfF1JXGAzFk-T7ywH4-TZtQcOTaE/edit"",""20!e42"")"),100.0)</f>
        <v>100</v>
      </c>
      <c r="I520" s="40">
        <f t="shared" si="1440"/>
        <v>2655</v>
      </c>
      <c r="J520" s="40">
        <f>IFERROR(__xludf.DUMMYFUNCTION("IMPORTRANGE(""https://docs.google.com/spreadsheets/d/10a85iNN0y9GF6ngQfF1JXGAzFk-T7ywH4-TZtQcOTaE/edit"",""20!e45"")"),2790.0)</f>
        <v>2790</v>
      </c>
      <c r="K520" s="40">
        <f>IFERROR(__xludf.DUMMYFUNCTION("IMPORTRANGE(""https://docs.google.com/spreadsheets/d/10a85iNN0y9GF6ngQfF1JXGAzFk-T7ywH4-TZtQcOTaE/edit"",""20!e46"")"),444.0)</f>
        <v>444</v>
      </c>
      <c r="L520" s="40">
        <f t="shared" si="1441"/>
        <v>3234</v>
      </c>
      <c r="M520" s="40">
        <f t="shared" si="1442"/>
        <v>5889</v>
      </c>
      <c r="N520" s="41">
        <f t="shared" si="1443"/>
        <v>186.6081515</v>
      </c>
      <c r="O520" s="38">
        <v>7315.0</v>
      </c>
      <c r="P520" s="42">
        <f t="shared" si="1444"/>
        <v>0.8050580998</v>
      </c>
      <c r="Q520" s="43">
        <v>1.5</v>
      </c>
      <c r="R520" s="42">
        <f t="shared" si="1445"/>
        <v>0.6375375138</v>
      </c>
      <c r="S520" s="44">
        <f t="shared" si="1446"/>
        <v>0.9563062707</v>
      </c>
      <c r="T520" s="43">
        <f>F520/30.897</f>
        <v>199.3096093</v>
      </c>
      <c r="U520" s="43">
        <f t="shared" si="1447"/>
        <v>6.039685132</v>
      </c>
      <c r="V520" s="40">
        <f t="shared" si="1448"/>
        <v>178.4545455</v>
      </c>
      <c r="X520" s="22">
        <v>5.0</v>
      </c>
      <c r="Y520" s="22" t="s">
        <v>29</v>
      </c>
      <c r="Z520" s="22">
        <f t="shared" ref="Z520:AI520" si="1449">SUM(D535)</f>
        <v>30</v>
      </c>
      <c r="AA520" s="23">
        <f t="shared" si="1449"/>
        <v>28</v>
      </c>
      <c r="AB520" s="24">
        <f t="shared" si="1449"/>
        <v>5650.246</v>
      </c>
      <c r="AC520" s="23">
        <f t="shared" si="1449"/>
        <v>2706</v>
      </c>
      <c r="AD520" s="23">
        <f t="shared" si="1449"/>
        <v>0</v>
      </c>
      <c r="AE520" s="23">
        <f t="shared" si="1449"/>
        <v>2706</v>
      </c>
      <c r="AF520" s="23">
        <f t="shared" si="1449"/>
        <v>4270</v>
      </c>
      <c r="AG520" s="23">
        <f t="shared" si="1449"/>
        <v>0</v>
      </c>
      <c r="AH520" s="23">
        <f t="shared" si="1449"/>
        <v>4270</v>
      </c>
      <c r="AI520" s="23">
        <f t="shared" si="1449"/>
        <v>6976</v>
      </c>
      <c r="AJ520" s="25">
        <f t="shared" ref="AJ520:AJ522" si="1452">AB520/AA520</f>
        <v>201.7945</v>
      </c>
      <c r="AK520" s="22">
        <f t="shared" ref="AK520:AK521" si="1453">SUM(O535)</f>
        <v>9201</v>
      </c>
      <c r="AL520" s="26">
        <f t="shared" si="1430"/>
        <v>0.7581784589</v>
      </c>
      <c r="AM520" s="27">
        <f t="shared" ref="AM520:AM521" si="1454">SUM(Q535)</f>
        <v>1.5</v>
      </c>
      <c r="AN520" s="26">
        <f t="shared" si="1432"/>
        <v>0.8230910064</v>
      </c>
      <c r="AO520" s="28">
        <f t="shared" si="1433"/>
        <v>1.23463651</v>
      </c>
      <c r="AP520" s="27">
        <f t="shared" ref="AP520:AQ520" si="1450">SUM(T535)</f>
        <v>217</v>
      </c>
      <c r="AQ520" s="27">
        <f t="shared" si="1450"/>
        <v>7.75</v>
      </c>
      <c r="AR520" s="23">
        <f t="shared" si="1435"/>
        <v>249.1428571</v>
      </c>
    </row>
    <row r="521" ht="15.75" customHeight="1">
      <c r="A521" s="21"/>
      <c r="B521" s="38">
        <v>3.0</v>
      </c>
      <c r="C521" s="38" t="s">
        <v>30</v>
      </c>
      <c r="D521" s="39">
        <v>60.0</v>
      </c>
      <c r="E521" s="40">
        <f>IFERROR(__xludf.DUMMYFUNCTION("COUNT(IMPORTRANGE(""https://docs.google.com/spreadsheets/d/1WojVzHhpzodJL1e5UDHeu3A3u5MTSZwvxHu0BrwvL9w/edit"",""20!d2:d61""))"),59.0)</f>
        <v>59</v>
      </c>
      <c r="F521" s="45">
        <f>IFERROR(__xludf.DUMMYFUNCTION("SUM(IMPORTRANGE(""https://docs.google.com/spreadsheets/d/1WojVzHhpzodJL1e5UDHeu3A3u5MTSZwvxHu0BrwvL9w/edit"",""20!Q2:Q61""))"),12018.817999999987)</f>
        <v>12018.818</v>
      </c>
      <c r="G521" s="40">
        <f>IFERROR(__xludf.DUMMYFUNCTION("IMPORTRANGE(""https://docs.google.com/spreadsheets/d/1WojVzHhpzodJL1e5UDHeu3A3u5MTSZwvxHu0BrwvL9w/edit"",""20!e68"")"),3470.0)</f>
        <v>3470</v>
      </c>
      <c r="H521" s="40">
        <f>IFERROR(__xludf.DUMMYFUNCTION("IMPORTRANGE(""https://docs.google.com/spreadsheets/d/1WojVzHhpzodJL1e5UDHeu3A3u5MTSZwvxHu0BrwvL9w/edit"",""20!e69"")"),0.0)</f>
        <v>0</v>
      </c>
      <c r="I521" s="40">
        <f t="shared" si="1440"/>
        <v>3470</v>
      </c>
      <c r="J521" s="40">
        <f>IFERROR(__xludf.DUMMYFUNCTION("IMPORTRANGE(""https://docs.google.com/spreadsheets/d/1WojVzHhpzodJL1e5UDHeu3A3u5MTSZwvxHu0BrwvL9w/edit"",""20!e72"")"),5858.0)</f>
        <v>5858</v>
      </c>
      <c r="K521" s="40">
        <f>IFERROR(__xludf.DUMMYFUNCTION("IMPORTRANGE(""https://docs.google.com/spreadsheets/d/1WojVzHhpzodJL1e5UDHeu3A3u5MTSZwvxHu0BrwvL9w/edit"",""20!e73"")"),0.0)</f>
        <v>0</v>
      </c>
      <c r="L521" s="40">
        <f t="shared" si="1441"/>
        <v>5858</v>
      </c>
      <c r="M521" s="40">
        <f t="shared" si="1442"/>
        <v>9328</v>
      </c>
      <c r="N521" s="41">
        <f t="shared" si="1443"/>
        <v>203.7087797</v>
      </c>
      <c r="O521" s="38">
        <v>11164.0</v>
      </c>
      <c r="P521" s="42">
        <f t="shared" si="1444"/>
        <v>0.8355428162</v>
      </c>
      <c r="Q521" s="43">
        <v>1.5</v>
      </c>
      <c r="R521" s="42">
        <f t="shared" si="1445"/>
        <v>0.5174108358</v>
      </c>
      <c r="S521" s="44">
        <f t="shared" si="1446"/>
        <v>0.7761162537</v>
      </c>
      <c r="T521" s="43">
        <f>F521/29.603</f>
        <v>406</v>
      </c>
      <c r="U521" s="43">
        <f t="shared" si="1447"/>
        <v>6.881355932</v>
      </c>
      <c r="V521" s="40">
        <f t="shared" si="1448"/>
        <v>158.1016949</v>
      </c>
      <c r="X521" s="22">
        <v>6.0</v>
      </c>
      <c r="Y521" s="22" t="s">
        <v>31</v>
      </c>
      <c r="Z521" s="22">
        <f t="shared" ref="Z521:AI521" si="1451">SUM(D536)</f>
        <v>15</v>
      </c>
      <c r="AA521" s="23">
        <f t="shared" si="1451"/>
        <v>13</v>
      </c>
      <c r="AB521" s="25">
        <f t="shared" si="1451"/>
        <v>2434.04</v>
      </c>
      <c r="AC521" s="23">
        <f t="shared" si="1451"/>
        <v>864</v>
      </c>
      <c r="AD521" s="23">
        <f t="shared" si="1451"/>
        <v>12</v>
      </c>
      <c r="AE521" s="23">
        <f t="shared" si="1451"/>
        <v>876</v>
      </c>
      <c r="AF521" s="23">
        <f t="shared" si="1451"/>
        <v>1008</v>
      </c>
      <c r="AG521" s="23">
        <f t="shared" si="1451"/>
        <v>0</v>
      </c>
      <c r="AH521" s="23">
        <f t="shared" si="1451"/>
        <v>1008</v>
      </c>
      <c r="AI521" s="23">
        <f t="shared" si="1451"/>
        <v>1884</v>
      </c>
      <c r="AJ521" s="25">
        <f t="shared" si="1452"/>
        <v>187.2338462</v>
      </c>
      <c r="AK521" s="22">
        <f t="shared" si="1453"/>
        <v>2717</v>
      </c>
      <c r="AL521" s="26">
        <f t="shared" si="1430"/>
        <v>0.6934118513</v>
      </c>
      <c r="AM521" s="27">
        <f t="shared" si="1454"/>
        <v>1.5</v>
      </c>
      <c r="AN521" s="26">
        <f t="shared" si="1432"/>
        <v>0.5160145273</v>
      </c>
      <c r="AO521" s="28">
        <f t="shared" si="1433"/>
        <v>0.7740217909</v>
      </c>
      <c r="AP521" s="27">
        <f t="shared" ref="AP521:AQ521" si="1455">SUM(T536)</f>
        <v>56</v>
      </c>
      <c r="AQ521" s="27">
        <f t="shared" si="1455"/>
        <v>4.307692308</v>
      </c>
      <c r="AR521" s="23">
        <f t="shared" si="1435"/>
        <v>144.9230769</v>
      </c>
    </row>
    <row r="522" ht="15.75" customHeight="1">
      <c r="A522" s="21"/>
      <c r="B522" s="38">
        <v>4.0</v>
      </c>
      <c r="C522" s="38" t="s">
        <v>32</v>
      </c>
      <c r="D522" s="39">
        <v>42.0</v>
      </c>
      <c r="E522" s="40">
        <f>IFERROR(__xludf.DUMMYFUNCTION("COUNT(IMPORTRANGE(""https://docs.google.com/spreadsheets/d/1vmCj5YcMSPHj1m64syDndQ6cqVL3yolcU03Y8KHmvdc/edit"",""20!d2:d43""))"),41.0)</f>
        <v>41</v>
      </c>
      <c r="F522" s="45">
        <f>IFERROR(__xludf.DUMMYFUNCTION("SUM(IMPORTRANGE(""https://docs.google.com/spreadsheets/d/1vmCj5YcMSPHj1m64syDndQ6cqVL3yolcU03Y8KHmvdc/edit"",""20!Q2:Q43""))"),8078.65799999999)</f>
        <v>8078.658</v>
      </c>
      <c r="G522" s="38">
        <f>IFERROR(__xludf.DUMMYFUNCTION("IMPORTRANGE(""https://docs.google.com/spreadsheets/d/1vmCj5YcMSPHj1m64syDndQ6cqVL3yolcU03Y8KHmvdc/edit"",""20!e50"")"),4620.0)</f>
        <v>4620</v>
      </c>
      <c r="H522" s="38">
        <f>IFERROR(__xludf.DUMMYFUNCTION("IMPORTRANGE(""https://docs.google.com/spreadsheets/d/1vmCj5YcMSPHj1m64syDndQ6cqVL3yolcU03Y8KHmvdc/edit"",""20!e51"")"),20.0)</f>
        <v>20</v>
      </c>
      <c r="I522" s="40">
        <f t="shared" si="1440"/>
        <v>4640</v>
      </c>
      <c r="J522" s="38">
        <f>IFERROR(__xludf.DUMMYFUNCTION("IMPORTRANGE(""https://docs.google.com/spreadsheets/d/1vmCj5YcMSPHj1m64syDndQ6cqVL3yolcU03Y8KHmvdc/edit"",""20!e54"")"),5404.0)</f>
        <v>5404</v>
      </c>
      <c r="K522" s="38">
        <f>IFERROR(__xludf.DUMMYFUNCTION("IMPORTRANGE(""https://docs.google.com/spreadsheets/d/1vmCj5YcMSPHj1m64syDndQ6cqVL3yolcU03Y8KHmvdc/edit"",""20!e55"")"),23.0)</f>
        <v>23</v>
      </c>
      <c r="L522" s="40">
        <f t="shared" si="1441"/>
        <v>5427</v>
      </c>
      <c r="M522" s="40">
        <f t="shared" si="1442"/>
        <v>10067</v>
      </c>
      <c r="N522" s="41">
        <f t="shared" si="1443"/>
        <v>197.040439</v>
      </c>
      <c r="O522" s="38">
        <v>13817.0</v>
      </c>
      <c r="P522" s="42">
        <f t="shared" si="1444"/>
        <v>0.7285952088</v>
      </c>
      <c r="Q522" s="43">
        <v>1.5</v>
      </c>
      <c r="R522" s="42">
        <f t="shared" si="1445"/>
        <v>0.8307485393</v>
      </c>
      <c r="S522" s="44">
        <f t="shared" si="1446"/>
        <v>1.246122809</v>
      </c>
      <c r="T522" s="43">
        <f>F522/25.089</f>
        <v>322</v>
      </c>
      <c r="U522" s="43">
        <f t="shared" si="1447"/>
        <v>7.853658537</v>
      </c>
      <c r="V522" s="40">
        <f t="shared" si="1448"/>
        <v>245.5365854</v>
      </c>
      <c r="X522" s="46" t="s">
        <v>33</v>
      </c>
      <c r="Y522" s="46">
        <v>6.0</v>
      </c>
      <c r="Z522" s="46">
        <f t="shared" ref="Z522:AI522" si="1456">SUM(Z516:Z521)</f>
        <v>186</v>
      </c>
      <c r="AA522" s="47">
        <f t="shared" si="1456"/>
        <v>177</v>
      </c>
      <c r="AB522" s="48">
        <f t="shared" si="1456"/>
        <v>34010.596</v>
      </c>
      <c r="AC522" s="47">
        <f t="shared" si="1456"/>
        <v>10880</v>
      </c>
      <c r="AD522" s="47">
        <f t="shared" si="1456"/>
        <v>287</v>
      </c>
      <c r="AE522" s="47">
        <f t="shared" si="1456"/>
        <v>11167</v>
      </c>
      <c r="AF522" s="47">
        <f t="shared" si="1456"/>
        <v>16077</v>
      </c>
      <c r="AG522" s="47">
        <f t="shared" si="1456"/>
        <v>311</v>
      </c>
      <c r="AH522" s="47">
        <f t="shared" si="1456"/>
        <v>16388</v>
      </c>
      <c r="AI522" s="47">
        <f t="shared" si="1456"/>
        <v>27555</v>
      </c>
      <c r="AJ522" s="49">
        <f t="shared" si="1452"/>
        <v>192.1502599</v>
      </c>
      <c r="AK522" s="46">
        <f>SUM(AK516:AK521)</f>
        <v>35074</v>
      </c>
      <c r="AL522" s="50">
        <f t="shared" si="1430"/>
        <v>0.7856246792</v>
      </c>
      <c r="AM522" s="51">
        <v>1.5</v>
      </c>
      <c r="AN522" s="50">
        <f t="shared" si="1432"/>
        <v>0.540125789</v>
      </c>
      <c r="AO522" s="52">
        <f t="shared" si="1433"/>
        <v>0.8101886836</v>
      </c>
      <c r="AP522" s="51">
        <f>SUM(AP516:AP521)</f>
        <v>1287.384458</v>
      </c>
      <c r="AQ522" s="51">
        <f>AP522/AA522</f>
        <v>7.273358522</v>
      </c>
      <c r="AR522" s="47">
        <f t="shared" si="1435"/>
        <v>155.6779661</v>
      </c>
    </row>
    <row r="523" ht="15.75" customHeight="1">
      <c r="A523" s="21"/>
      <c r="B523" s="38">
        <v>5.0</v>
      </c>
      <c r="C523" s="38" t="s">
        <v>34</v>
      </c>
      <c r="D523" s="39">
        <v>40.0</v>
      </c>
      <c r="E523" s="40">
        <f>IFERROR(__xludf.DUMMYFUNCTION("COUNT(IMPORTRANGE(""https://docs.google.com/spreadsheets/d/14_Y-fpuq1wcec3DlT_1PBYekOC0YblQMrWVfO12YO3k/edit"",""20!d2:d41""))"),40.0)</f>
        <v>40</v>
      </c>
      <c r="F523" s="45">
        <f>IFERROR(__xludf.DUMMYFUNCTION("SUM(IMPORTRANGE(""https://docs.google.com/spreadsheets/d/14_Y-fpuq1wcec3DlT_1PBYekOC0YblQMrWVfO12YO3k/edit"",""20!Q2:Q41""))"),7638.813000000004)</f>
        <v>7638.813</v>
      </c>
      <c r="G523" s="40">
        <f>IFERROR(__xludf.DUMMYFUNCTION("IMPORTRANGE(""https://docs.google.com/spreadsheets/d/14_Y-fpuq1wcec3DlT_1PBYekOC0YblQMrWVfO12YO3k/edit"",""20!e48"")"),2695.0)</f>
        <v>2695</v>
      </c>
      <c r="H523" s="40">
        <f>IFERROR(__xludf.DUMMYFUNCTION("IMPORTRANGE(""https://docs.google.com/spreadsheets/d/14_Y-fpuq1wcec3DlT_1PBYekOC0YblQMrWVfO12YO3k/edit"",""20!e49"")"),0.0)</f>
        <v>0</v>
      </c>
      <c r="I523" s="40">
        <f t="shared" si="1440"/>
        <v>2695</v>
      </c>
      <c r="J523" s="40">
        <f>IFERROR(__xludf.DUMMYFUNCTION("IMPORTRANGE(""https://docs.google.com/spreadsheets/d/14_Y-fpuq1wcec3DlT_1PBYekOC0YblQMrWVfO12YO3k/edit"",""20!e52"")"),3595.0)</f>
        <v>3595</v>
      </c>
      <c r="K523" s="40">
        <f>IFERROR(__xludf.DUMMYFUNCTION("IMPORTRANGE(""https://docs.google.com/spreadsheets/d/14_Y-fpuq1wcec3DlT_1PBYekOC0YblQMrWVfO12YO3k/edit"",""20!e53"")"),0.0)</f>
        <v>0</v>
      </c>
      <c r="L523" s="40">
        <f t="shared" si="1441"/>
        <v>3595</v>
      </c>
      <c r="M523" s="40">
        <f t="shared" si="1442"/>
        <v>6290</v>
      </c>
      <c r="N523" s="41">
        <f t="shared" si="1443"/>
        <v>190.970325</v>
      </c>
      <c r="O523" s="38">
        <v>9354.0</v>
      </c>
      <c r="P523" s="42">
        <f t="shared" si="1444"/>
        <v>0.672439598</v>
      </c>
      <c r="Q523" s="43">
        <v>1.5</v>
      </c>
      <c r="R523" s="42">
        <f t="shared" si="1445"/>
        <v>0.5489509081</v>
      </c>
      <c r="S523" s="44">
        <f t="shared" si="1446"/>
        <v>0.8234263622</v>
      </c>
      <c r="T523" s="43">
        <f>F523/30.713</f>
        <v>248.7159509</v>
      </c>
      <c r="U523" s="43">
        <f t="shared" si="1447"/>
        <v>6.217898773</v>
      </c>
      <c r="V523" s="40">
        <f t="shared" si="1448"/>
        <v>157.25</v>
      </c>
      <c r="X523" s="53" t="s">
        <v>35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6"/>
    </row>
    <row r="524" ht="15.75" customHeight="1">
      <c r="A524" s="21"/>
      <c r="B524" s="38">
        <v>6.0</v>
      </c>
      <c r="C524" s="38" t="s">
        <v>23</v>
      </c>
      <c r="D524" s="39">
        <v>35.0</v>
      </c>
      <c r="E524" s="40">
        <f>IFERROR(__xludf.DUMMYFUNCTION("COUNT(IMPORTRANGE(""https://docs.google.com/spreadsheets/d/1lJqjdj05V4LOXuBOiTdE65GV4ZITyx1cMLcDdcuoUnE/edit"",""20!d2:d36""))"),34.0)</f>
        <v>34</v>
      </c>
      <c r="F524" s="45">
        <f>IFERROR(__xludf.DUMMYFUNCTION("SUM(IMPORTRANGE(""https://docs.google.com/spreadsheets/d/1lJqjdj05V4LOXuBOiTdE65GV4ZITyx1cMLcDdcuoUnE/edit"",""20!Q2:Q36""))"),6579.299999999996)</f>
        <v>6579.3</v>
      </c>
      <c r="G524" s="40">
        <f>IFERROR(__xludf.DUMMYFUNCTION("IMPORTRANGE(""https://docs.google.com/spreadsheets/d/1lJqjdj05V4LOXuBOiTdE65GV4ZITyx1cMLcDdcuoUnE/edit"",""20!e43"")"),1795.0)</f>
        <v>1795</v>
      </c>
      <c r="H524" s="40">
        <f>IFERROR(__xludf.DUMMYFUNCTION("IMPORTRANGE(""https://docs.google.com/spreadsheets/d/1lJqjdj05V4LOXuBOiTdE65GV4ZITyx1cMLcDdcuoUnE/edit"",""20!e44"")"),0.0)</f>
        <v>0</v>
      </c>
      <c r="I524" s="40">
        <f t="shared" si="1440"/>
        <v>1795</v>
      </c>
      <c r="J524" s="40">
        <f>IFERROR(__xludf.DUMMYFUNCTION("IMPORTRANGE(""https://docs.google.com/spreadsheets/d/1lJqjdj05V4LOXuBOiTdE65GV4ZITyx1cMLcDdcuoUnE/edit"",""20!e47"")"),3217.0)</f>
        <v>3217</v>
      </c>
      <c r="K524" s="40">
        <f>IFERROR(__xludf.DUMMYFUNCTION("IMPORTRANGE(""https://docs.google.com/spreadsheets/d/1lJqjdj05V4LOXuBOiTdE65GV4ZITyx1cMLcDdcuoUnE/edit"",""20!e48"")"),0.0)</f>
        <v>0</v>
      </c>
      <c r="L524" s="40">
        <f t="shared" si="1441"/>
        <v>3217</v>
      </c>
      <c r="M524" s="40">
        <f t="shared" si="1442"/>
        <v>5012</v>
      </c>
      <c r="N524" s="41">
        <f t="shared" si="1443"/>
        <v>193.5088235</v>
      </c>
      <c r="O524" s="38">
        <v>6853.0</v>
      </c>
      <c r="P524" s="42">
        <f t="shared" si="1444"/>
        <v>0.7313585291</v>
      </c>
      <c r="Q524" s="43">
        <v>1.5</v>
      </c>
      <c r="R524" s="42">
        <f t="shared" si="1445"/>
        <v>0.5078554456</v>
      </c>
      <c r="S524" s="44">
        <f t="shared" si="1446"/>
        <v>0.7617831684</v>
      </c>
      <c r="T524" s="43">
        <f>F524/33.74</f>
        <v>195</v>
      </c>
      <c r="U524" s="43">
        <f t="shared" si="1447"/>
        <v>5.735294118</v>
      </c>
      <c r="V524" s="40">
        <f t="shared" si="1448"/>
        <v>147.4117647</v>
      </c>
      <c r="X524" s="14" t="s">
        <v>2</v>
      </c>
      <c r="Y524" s="14" t="s">
        <v>3</v>
      </c>
      <c r="Z524" s="14" t="s">
        <v>4</v>
      </c>
      <c r="AA524" s="14" t="s">
        <v>5</v>
      </c>
      <c r="AB524" s="15" t="s">
        <v>6</v>
      </c>
      <c r="AC524" s="14" t="s">
        <v>7</v>
      </c>
      <c r="AD524" s="14" t="s">
        <v>8</v>
      </c>
      <c r="AE524" s="14" t="s">
        <v>9</v>
      </c>
      <c r="AF524" s="14" t="s">
        <v>10</v>
      </c>
      <c r="AG524" s="14" t="s">
        <v>11</v>
      </c>
      <c r="AH524" s="14" t="s">
        <v>12</v>
      </c>
      <c r="AI524" s="14" t="s">
        <v>13</v>
      </c>
      <c r="AJ524" s="15" t="s">
        <v>14</v>
      </c>
      <c r="AK524" s="14" t="s">
        <v>15</v>
      </c>
      <c r="AL524" s="14" t="s">
        <v>16</v>
      </c>
      <c r="AM524" s="16" t="s">
        <v>17</v>
      </c>
      <c r="AN524" s="17" t="s">
        <v>18</v>
      </c>
      <c r="AO524" s="18" t="s">
        <v>19</v>
      </c>
      <c r="AP524" s="19" t="s">
        <v>20</v>
      </c>
      <c r="AQ524" s="19" t="s">
        <v>21</v>
      </c>
      <c r="AR524" s="20" t="s">
        <v>22</v>
      </c>
    </row>
    <row r="525" ht="15.75" customHeight="1">
      <c r="A525" s="21"/>
      <c r="B525" s="38">
        <v>7.0</v>
      </c>
      <c r="C525" s="38" t="s">
        <v>24</v>
      </c>
      <c r="D525" s="39">
        <v>44.0</v>
      </c>
      <c r="E525" s="54">
        <f>IFERROR(__xludf.DUMMYFUNCTION("COUNT(IMPORTRANGE(""https://docs.google.com/spreadsheets/d/1_7EEO26q9Yq-XhNFiy7I6Zh4Yg6uGjTs9y0UqNvPKcQ/edit"",""20!d2:d45""))"),42.0)</f>
        <v>42</v>
      </c>
      <c r="F525" s="55">
        <f>IFERROR(__xludf.DUMMYFUNCTION("SUM(IMPORTRANGE(""https://docs.google.com/spreadsheets/d/1_7EEO26q9Yq-XhNFiy7I6Zh4Yg6uGjTs9y0UqNvPKcQ/edit"",""20!Q2:Q45""))"),8049.007999999993)</f>
        <v>8049.008</v>
      </c>
      <c r="G525" s="54">
        <f>IFERROR(__xludf.DUMMYFUNCTION("IMPORTRANGE(""https://docs.google.com/spreadsheets/d/1_7EEO26q9Yq-XhNFiy7I6Zh4Yg6uGjTs9y0UqNvPKcQ/edit"",""20!e53"")"),997.0)</f>
        <v>997</v>
      </c>
      <c r="H525" s="54">
        <f>IFERROR(__xludf.DUMMYFUNCTION("IMPORTRANGE(""https://docs.google.com/spreadsheets/d/1_7EEO26q9Yq-XhNFiy7I6Zh4Yg6uGjTs9y0UqNvPKcQ/edit"",""20!e54"")"),10.0)</f>
        <v>10</v>
      </c>
      <c r="I525" s="54">
        <f t="shared" si="1440"/>
        <v>1007</v>
      </c>
      <c r="J525" s="54">
        <f>IFERROR(__xludf.DUMMYFUNCTION("IMPORTRANGE(""https://docs.google.com/spreadsheets/d/1_7EEO26q9Yq-XhNFiy7I6Zh4Yg6uGjTs9y0UqNvPKcQ/edit"",""20!e57"")"),1632.0)</f>
        <v>1632</v>
      </c>
      <c r="K525" s="54">
        <f>IFERROR(__xludf.DUMMYFUNCTION("IMPORTRANGE(""https://docs.google.com/spreadsheets/d/1_7EEO26q9Yq-XhNFiy7I6Zh4Yg6uGjTs9y0UqNvPKcQ/edit"",""20!e58"")"),17.0)</f>
        <v>17</v>
      </c>
      <c r="L525" s="40">
        <f t="shared" si="1441"/>
        <v>1649</v>
      </c>
      <c r="M525" s="40">
        <f t="shared" si="1442"/>
        <v>2656</v>
      </c>
      <c r="N525" s="41">
        <f t="shared" si="1443"/>
        <v>191.6430476</v>
      </c>
      <c r="O525" s="38">
        <v>1580.0</v>
      </c>
      <c r="P525" s="56">
        <f t="shared" si="1444"/>
        <v>1.681012658</v>
      </c>
      <c r="Q525" s="43">
        <v>1.5</v>
      </c>
      <c r="R525" s="42">
        <f t="shared" si="1445"/>
        <v>0.2199857009</v>
      </c>
      <c r="S525" s="44">
        <f t="shared" si="1446"/>
        <v>0.3299785514</v>
      </c>
      <c r="T525" s="43">
        <f>F525/26.805</f>
        <v>300.280097</v>
      </c>
      <c r="U525" s="43">
        <f t="shared" si="1447"/>
        <v>7.149526119</v>
      </c>
      <c r="V525" s="40">
        <f t="shared" si="1448"/>
        <v>63.23809524</v>
      </c>
      <c r="X525" s="22">
        <v>1.0</v>
      </c>
      <c r="Y525" s="22" t="s">
        <v>28</v>
      </c>
      <c r="Z525" s="22">
        <f t="shared" ref="Z525:AI525" si="1457">SUM(D520)</f>
        <v>33</v>
      </c>
      <c r="AA525" s="23">
        <f t="shared" si="1457"/>
        <v>33</v>
      </c>
      <c r="AB525" s="25">
        <f t="shared" si="1457"/>
        <v>6158.069</v>
      </c>
      <c r="AC525" s="23">
        <f t="shared" si="1457"/>
        <v>2555</v>
      </c>
      <c r="AD525" s="23">
        <f t="shared" si="1457"/>
        <v>100</v>
      </c>
      <c r="AE525" s="23">
        <f t="shared" si="1457"/>
        <v>2655</v>
      </c>
      <c r="AF525" s="23">
        <f t="shared" si="1457"/>
        <v>2790</v>
      </c>
      <c r="AG525" s="23">
        <f t="shared" si="1457"/>
        <v>444</v>
      </c>
      <c r="AH525" s="23">
        <f t="shared" si="1457"/>
        <v>3234</v>
      </c>
      <c r="AI525" s="23">
        <f t="shared" si="1457"/>
        <v>5889</v>
      </c>
      <c r="AJ525" s="25">
        <f t="shared" ref="AJ525:AJ531" si="1460">AB525/AA525</f>
        <v>186.6081515</v>
      </c>
      <c r="AK525" s="22">
        <f t="shared" ref="AK525:AK526" si="1461">SUM(O520)</f>
        <v>7315</v>
      </c>
      <c r="AL525" s="26">
        <f t="shared" ref="AL525:AL531" si="1462">AI525/AK525</f>
        <v>0.8050580998</v>
      </c>
      <c r="AM525" s="27">
        <f t="shared" ref="AM525:AM526" si="1463">SUM(Q520)</f>
        <v>1.5</v>
      </c>
      <c r="AN525" s="26">
        <f t="shared" ref="AN525:AN531" si="1464">AO525/AM525</f>
        <v>0.6375375138</v>
      </c>
      <c r="AO525" s="28">
        <f t="shared" ref="AO525:AO531" si="1465">AI525/AB525</f>
        <v>0.9563062707</v>
      </c>
      <c r="AP525" s="27">
        <f t="shared" ref="AP525:AQ525" si="1458">SUM(T520)</f>
        <v>199.3096093</v>
      </c>
      <c r="AQ525" s="27">
        <f t="shared" si="1458"/>
        <v>6.039685132</v>
      </c>
      <c r="AR525" s="23">
        <f t="shared" ref="AR525:AR531" si="1467">AI525/AA525</f>
        <v>178.4545455</v>
      </c>
    </row>
    <row r="526" ht="15.75" customHeight="1">
      <c r="A526" s="21"/>
      <c r="B526" s="38">
        <v>8.0</v>
      </c>
      <c r="C526" s="38" t="s">
        <v>25</v>
      </c>
      <c r="D526" s="57">
        <v>32.0</v>
      </c>
      <c r="E526" s="40">
        <f>IFERROR(__xludf.DUMMYFUNCTION("COUNT(IMPORTRANGE(""https://docs.google.com/spreadsheets/d/1vLOLpiE-XsbnCnwWPcoi87PlUSXfqIAAQn3kvqHfO6s/edit"",""20!d2:D33""))"),30.0)</f>
        <v>30</v>
      </c>
      <c r="F526" s="45">
        <f>IFERROR(__xludf.DUMMYFUNCTION("SUM(IMPORTRANGE(""https://docs.google.com/spreadsheets/d/1vLOLpiE-XsbnCnwWPcoi87PlUSXfqIAAQn3kvqHfO6s/edit"",""20!Q2:Q33""))"),5712.332000000001)</f>
        <v>5712.332</v>
      </c>
      <c r="G526" s="40">
        <f>IFERROR(__xludf.DUMMYFUNCTION("IMPORTRANGE(""https://docs.google.com/spreadsheets/d/1vLOLpiE-XsbnCnwWPcoi87PlUSXfqIAAQn3kvqHfO6s/edit"",""20!e40"")"),2050.0)</f>
        <v>2050</v>
      </c>
      <c r="H526" s="40">
        <f>IFERROR(__xludf.DUMMYFUNCTION("IMPORTRANGE(""https://docs.google.com/spreadsheets/d/1vLOLpiE-XsbnCnwWPcoi87PlUSXfqIAAQn3kvqHfO6s/edit"",""20!e41"")"),265.0)</f>
        <v>265</v>
      </c>
      <c r="I526" s="40">
        <f t="shared" si="1440"/>
        <v>2315</v>
      </c>
      <c r="J526" s="40">
        <f>IFERROR(__xludf.DUMMYFUNCTION("IMPORTRANGE(""https://docs.google.com/spreadsheets/d/1vLOLpiE-XsbnCnwWPcoi87PlUSXfqIAAQn3kvqHfO6s/edit"",""20!e44"")"),3270.0)</f>
        <v>3270</v>
      </c>
      <c r="K526" s="40">
        <f>IFERROR(__xludf.DUMMYFUNCTION("IMPORTRANGE(""https://docs.google.com/spreadsheets/d/1vLOLpiE-XsbnCnwWPcoi87PlUSXfqIAAQn3kvqHfO6s/edit"",""20!e45"")"),294.0)</f>
        <v>294</v>
      </c>
      <c r="L526" s="40">
        <f>J526+K526</f>
        <v>3564</v>
      </c>
      <c r="M526" s="40">
        <f t="shared" si="1442"/>
        <v>5879</v>
      </c>
      <c r="N526" s="41">
        <f t="shared" si="1443"/>
        <v>190.4110667</v>
      </c>
      <c r="O526" s="38">
        <v>6622.0</v>
      </c>
      <c r="P526" s="42">
        <f t="shared" si="1444"/>
        <v>0.8877982483</v>
      </c>
      <c r="Q526" s="43">
        <v>1.5</v>
      </c>
      <c r="R526" s="42">
        <f t="shared" si="1445"/>
        <v>0.686117917</v>
      </c>
      <c r="S526" s="44">
        <f t="shared" si="1446"/>
        <v>1.029176876</v>
      </c>
      <c r="T526" s="43">
        <f>F526/23.84</f>
        <v>239.6112416</v>
      </c>
      <c r="U526" s="43">
        <f t="shared" si="1447"/>
        <v>7.987041387</v>
      </c>
      <c r="V526" s="40">
        <f t="shared" si="1448"/>
        <v>195.9666667</v>
      </c>
      <c r="X526" s="31">
        <v>2.0</v>
      </c>
      <c r="Y526" s="31" t="s">
        <v>30</v>
      </c>
      <c r="Z526" s="31">
        <f t="shared" ref="Z526:AI526" si="1459">SUM(D521)</f>
        <v>60</v>
      </c>
      <c r="AA526" s="32">
        <f t="shared" si="1459"/>
        <v>59</v>
      </c>
      <c r="AB526" s="33">
        <f t="shared" si="1459"/>
        <v>12018.818</v>
      </c>
      <c r="AC526" s="32">
        <f t="shared" si="1459"/>
        <v>3470</v>
      </c>
      <c r="AD526" s="32">
        <f t="shared" si="1459"/>
        <v>0</v>
      </c>
      <c r="AE526" s="32">
        <f t="shared" si="1459"/>
        <v>3470</v>
      </c>
      <c r="AF526" s="32">
        <f t="shared" si="1459"/>
        <v>5858</v>
      </c>
      <c r="AG526" s="32">
        <f t="shared" si="1459"/>
        <v>0</v>
      </c>
      <c r="AH526" s="32">
        <f t="shared" si="1459"/>
        <v>5858</v>
      </c>
      <c r="AI526" s="32">
        <f t="shared" si="1459"/>
        <v>9328</v>
      </c>
      <c r="AJ526" s="34">
        <f t="shared" si="1460"/>
        <v>203.7087797</v>
      </c>
      <c r="AK526" s="31">
        <f t="shared" si="1461"/>
        <v>11164</v>
      </c>
      <c r="AL526" s="35">
        <f t="shared" si="1462"/>
        <v>0.8355428162</v>
      </c>
      <c r="AM526" s="36">
        <f t="shared" si="1463"/>
        <v>1.5</v>
      </c>
      <c r="AN526" s="35">
        <f t="shared" si="1464"/>
        <v>0.5174108358</v>
      </c>
      <c r="AO526" s="37">
        <f t="shared" si="1465"/>
        <v>0.7761162537</v>
      </c>
      <c r="AP526" s="36">
        <f t="shared" ref="AP526:AQ526" si="1466">SUM(T521)</f>
        <v>406</v>
      </c>
      <c r="AQ526" s="36">
        <f t="shared" si="1466"/>
        <v>6.881355932</v>
      </c>
      <c r="AR526" s="32">
        <f t="shared" si="1467"/>
        <v>158.1016949</v>
      </c>
    </row>
    <row r="527" ht="15.75" customHeight="1">
      <c r="A527" s="21"/>
      <c r="B527" s="38">
        <v>9.0</v>
      </c>
      <c r="C527" s="38" t="s">
        <v>36</v>
      </c>
      <c r="D527" s="58">
        <v>29.0</v>
      </c>
      <c r="E527" s="40">
        <f>IFERROR(__xludf.DUMMYFUNCTION("COUNT(IMPORTRANGE(""https://docs.google.com/spreadsheets/d/1WJJVq25XDtGjt-J2JPxeKs3jIvDZtkIREC0lFPXwf74/edit"",""20!d2:d31""))"),28.0)</f>
        <v>28</v>
      </c>
      <c r="F527" s="45">
        <f>IFERROR(__xludf.DUMMYFUNCTION("SUM(IMPORTRANGE(""https://docs.google.com/spreadsheets/d/1WJJVq25XDtGjt-J2JPxeKs3jIvDZtkIREC0lFPXwf74/edit"",""20!Q2:Q31""))"),5604.119999999996)</f>
        <v>5604.12</v>
      </c>
      <c r="G527" s="40">
        <f>IFERROR(__xludf.DUMMYFUNCTION("IMPORTRANGE(""https://docs.google.com/spreadsheets/d/1WJJVq25XDtGjt-J2JPxeKs3jIvDZtkIREC0lFPXwf74/edit"",""20!e38"")"),1424.0)</f>
        <v>1424</v>
      </c>
      <c r="H527" s="40">
        <f>IFERROR(__xludf.DUMMYFUNCTION("IMPORTRANGE(""https://docs.google.com/spreadsheets/d/1WJJVq25XDtGjt-J2JPxeKs3jIvDZtkIREC0lFPXwf74/edit"",""20!e39"")"),0.0)</f>
        <v>0</v>
      </c>
      <c r="I527" s="40">
        <f t="shared" si="1440"/>
        <v>1424</v>
      </c>
      <c r="J527" s="40">
        <f>IFERROR(__xludf.DUMMYFUNCTION("IMPORTRANGE(""https://docs.google.com/spreadsheets/d/1WJJVq25XDtGjt-J2JPxeKs3jIvDZtkIREC0lFPXwf74/edit"",""20!e42"")"),2464.0)</f>
        <v>2464</v>
      </c>
      <c r="K527" s="40">
        <f>IFERROR(__xludf.DUMMYFUNCTION("IMPORTRANGE(""https://docs.google.com/spreadsheets/d/1WJJVq25XDtGjt-J2JPxeKs3jIvDZtkIREC0lFPXwf74/edit"",""20!e43"")"),0.0)</f>
        <v>0</v>
      </c>
      <c r="L527" s="40">
        <f t="shared" ref="L527:L536" si="1470">SUM(J527:K527)</f>
        <v>2464</v>
      </c>
      <c r="M527" s="40">
        <f t="shared" si="1442"/>
        <v>3888</v>
      </c>
      <c r="N527" s="41">
        <f t="shared" si="1443"/>
        <v>200.1471429</v>
      </c>
      <c r="O527" s="38">
        <v>4796.0</v>
      </c>
      <c r="P527" s="42">
        <f t="shared" si="1444"/>
        <v>0.810675563</v>
      </c>
      <c r="Q527" s="43">
        <v>1.5</v>
      </c>
      <c r="R527" s="42">
        <f t="shared" si="1445"/>
        <v>0.4625168626</v>
      </c>
      <c r="S527" s="44">
        <f t="shared" si="1446"/>
        <v>0.6937752939</v>
      </c>
      <c r="T527" s="43">
        <f>F527/37.414</f>
        <v>149.7867109</v>
      </c>
      <c r="U527" s="43">
        <f t="shared" si="1447"/>
        <v>5.349525388</v>
      </c>
      <c r="V527" s="40">
        <f t="shared" si="1448"/>
        <v>138.8571429</v>
      </c>
      <c r="X527" s="22">
        <v>3.0</v>
      </c>
      <c r="Y527" s="22" t="s">
        <v>34</v>
      </c>
      <c r="Z527" s="22">
        <f t="shared" ref="Z527:AI527" si="1468">SUM(D523)</f>
        <v>40</v>
      </c>
      <c r="AA527" s="23">
        <f t="shared" si="1468"/>
        <v>40</v>
      </c>
      <c r="AB527" s="24">
        <f t="shared" si="1468"/>
        <v>7638.813</v>
      </c>
      <c r="AC527" s="23">
        <f t="shared" si="1468"/>
        <v>2695</v>
      </c>
      <c r="AD527" s="23">
        <f t="shared" si="1468"/>
        <v>0</v>
      </c>
      <c r="AE527" s="23">
        <f t="shared" si="1468"/>
        <v>2695</v>
      </c>
      <c r="AF527" s="23">
        <f t="shared" si="1468"/>
        <v>3595</v>
      </c>
      <c r="AG527" s="23">
        <f t="shared" si="1468"/>
        <v>0</v>
      </c>
      <c r="AH527" s="23">
        <f t="shared" si="1468"/>
        <v>3595</v>
      </c>
      <c r="AI527" s="23">
        <f t="shared" si="1468"/>
        <v>6290</v>
      </c>
      <c r="AJ527" s="25">
        <f t="shared" si="1460"/>
        <v>190.970325</v>
      </c>
      <c r="AK527" s="22">
        <f>SUM(O523)</f>
        <v>9354</v>
      </c>
      <c r="AL527" s="26">
        <f t="shared" si="1462"/>
        <v>0.672439598</v>
      </c>
      <c r="AM527" s="27">
        <f>SUM(Q523)</f>
        <v>1.5</v>
      </c>
      <c r="AN527" s="26">
        <f t="shared" si="1464"/>
        <v>0.5489509081</v>
      </c>
      <c r="AO527" s="28">
        <f t="shared" si="1465"/>
        <v>0.8234263622</v>
      </c>
      <c r="AP527" s="27">
        <f t="shared" ref="AP527:AQ527" si="1469">SUM(T523)</f>
        <v>248.7159509</v>
      </c>
      <c r="AQ527" s="27">
        <f t="shared" si="1469"/>
        <v>6.217898773</v>
      </c>
      <c r="AR527" s="23">
        <f t="shared" si="1467"/>
        <v>157.25</v>
      </c>
    </row>
    <row r="528" ht="15.75" customHeight="1">
      <c r="A528" s="21"/>
      <c r="B528" s="38">
        <v>10.0</v>
      </c>
      <c r="C528" s="38" t="s">
        <v>37</v>
      </c>
      <c r="D528" s="39">
        <v>30.0</v>
      </c>
      <c r="E528" s="40">
        <f>IFERROR(__xludf.DUMMYFUNCTION("COUNT(IMPORTRANGE(""https://docs.google.com/spreadsheets/d/1rJyYfywRpWJW0zvDJHLOJtqUQqffoCGaqTVxxTDgV0k/edit"",""20!d2:d31""))"),29.0)</f>
        <v>29</v>
      </c>
      <c r="F528" s="45">
        <f>IFERROR(__xludf.DUMMYFUNCTION("SUM(IMPORTRANGE(""https://docs.google.com/spreadsheets/d/1rJyYfywRpWJW0zvDJHLOJtqUQqffoCGaqTVxxTDgV0k/edit"",""20!Q2:Q31""))"),5710.848000000001)</f>
        <v>5710.848</v>
      </c>
      <c r="G528" s="40">
        <f>IFERROR(__xludf.DUMMYFUNCTION("(IMPORTRANGE(""https://docs.google.com/spreadsheets/d/1rJyYfywRpWJW0zvDJHLOJtqUQqffoCGaqTVxxTDgV0k/edit"",""20!e38""))"),2105.0)</f>
        <v>2105</v>
      </c>
      <c r="H528" s="40">
        <f>IFERROR(__xludf.DUMMYFUNCTION("(IMPORTRANGE(""https://docs.google.com/spreadsheets/d/1rJyYfywRpWJW0zvDJHLOJtqUQqffoCGaqTVxxTDgV0k/edit"",""20!e39""))"),90.0)</f>
        <v>90</v>
      </c>
      <c r="I528" s="40">
        <f t="shared" si="1440"/>
        <v>2195</v>
      </c>
      <c r="J528" s="40">
        <f>IFERROR(__xludf.DUMMYFUNCTION("(IMPORTRANGE(""https://docs.google.com/spreadsheets/d/1rJyYfywRpWJW0zvDJHLOJtqUQqffoCGaqTVxxTDgV0k/edit"",""20!e42""))"),3253.0)</f>
        <v>3253</v>
      </c>
      <c r="K528" s="40">
        <f>IFERROR(__xludf.DUMMYFUNCTION("(IMPORTRANGE(""https://docs.google.com/spreadsheets/d/1rJyYfywRpWJW0zvDJHLOJtqUQqffoCGaqTVxxTDgV0k/edit"",""20!e43""))"),0.0)</f>
        <v>0</v>
      </c>
      <c r="L528" s="40">
        <f t="shared" si="1470"/>
        <v>3253</v>
      </c>
      <c r="M528" s="40">
        <f t="shared" si="1442"/>
        <v>5448</v>
      </c>
      <c r="N528" s="41">
        <f t="shared" si="1443"/>
        <v>196.9257931</v>
      </c>
      <c r="O528" s="38">
        <v>5887.0</v>
      </c>
      <c r="P528" s="42">
        <f t="shared" si="1444"/>
        <v>0.9254289112</v>
      </c>
      <c r="Q528" s="43">
        <v>1.5</v>
      </c>
      <c r="R528" s="42">
        <f t="shared" si="1445"/>
        <v>0.6359826071</v>
      </c>
      <c r="S528" s="44">
        <f t="shared" si="1446"/>
        <v>0.9539739107</v>
      </c>
      <c r="T528" s="43">
        <f>F528/24.792</f>
        <v>230.3504356</v>
      </c>
      <c r="U528" s="43">
        <f t="shared" si="1447"/>
        <v>7.94311847</v>
      </c>
      <c r="V528" s="40">
        <f t="shared" si="1448"/>
        <v>187.862069</v>
      </c>
      <c r="X528" s="31">
        <v>4.0</v>
      </c>
      <c r="Y528" s="31" t="s">
        <v>38</v>
      </c>
      <c r="Z528" s="31">
        <f t="shared" ref="Z528:AI528" si="1471">SUM(D531)</f>
        <v>30</v>
      </c>
      <c r="AA528" s="32">
        <f t="shared" si="1471"/>
        <v>30</v>
      </c>
      <c r="AB528" s="33">
        <f t="shared" si="1471"/>
        <v>6427.98</v>
      </c>
      <c r="AC528" s="32">
        <f t="shared" si="1471"/>
        <v>2129</v>
      </c>
      <c r="AD528" s="32">
        <f t="shared" si="1471"/>
        <v>82</v>
      </c>
      <c r="AE528" s="32">
        <f t="shared" si="1471"/>
        <v>2211</v>
      </c>
      <c r="AF528" s="32">
        <f t="shared" si="1471"/>
        <v>3219</v>
      </c>
      <c r="AG528" s="32">
        <f t="shared" si="1471"/>
        <v>25</v>
      </c>
      <c r="AH528" s="32">
        <f t="shared" si="1471"/>
        <v>3244</v>
      </c>
      <c r="AI528" s="32">
        <f t="shared" si="1471"/>
        <v>5455</v>
      </c>
      <c r="AJ528" s="34">
        <f t="shared" si="1460"/>
        <v>214.266</v>
      </c>
      <c r="AK528" s="31">
        <v>7324.0</v>
      </c>
      <c r="AL528" s="35">
        <f t="shared" si="1462"/>
        <v>0.7448115784</v>
      </c>
      <c r="AM528" s="36">
        <f>SUM(Q531)</f>
        <v>1.5</v>
      </c>
      <c r="AN528" s="35">
        <f t="shared" si="1464"/>
        <v>0.5657557532</v>
      </c>
      <c r="AO528" s="37">
        <f t="shared" si="1465"/>
        <v>0.8486336298</v>
      </c>
      <c r="AP528" s="36">
        <f t="shared" ref="AP528:AQ528" si="1472">SUM(T531)</f>
        <v>156</v>
      </c>
      <c r="AQ528" s="36">
        <f t="shared" si="1472"/>
        <v>5.2</v>
      </c>
      <c r="AR528" s="32">
        <f t="shared" si="1467"/>
        <v>181.8333333</v>
      </c>
    </row>
    <row r="529" ht="15.75" customHeight="1">
      <c r="A529" s="21"/>
      <c r="B529" s="38">
        <v>12.0</v>
      </c>
      <c r="C529" s="38" t="s">
        <v>39</v>
      </c>
      <c r="D529" s="39">
        <v>28.0</v>
      </c>
      <c r="E529" s="40">
        <f>IFERROR(__xludf.DUMMYFUNCTION("COUNT(IMPORTRANGE(""https://docs.google.com/spreadsheets/d/1uaTn2DZCfr7O1PvovOd0wElzVz8kpl_iPfnrkNPp0Is/edit"",""20!d2:d29""))"),28.0)</f>
        <v>28</v>
      </c>
      <c r="F529" s="45">
        <f>IFERROR(__xludf.DUMMYFUNCTION("SUM(IMPORTRANGE(""https://docs.google.com/spreadsheets/d/1uaTn2DZCfr7O1PvovOd0wElzVz8kpl_iPfnrkNPp0Is/edit"",""20!Q2:Q29""))"),5103.829000000001)</f>
        <v>5103.829</v>
      </c>
      <c r="G529" s="40">
        <f>IFERROR(__xludf.DUMMYFUNCTION("IMPORTRANGE(""https://docs.google.com/spreadsheets/d/1uaTn2DZCfr7O1PvovOd0wElzVz8kpl_iPfnrkNPp0Is/edit"",""20!e36"")"),1299.0)</f>
        <v>1299</v>
      </c>
      <c r="H529" s="40">
        <f>IFERROR(__xludf.DUMMYFUNCTION("(IMPORTRANGE(""https://docs.google.com/spreadsheets/d/1uaTn2DZCfr7O1PvovOd0wElzVz8kpl_iPfnrkNPp0Is/edit"",""20!e37""))"),70.0)</f>
        <v>70</v>
      </c>
      <c r="I529" s="40">
        <f t="shared" si="1440"/>
        <v>1369</v>
      </c>
      <c r="J529" s="40">
        <f>IFERROR(__xludf.DUMMYFUNCTION("IMPORTRANGE(""https://docs.google.com/spreadsheets/d/1uaTn2DZCfr7O1PvovOd0wElzVz8kpl_iPfnrkNPp0Is/edit"",""20!e40"")"),1580.0)</f>
        <v>1580</v>
      </c>
      <c r="K529" s="40">
        <f>IFERROR(__xludf.DUMMYFUNCTION("IMPORTRANGE(""https://docs.google.com/spreadsheets/d/1uaTn2DZCfr7O1PvovOd0wElzVz8kpl_iPfnrkNPp0Is/edit"",""20!e41"")"),69.0)</f>
        <v>69</v>
      </c>
      <c r="L529" s="40">
        <f t="shared" si="1470"/>
        <v>1649</v>
      </c>
      <c r="M529" s="40">
        <f t="shared" si="1442"/>
        <v>3018</v>
      </c>
      <c r="N529" s="41">
        <f t="shared" si="1443"/>
        <v>182.2796071</v>
      </c>
      <c r="O529" s="38">
        <v>3569.0</v>
      </c>
      <c r="P529" s="42">
        <f t="shared" si="1444"/>
        <v>0.8456150182</v>
      </c>
      <c r="Q529" s="43">
        <v>1.5</v>
      </c>
      <c r="R529" s="42">
        <f t="shared" si="1445"/>
        <v>0.3942138344</v>
      </c>
      <c r="S529" s="44">
        <f t="shared" si="1446"/>
        <v>0.5913207515</v>
      </c>
      <c r="T529" s="43">
        <f>F529/21.463</f>
        <v>237.7966268</v>
      </c>
      <c r="U529" s="43">
        <f t="shared" si="1447"/>
        <v>8.49273667</v>
      </c>
      <c r="V529" s="40">
        <f t="shared" si="1448"/>
        <v>107.7857143</v>
      </c>
      <c r="X529" s="31">
        <v>5.0</v>
      </c>
      <c r="Y529" s="31" t="s">
        <v>40</v>
      </c>
      <c r="Z529" s="31">
        <f t="shared" ref="Z529:AI529" si="1473">SUM(D533)</f>
        <v>30</v>
      </c>
      <c r="AA529" s="32">
        <f t="shared" si="1473"/>
        <v>30</v>
      </c>
      <c r="AB529" s="33">
        <f t="shared" si="1473"/>
        <v>5887.701</v>
      </c>
      <c r="AC529" s="32">
        <f t="shared" si="1473"/>
        <v>3031</v>
      </c>
      <c r="AD529" s="32">
        <f t="shared" si="1473"/>
        <v>170</v>
      </c>
      <c r="AE529" s="32">
        <f t="shared" si="1473"/>
        <v>3201</v>
      </c>
      <c r="AF529" s="32">
        <f t="shared" si="1473"/>
        <v>3853</v>
      </c>
      <c r="AG529" s="32">
        <f t="shared" si="1473"/>
        <v>103</v>
      </c>
      <c r="AH529" s="32">
        <f t="shared" si="1473"/>
        <v>3956</v>
      </c>
      <c r="AI529" s="32">
        <f t="shared" si="1473"/>
        <v>7157</v>
      </c>
      <c r="AJ529" s="34">
        <f t="shared" si="1460"/>
        <v>196.2567</v>
      </c>
      <c r="AK529" s="31">
        <f t="shared" ref="AK529:AK530" si="1476">SUM(O533)</f>
        <v>8239</v>
      </c>
      <c r="AL529" s="35">
        <f t="shared" si="1462"/>
        <v>0.8686733827</v>
      </c>
      <c r="AM529" s="36">
        <f t="shared" ref="AM529:AM530" si="1477">SUM(Q533)</f>
        <v>1.5</v>
      </c>
      <c r="AN529" s="35">
        <f t="shared" si="1464"/>
        <v>0.8103898845</v>
      </c>
      <c r="AO529" s="37">
        <f t="shared" si="1465"/>
        <v>1.215584827</v>
      </c>
      <c r="AP529" s="36">
        <f t="shared" ref="AP529:AQ529" si="1474">SUM(T533)</f>
        <v>207</v>
      </c>
      <c r="AQ529" s="36">
        <f t="shared" si="1474"/>
        <v>6.9</v>
      </c>
      <c r="AR529" s="32">
        <f t="shared" si="1467"/>
        <v>238.5666667</v>
      </c>
    </row>
    <row r="530" ht="15.75" customHeight="1">
      <c r="A530" s="21"/>
      <c r="B530" s="38">
        <v>12.0</v>
      </c>
      <c r="C530" s="38" t="s">
        <v>41</v>
      </c>
      <c r="D530" s="39">
        <v>24.0</v>
      </c>
      <c r="E530" s="40">
        <f>IFERROR(__xludf.DUMMYFUNCTION("COUNT(IMPORTRANGE(""https://docs.google.com/spreadsheets/d/1oYscvfOJW7GMkxt8QcupWuzb3ohaYePd3Mt2V2ufHok/edit"",""20!d2:d25""))"),23.0)</f>
        <v>23</v>
      </c>
      <c r="F530" s="45">
        <f>IFERROR(__xludf.DUMMYFUNCTION("SUM(IMPORTRANGE(""https://docs.google.com/spreadsheets/d/1oYscvfOJW7GMkxt8QcupWuzb3ohaYePd3Mt2V2ufHok/edit"",""20!Q2:Q25""))"),4510.040000000002)</f>
        <v>4510.04</v>
      </c>
      <c r="G530" s="40">
        <f>IFERROR(__xludf.DUMMYFUNCTION("IMPORTRANGE(""https://docs.google.com/spreadsheets/d/1oYscvfOJW7GMkxt8QcupWuzb3ohaYePd3Mt2V2ufHok/edit"",""20!e32"")"),1343.0)</f>
        <v>1343</v>
      </c>
      <c r="H530" s="40">
        <f>IFERROR(__xludf.DUMMYFUNCTION("IMPORTRANGE(""https://docs.google.com/spreadsheets/d/1oYscvfOJW7GMkxt8QcupWuzb3ohaYePd3Mt2V2ufHok/edit"",""20!e33"")"),0.0)</f>
        <v>0</v>
      </c>
      <c r="I530" s="40">
        <f t="shared" si="1440"/>
        <v>1343</v>
      </c>
      <c r="J530" s="40">
        <f>IFERROR(__xludf.DUMMYFUNCTION("IMPORTRANGE(""https://docs.google.com/spreadsheets/d/1oYscvfOJW7GMkxt8QcupWuzb3ohaYePd3Mt2V2ufHok/edit"",""20!e36"")"),1671.0)</f>
        <v>1671</v>
      </c>
      <c r="K530" s="40">
        <f>IFERROR(__xludf.DUMMYFUNCTION("IMPORTRANGE(""https://docs.google.com/spreadsheets/d/1oYscvfOJW7GMkxt8QcupWuzb3ohaYePd3Mt2V2ufHok/edit"",""20!e37"")"),0.0)</f>
        <v>0</v>
      </c>
      <c r="L530" s="40">
        <f t="shared" si="1470"/>
        <v>1671</v>
      </c>
      <c r="M530" s="40">
        <f t="shared" si="1442"/>
        <v>3014</v>
      </c>
      <c r="N530" s="41">
        <f t="shared" si="1443"/>
        <v>196.0886957</v>
      </c>
      <c r="O530" s="38">
        <v>3801.0</v>
      </c>
      <c r="P530" s="42">
        <f t="shared" si="1444"/>
        <v>0.7929492239</v>
      </c>
      <c r="Q530" s="43">
        <v>1.5</v>
      </c>
      <c r="R530" s="42">
        <f t="shared" si="1445"/>
        <v>0.4455245038</v>
      </c>
      <c r="S530" s="44">
        <f t="shared" si="1446"/>
        <v>0.6682867558</v>
      </c>
      <c r="T530" s="43">
        <f>F530/29.628</f>
        <v>152.2222222</v>
      </c>
      <c r="U530" s="43">
        <f t="shared" si="1447"/>
        <v>6.618357488</v>
      </c>
      <c r="V530" s="40">
        <f t="shared" si="1448"/>
        <v>131.0434783</v>
      </c>
      <c r="X530" s="22">
        <v>6.0</v>
      </c>
      <c r="Y530" s="22" t="s">
        <v>42</v>
      </c>
      <c r="Z530" s="22">
        <f t="shared" ref="Z530:AI530" si="1475">SUM(D534)</f>
        <v>33</v>
      </c>
      <c r="AA530" s="23">
        <f t="shared" si="1475"/>
        <v>32</v>
      </c>
      <c r="AB530" s="24">
        <f t="shared" si="1475"/>
        <v>6266.431</v>
      </c>
      <c r="AC530" s="23">
        <f t="shared" si="1475"/>
        <v>3169</v>
      </c>
      <c r="AD530" s="23">
        <f t="shared" si="1475"/>
        <v>218</v>
      </c>
      <c r="AE530" s="23">
        <f t="shared" si="1475"/>
        <v>3387</v>
      </c>
      <c r="AF530" s="23">
        <f t="shared" si="1475"/>
        <v>3428</v>
      </c>
      <c r="AG530" s="23">
        <f t="shared" si="1475"/>
        <v>195</v>
      </c>
      <c r="AH530" s="23">
        <f t="shared" si="1475"/>
        <v>3623</v>
      </c>
      <c r="AI530" s="23">
        <f t="shared" si="1475"/>
        <v>7010</v>
      </c>
      <c r="AJ530" s="25">
        <f t="shared" si="1460"/>
        <v>195.8259688</v>
      </c>
      <c r="AK530" s="22">
        <f t="shared" si="1476"/>
        <v>9877</v>
      </c>
      <c r="AL530" s="26">
        <f t="shared" si="1462"/>
        <v>0.709729675</v>
      </c>
      <c r="AM530" s="27">
        <f t="shared" si="1477"/>
        <v>1.5</v>
      </c>
      <c r="AN530" s="26">
        <f t="shared" si="1464"/>
        <v>0.7457727267</v>
      </c>
      <c r="AO530" s="28">
        <f t="shared" si="1465"/>
        <v>1.11865909</v>
      </c>
      <c r="AP530" s="27">
        <f t="shared" ref="AP530:AQ530" si="1478">SUM(T534)</f>
        <v>239.5882623</v>
      </c>
      <c r="AQ530" s="27">
        <f t="shared" si="1478"/>
        <v>7.487133196</v>
      </c>
      <c r="AR530" s="23">
        <f t="shared" si="1467"/>
        <v>219.0625</v>
      </c>
    </row>
    <row r="531" ht="15.75" customHeight="1">
      <c r="A531" s="21"/>
      <c r="B531" s="38">
        <v>13.0</v>
      </c>
      <c r="C531" s="38" t="s">
        <v>43</v>
      </c>
      <c r="D531" s="39">
        <v>30.0</v>
      </c>
      <c r="E531" s="40">
        <f>IFERROR(__xludf.DUMMYFUNCTION("COUNT(IMPORTRANGE(""https://docs.google.com/spreadsheets/d/1AxBmuQEdOYAeRnZ4C8vO6kuTNp7X_SGhpLXuY0n4ln4/edit"",""20!d2:d31""))"),30.0)</f>
        <v>30</v>
      </c>
      <c r="F531" s="45">
        <f>IFERROR(__xludf.DUMMYFUNCTION("SUM(IMPORTRANGE(""https://docs.google.com/spreadsheets/d/1AxBmuQEdOYAeRnZ4C8vO6kuTNp7X_SGhpLXuY0n4ln4/edit"",""20!Q2:Q31""))"),6427.979999999998)</f>
        <v>6427.98</v>
      </c>
      <c r="G531" s="40">
        <f>IFERROR(__xludf.DUMMYFUNCTION("IMPORTRANGE(""https://docs.google.com/spreadsheets/d/1AxBmuQEdOYAeRnZ4C8vO6kuTNp7X_SGhpLXuY0n4ln4/edit"",""20!e38"")"),2129.0)</f>
        <v>2129</v>
      </c>
      <c r="H531" s="40">
        <f>IFERROR(__xludf.DUMMYFUNCTION("IMPORTRANGE(""https://docs.google.com/spreadsheets/d/1AxBmuQEdOYAeRnZ4C8vO6kuTNp7X_SGhpLXuY0n4ln4/edit"",""20!e39"")"),82.0)</f>
        <v>82</v>
      </c>
      <c r="I531" s="40">
        <f t="shared" si="1440"/>
        <v>2211</v>
      </c>
      <c r="J531" s="40">
        <f>IFERROR(__xludf.DUMMYFUNCTION("IMPORTRANGE(""https://docs.google.com/spreadsheets/d/1AxBmuQEdOYAeRnZ4C8vO6kuTNp7X_SGhpLXuY0n4ln4/edit"",""20!e42"")"),3219.0)</f>
        <v>3219</v>
      </c>
      <c r="K531" s="40">
        <f>IFERROR(__xludf.DUMMYFUNCTION("IMPORTRANGE(""https://docs.google.com/spreadsheets/d/1AxBmuQEdOYAeRnZ4C8vO6kuTNp7X_SGhpLXuY0n4ln4/edit"",""20!e43"")"),25.0)</f>
        <v>25</v>
      </c>
      <c r="L531" s="40">
        <f t="shared" si="1470"/>
        <v>3244</v>
      </c>
      <c r="M531" s="40">
        <f t="shared" si="1442"/>
        <v>5455</v>
      </c>
      <c r="N531" s="41">
        <f t="shared" si="1443"/>
        <v>214.266</v>
      </c>
      <c r="O531" s="38">
        <v>8345.0</v>
      </c>
      <c r="P531" s="42">
        <f t="shared" si="1444"/>
        <v>0.6536848412</v>
      </c>
      <c r="Q531" s="43">
        <v>1.5</v>
      </c>
      <c r="R531" s="42">
        <f t="shared" si="1445"/>
        <v>0.5657557532</v>
      </c>
      <c r="S531" s="44">
        <f t="shared" si="1446"/>
        <v>0.8486336298</v>
      </c>
      <c r="T531" s="43">
        <f>F531/41.205</f>
        <v>156</v>
      </c>
      <c r="U531" s="43">
        <f t="shared" si="1447"/>
        <v>5.2</v>
      </c>
      <c r="V531" s="40">
        <f t="shared" si="1448"/>
        <v>181.8333333</v>
      </c>
      <c r="X531" s="46" t="s">
        <v>33</v>
      </c>
      <c r="Y531" s="46">
        <v>6.0</v>
      </c>
      <c r="Z531" s="46">
        <f t="shared" ref="Z531:AI531" si="1479">SUM(Z525:Z530)</f>
        <v>226</v>
      </c>
      <c r="AA531" s="47">
        <f t="shared" si="1479"/>
        <v>224</v>
      </c>
      <c r="AB531" s="49">
        <f t="shared" si="1479"/>
        <v>44397.812</v>
      </c>
      <c r="AC531" s="47">
        <f t="shared" si="1479"/>
        <v>17049</v>
      </c>
      <c r="AD531" s="47">
        <f t="shared" si="1479"/>
        <v>570</v>
      </c>
      <c r="AE531" s="47">
        <f t="shared" si="1479"/>
        <v>17619</v>
      </c>
      <c r="AF531" s="47">
        <f t="shared" si="1479"/>
        <v>22743</v>
      </c>
      <c r="AG531" s="47">
        <f t="shared" si="1479"/>
        <v>767</v>
      </c>
      <c r="AH531" s="47">
        <f t="shared" si="1479"/>
        <v>23510</v>
      </c>
      <c r="AI531" s="47">
        <f t="shared" si="1479"/>
        <v>41129</v>
      </c>
      <c r="AJ531" s="49">
        <f t="shared" si="1460"/>
        <v>198.2045179</v>
      </c>
      <c r="AK531" s="46">
        <f>SUM(AK525:AK530)</f>
        <v>53273</v>
      </c>
      <c r="AL531" s="50">
        <f t="shared" si="1462"/>
        <v>0.7720421227</v>
      </c>
      <c r="AM531" s="51">
        <v>1.5</v>
      </c>
      <c r="AN531" s="50">
        <f t="shared" si="1464"/>
        <v>0.6175829866</v>
      </c>
      <c r="AO531" s="52">
        <f t="shared" si="1465"/>
        <v>0.9263744799</v>
      </c>
      <c r="AP531" s="51">
        <f>SUM(AP525:AP530)</f>
        <v>1456.613823</v>
      </c>
      <c r="AQ531" s="51">
        <f>AP531/AA531</f>
        <v>6.502740279</v>
      </c>
      <c r="AR531" s="47">
        <f t="shared" si="1467"/>
        <v>183.6116071</v>
      </c>
    </row>
    <row r="532" ht="15.75" customHeight="1">
      <c r="A532" s="21"/>
      <c r="B532" s="38">
        <v>14.0</v>
      </c>
      <c r="C532" s="38" t="s">
        <v>27</v>
      </c>
      <c r="D532" s="39">
        <v>30.0</v>
      </c>
      <c r="E532" s="40">
        <f>IFERROR(__xludf.DUMMYFUNCTION("COUNT(IMPORTRANGE(""https://docs.google.com/spreadsheets/d/1LsL4JuXvBtfJ-TVi4NFml9lV_pmd61b789A_nbO-QrA/edit"",""20!d2:d31""))"),30.0)</f>
        <v>30</v>
      </c>
      <c r="F532" s="45">
        <f>IFERROR(__xludf.DUMMYFUNCTION("SUM(IMPORTRANGE(""https://docs.google.com/spreadsheets/d/1LsL4JuXvBtfJ-TVi4NFml9lV_pmd61b789A_nbO-QrA/edit"",""20!Q2:Q31""))"),5585.669999999999)</f>
        <v>5585.67</v>
      </c>
      <c r="G532" s="40">
        <f>IFERROR(__xludf.DUMMYFUNCTION("IMPORTRANGE(""https://docs.google.com/spreadsheets/d/1LsL4JuXvBtfJ-TVi4NFml9lV_pmd61b789A_nbO-QrA/edit"",""20!e38"")"),2468.0)</f>
        <v>2468</v>
      </c>
      <c r="H532" s="40">
        <f>IFERROR(__xludf.DUMMYFUNCTION("IMPORTRANGE(""https://docs.google.com/spreadsheets/d/1LsL4JuXvBtfJ-TVi4NFml9lV_pmd61b789A_nbO-QrA/edit"",""20!e39"")"),0.0)</f>
        <v>0</v>
      </c>
      <c r="I532" s="40">
        <f t="shared" si="1440"/>
        <v>2468</v>
      </c>
      <c r="J532" s="40">
        <f>IFERROR(__xludf.DUMMYFUNCTION("IMPORTRANGE(""https://docs.google.com/spreadsheets/d/1LsL4JuXvBtfJ-TVi4NFml9lV_pmd61b789A_nbO-QrA/edit"",""20!e42"")"),2680.0)</f>
        <v>2680</v>
      </c>
      <c r="K532" s="40">
        <f>IFERROR(__xludf.DUMMYFUNCTION("IMPORTRANGE(""https://docs.google.com/spreadsheets/d/1LsL4JuXvBtfJ-TVi4NFml9lV_pmd61b789A_nbO-QrA/edit"",""20!e43"")"),0.0)</f>
        <v>0</v>
      </c>
      <c r="L532" s="40">
        <f t="shared" si="1470"/>
        <v>2680</v>
      </c>
      <c r="M532" s="40">
        <f t="shared" si="1442"/>
        <v>5148</v>
      </c>
      <c r="N532" s="41">
        <f t="shared" si="1443"/>
        <v>186.189</v>
      </c>
      <c r="O532" s="38">
        <v>8101.0</v>
      </c>
      <c r="P532" s="42">
        <f t="shared" si="1444"/>
        <v>0.6354771016</v>
      </c>
      <c r="Q532" s="43">
        <v>1.5</v>
      </c>
      <c r="R532" s="42">
        <f t="shared" si="1445"/>
        <v>0.6144294239</v>
      </c>
      <c r="S532" s="44">
        <f t="shared" si="1446"/>
        <v>0.9216441358</v>
      </c>
      <c r="T532" s="43">
        <f>F532/19.985</f>
        <v>279.4931198</v>
      </c>
      <c r="U532" s="43">
        <f t="shared" si="1447"/>
        <v>9.316437328</v>
      </c>
      <c r="V532" s="40">
        <f t="shared" si="1448"/>
        <v>171.6</v>
      </c>
      <c r="X532" s="59" t="s">
        <v>44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6"/>
    </row>
    <row r="533" ht="15.75" customHeight="1">
      <c r="A533" s="21"/>
      <c r="B533" s="38">
        <v>15.0</v>
      </c>
      <c r="C533" s="38" t="s">
        <v>40</v>
      </c>
      <c r="D533" s="39">
        <v>30.0</v>
      </c>
      <c r="E533" s="40">
        <f>IFERROR(__xludf.DUMMYFUNCTION("COUNT(IMPORTRANGE(""https://docs.google.com/spreadsheets/d/1Krav0MVlY0vbUNsFRDnb_kR72_tyuGnWBYbGjNZrl18/edit"",""20!d2:d31""))"),30.0)</f>
        <v>30</v>
      </c>
      <c r="F533" s="45">
        <f>IFERROR(__xludf.DUMMYFUNCTION("SUM(IMPORTRANGE(""https://docs.google.com/spreadsheets/d/1Krav0MVlY0vbUNsFRDnb_kR72_tyuGnWBYbGjNZrl18/edit"",""20!Q2:Q31""))"),5887.700999999998)</f>
        <v>5887.701</v>
      </c>
      <c r="G533" s="40">
        <f>IFERROR(__xludf.DUMMYFUNCTION("IMPORTRANGE(""https://docs.google.com/spreadsheets/d/1Krav0MVlY0vbUNsFRDnb_kR72_tyuGnWBYbGjNZrl18/edit"",""20!e38"")"),3031.0)</f>
        <v>3031</v>
      </c>
      <c r="H533" s="40">
        <f>IFERROR(__xludf.DUMMYFUNCTION("IMPORTRANGE(""https://docs.google.com/spreadsheets/d/1Krav0MVlY0vbUNsFRDnb_kR72_tyuGnWBYbGjNZrl18/edit"",""20!e39"")"),170.0)</f>
        <v>170</v>
      </c>
      <c r="I533" s="40">
        <f t="shared" si="1440"/>
        <v>3201</v>
      </c>
      <c r="J533" s="40">
        <f>IFERROR(__xludf.DUMMYFUNCTION("IMPORTRANGE(""https://docs.google.com/spreadsheets/d/1Krav0MVlY0vbUNsFRDnb_kR72_tyuGnWBYbGjNZrl18/edit"",""20!e42"")"),3853.0)</f>
        <v>3853</v>
      </c>
      <c r="K533" s="40">
        <f>IFERROR(__xludf.DUMMYFUNCTION("IMPORTRANGE(""https://docs.google.com/spreadsheets/d/1Krav0MVlY0vbUNsFRDnb_kR72_tyuGnWBYbGjNZrl18/edit"",""20!e43"")"),103.0)</f>
        <v>103</v>
      </c>
      <c r="L533" s="40">
        <f t="shared" si="1470"/>
        <v>3956</v>
      </c>
      <c r="M533" s="40">
        <f t="shared" si="1442"/>
        <v>7157</v>
      </c>
      <c r="N533" s="41">
        <f t="shared" si="1443"/>
        <v>196.2567</v>
      </c>
      <c r="O533" s="38">
        <v>8239.0</v>
      </c>
      <c r="P533" s="42">
        <f t="shared" si="1444"/>
        <v>0.8686733827</v>
      </c>
      <c r="Q533" s="43">
        <v>1.5</v>
      </c>
      <c r="R533" s="42">
        <f t="shared" si="1445"/>
        <v>0.8103898845</v>
      </c>
      <c r="S533" s="44">
        <f t="shared" si="1446"/>
        <v>1.215584827</v>
      </c>
      <c r="T533" s="43">
        <f>F533/28.443</f>
        <v>207</v>
      </c>
      <c r="U533" s="43">
        <f t="shared" si="1447"/>
        <v>6.9</v>
      </c>
      <c r="V533" s="40">
        <f t="shared" si="1448"/>
        <v>238.5666667</v>
      </c>
      <c r="X533" s="14" t="s">
        <v>2</v>
      </c>
      <c r="Y533" s="14" t="s">
        <v>3</v>
      </c>
      <c r="Z533" s="14" t="s">
        <v>4</v>
      </c>
      <c r="AA533" s="14" t="s">
        <v>5</v>
      </c>
      <c r="AB533" s="15" t="s">
        <v>6</v>
      </c>
      <c r="AC533" s="14" t="s">
        <v>7</v>
      </c>
      <c r="AD533" s="14" t="s">
        <v>8</v>
      </c>
      <c r="AE533" s="14" t="s">
        <v>9</v>
      </c>
      <c r="AF533" s="14" t="s">
        <v>10</v>
      </c>
      <c r="AG533" s="14" t="s">
        <v>11</v>
      </c>
      <c r="AH533" s="14" t="s">
        <v>12</v>
      </c>
      <c r="AI533" s="14" t="s">
        <v>13</v>
      </c>
      <c r="AJ533" s="15" t="s">
        <v>14</v>
      </c>
      <c r="AK533" s="14" t="s">
        <v>15</v>
      </c>
      <c r="AL533" s="14" t="s">
        <v>16</v>
      </c>
      <c r="AM533" s="16" t="s">
        <v>17</v>
      </c>
      <c r="AN533" s="17" t="s">
        <v>18</v>
      </c>
      <c r="AO533" s="18" t="s">
        <v>19</v>
      </c>
      <c r="AP533" s="19" t="s">
        <v>20</v>
      </c>
      <c r="AQ533" s="19" t="s">
        <v>21</v>
      </c>
      <c r="AR533" s="20" t="s">
        <v>22</v>
      </c>
    </row>
    <row r="534" ht="15.75" customHeight="1">
      <c r="A534" s="21"/>
      <c r="B534" s="38">
        <v>16.0</v>
      </c>
      <c r="C534" s="38" t="s">
        <v>42</v>
      </c>
      <c r="D534" s="39">
        <v>33.0</v>
      </c>
      <c r="E534" s="40">
        <f>IFERROR(__xludf.DUMMYFUNCTION("COUNT(IMPORTRANGE(""https://docs.google.com/spreadsheets/d/1uXtm-E8PG0CetlFmSpTX3RK0LNEMnpR-mxbET9AGD6w/edit"",""20!d2:d34""))"),32.0)</f>
        <v>32</v>
      </c>
      <c r="F534" s="45">
        <f>IFERROR(__xludf.DUMMYFUNCTION("SUM(IMPORTRANGE(""https://docs.google.com/spreadsheets/d/1uXtm-E8PG0CetlFmSpTX3RK0LNEMnpR-mxbET9AGD6w/edit"",""20!Q2:Q34""))"),6266.430999999999)</f>
        <v>6266.431</v>
      </c>
      <c r="G534" s="40">
        <f>IFERROR(__xludf.DUMMYFUNCTION("IMPORTRANGE(""https://docs.google.com/spreadsheets/d/1uXtm-E8PG0CetlFmSpTX3RK0LNEMnpR-mxbET9AGD6w/edit"",""20!e41"")"),3169.0)</f>
        <v>3169</v>
      </c>
      <c r="H534" s="40">
        <f>IFERROR(__xludf.DUMMYFUNCTION("IMPORTRANGE(""https://docs.google.com/spreadsheets/d/1uXtm-E8PG0CetlFmSpTX3RK0LNEMnpR-mxbET9AGD6w/edit"",""20!e42"")"),218.0)</f>
        <v>218</v>
      </c>
      <c r="I534" s="40">
        <f t="shared" si="1440"/>
        <v>3387</v>
      </c>
      <c r="J534" s="40">
        <f>IFERROR(__xludf.DUMMYFUNCTION("IMPORTRANGE(""https://docs.google.com/spreadsheets/d/1uXtm-E8PG0CetlFmSpTX3RK0LNEMnpR-mxbET9AGD6w/edit"",""20!e45"")"),3428.0)</f>
        <v>3428</v>
      </c>
      <c r="K534" s="40">
        <f>IFERROR(__xludf.DUMMYFUNCTION("IMPORTRANGE(""https://docs.google.com/spreadsheets/d/1uXtm-E8PG0CetlFmSpTX3RK0LNEMnpR-mxbET9AGD6w/edit"",""20!e46"")"),195.0)</f>
        <v>195</v>
      </c>
      <c r="L534" s="40">
        <f t="shared" si="1470"/>
        <v>3623</v>
      </c>
      <c r="M534" s="40">
        <f t="shared" si="1442"/>
        <v>7010</v>
      </c>
      <c r="N534" s="41">
        <f t="shared" si="1443"/>
        <v>195.8259688</v>
      </c>
      <c r="O534" s="38">
        <v>9877.0</v>
      </c>
      <c r="P534" s="42">
        <f t="shared" si="1444"/>
        <v>0.709729675</v>
      </c>
      <c r="Q534" s="43">
        <v>1.5</v>
      </c>
      <c r="R534" s="42">
        <f t="shared" si="1445"/>
        <v>0.7457727267</v>
      </c>
      <c r="S534" s="44">
        <f t="shared" si="1446"/>
        <v>1.11865909</v>
      </c>
      <c r="T534" s="43">
        <f>F534/26.155</f>
        <v>239.5882623</v>
      </c>
      <c r="U534" s="43">
        <f t="shared" si="1447"/>
        <v>7.487133196</v>
      </c>
      <c r="V534" s="40">
        <f t="shared" si="1448"/>
        <v>219.0625</v>
      </c>
      <c r="X534" s="31">
        <v>1.0</v>
      </c>
      <c r="Y534" s="31" t="s">
        <v>26</v>
      </c>
      <c r="Z534" s="31">
        <f t="shared" ref="Z534:AI534" si="1480">SUM(D519)</f>
        <v>20</v>
      </c>
      <c r="AA534" s="32">
        <f t="shared" si="1480"/>
        <v>18</v>
      </c>
      <c r="AB534" s="34">
        <f t="shared" si="1480"/>
        <v>3517.719</v>
      </c>
      <c r="AC534" s="32">
        <f t="shared" si="1480"/>
        <v>1938</v>
      </c>
      <c r="AD534" s="32">
        <f t="shared" si="1480"/>
        <v>0</v>
      </c>
      <c r="AE534" s="32">
        <f t="shared" si="1480"/>
        <v>1938</v>
      </c>
      <c r="AF534" s="32">
        <f t="shared" si="1480"/>
        <v>2930</v>
      </c>
      <c r="AG534" s="32">
        <f t="shared" si="1480"/>
        <v>0</v>
      </c>
      <c r="AH534" s="32">
        <f t="shared" si="1480"/>
        <v>2930</v>
      </c>
      <c r="AI534" s="32">
        <f t="shared" si="1480"/>
        <v>4868</v>
      </c>
      <c r="AJ534" s="34">
        <f t="shared" ref="AJ534:AJ540" si="1483">AB534/AA534</f>
        <v>195.4288333</v>
      </c>
      <c r="AK534" s="31">
        <f>SUM(O519)</f>
        <v>5161</v>
      </c>
      <c r="AL534" s="35">
        <f t="shared" ref="AL534:AL540" si="1484">AI534/AK534</f>
        <v>0.9432280566</v>
      </c>
      <c r="AM534" s="36">
        <f>SUM(Q519)</f>
        <v>1.5</v>
      </c>
      <c r="AN534" s="35">
        <f t="shared" ref="AN534:AN540" si="1485">AO534/AM534</f>
        <v>0.9225675312</v>
      </c>
      <c r="AO534" s="37">
        <f t="shared" ref="AO534:AO540" si="1486">AI534/AB534</f>
        <v>1.383851297</v>
      </c>
      <c r="AP534" s="36">
        <f t="shared" ref="AP534:AQ534" si="1481">SUM(T519)</f>
        <v>244.0318418</v>
      </c>
      <c r="AQ534" s="36">
        <f t="shared" si="1481"/>
        <v>13.55732455</v>
      </c>
      <c r="AR534" s="32">
        <f t="shared" ref="AR534:AR540" si="1488">AI534/AA534</f>
        <v>270.4444444</v>
      </c>
    </row>
    <row r="535" ht="15.75" customHeight="1">
      <c r="A535" s="21"/>
      <c r="B535" s="38">
        <v>17.0</v>
      </c>
      <c r="C535" s="38" t="s">
        <v>29</v>
      </c>
      <c r="D535" s="39">
        <v>30.0</v>
      </c>
      <c r="E535" s="40">
        <f>IFERROR(__xludf.DUMMYFUNCTION("COUNT(IMPORTRANGE(""https://docs.google.com/spreadsheets/d/12xcKI0lSnAsjEsxfm9K8Qx0B_89Gzsh816mowItkQao/edit"",""20!d2:d31""))"),28.0)</f>
        <v>28</v>
      </c>
      <c r="F535" s="45">
        <f>IFERROR(__xludf.DUMMYFUNCTION("SUM(IMPORTRANGE(""https://docs.google.com/spreadsheets/d/12xcKI0lSnAsjEsxfm9K8Qx0B_89Gzsh816mowItkQao/edit"",""20!Q2:Q31""))"),5650.245999999998)</f>
        <v>5650.246</v>
      </c>
      <c r="G535" s="40">
        <f>IFERROR(__xludf.DUMMYFUNCTION("IMPORTRANGE(""https://docs.google.com/spreadsheets/d/12xcKI0lSnAsjEsxfm9K8Qx0B_89Gzsh816mowItkQao/edit"",""20!e38"")"),2706.0)</f>
        <v>2706</v>
      </c>
      <c r="H535" s="40">
        <f>IFERROR(__xludf.DUMMYFUNCTION("IMPORTRANGE(""https://docs.google.com/spreadsheets/d/12xcKI0lSnAsjEsxfm9K8Qx0B_89Gzsh816mowItkQao/edit"",""20!e39"")"),0.0)</f>
        <v>0</v>
      </c>
      <c r="I535" s="40">
        <f t="shared" si="1440"/>
        <v>2706</v>
      </c>
      <c r="J535" s="40">
        <f>IFERROR(__xludf.DUMMYFUNCTION("IMPORTRANGE(""https://docs.google.com/spreadsheets/d/12xcKI0lSnAsjEsxfm9K8Qx0B_89Gzsh816mowItkQao/edit"",""20!e42"")"),4270.0)</f>
        <v>4270</v>
      </c>
      <c r="K535" s="40">
        <f>IFERROR(__xludf.DUMMYFUNCTION("IMPORTRANGE(""https://docs.google.com/spreadsheets/d/12xcKI0lSnAsjEsxfm9K8Qx0B_89Gzsh816mowItkQao/edit"",""20!e43"")"),0.0)</f>
        <v>0</v>
      </c>
      <c r="L535" s="40">
        <f t="shared" si="1470"/>
        <v>4270</v>
      </c>
      <c r="M535" s="40">
        <f t="shared" si="1442"/>
        <v>6976</v>
      </c>
      <c r="N535" s="41">
        <f t="shared" si="1443"/>
        <v>201.7945</v>
      </c>
      <c r="O535" s="38">
        <v>9201.0</v>
      </c>
      <c r="P535" s="42">
        <f t="shared" si="1444"/>
        <v>0.7581784589</v>
      </c>
      <c r="Q535" s="43">
        <v>1.5</v>
      </c>
      <c r="R535" s="42">
        <f t="shared" si="1445"/>
        <v>0.8230910064</v>
      </c>
      <c r="S535" s="44">
        <f t="shared" si="1446"/>
        <v>1.23463651</v>
      </c>
      <c r="T535" s="43">
        <f>F535/26.038</f>
        <v>217</v>
      </c>
      <c r="U535" s="43">
        <f t="shared" si="1447"/>
        <v>7.75</v>
      </c>
      <c r="V535" s="40">
        <f t="shared" si="1448"/>
        <v>249.1428571</v>
      </c>
      <c r="X535" s="31">
        <v>2.0</v>
      </c>
      <c r="Y535" s="31" t="s">
        <v>32</v>
      </c>
      <c r="Z535" s="31">
        <f t="shared" ref="Z535:AI535" si="1482">SUM(D522)</f>
        <v>42</v>
      </c>
      <c r="AA535" s="32">
        <f t="shared" si="1482"/>
        <v>41</v>
      </c>
      <c r="AB535" s="33">
        <f t="shared" si="1482"/>
        <v>8078.658</v>
      </c>
      <c r="AC535" s="31">
        <f t="shared" si="1482"/>
        <v>4620</v>
      </c>
      <c r="AD535" s="31">
        <f t="shared" si="1482"/>
        <v>20</v>
      </c>
      <c r="AE535" s="32">
        <f t="shared" si="1482"/>
        <v>4640</v>
      </c>
      <c r="AF535" s="31">
        <f t="shared" si="1482"/>
        <v>5404</v>
      </c>
      <c r="AG535" s="31">
        <f t="shared" si="1482"/>
        <v>23</v>
      </c>
      <c r="AH535" s="32">
        <f t="shared" si="1482"/>
        <v>5427</v>
      </c>
      <c r="AI535" s="32">
        <f t="shared" si="1482"/>
        <v>10067</v>
      </c>
      <c r="AJ535" s="34">
        <f t="shared" si="1483"/>
        <v>197.040439</v>
      </c>
      <c r="AK535" s="31">
        <f>SUM(O522)</f>
        <v>13817</v>
      </c>
      <c r="AL535" s="35">
        <f t="shared" si="1484"/>
        <v>0.7285952088</v>
      </c>
      <c r="AM535" s="36">
        <f>SUM(Q522)</f>
        <v>1.5</v>
      </c>
      <c r="AN535" s="35">
        <f t="shared" si="1485"/>
        <v>0.8307485393</v>
      </c>
      <c r="AO535" s="37">
        <f t="shared" si="1486"/>
        <v>1.246122809</v>
      </c>
      <c r="AP535" s="36">
        <f t="shared" ref="AP535:AQ535" si="1487">SUM(T522)</f>
        <v>322</v>
      </c>
      <c r="AQ535" s="36">
        <f t="shared" si="1487"/>
        <v>7.853658537</v>
      </c>
      <c r="AR535" s="32">
        <f t="shared" si="1488"/>
        <v>245.5365854</v>
      </c>
    </row>
    <row r="536" ht="15.75" customHeight="1">
      <c r="A536" s="21"/>
      <c r="B536" s="38">
        <v>18.0</v>
      </c>
      <c r="C536" s="38" t="s">
        <v>31</v>
      </c>
      <c r="D536" s="39">
        <v>15.0</v>
      </c>
      <c r="E536" s="40">
        <f>IFERROR(__xludf.DUMMYFUNCTION("COUNT(IMPORTRANGE(""https://docs.google.com/spreadsheets/d/1fgCFOFzOla4Qim6_-zG-lbYhLCItqv_kZiAHoErRgcM/edit"",""20!d2:d16""))"),13.0)</f>
        <v>13</v>
      </c>
      <c r="F536" s="41">
        <f>IFERROR(__xludf.DUMMYFUNCTION("SUM(IMPORTRANGE(""https://docs.google.com/spreadsheets/d/1fgCFOFzOla4Qim6_-zG-lbYhLCItqv_kZiAHoErRgcM/edit"",""20!Q2:Q16""))"),2434.04)</f>
        <v>2434.04</v>
      </c>
      <c r="G536" s="40">
        <f>IFERROR(__xludf.DUMMYFUNCTION("IMPORTRANGE(""https://docs.google.com/spreadsheets/d/1fgCFOFzOla4Qim6_-zG-lbYhLCItqv_kZiAHoErRgcM/edit"",""20!e23"")"),864.0)</f>
        <v>864</v>
      </c>
      <c r="H536" s="40">
        <f>IFERROR(__xludf.DUMMYFUNCTION("IMPORTRANGE(""https://docs.google.com/spreadsheets/d/1fgCFOFzOla4Qim6_-zG-lbYhLCItqv_kZiAHoErRgcM/edit"",""20!e24"")"),12.0)</f>
        <v>12</v>
      </c>
      <c r="I536" s="40">
        <f t="shared" si="1440"/>
        <v>876</v>
      </c>
      <c r="J536" s="40">
        <f>IFERROR(__xludf.DUMMYFUNCTION("IMPORTRANGE(""https://docs.google.com/spreadsheets/d/1fgCFOFzOla4Qim6_-zG-lbYhLCItqv_kZiAHoErRgcM/edit"",""20!e27"")"),1008.0)</f>
        <v>1008</v>
      </c>
      <c r="K536" s="40">
        <f>IFERROR(__xludf.DUMMYFUNCTION("IMPORTRANGE(""https://docs.google.com/spreadsheets/d/1fgCFOFzOla4Qim6_-zG-lbYhLCItqv_kZiAHoErRgcM/edit"",""20!e28"")"),0.0)</f>
        <v>0</v>
      </c>
      <c r="L536" s="40">
        <f t="shared" si="1470"/>
        <v>1008</v>
      </c>
      <c r="M536" s="40">
        <f t="shared" si="1442"/>
        <v>1884</v>
      </c>
      <c r="N536" s="41">
        <f t="shared" si="1443"/>
        <v>187.2338462</v>
      </c>
      <c r="O536" s="38">
        <v>2717.0</v>
      </c>
      <c r="P536" s="42">
        <f t="shared" si="1444"/>
        <v>0.6934118513</v>
      </c>
      <c r="Q536" s="43">
        <v>1.5</v>
      </c>
      <c r="R536" s="42">
        <f t="shared" si="1445"/>
        <v>0.5160145273</v>
      </c>
      <c r="S536" s="44">
        <f t="shared" si="1446"/>
        <v>0.7740217909</v>
      </c>
      <c r="T536" s="43">
        <f>F536/43.465</f>
        <v>56</v>
      </c>
      <c r="U536" s="43">
        <f t="shared" si="1447"/>
        <v>4.307692308</v>
      </c>
      <c r="V536" s="40">
        <f t="shared" si="1448"/>
        <v>144.9230769</v>
      </c>
      <c r="X536" s="31">
        <v>3.0</v>
      </c>
      <c r="Y536" s="31" t="s">
        <v>36</v>
      </c>
      <c r="Z536" s="31">
        <f t="shared" ref="Z536:AI536" si="1489">SUM(D527)</f>
        <v>29</v>
      </c>
      <c r="AA536" s="32">
        <f t="shared" si="1489"/>
        <v>28</v>
      </c>
      <c r="AB536" s="33">
        <f t="shared" si="1489"/>
        <v>5604.12</v>
      </c>
      <c r="AC536" s="32">
        <f t="shared" si="1489"/>
        <v>1424</v>
      </c>
      <c r="AD536" s="32">
        <f t="shared" si="1489"/>
        <v>0</v>
      </c>
      <c r="AE536" s="32">
        <f t="shared" si="1489"/>
        <v>1424</v>
      </c>
      <c r="AF536" s="32">
        <f t="shared" si="1489"/>
        <v>2464</v>
      </c>
      <c r="AG536" s="32">
        <f t="shared" si="1489"/>
        <v>0</v>
      </c>
      <c r="AH536" s="32">
        <f t="shared" si="1489"/>
        <v>2464</v>
      </c>
      <c r="AI536" s="32">
        <f t="shared" si="1489"/>
        <v>3888</v>
      </c>
      <c r="AJ536" s="34">
        <f t="shared" si="1483"/>
        <v>200.1471429</v>
      </c>
      <c r="AK536" s="31">
        <f t="shared" ref="AK536:AK539" si="1493">SUM(O527)</f>
        <v>4796</v>
      </c>
      <c r="AL536" s="35">
        <f t="shared" si="1484"/>
        <v>0.810675563</v>
      </c>
      <c r="AM536" s="36">
        <f t="shared" ref="AM536:AM539" si="1494">SUM(Q527)</f>
        <v>1.5</v>
      </c>
      <c r="AN536" s="35">
        <f t="shared" si="1485"/>
        <v>0.4625168626</v>
      </c>
      <c r="AO536" s="37">
        <f t="shared" si="1486"/>
        <v>0.6937752939</v>
      </c>
      <c r="AP536" s="36">
        <f t="shared" ref="AP536:AQ536" si="1490">SUM(T527)</f>
        <v>149.7867109</v>
      </c>
      <c r="AQ536" s="36">
        <f t="shared" si="1490"/>
        <v>5.349525388</v>
      </c>
      <c r="AR536" s="32">
        <f t="shared" si="1488"/>
        <v>138.8571429</v>
      </c>
    </row>
    <row r="537" ht="15.75" customHeight="1">
      <c r="A537" s="21"/>
      <c r="B537" s="60" t="s">
        <v>33</v>
      </c>
      <c r="C537" s="60">
        <v>18.0</v>
      </c>
      <c r="D537" s="60">
        <f t="shared" ref="D537:M537" si="1491">SUM(D519:D536)</f>
        <v>585</v>
      </c>
      <c r="E537" s="61">
        <f t="shared" si="1491"/>
        <v>568</v>
      </c>
      <c r="F537" s="62">
        <f t="shared" si="1491"/>
        <v>110933.622</v>
      </c>
      <c r="G537" s="61">
        <f t="shared" si="1491"/>
        <v>40658</v>
      </c>
      <c r="H537" s="61">
        <f t="shared" si="1491"/>
        <v>1037</v>
      </c>
      <c r="I537" s="61">
        <f t="shared" si="1491"/>
        <v>41695</v>
      </c>
      <c r="J537" s="61">
        <f t="shared" si="1491"/>
        <v>56122</v>
      </c>
      <c r="K537" s="61">
        <f t="shared" si="1491"/>
        <v>1170</v>
      </c>
      <c r="L537" s="61">
        <f t="shared" si="1491"/>
        <v>57292</v>
      </c>
      <c r="M537" s="61">
        <f t="shared" si="1491"/>
        <v>98987</v>
      </c>
      <c r="N537" s="62">
        <f t="shared" si="1443"/>
        <v>195.3056725</v>
      </c>
      <c r="O537" s="60">
        <f>SUM(O519:O536)</f>
        <v>126399</v>
      </c>
      <c r="P537" s="63">
        <f t="shared" si="1444"/>
        <v>0.7831311957</v>
      </c>
      <c r="Q537" s="64">
        <v>1.5</v>
      </c>
      <c r="R537" s="63">
        <f t="shared" si="1445"/>
        <v>0.5948722501</v>
      </c>
      <c r="S537" s="65">
        <f t="shared" si="1446"/>
        <v>0.8923083752</v>
      </c>
      <c r="T537" s="64">
        <f>SUM(T519:T536)</f>
        <v>4080.186118</v>
      </c>
      <c r="U537" s="64">
        <f t="shared" si="1447"/>
        <v>7.183426265</v>
      </c>
      <c r="V537" s="61">
        <f t="shared" si="1448"/>
        <v>174.2728873</v>
      </c>
      <c r="X537" s="31">
        <v>4.0</v>
      </c>
      <c r="Y537" s="31" t="s">
        <v>37</v>
      </c>
      <c r="Z537" s="31">
        <f t="shared" ref="Z537:AI537" si="1492">SUM(D528)</f>
        <v>30</v>
      </c>
      <c r="AA537" s="32">
        <f t="shared" si="1492"/>
        <v>29</v>
      </c>
      <c r="AB537" s="33">
        <f t="shared" si="1492"/>
        <v>5710.848</v>
      </c>
      <c r="AC537" s="32">
        <f t="shared" si="1492"/>
        <v>2105</v>
      </c>
      <c r="AD537" s="32">
        <f t="shared" si="1492"/>
        <v>90</v>
      </c>
      <c r="AE537" s="32">
        <f t="shared" si="1492"/>
        <v>2195</v>
      </c>
      <c r="AF537" s="32">
        <f t="shared" si="1492"/>
        <v>3253</v>
      </c>
      <c r="AG537" s="32">
        <f t="shared" si="1492"/>
        <v>0</v>
      </c>
      <c r="AH537" s="32">
        <f t="shared" si="1492"/>
        <v>3253</v>
      </c>
      <c r="AI537" s="32">
        <f t="shared" si="1492"/>
        <v>5448</v>
      </c>
      <c r="AJ537" s="34">
        <f t="shared" si="1483"/>
        <v>196.9257931</v>
      </c>
      <c r="AK537" s="31">
        <f t="shared" si="1493"/>
        <v>5887</v>
      </c>
      <c r="AL537" s="35">
        <f t="shared" si="1484"/>
        <v>0.9254289112</v>
      </c>
      <c r="AM537" s="36">
        <f t="shared" si="1494"/>
        <v>1.5</v>
      </c>
      <c r="AN537" s="35">
        <f t="shared" si="1485"/>
        <v>0.6359826071</v>
      </c>
      <c r="AO537" s="37">
        <f t="shared" si="1486"/>
        <v>0.9539739107</v>
      </c>
      <c r="AP537" s="36">
        <f t="shared" ref="AP537:AQ537" si="1495">SUM(T528)</f>
        <v>230.3504356</v>
      </c>
      <c r="AQ537" s="36">
        <f t="shared" si="1495"/>
        <v>7.94311847</v>
      </c>
      <c r="AR537" s="32">
        <f t="shared" si="1488"/>
        <v>187.862069</v>
      </c>
    </row>
    <row r="538" ht="15.7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X538" s="31">
        <v>5.0</v>
      </c>
      <c r="Y538" s="31" t="s">
        <v>39</v>
      </c>
      <c r="Z538" s="31">
        <f t="shared" ref="Z538:AI538" si="1496">SUM(D529)</f>
        <v>28</v>
      </c>
      <c r="AA538" s="32">
        <f t="shared" si="1496"/>
        <v>28</v>
      </c>
      <c r="AB538" s="33">
        <f t="shared" si="1496"/>
        <v>5103.829</v>
      </c>
      <c r="AC538" s="32">
        <f t="shared" si="1496"/>
        <v>1299</v>
      </c>
      <c r="AD538" s="32">
        <f t="shared" si="1496"/>
        <v>70</v>
      </c>
      <c r="AE538" s="32">
        <f t="shared" si="1496"/>
        <v>1369</v>
      </c>
      <c r="AF538" s="32">
        <f t="shared" si="1496"/>
        <v>1580</v>
      </c>
      <c r="AG538" s="32">
        <f t="shared" si="1496"/>
        <v>69</v>
      </c>
      <c r="AH538" s="32">
        <f t="shared" si="1496"/>
        <v>1649</v>
      </c>
      <c r="AI538" s="32">
        <f t="shared" si="1496"/>
        <v>3018</v>
      </c>
      <c r="AJ538" s="34">
        <f t="shared" si="1483"/>
        <v>182.2796071</v>
      </c>
      <c r="AK538" s="31">
        <f t="shared" si="1493"/>
        <v>3569</v>
      </c>
      <c r="AL538" s="35">
        <f t="shared" si="1484"/>
        <v>0.8456150182</v>
      </c>
      <c r="AM538" s="36">
        <f t="shared" si="1494"/>
        <v>1.5</v>
      </c>
      <c r="AN538" s="35">
        <f t="shared" si="1485"/>
        <v>0.3942138344</v>
      </c>
      <c r="AO538" s="37">
        <f t="shared" si="1486"/>
        <v>0.5913207515</v>
      </c>
      <c r="AP538" s="36">
        <f t="shared" ref="AP538:AQ538" si="1497">SUM(T529)</f>
        <v>237.7966268</v>
      </c>
      <c r="AQ538" s="36">
        <f t="shared" si="1497"/>
        <v>8.49273667</v>
      </c>
      <c r="AR538" s="32">
        <f t="shared" si="1488"/>
        <v>107.7857143</v>
      </c>
    </row>
    <row r="539" ht="15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X539" s="31">
        <v>6.0</v>
      </c>
      <c r="Y539" s="31" t="s">
        <v>41</v>
      </c>
      <c r="Z539" s="31">
        <f t="shared" ref="Z539:AI539" si="1498">SUM(D530)</f>
        <v>24</v>
      </c>
      <c r="AA539" s="32">
        <f t="shared" si="1498"/>
        <v>23</v>
      </c>
      <c r="AB539" s="33">
        <f t="shared" si="1498"/>
        <v>4510.04</v>
      </c>
      <c r="AC539" s="32">
        <f t="shared" si="1498"/>
        <v>1343</v>
      </c>
      <c r="AD539" s="32">
        <f t="shared" si="1498"/>
        <v>0</v>
      </c>
      <c r="AE539" s="32">
        <f t="shared" si="1498"/>
        <v>1343</v>
      </c>
      <c r="AF539" s="32">
        <f t="shared" si="1498"/>
        <v>1671</v>
      </c>
      <c r="AG539" s="32">
        <f t="shared" si="1498"/>
        <v>0</v>
      </c>
      <c r="AH539" s="32">
        <f t="shared" si="1498"/>
        <v>1671</v>
      </c>
      <c r="AI539" s="32">
        <f t="shared" si="1498"/>
        <v>3014</v>
      </c>
      <c r="AJ539" s="34">
        <f t="shared" si="1483"/>
        <v>196.0886957</v>
      </c>
      <c r="AK539" s="31">
        <f t="shared" si="1493"/>
        <v>3801</v>
      </c>
      <c r="AL539" s="35">
        <f t="shared" si="1484"/>
        <v>0.7929492239</v>
      </c>
      <c r="AM539" s="36">
        <f t="shared" si="1494"/>
        <v>1.5</v>
      </c>
      <c r="AN539" s="35">
        <f t="shared" si="1485"/>
        <v>0.4455245038</v>
      </c>
      <c r="AO539" s="37">
        <f t="shared" si="1486"/>
        <v>0.6682867558</v>
      </c>
      <c r="AP539" s="36">
        <f t="shared" ref="AP539:AQ539" si="1499">SUM(T530)</f>
        <v>152.2222222</v>
      </c>
      <c r="AQ539" s="36">
        <f t="shared" si="1499"/>
        <v>6.618357488</v>
      </c>
      <c r="AR539" s="32">
        <f t="shared" si="1488"/>
        <v>131.0434783</v>
      </c>
    </row>
    <row r="540" ht="15.75" customHeight="1">
      <c r="A540" s="1" t="s">
        <v>45</v>
      </c>
      <c r="D540" s="2"/>
      <c r="X540" s="46" t="s">
        <v>33</v>
      </c>
      <c r="Y540" s="46">
        <v>6.0</v>
      </c>
      <c r="Z540" s="46">
        <f t="shared" ref="Z540:AI540" si="1500">SUM(Z534:Z539)</f>
        <v>173</v>
      </c>
      <c r="AA540" s="47">
        <f t="shared" si="1500"/>
        <v>167</v>
      </c>
      <c r="AB540" s="49">
        <f t="shared" si="1500"/>
        <v>32525.214</v>
      </c>
      <c r="AC540" s="47">
        <f t="shared" si="1500"/>
        <v>12729</v>
      </c>
      <c r="AD540" s="47">
        <f t="shared" si="1500"/>
        <v>180</v>
      </c>
      <c r="AE540" s="47">
        <f t="shared" si="1500"/>
        <v>12909</v>
      </c>
      <c r="AF540" s="47">
        <f t="shared" si="1500"/>
        <v>17302</v>
      </c>
      <c r="AG540" s="47">
        <f t="shared" si="1500"/>
        <v>92</v>
      </c>
      <c r="AH540" s="47">
        <f t="shared" si="1500"/>
        <v>17394</v>
      </c>
      <c r="AI540" s="47">
        <f t="shared" si="1500"/>
        <v>30303</v>
      </c>
      <c r="AJ540" s="49">
        <f t="shared" si="1483"/>
        <v>194.7617605</v>
      </c>
      <c r="AK540" s="46">
        <f>SUM(AK534:AK539)</f>
        <v>37031</v>
      </c>
      <c r="AL540" s="50">
        <f t="shared" si="1484"/>
        <v>0.8183143852</v>
      </c>
      <c r="AM540" s="51">
        <v>1.5</v>
      </c>
      <c r="AN540" s="50">
        <f t="shared" si="1485"/>
        <v>0.621118127</v>
      </c>
      <c r="AO540" s="52">
        <f t="shared" si="1486"/>
        <v>0.9316771905</v>
      </c>
      <c r="AP540" s="51">
        <f>SUM(AP534:AP539)</f>
        <v>1336.187837</v>
      </c>
      <c r="AQ540" s="51">
        <f>AP540/AA540</f>
        <v>8.001124774</v>
      </c>
      <c r="AR540" s="47">
        <f t="shared" si="1488"/>
        <v>181.4550898</v>
      </c>
    </row>
    <row r="541" ht="15.75" customHeight="1">
      <c r="A541" s="1" t="s">
        <v>45</v>
      </c>
      <c r="D541" s="2"/>
      <c r="X541" s="66" t="s">
        <v>1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6"/>
    </row>
    <row r="542" ht="15.75" customHeight="1">
      <c r="A542" s="7">
        <v>46224.0</v>
      </c>
      <c r="B542" s="8" t="s">
        <v>2</v>
      </c>
      <c r="C542" s="8" t="s">
        <v>3</v>
      </c>
      <c r="D542" s="8" t="s">
        <v>4</v>
      </c>
      <c r="E542" s="8" t="s">
        <v>5</v>
      </c>
      <c r="F542" s="9" t="s">
        <v>6</v>
      </c>
      <c r="G542" s="8" t="s">
        <v>7</v>
      </c>
      <c r="H542" s="8" t="s">
        <v>8</v>
      </c>
      <c r="I542" s="8" t="s">
        <v>9</v>
      </c>
      <c r="J542" s="8" t="s">
        <v>10</v>
      </c>
      <c r="K542" s="8" t="s">
        <v>11</v>
      </c>
      <c r="L542" s="8" t="s">
        <v>12</v>
      </c>
      <c r="M542" s="8" t="s">
        <v>13</v>
      </c>
      <c r="N542" s="9" t="s">
        <v>14</v>
      </c>
      <c r="O542" s="8" t="s">
        <v>15</v>
      </c>
      <c r="P542" s="8" t="s">
        <v>16</v>
      </c>
      <c r="Q542" s="8" t="s">
        <v>17</v>
      </c>
      <c r="R542" s="8" t="s">
        <v>18</v>
      </c>
      <c r="S542" s="11" t="s">
        <v>19</v>
      </c>
      <c r="T542" s="12" t="s">
        <v>20</v>
      </c>
      <c r="U542" s="12" t="s">
        <v>21</v>
      </c>
      <c r="V542" s="13" t="s">
        <v>22</v>
      </c>
      <c r="X542" s="14" t="s">
        <v>2</v>
      </c>
      <c r="Y542" s="14" t="s">
        <v>3</v>
      </c>
      <c r="Z542" s="14" t="s">
        <v>4</v>
      </c>
      <c r="AA542" s="14" t="s">
        <v>5</v>
      </c>
      <c r="AB542" s="15" t="s">
        <v>6</v>
      </c>
      <c r="AC542" s="14" t="s">
        <v>7</v>
      </c>
      <c r="AD542" s="14" t="s">
        <v>8</v>
      </c>
      <c r="AE542" s="14" t="s">
        <v>9</v>
      </c>
      <c r="AF542" s="14" t="s">
        <v>10</v>
      </c>
      <c r="AG542" s="14" t="s">
        <v>11</v>
      </c>
      <c r="AH542" s="14" t="s">
        <v>12</v>
      </c>
      <c r="AI542" s="14" t="s">
        <v>13</v>
      </c>
      <c r="AJ542" s="15" t="s">
        <v>14</v>
      </c>
      <c r="AK542" s="14" t="s">
        <v>15</v>
      </c>
      <c r="AL542" s="14" t="s">
        <v>16</v>
      </c>
      <c r="AM542" s="16" t="s">
        <v>17</v>
      </c>
      <c r="AN542" s="17" t="s">
        <v>18</v>
      </c>
      <c r="AO542" s="18" t="s">
        <v>19</v>
      </c>
      <c r="AP542" s="19" t="s">
        <v>20</v>
      </c>
      <c r="AQ542" s="19" t="s">
        <v>21</v>
      </c>
      <c r="AR542" s="20" t="s">
        <v>22</v>
      </c>
    </row>
    <row r="543" ht="15.7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X543" s="22">
        <v>1.0</v>
      </c>
      <c r="Y543" s="22" t="s">
        <v>23</v>
      </c>
      <c r="Z543" s="22">
        <f t="shared" ref="Z543:AI543" si="1501">SUM(D551)</f>
        <v>35</v>
      </c>
      <c r="AA543" s="23">
        <f t="shared" si="1501"/>
        <v>35</v>
      </c>
      <c r="AB543" s="24">
        <f t="shared" si="1501"/>
        <v>6950.44</v>
      </c>
      <c r="AC543" s="23">
        <f t="shared" si="1501"/>
        <v>1911</v>
      </c>
      <c r="AD543" s="23">
        <f t="shared" si="1501"/>
        <v>0</v>
      </c>
      <c r="AE543" s="23">
        <f t="shared" si="1501"/>
        <v>1911</v>
      </c>
      <c r="AF543" s="23">
        <f t="shared" si="1501"/>
        <v>3234</v>
      </c>
      <c r="AG543" s="23">
        <f t="shared" si="1501"/>
        <v>0</v>
      </c>
      <c r="AH543" s="23">
        <f t="shared" si="1501"/>
        <v>3234</v>
      </c>
      <c r="AI543" s="23">
        <f t="shared" si="1501"/>
        <v>5145</v>
      </c>
      <c r="AJ543" s="25">
        <f t="shared" ref="AJ543:AJ545" si="1504">AB543/AA543</f>
        <v>198.584</v>
      </c>
      <c r="AK543" s="22">
        <f>SUM(O551)</f>
        <v>6853</v>
      </c>
      <c r="AL543" s="26">
        <f t="shared" ref="AL543:AL549" si="1505">AI543/AK543</f>
        <v>0.7507660878</v>
      </c>
      <c r="AM543" s="27">
        <f t="shared" ref="AM543:AM545" si="1506">SUM(Q551)</f>
        <v>1.5</v>
      </c>
      <c r="AN543" s="26">
        <f t="shared" ref="AN543:AN549" si="1507">AO543/AM543</f>
        <v>0.4934939371</v>
      </c>
      <c r="AO543" s="28">
        <f t="shared" ref="AO543:AO549" si="1508">AI543/AB543</f>
        <v>0.7402409056</v>
      </c>
      <c r="AP543" s="27">
        <f t="shared" ref="AP543:AQ543" si="1502">SUM(T551)</f>
        <v>206</v>
      </c>
      <c r="AQ543" s="27">
        <f t="shared" si="1502"/>
        <v>5.885714286</v>
      </c>
      <c r="AR543" s="23">
        <f t="shared" ref="AR543:AR549" si="1510">AI543/AA543</f>
        <v>147</v>
      </c>
    </row>
    <row r="544" ht="15.7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X544" s="22">
        <v>2.0</v>
      </c>
      <c r="Y544" s="22" t="s">
        <v>24</v>
      </c>
      <c r="Z544" s="22">
        <f t="shared" ref="Z544:AI544" si="1503">SUM(D552)</f>
        <v>44</v>
      </c>
      <c r="AA544" s="23">
        <f t="shared" si="1503"/>
        <v>41</v>
      </c>
      <c r="AB544" s="24">
        <f t="shared" si="1503"/>
        <v>8020.986</v>
      </c>
      <c r="AC544" s="23">
        <f t="shared" si="1503"/>
        <v>1011</v>
      </c>
      <c r="AD544" s="23">
        <f t="shared" si="1503"/>
        <v>0</v>
      </c>
      <c r="AE544" s="23">
        <f t="shared" si="1503"/>
        <v>1011</v>
      </c>
      <c r="AF544" s="23">
        <f t="shared" si="1503"/>
        <v>1745</v>
      </c>
      <c r="AG544" s="23">
        <f t="shared" si="1503"/>
        <v>0</v>
      </c>
      <c r="AH544" s="23">
        <f t="shared" si="1503"/>
        <v>1745</v>
      </c>
      <c r="AI544" s="23">
        <f t="shared" si="1503"/>
        <v>2756</v>
      </c>
      <c r="AJ544" s="25">
        <f t="shared" si="1504"/>
        <v>195.6338049</v>
      </c>
      <c r="AK544" s="22">
        <v>1580.0</v>
      </c>
      <c r="AL544" s="29">
        <f t="shared" si="1505"/>
        <v>1.744303797</v>
      </c>
      <c r="AM544" s="27">
        <f t="shared" si="1506"/>
        <v>1.5</v>
      </c>
      <c r="AN544" s="26">
        <f t="shared" si="1507"/>
        <v>0.2290657699</v>
      </c>
      <c r="AO544" s="28">
        <f t="shared" si="1508"/>
        <v>0.3435986548</v>
      </c>
      <c r="AP544" s="27">
        <f t="shared" ref="AP544:AQ544" si="1509">SUM(T552)</f>
        <v>299.234695</v>
      </c>
      <c r="AQ544" s="27">
        <f t="shared" si="1509"/>
        <v>7.298407196</v>
      </c>
      <c r="AR544" s="23">
        <f t="shared" si="1510"/>
        <v>67.2195122</v>
      </c>
    </row>
    <row r="545" ht="15.75" customHeight="1">
      <c r="A545" s="21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X545" s="31">
        <v>3.0</v>
      </c>
      <c r="Y545" s="31" t="s">
        <v>25</v>
      </c>
      <c r="Z545" s="31">
        <f t="shared" ref="Z545:AI545" si="1511">SUM(D553)</f>
        <v>32</v>
      </c>
      <c r="AA545" s="32">
        <f t="shared" si="1511"/>
        <v>31</v>
      </c>
      <c r="AB545" s="33">
        <f t="shared" si="1511"/>
        <v>6130.416</v>
      </c>
      <c r="AC545" s="32">
        <f t="shared" si="1511"/>
        <v>2278</v>
      </c>
      <c r="AD545" s="32">
        <f t="shared" si="1511"/>
        <v>295</v>
      </c>
      <c r="AE545" s="32">
        <f t="shared" si="1511"/>
        <v>2573</v>
      </c>
      <c r="AF545" s="32">
        <f t="shared" si="1511"/>
        <v>3249</v>
      </c>
      <c r="AG545" s="32">
        <f t="shared" si="1511"/>
        <v>353</v>
      </c>
      <c r="AH545" s="32">
        <f t="shared" si="1511"/>
        <v>3602</v>
      </c>
      <c r="AI545" s="32">
        <f t="shared" si="1511"/>
        <v>6175</v>
      </c>
      <c r="AJ545" s="34">
        <f t="shared" si="1504"/>
        <v>197.7553548</v>
      </c>
      <c r="AK545" s="31">
        <f>SUM(O553)</f>
        <v>6622</v>
      </c>
      <c r="AL545" s="35">
        <f t="shared" si="1505"/>
        <v>0.9324977348</v>
      </c>
      <c r="AM545" s="36">
        <f t="shared" si="1506"/>
        <v>1.5</v>
      </c>
      <c r="AN545" s="35">
        <f t="shared" si="1507"/>
        <v>0.6715150598</v>
      </c>
      <c r="AO545" s="37">
        <f t="shared" si="1508"/>
        <v>1.00727259</v>
      </c>
      <c r="AP545" s="36">
        <f t="shared" ref="AP545:AQ545" si="1512">SUM(T553)</f>
        <v>257.1483221</v>
      </c>
      <c r="AQ545" s="36">
        <f t="shared" si="1512"/>
        <v>8.295107166</v>
      </c>
      <c r="AR545" s="32">
        <f t="shared" si="1510"/>
        <v>199.1935484</v>
      </c>
    </row>
    <row r="546" ht="15.75" customHeight="1">
      <c r="A546" s="21"/>
      <c r="B546" s="38">
        <v>1.0</v>
      </c>
      <c r="C546" s="38" t="s">
        <v>26</v>
      </c>
      <c r="D546" s="77">
        <v>20.0</v>
      </c>
      <c r="E546" s="40">
        <f>IFERROR(__xludf.DUMMYFUNCTION("COUNT(IMPORTRANGE(""https://docs.google.com/spreadsheets/d/1z0o91thOT38lgejTE_Bd2p3v_9VCDdQRkUsMIVqpQCk/edit"",""21!d2:d21""))"),18.0)</f>
        <v>18</v>
      </c>
      <c r="F546" s="41">
        <f>IFERROR(__xludf.DUMMYFUNCTION("SUM(IMPORTRANGE(""https://docs.google.com/spreadsheets/d/1z0o91thOT38lgejTE_Bd2p3v_9VCDdQRkUsMIVqpQCk/edit"",""21!Q2:Q21""))"),3352.023)</f>
        <v>3352.023</v>
      </c>
      <c r="G546" s="40">
        <f>IFERROR(__xludf.DUMMYFUNCTION("IMPORTRANGE(""https://docs.google.com/spreadsheets/d/1z0o91thOT38lgejTE_Bd2p3v_9VCDdQRkUsMIVqpQCk/edit"",""21!e28"")"),1719.0)</f>
        <v>1719</v>
      </c>
      <c r="H546" s="40">
        <f>IFERROR(__xludf.DUMMYFUNCTION("IMPORTRANGE(""https://docs.google.com/spreadsheets/d/1z0o91thOT38lgejTE_Bd2p3v_9VCDdQRkUsMIVqpQCk/edit"",""21!e29"")"),0.0)</f>
        <v>0</v>
      </c>
      <c r="I546" s="40">
        <f t="shared" ref="I546:I563" si="1515">SUM(G546:H546)</f>
        <v>1719</v>
      </c>
      <c r="J546" s="40">
        <f>IFERROR(__xludf.DUMMYFUNCTION("IMPORTRANGE(""https://docs.google.com/spreadsheets/d/1z0o91thOT38lgejTE_Bd2p3v_9VCDdQRkUsMIVqpQCk/edit"",""21!e32"")"),3022.0)</f>
        <v>3022</v>
      </c>
      <c r="K546" s="40">
        <f>IFERROR(__xludf.DUMMYFUNCTION("IMPORTRANGE(""https://docs.google.com/spreadsheets/d/1z0o91thOT38lgejTE_Bd2p3v_9VCDdQRkUsMIVqpQCk/edit"",""21!e33"")"),35.0)</f>
        <v>35</v>
      </c>
      <c r="L546" s="40">
        <f t="shared" ref="L546:L552" si="1516">SUM(J546:K546)</f>
        <v>3057</v>
      </c>
      <c r="M546" s="40">
        <f t="shared" ref="M546:M563" si="1517">SUM(I546+L546)</f>
        <v>4776</v>
      </c>
      <c r="N546" s="41">
        <f t="shared" ref="N546:N564" si="1518">F546/E546</f>
        <v>186.2235</v>
      </c>
      <c r="O546" s="38">
        <v>5161.0</v>
      </c>
      <c r="P546" s="42">
        <f t="shared" ref="P546:P564" si="1519">M546/O546</f>
        <v>0.9254020539</v>
      </c>
      <c r="Q546" s="43">
        <v>1.5</v>
      </c>
      <c r="R546" s="42">
        <f t="shared" ref="R546:R564" si="1520">S546/Q546</f>
        <v>0.9498741506</v>
      </c>
      <c r="S546" s="44">
        <f t="shared" ref="S546:S564" si="1521">M546/F546</f>
        <v>1.424811226</v>
      </c>
      <c r="T546" s="43">
        <f>F546/14.415</f>
        <v>232.5371488</v>
      </c>
      <c r="U546" s="43">
        <f t="shared" ref="U546:U564" si="1522">T546/E546</f>
        <v>12.91873049</v>
      </c>
      <c r="V546" s="40">
        <f t="shared" ref="V546:V564" si="1523">M546/E546</f>
        <v>265.3333333</v>
      </c>
      <c r="X546" s="22">
        <v>4.0</v>
      </c>
      <c r="Y546" s="22" t="s">
        <v>27</v>
      </c>
      <c r="Z546" s="22">
        <f t="shared" ref="Z546:AK546" si="1513">SUM(D559)</f>
        <v>30</v>
      </c>
      <c r="AA546" s="23">
        <f t="shared" si="1513"/>
        <v>28</v>
      </c>
      <c r="AB546" s="24">
        <f t="shared" si="1513"/>
        <v>5585.67</v>
      </c>
      <c r="AC546" s="23">
        <f t="shared" si="1513"/>
        <v>2274</v>
      </c>
      <c r="AD546" s="23">
        <f t="shared" si="1513"/>
        <v>0</v>
      </c>
      <c r="AE546" s="23">
        <f t="shared" si="1513"/>
        <v>2274</v>
      </c>
      <c r="AF546" s="23">
        <f t="shared" si="1513"/>
        <v>3438</v>
      </c>
      <c r="AG546" s="23">
        <f t="shared" si="1513"/>
        <v>43</v>
      </c>
      <c r="AH546" s="23">
        <f t="shared" si="1513"/>
        <v>3481</v>
      </c>
      <c r="AI546" s="23">
        <f t="shared" si="1513"/>
        <v>5755</v>
      </c>
      <c r="AJ546" s="25">
        <f t="shared" si="1513"/>
        <v>199.4882143</v>
      </c>
      <c r="AK546" s="22">
        <f t="shared" si="1513"/>
        <v>8101</v>
      </c>
      <c r="AL546" s="26">
        <f t="shared" si="1505"/>
        <v>0.7104061227</v>
      </c>
      <c r="AM546" s="27">
        <f>SUM(Q559)</f>
        <v>1.5</v>
      </c>
      <c r="AN546" s="26">
        <f t="shared" si="1507"/>
        <v>0.6868767161</v>
      </c>
      <c r="AO546" s="28">
        <f t="shared" si="1508"/>
        <v>1.030315074</v>
      </c>
      <c r="AP546" s="27">
        <f t="shared" ref="AP546:AQ546" si="1514">SUM(T559)</f>
        <v>279.4931198</v>
      </c>
      <c r="AQ546" s="27">
        <f t="shared" si="1514"/>
        <v>9.981897137</v>
      </c>
      <c r="AR546" s="23">
        <f t="shared" si="1510"/>
        <v>205.5357143</v>
      </c>
    </row>
    <row r="547" ht="15.75" customHeight="1">
      <c r="A547" s="21"/>
      <c r="B547" s="38">
        <v>2.0</v>
      </c>
      <c r="C547" s="38" t="s">
        <v>28</v>
      </c>
      <c r="D547" s="78">
        <v>33.0</v>
      </c>
      <c r="E547" s="40">
        <f>IFERROR(__xludf.DUMMYFUNCTION("COUNT(IMPORTRANGE(""https://docs.google.com/spreadsheets/d/10a85iNN0y9GF6ngQfF1JXGAzFk-T7ywH4-TZtQcOTaE/edit"",""21!d2:d34""))"),33.0)</f>
        <v>33</v>
      </c>
      <c r="F547" s="41">
        <f>IFERROR(__xludf.DUMMYFUNCTION("SUM(IMPORTRANGE(""https://docs.google.com/spreadsheets/d/10a85iNN0y9GF6ngQfF1JXGAzFk-T7ywH4-TZtQcOTaE/edit"",""21!Q2:Q34""))"),6295.929)</f>
        <v>6295.929</v>
      </c>
      <c r="G547" s="40">
        <f>IFERROR(__xludf.DUMMYFUNCTION("IMPORTRANGE(""https://docs.google.com/spreadsheets/d/10a85iNN0y9GF6ngQfF1JXGAzFk-T7ywH4-TZtQcOTaE/edit"",""21!e41"")"),2643.0)</f>
        <v>2643</v>
      </c>
      <c r="H547" s="40">
        <f>IFERROR(__xludf.DUMMYFUNCTION("IMPORTRANGE(""https://docs.google.com/spreadsheets/d/10a85iNN0y9GF6ngQfF1JXGAzFk-T7ywH4-TZtQcOTaE/edit"",""21!e42"")"),129.0)</f>
        <v>129</v>
      </c>
      <c r="I547" s="40">
        <f t="shared" si="1515"/>
        <v>2772</v>
      </c>
      <c r="J547" s="40">
        <f>IFERROR(__xludf.DUMMYFUNCTION("IMPORTRANGE(""https://docs.google.com/spreadsheets/d/10a85iNN0y9GF6ngQfF1JXGAzFk-T7ywH4-TZtQcOTaE/edit"",""21!e45"")"),2907.0)</f>
        <v>2907</v>
      </c>
      <c r="K547" s="40">
        <f>IFERROR(__xludf.DUMMYFUNCTION("IMPORTRANGE(""https://docs.google.com/spreadsheets/d/10a85iNN0y9GF6ngQfF1JXGAzFk-T7ywH4-TZtQcOTaE/edit"",""21!e46"")"),323.0)</f>
        <v>323</v>
      </c>
      <c r="L547" s="40">
        <f t="shared" si="1516"/>
        <v>3230</v>
      </c>
      <c r="M547" s="40">
        <f t="shared" si="1517"/>
        <v>6002</v>
      </c>
      <c r="N547" s="41">
        <f t="shared" si="1518"/>
        <v>190.7857273</v>
      </c>
      <c r="O547" s="38">
        <v>7315.0</v>
      </c>
      <c r="P547" s="42">
        <f t="shared" si="1519"/>
        <v>0.82050581</v>
      </c>
      <c r="Q547" s="43">
        <v>1.5</v>
      </c>
      <c r="R547" s="42">
        <f t="shared" si="1520"/>
        <v>0.6355429569</v>
      </c>
      <c r="S547" s="44">
        <f t="shared" si="1521"/>
        <v>0.9533144354</v>
      </c>
      <c r="T547" s="43">
        <f>F547/30.897</f>
        <v>203.7715312</v>
      </c>
      <c r="U547" s="43">
        <f t="shared" si="1522"/>
        <v>6.174894885</v>
      </c>
      <c r="V547" s="40">
        <f t="shared" si="1523"/>
        <v>181.8787879</v>
      </c>
      <c r="X547" s="22">
        <v>5.0</v>
      </c>
      <c r="Y547" s="22" t="s">
        <v>29</v>
      </c>
      <c r="Z547" s="22">
        <f t="shared" ref="Z547:AI547" si="1524">SUM(D562)</f>
        <v>30</v>
      </c>
      <c r="AA547" s="23">
        <f t="shared" si="1524"/>
        <v>29</v>
      </c>
      <c r="AB547" s="24">
        <f t="shared" si="1524"/>
        <v>5806.474</v>
      </c>
      <c r="AC547" s="23">
        <f t="shared" si="1524"/>
        <v>2802</v>
      </c>
      <c r="AD547" s="23">
        <f t="shared" si="1524"/>
        <v>0</v>
      </c>
      <c r="AE547" s="23">
        <f t="shared" si="1524"/>
        <v>2802</v>
      </c>
      <c r="AF547" s="23">
        <f t="shared" si="1524"/>
        <v>4325</v>
      </c>
      <c r="AG547" s="23">
        <f t="shared" si="1524"/>
        <v>0</v>
      </c>
      <c r="AH547" s="23">
        <f t="shared" si="1524"/>
        <v>4325</v>
      </c>
      <c r="AI547" s="23">
        <f t="shared" si="1524"/>
        <v>7127</v>
      </c>
      <c r="AJ547" s="25">
        <f t="shared" ref="AJ547:AJ549" si="1527">AB547/AA547</f>
        <v>200.2232414</v>
      </c>
      <c r="AK547" s="22">
        <f t="shared" ref="AK547:AK548" si="1528">SUM(O562)</f>
        <v>9201</v>
      </c>
      <c r="AL547" s="26">
        <f t="shared" si="1505"/>
        <v>0.7745897185</v>
      </c>
      <c r="AM547" s="27">
        <f t="shared" ref="AM547:AM548" si="1529">SUM(Q562)</f>
        <v>1.5</v>
      </c>
      <c r="AN547" s="26">
        <f t="shared" si="1507"/>
        <v>0.8182820303</v>
      </c>
      <c r="AO547" s="28">
        <f t="shared" si="1508"/>
        <v>1.227423045</v>
      </c>
      <c r="AP547" s="27">
        <f t="shared" ref="AP547:AQ547" si="1525">SUM(T562)</f>
        <v>223</v>
      </c>
      <c r="AQ547" s="27">
        <f t="shared" si="1525"/>
        <v>7.689655172</v>
      </c>
      <c r="AR547" s="23">
        <f t="shared" si="1510"/>
        <v>245.7586207</v>
      </c>
    </row>
    <row r="548" ht="15.75" customHeight="1">
      <c r="A548" s="21"/>
      <c r="B548" s="38">
        <v>3.0</v>
      </c>
      <c r="C548" s="38" t="s">
        <v>30</v>
      </c>
      <c r="D548" s="78">
        <v>60.0</v>
      </c>
      <c r="E548" s="40">
        <f>IFERROR(__xludf.DUMMYFUNCTION("COUNT(IMPORTRANGE(""https://docs.google.com/spreadsheets/d/1WojVzHhpzodJL1e5UDHeu3A3u5MTSZwvxHu0BrwvL9w/edit"",""21!d2:d61""))"),60.0)</f>
        <v>60</v>
      </c>
      <c r="F548" s="45">
        <f>IFERROR(__xludf.DUMMYFUNCTION("SUM(IMPORTRANGE(""https://docs.google.com/spreadsheets/d/1WojVzHhpzodJL1e5UDHeu3A3u5MTSZwvxHu0BrwvL9w/edit"",""21!Q2:Q61""))"),11959.611999999988)</f>
        <v>11959.612</v>
      </c>
      <c r="G548" s="40">
        <f>IFERROR(__xludf.DUMMYFUNCTION("IMPORTRANGE(""https://docs.google.com/spreadsheets/d/1WojVzHhpzodJL1e5UDHeu3A3u5MTSZwvxHu0BrwvL9w/edit"",""21!e68"")"),3684.0)</f>
        <v>3684</v>
      </c>
      <c r="H548" s="40">
        <f>IFERROR(__xludf.DUMMYFUNCTION("IMPORTRANGE(""https://docs.google.com/spreadsheets/d/1WojVzHhpzodJL1e5UDHeu3A3u5MTSZwvxHu0BrwvL9w/edit"",""21!e69"")"),0.0)</f>
        <v>0</v>
      </c>
      <c r="I548" s="40">
        <f t="shared" si="1515"/>
        <v>3684</v>
      </c>
      <c r="J548" s="40">
        <f>IFERROR(__xludf.DUMMYFUNCTION("IMPORTRANGE(""https://docs.google.com/spreadsheets/d/1WojVzHhpzodJL1e5UDHeu3A3u5MTSZwvxHu0BrwvL9w/edit"",""21!e72"")"),5739.0)</f>
        <v>5739</v>
      </c>
      <c r="K548" s="40">
        <f>IFERROR(__xludf.DUMMYFUNCTION("IMPORTRANGE(""https://docs.google.com/spreadsheets/d/1WojVzHhpzodJL1e5UDHeu3A3u5MTSZwvxHu0BrwvL9w/edit"",""21!e73"")"),0.0)</f>
        <v>0</v>
      </c>
      <c r="L548" s="40">
        <f t="shared" si="1516"/>
        <v>5739</v>
      </c>
      <c r="M548" s="40">
        <f t="shared" si="1517"/>
        <v>9423</v>
      </c>
      <c r="N548" s="41">
        <f t="shared" si="1518"/>
        <v>199.3268667</v>
      </c>
      <c r="O548" s="38">
        <v>11164.0</v>
      </c>
      <c r="P548" s="42">
        <f t="shared" si="1519"/>
        <v>0.844052311</v>
      </c>
      <c r="Q548" s="43">
        <v>1.5</v>
      </c>
      <c r="R548" s="42">
        <f t="shared" si="1520"/>
        <v>0.5252678766</v>
      </c>
      <c r="S548" s="44">
        <f t="shared" si="1521"/>
        <v>0.7879018149</v>
      </c>
      <c r="T548" s="43">
        <f>F548/29.603</f>
        <v>404</v>
      </c>
      <c r="U548" s="43">
        <f t="shared" si="1522"/>
        <v>6.733333333</v>
      </c>
      <c r="V548" s="40">
        <f t="shared" si="1523"/>
        <v>157.05</v>
      </c>
      <c r="X548" s="22">
        <v>6.0</v>
      </c>
      <c r="Y548" s="22" t="s">
        <v>31</v>
      </c>
      <c r="Z548" s="22">
        <f t="shared" ref="Z548:AI548" si="1526">SUM(D563)</f>
        <v>15</v>
      </c>
      <c r="AA548" s="23">
        <f t="shared" si="1526"/>
        <v>14</v>
      </c>
      <c r="AB548" s="25">
        <f t="shared" si="1526"/>
        <v>2738.295</v>
      </c>
      <c r="AC548" s="23">
        <f t="shared" si="1526"/>
        <v>851</v>
      </c>
      <c r="AD548" s="23">
        <f t="shared" si="1526"/>
        <v>0</v>
      </c>
      <c r="AE548" s="23">
        <f t="shared" si="1526"/>
        <v>851</v>
      </c>
      <c r="AF548" s="23">
        <f t="shared" si="1526"/>
        <v>1188</v>
      </c>
      <c r="AG548" s="23">
        <f t="shared" si="1526"/>
        <v>0</v>
      </c>
      <c r="AH548" s="23">
        <f t="shared" si="1526"/>
        <v>1188</v>
      </c>
      <c r="AI548" s="23">
        <f t="shared" si="1526"/>
        <v>2039</v>
      </c>
      <c r="AJ548" s="25">
        <f t="shared" si="1527"/>
        <v>195.5925</v>
      </c>
      <c r="AK548" s="22">
        <f t="shared" si="1528"/>
        <v>2717</v>
      </c>
      <c r="AL548" s="26">
        <f t="shared" si="1505"/>
        <v>0.7504600662</v>
      </c>
      <c r="AM548" s="27">
        <f t="shared" si="1529"/>
        <v>1.5</v>
      </c>
      <c r="AN548" s="26">
        <f t="shared" si="1507"/>
        <v>0.4964159571</v>
      </c>
      <c r="AO548" s="28">
        <f t="shared" si="1508"/>
        <v>0.7446239357</v>
      </c>
      <c r="AP548" s="27">
        <f t="shared" ref="AP548:AQ548" si="1530">SUM(T563)</f>
        <v>63</v>
      </c>
      <c r="AQ548" s="27">
        <f t="shared" si="1530"/>
        <v>4.5</v>
      </c>
      <c r="AR548" s="23">
        <f t="shared" si="1510"/>
        <v>145.6428571</v>
      </c>
    </row>
    <row r="549" ht="15.75" customHeight="1">
      <c r="A549" s="21"/>
      <c r="B549" s="38">
        <v>4.0</v>
      </c>
      <c r="C549" s="38" t="s">
        <v>32</v>
      </c>
      <c r="D549" s="78">
        <v>42.0</v>
      </c>
      <c r="E549" s="40">
        <f>IFERROR(__xludf.DUMMYFUNCTION("COUNT(IMPORTRANGE(""https://docs.google.com/spreadsheets/d/1vmCj5YcMSPHj1m64syDndQ6cqVL3yolcU03Y8KHmvdc/edit"",""21!d2:d43""))"),42.0)</f>
        <v>42</v>
      </c>
      <c r="F549" s="45">
        <f>IFERROR(__xludf.DUMMYFUNCTION("SUM(IMPORTRANGE(""https://docs.google.com/spreadsheets/d/1vmCj5YcMSPHj1m64syDndQ6cqVL3yolcU03Y8KHmvdc/edit"",""21!Q2:Q43""))"),8429.90399999999)</f>
        <v>8429.904</v>
      </c>
      <c r="G549" s="38">
        <f>IFERROR(__xludf.DUMMYFUNCTION("IMPORTRANGE(""https://docs.google.com/spreadsheets/d/1vmCj5YcMSPHj1m64syDndQ6cqVL3yolcU03Y8KHmvdc/edit"",""21!e50"")"),4474.0)</f>
        <v>4474</v>
      </c>
      <c r="H549" s="38">
        <f>IFERROR(__xludf.DUMMYFUNCTION("IMPORTRANGE(""https://docs.google.com/spreadsheets/d/1vmCj5YcMSPHj1m64syDndQ6cqVL3yolcU03Y8KHmvdc/edit"",""21!e51"")"),0.0)</f>
        <v>0</v>
      </c>
      <c r="I549" s="40">
        <f t="shared" si="1515"/>
        <v>4474</v>
      </c>
      <c r="J549" s="38">
        <f>IFERROR(__xludf.DUMMYFUNCTION("IMPORTRANGE(""https://docs.google.com/spreadsheets/d/1vmCj5YcMSPHj1m64syDndQ6cqVL3yolcU03Y8KHmvdc/edit"",""21!e54"")"),5430.0)</f>
        <v>5430</v>
      </c>
      <c r="K549" s="38">
        <f>IFERROR(__xludf.DUMMYFUNCTION("IMPORTRANGE(""https://docs.google.com/spreadsheets/d/1vmCj5YcMSPHj1m64syDndQ6cqVL3yolcU03Y8KHmvdc/edit"",""21!e55"")"),0.0)</f>
        <v>0</v>
      </c>
      <c r="L549" s="40">
        <f t="shared" si="1516"/>
        <v>5430</v>
      </c>
      <c r="M549" s="40">
        <f t="shared" si="1517"/>
        <v>9904</v>
      </c>
      <c r="N549" s="41">
        <f t="shared" si="1518"/>
        <v>200.712</v>
      </c>
      <c r="O549" s="38">
        <v>13817.0</v>
      </c>
      <c r="P549" s="42">
        <f t="shared" si="1519"/>
        <v>0.7167981472</v>
      </c>
      <c r="Q549" s="43">
        <v>1.5</v>
      </c>
      <c r="R549" s="42">
        <f t="shared" si="1520"/>
        <v>0.7832433995</v>
      </c>
      <c r="S549" s="44">
        <f t="shared" si="1521"/>
        <v>1.174865099</v>
      </c>
      <c r="T549" s="43">
        <f>F549/25.089</f>
        <v>336</v>
      </c>
      <c r="U549" s="43">
        <f t="shared" si="1522"/>
        <v>8</v>
      </c>
      <c r="V549" s="40">
        <f t="shared" si="1523"/>
        <v>235.8095238</v>
      </c>
      <c r="X549" s="46" t="s">
        <v>33</v>
      </c>
      <c r="Y549" s="46">
        <v>6.0</v>
      </c>
      <c r="Z549" s="46">
        <f t="shared" ref="Z549:AI549" si="1531">SUM(Z543:Z548)</f>
        <v>186</v>
      </c>
      <c r="AA549" s="47">
        <f t="shared" si="1531"/>
        <v>178</v>
      </c>
      <c r="AB549" s="48">
        <f t="shared" si="1531"/>
        <v>35232.281</v>
      </c>
      <c r="AC549" s="47">
        <f t="shared" si="1531"/>
        <v>11127</v>
      </c>
      <c r="AD549" s="47">
        <f t="shared" si="1531"/>
        <v>295</v>
      </c>
      <c r="AE549" s="47">
        <f t="shared" si="1531"/>
        <v>11422</v>
      </c>
      <c r="AF549" s="47">
        <f t="shared" si="1531"/>
        <v>17179</v>
      </c>
      <c r="AG549" s="47">
        <f t="shared" si="1531"/>
        <v>396</v>
      </c>
      <c r="AH549" s="47">
        <f t="shared" si="1531"/>
        <v>17575</v>
      </c>
      <c r="AI549" s="47">
        <f t="shared" si="1531"/>
        <v>28997</v>
      </c>
      <c r="AJ549" s="49">
        <f t="shared" si="1527"/>
        <v>197.9341629</v>
      </c>
      <c r="AK549" s="46">
        <f>SUM(AK543:AK548)</f>
        <v>35074</v>
      </c>
      <c r="AL549" s="50">
        <f t="shared" si="1505"/>
        <v>0.8267377545</v>
      </c>
      <c r="AM549" s="51">
        <v>1.5</v>
      </c>
      <c r="AN549" s="50">
        <f t="shared" si="1507"/>
        <v>0.5486824238</v>
      </c>
      <c r="AO549" s="52">
        <f t="shared" si="1508"/>
        <v>0.8230236356</v>
      </c>
      <c r="AP549" s="51">
        <f>SUM(AP543:AP548)</f>
        <v>1327.876137</v>
      </c>
      <c r="AQ549" s="51">
        <f>AP549/AA549</f>
        <v>7.459978298</v>
      </c>
      <c r="AR549" s="47">
        <f t="shared" si="1510"/>
        <v>162.9044944</v>
      </c>
    </row>
    <row r="550" ht="15.75" customHeight="1">
      <c r="A550" s="21"/>
      <c r="B550" s="38">
        <v>5.0</v>
      </c>
      <c r="C550" s="38" t="s">
        <v>34</v>
      </c>
      <c r="D550" s="78">
        <v>40.0</v>
      </c>
      <c r="E550" s="40">
        <f>IFERROR(__xludf.DUMMYFUNCTION("COUNT(IMPORTRANGE(""https://docs.google.com/spreadsheets/d/14_Y-fpuq1wcec3DlT_1PBYekOC0YblQMrWVfO12YO3k/edit"",""21!d2:d41""))"),39.0)</f>
        <v>39</v>
      </c>
      <c r="F550" s="45">
        <f>IFERROR(__xludf.DUMMYFUNCTION("SUM(IMPORTRANGE(""https://docs.google.com/spreadsheets/d/14_Y-fpuq1wcec3DlT_1PBYekOC0YblQMrWVfO12YO3k/edit"",""21!Q2:Q41""))"),7823.772000000003)</f>
        <v>7823.772</v>
      </c>
      <c r="G550" s="40">
        <f>IFERROR(__xludf.DUMMYFUNCTION("IMPORTRANGE(""https://docs.google.com/spreadsheets/d/14_Y-fpuq1wcec3DlT_1PBYekOC0YblQMrWVfO12YO3k/edit"",""21!e48"")"),2760.0)</f>
        <v>2760</v>
      </c>
      <c r="H550" s="40">
        <f>IFERROR(__xludf.DUMMYFUNCTION("IMPORTRANGE(""https://docs.google.com/spreadsheets/d/14_Y-fpuq1wcec3DlT_1PBYekOC0YblQMrWVfO12YO3k/edit"",""21!e49"")"),0.0)</f>
        <v>0</v>
      </c>
      <c r="I550" s="40">
        <f t="shared" si="1515"/>
        <v>2760</v>
      </c>
      <c r="J550" s="40">
        <f>IFERROR(__xludf.DUMMYFUNCTION("IMPORTRANGE(""https://docs.google.com/spreadsheets/d/14_Y-fpuq1wcec3DlT_1PBYekOC0YblQMrWVfO12YO3k/edit"",""21!e52"")"),3502.0)</f>
        <v>3502</v>
      </c>
      <c r="K550" s="40">
        <f>IFERROR(__xludf.DUMMYFUNCTION("IMPORTRANGE(""https://docs.google.com/spreadsheets/d/14_Y-fpuq1wcec3DlT_1PBYekOC0YblQMrWVfO12YO3k/edit"",""21!e53"")"),0.0)</f>
        <v>0</v>
      </c>
      <c r="L550" s="40">
        <f t="shared" si="1516"/>
        <v>3502</v>
      </c>
      <c r="M550" s="40">
        <f t="shared" si="1517"/>
        <v>6262</v>
      </c>
      <c r="N550" s="41">
        <f t="shared" si="1518"/>
        <v>200.6095385</v>
      </c>
      <c r="O550" s="38">
        <v>9354.0</v>
      </c>
      <c r="P550" s="42">
        <f t="shared" si="1519"/>
        <v>0.6694462262</v>
      </c>
      <c r="Q550" s="43">
        <v>1.5</v>
      </c>
      <c r="R550" s="42">
        <f t="shared" si="1520"/>
        <v>0.5335874648</v>
      </c>
      <c r="S550" s="44">
        <f t="shared" si="1521"/>
        <v>0.8003811972</v>
      </c>
      <c r="T550" s="43">
        <f>F550/30.713</f>
        <v>254.7381239</v>
      </c>
      <c r="U550" s="43">
        <f t="shared" si="1522"/>
        <v>6.531746767</v>
      </c>
      <c r="V550" s="40">
        <f t="shared" si="1523"/>
        <v>160.5641026</v>
      </c>
      <c r="X550" s="53" t="s">
        <v>35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6"/>
    </row>
    <row r="551" ht="15.75" customHeight="1">
      <c r="A551" s="21"/>
      <c r="B551" s="38">
        <v>6.0</v>
      </c>
      <c r="C551" s="38" t="s">
        <v>23</v>
      </c>
      <c r="D551" s="78">
        <v>35.0</v>
      </c>
      <c r="E551" s="40">
        <f>IFERROR(__xludf.DUMMYFUNCTION("COUNT(IMPORTRANGE(""https://docs.google.com/spreadsheets/d/1lJqjdj05V4LOXuBOiTdE65GV4ZITyx1cMLcDdcuoUnE/edit"",""21!d2:d36""))"),35.0)</f>
        <v>35</v>
      </c>
      <c r="F551" s="45">
        <f>IFERROR(__xludf.DUMMYFUNCTION("SUM(IMPORTRANGE(""https://docs.google.com/spreadsheets/d/1lJqjdj05V4LOXuBOiTdE65GV4ZITyx1cMLcDdcuoUnE/edit"",""21!Q2:Q36""))"),6950.439999999995)</f>
        <v>6950.44</v>
      </c>
      <c r="G551" s="40">
        <f>IFERROR(__xludf.DUMMYFUNCTION("IMPORTRANGE(""https://docs.google.com/spreadsheets/d/1lJqjdj05V4LOXuBOiTdE65GV4ZITyx1cMLcDdcuoUnE/edit"",""21!e43"")"),1911.0)</f>
        <v>1911</v>
      </c>
      <c r="H551" s="40">
        <f>IFERROR(__xludf.DUMMYFUNCTION("IMPORTRANGE(""https://docs.google.com/spreadsheets/d/1lJqjdj05V4LOXuBOiTdE65GV4ZITyx1cMLcDdcuoUnE/edit"",""21!e44"")"),0.0)</f>
        <v>0</v>
      </c>
      <c r="I551" s="40">
        <f t="shared" si="1515"/>
        <v>1911</v>
      </c>
      <c r="J551" s="40">
        <f>IFERROR(__xludf.DUMMYFUNCTION("IMPORTRANGE(""https://docs.google.com/spreadsheets/d/1lJqjdj05V4LOXuBOiTdE65GV4ZITyx1cMLcDdcuoUnE/edit"",""21!e47"")"),3234.0)</f>
        <v>3234</v>
      </c>
      <c r="K551" s="40">
        <f>IFERROR(__xludf.DUMMYFUNCTION("IMPORTRANGE(""https://docs.google.com/spreadsheets/d/1lJqjdj05V4LOXuBOiTdE65GV4ZITyx1cMLcDdcuoUnE/edit"",""21!e48"")"),0.0)</f>
        <v>0</v>
      </c>
      <c r="L551" s="40">
        <f t="shared" si="1516"/>
        <v>3234</v>
      </c>
      <c r="M551" s="40">
        <f t="shared" si="1517"/>
        <v>5145</v>
      </c>
      <c r="N551" s="41">
        <f t="shared" si="1518"/>
        <v>198.584</v>
      </c>
      <c r="O551" s="38">
        <v>6853.0</v>
      </c>
      <c r="P551" s="42">
        <f t="shared" si="1519"/>
        <v>0.7507660878</v>
      </c>
      <c r="Q551" s="43">
        <v>1.5</v>
      </c>
      <c r="R551" s="42">
        <f t="shared" si="1520"/>
        <v>0.4934939371</v>
      </c>
      <c r="S551" s="44">
        <f t="shared" si="1521"/>
        <v>0.7402409056</v>
      </c>
      <c r="T551" s="43">
        <f>F551/33.74</f>
        <v>206</v>
      </c>
      <c r="U551" s="43">
        <f t="shared" si="1522"/>
        <v>5.885714286</v>
      </c>
      <c r="V551" s="40">
        <f t="shared" si="1523"/>
        <v>147</v>
      </c>
      <c r="X551" s="14" t="s">
        <v>2</v>
      </c>
      <c r="Y551" s="14" t="s">
        <v>3</v>
      </c>
      <c r="Z551" s="14" t="s">
        <v>4</v>
      </c>
      <c r="AA551" s="14" t="s">
        <v>5</v>
      </c>
      <c r="AB551" s="15" t="s">
        <v>6</v>
      </c>
      <c r="AC551" s="14" t="s">
        <v>7</v>
      </c>
      <c r="AD551" s="14" t="s">
        <v>8</v>
      </c>
      <c r="AE551" s="14" t="s">
        <v>9</v>
      </c>
      <c r="AF551" s="14" t="s">
        <v>10</v>
      </c>
      <c r="AG551" s="14" t="s">
        <v>11</v>
      </c>
      <c r="AH551" s="14" t="s">
        <v>12</v>
      </c>
      <c r="AI551" s="14" t="s">
        <v>13</v>
      </c>
      <c r="AJ551" s="15" t="s">
        <v>14</v>
      </c>
      <c r="AK551" s="14" t="s">
        <v>15</v>
      </c>
      <c r="AL551" s="14" t="s">
        <v>16</v>
      </c>
      <c r="AM551" s="16" t="s">
        <v>17</v>
      </c>
      <c r="AN551" s="17" t="s">
        <v>18</v>
      </c>
      <c r="AO551" s="18" t="s">
        <v>19</v>
      </c>
      <c r="AP551" s="19" t="s">
        <v>20</v>
      </c>
      <c r="AQ551" s="19" t="s">
        <v>21</v>
      </c>
      <c r="AR551" s="20" t="s">
        <v>22</v>
      </c>
    </row>
    <row r="552" ht="15.75" customHeight="1">
      <c r="A552" s="21"/>
      <c r="B552" s="38">
        <v>7.0</v>
      </c>
      <c r="C552" s="38" t="s">
        <v>24</v>
      </c>
      <c r="D552" s="78">
        <v>44.0</v>
      </c>
      <c r="E552" s="54">
        <f>IFERROR(__xludf.DUMMYFUNCTION("COUNT(IMPORTRANGE(""https://docs.google.com/spreadsheets/d/1_7EEO26q9Yq-XhNFiy7I6Zh4Yg6uGjTs9y0UqNvPKcQ/edit"",""21!d2:d45""))"),41.0)</f>
        <v>41</v>
      </c>
      <c r="F552" s="55">
        <f>IFERROR(__xludf.DUMMYFUNCTION("SUM(IMPORTRANGE(""https://docs.google.com/spreadsheets/d/1_7EEO26q9Yq-XhNFiy7I6Zh4Yg6uGjTs9y0UqNvPKcQ/edit"",""21!Q2:Q45""))"),8020.9859999999935)</f>
        <v>8020.986</v>
      </c>
      <c r="G552" s="54">
        <f>IFERROR(__xludf.DUMMYFUNCTION("IMPORTRANGE(""https://docs.google.com/spreadsheets/d/1_7EEO26q9Yq-XhNFiy7I6Zh4Yg6uGjTs9y0UqNvPKcQ/edit"",""21!e53"")"),1011.0)</f>
        <v>1011</v>
      </c>
      <c r="H552" s="54">
        <f>IFERROR(__xludf.DUMMYFUNCTION("IMPORTRANGE(""https://docs.google.com/spreadsheets/d/1_7EEO26q9Yq-XhNFiy7I6Zh4Yg6uGjTs9y0UqNvPKcQ/edit"",""21!e54"")"),0.0)</f>
        <v>0</v>
      </c>
      <c r="I552" s="54">
        <f t="shared" si="1515"/>
        <v>1011</v>
      </c>
      <c r="J552" s="54">
        <f>IFERROR(__xludf.DUMMYFUNCTION("IMPORTRANGE(""https://docs.google.com/spreadsheets/d/1_7EEO26q9Yq-XhNFiy7I6Zh4Yg6uGjTs9y0UqNvPKcQ/edit"",""21!e57"")"),1745.0)</f>
        <v>1745</v>
      </c>
      <c r="K552" s="54">
        <f>IFERROR(__xludf.DUMMYFUNCTION("IMPORTRANGE(""https://docs.google.com/spreadsheets/d/1_7EEO26q9Yq-XhNFiy7I6Zh4Yg6uGjTs9y0UqNvPKcQ/edit"",""21!e58"")"),0.0)</f>
        <v>0</v>
      </c>
      <c r="L552" s="40">
        <f t="shared" si="1516"/>
        <v>1745</v>
      </c>
      <c r="M552" s="40">
        <f t="shared" si="1517"/>
        <v>2756</v>
      </c>
      <c r="N552" s="41">
        <f t="shared" si="1518"/>
        <v>195.6338049</v>
      </c>
      <c r="O552" s="38">
        <v>1580.0</v>
      </c>
      <c r="P552" s="56">
        <f t="shared" si="1519"/>
        <v>1.744303797</v>
      </c>
      <c r="Q552" s="43">
        <v>1.5</v>
      </c>
      <c r="R552" s="42">
        <f t="shared" si="1520"/>
        <v>0.2290657699</v>
      </c>
      <c r="S552" s="44">
        <f t="shared" si="1521"/>
        <v>0.3435986548</v>
      </c>
      <c r="T552" s="43">
        <f>F552/26.805</f>
        <v>299.234695</v>
      </c>
      <c r="U552" s="43">
        <f t="shared" si="1522"/>
        <v>7.298407196</v>
      </c>
      <c r="V552" s="40">
        <f t="shared" si="1523"/>
        <v>67.2195122</v>
      </c>
      <c r="X552" s="22">
        <v>1.0</v>
      </c>
      <c r="Y552" s="22" t="s">
        <v>28</v>
      </c>
      <c r="Z552" s="22">
        <f t="shared" ref="Z552:AI552" si="1532">SUM(D547)</f>
        <v>33</v>
      </c>
      <c r="AA552" s="23">
        <f t="shared" si="1532"/>
        <v>33</v>
      </c>
      <c r="AB552" s="25">
        <f t="shared" si="1532"/>
        <v>6295.929</v>
      </c>
      <c r="AC552" s="23">
        <f t="shared" si="1532"/>
        <v>2643</v>
      </c>
      <c r="AD552" s="23">
        <f t="shared" si="1532"/>
        <v>129</v>
      </c>
      <c r="AE552" s="23">
        <f t="shared" si="1532"/>
        <v>2772</v>
      </c>
      <c r="AF552" s="23">
        <f t="shared" si="1532"/>
        <v>2907</v>
      </c>
      <c r="AG552" s="23">
        <f t="shared" si="1532"/>
        <v>323</v>
      </c>
      <c r="AH552" s="23">
        <f t="shared" si="1532"/>
        <v>3230</v>
      </c>
      <c r="AI552" s="23">
        <f t="shared" si="1532"/>
        <v>6002</v>
      </c>
      <c r="AJ552" s="25">
        <f t="shared" ref="AJ552:AJ558" si="1535">AB552/AA552</f>
        <v>190.7857273</v>
      </c>
      <c r="AK552" s="22">
        <f t="shared" ref="AK552:AK553" si="1536">SUM(O547)</f>
        <v>7315</v>
      </c>
      <c r="AL552" s="26">
        <f t="shared" ref="AL552:AL558" si="1537">AI552/AK552</f>
        <v>0.82050581</v>
      </c>
      <c r="AM552" s="27">
        <f t="shared" ref="AM552:AM553" si="1538">SUM(Q547)</f>
        <v>1.5</v>
      </c>
      <c r="AN552" s="26">
        <f t="shared" ref="AN552:AN558" si="1539">AO552/AM552</f>
        <v>0.6355429569</v>
      </c>
      <c r="AO552" s="28">
        <f t="shared" ref="AO552:AO558" si="1540">AI552/AB552</f>
        <v>0.9533144354</v>
      </c>
      <c r="AP552" s="27">
        <f t="shared" ref="AP552:AQ552" si="1533">SUM(T547)</f>
        <v>203.7715312</v>
      </c>
      <c r="AQ552" s="27">
        <f t="shared" si="1533"/>
        <v>6.174894885</v>
      </c>
      <c r="AR552" s="23">
        <f t="shared" ref="AR552:AR558" si="1542">AI552/AA552</f>
        <v>181.8787879</v>
      </c>
    </row>
    <row r="553" ht="15.75" customHeight="1">
      <c r="A553" s="21"/>
      <c r="B553" s="38">
        <v>8.0</v>
      </c>
      <c r="C553" s="38" t="s">
        <v>25</v>
      </c>
      <c r="D553" s="79">
        <v>32.0</v>
      </c>
      <c r="E553" s="40">
        <f>IFERROR(__xludf.DUMMYFUNCTION("COUNT(IMPORTRANGE(""https://docs.google.com/spreadsheets/d/1vLOLpiE-XsbnCnwWPcoi87PlUSXfqIAAQn3kvqHfO6s/edit"",""21!d2:D33""))"),31.0)</f>
        <v>31</v>
      </c>
      <c r="F553" s="45">
        <f>IFERROR(__xludf.DUMMYFUNCTION("SUM(IMPORTRANGE(""https://docs.google.com/spreadsheets/d/1vLOLpiE-XsbnCnwWPcoi87PlUSXfqIAAQn3kvqHfO6s/edit"",""21!Q2:Q33""))"),6130.416000000002)</f>
        <v>6130.416</v>
      </c>
      <c r="G553" s="40">
        <f>IFERROR(__xludf.DUMMYFUNCTION("IMPORTRANGE(""https://docs.google.com/spreadsheets/d/1vLOLpiE-XsbnCnwWPcoi87PlUSXfqIAAQn3kvqHfO6s/edit"",""21!e40"")"),2278.0)</f>
        <v>2278</v>
      </c>
      <c r="H553" s="40">
        <f>IFERROR(__xludf.DUMMYFUNCTION("IMPORTRANGE(""https://docs.google.com/spreadsheets/d/1vLOLpiE-XsbnCnwWPcoi87PlUSXfqIAAQn3kvqHfO6s/edit"",""21!e41"")"),295.0)</f>
        <v>295</v>
      </c>
      <c r="I553" s="40">
        <f t="shared" si="1515"/>
        <v>2573</v>
      </c>
      <c r="J553" s="40">
        <f>IFERROR(__xludf.DUMMYFUNCTION("IMPORTRANGE(""https://docs.google.com/spreadsheets/d/1vLOLpiE-XsbnCnwWPcoi87PlUSXfqIAAQn3kvqHfO6s/edit"",""21!e44"")"),3249.0)</f>
        <v>3249</v>
      </c>
      <c r="K553" s="40">
        <f>IFERROR(__xludf.DUMMYFUNCTION("IMPORTRANGE(""https://docs.google.com/spreadsheets/d/1vLOLpiE-XsbnCnwWPcoi87PlUSXfqIAAQn3kvqHfO6s/edit"",""21!e45"")"),353.0)</f>
        <v>353</v>
      </c>
      <c r="L553" s="40">
        <f>J553+K553</f>
        <v>3602</v>
      </c>
      <c r="M553" s="40">
        <f t="shared" si="1517"/>
        <v>6175</v>
      </c>
      <c r="N553" s="41">
        <f t="shared" si="1518"/>
        <v>197.7553548</v>
      </c>
      <c r="O553" s="38">
        <v>6622.0</v>
      </c>
      <c r="P553" s="42">
        <f t="shared" si="1519"/>
        <v>0.9324977348</v>
      </c>
      <c r="Q553" s="43">
        <v>1.5</v>
      </c>
      <c r="R553" s="42">
        <f t="shared" si="1520"/>
        <v>0.6715150598</v>
      </c>
      <c r="S553" s="44">
        <f t="shared" si="1521"/>
        <v>1.00727259</v>
      </c>
      <c r="T553" s="43">
        <f>F553/23.84</f>
        <v>257.1483221</v>
      </c>
      <c r="U553" s="43">
        <f t="shared" si="1522"/>
        <v>8.295107166</v>
      </c>
      <c r="V553" s="40">
        <f t="shared" si="1523"/>
        <v>199.1935484</v>
      </c>
      <c r="X553" s="31">
        <v>2.0</v>
      </c>
      <c r="Y553" s="31" t="s">
        <v>30</v>
      </c>
      <c r="Z553" s="31">
        <f t="shared" ref="Z553:AI553" si="1534">SUM(D548)</f>
        <v>60</v>
      </c>
      <c r="AA553" s="32">
        <f t="shared" si="1534"/>
        <v>60</v>
      </c>
      <c r="AB553" s="33">
        <f t="shared" si="1534"/>
        <v>11959.612</v>
      </c>
      <c r="AC553" s="32">
        <f t="shared" si="1534"/>
        <v>3684</v>
      </c>
      <c r="AD553" s="32">
        <f t="shared" si="1534"/>
        <v>0</v>
      </c>
      <c r="AE553" s="32">
        <f t="shared" si="1534"/>
        <v>3684</v>
      </c>
      <c r="AF553" s="32">
        <f t="shared" si="1534"/>
        <v>5739</v>
      </c>
      <c r="AG553" s="32">
        <f t="shared" si="1534"/>
        <v>0</v>
      </c>
      <c r="AH553" s="32">
        <f t="shared" si="1534"/>
        <v>5739</v>
      </c>
      <c r="AI553" s="32">
        <f t="shared" si="1534"/>
        <v>9423</v>
      </c>
      <c r="AJ553" s="34">
        <f t="shared" si="1535"/>
        <v>199.3268667</v>
      </c>
      <c r="AK553" s="31">
        <f t="shared" si="1536"/>
        <v>11164</v>
      </c>
      <c r="AL553" s="35">
        <f t="shared" si="1537"/>
        <v>0.844052311</v>
      </c>
      <c r="AM553" s="36">
        <f t="shared" si="1538"/>
        <v>1.5</v>
      </c>
      <c r="AN553" s="35">
        <f t="shared" si="1539"/>
        <v>0.5252678766</v>
      </c>
      <c r="AO553" s="37">
        <f t="shared" si="1540"/>
        <v>0.7879018149</v>
      </c>
      <c r="AP553" s="36">
        <f t="shared" ref="AP553:AQ553" si="1541">SUM(T548)</f>
        <v>404</v>
      </c>
      <c r="AQ553" s="36">
        <f t="shared" si="1541"/>
        <v>6.733333333</v>
      </c>
      <c r="AR553" s="32">
        <f t="shared" si="1542"/>
        <v>157.05</v>
      </c>
    </row>
    <row r="554" ht="15.75" customHeight="1">
      <c r="A554" s="21"/>
      <c r="B554" s="38">
        <v>9.0</v>
      </c>
      <c r="C554" s="38" t="s">
        <v>36</v>
      </c>
      <c r="D554" s="79">
        <v>29.0</v>
      </c>
      <c r="E554" s="40">
        <f>IFERROR(__xludf.DUMMYFUNCTION("COUNT(IMPORTRANGE(""https://docs.google.com/spreadsheets/d/1WJJVq25XDtGjt-J2JPxeKs3jIvDZtkIREC0lFPXwf74/edit"",""21!d2:d31""))"),28.0)</f>
        <v>28</v>
      </c>
      <c r="F554" s="45">
        <f>IFERROR(__xludf.DUMMYFUNCTION("SUM(IMPORTRANGE(""https://docs.google.com/spreadsheets/d/1WJJVq25XDtGjt-J2JPxeKs3jIvDZtkIREC0lFPXwf74/edit"",""21!Q2:Q31""))"),5604.119999999996)</f>
        <v>5604.12</v>
      </c>
      <c r="G554" s="40">
        <f>IFERROR(__xludf.DUMMYFUNCTION("IMPORTRANGE(""https://docs.google.com/spreadsheets/d/1WJJVq25XDtGjt-J2JPxeKs3jIvDZtkIREC0lFPXwf74/edit"",""21!e38"")"),1610.0)</f>
        <v>1610</v>
      </c>
      <c r="H554" s="40">
        <f>IFERROR(__xludf.DUMMYFUNCTION("IMPORTRANGE(""https://docs.google.com/spreadsheets/d/1WJJVq25XDtGjt-J2JPxeKs3jIvDZtkIREC0lFPXwf74/edit"",""21!e39"")"),0.0)</f>
        <v>0</v>
      </c>
      <c r="I554" s="40">
        <f t="shared" si="1515"/>
        <v>1610</v>
      </c>
      <c r="J554" s="40">
        <f>IFERROR(__xludf.DUMMYFUNCTION("IMPORTRANGE(""https://docs.google.com/spreadsheets/d/1WJJVq25XDtGjt-J2JPxeKs3jIvDZtkIREC0lFPXwf74/edit"",""21!e42"")"),2490.0)</f>
        <v>2490</v>
      </c>
      <c r="K554" s="40">
        <f>IFERROR(__xludf.DUMMYFUNCTION("IMPORTRANGE(""https://docs.google.com/spreadsheets/d/1WJJVq25XDtGjt-J2JPxeKs3jIvDZtkIREC0lFPXwf74/edit"",""21!e43"")"),0.0)</f>
        <v>0</v>
      </c>
      <c r="L554" s="40">
        <f t="shared" ref="L554:L563" si="1545">SUM(J554:K554)</f>
        <v>2490</v>
      </c>
      <c r="M554" s="40">
        <f t="shared" si="1517"/>
        <v>4100</v>
      </c>
      <c r="N554" s="41">
        <f t="shared" si="1518"/>
        <v>200.1471429</v>
      </c>
      <c r="O554" s="38">
        <v>4796.0</v>
      </c>
      <c r="P554" s="42">
        <f t="shared" si="1519"/>
        <v>0.8548790659</v>
      </c>
      <c r="Q554" s="43">
        <v>1.5</v>
      </c>
      <c r="R554" s="42">
        <f t="shared" si="1520"/>
        <v>0.4877364035</v>
      </c>
      <c r="S554" s="44">
        <f t="shared" si="1521"/>
        <v>0.7316046052</v>
      </c>
      <c r="T554" s="43">
        <f>F554/37.414</f>
        <v>149.7867109</v>
      </c>
      <c r="U554" s="43">
        <f t="shared" si="1522"/>
        <v>5.349525388</v>
      </c>
      <c r="V554" s="40">
        <f t="shared" si="1523"/>
        <v>146.4285714</v>
      </c>
      <c r="X554" s="22">
        <v>3.0</v>
      </c>
      <c r="Y554" s="22" t="s">
        <v>34</v>
      </c>
      <c r="Z554" s="22">
        <f t="shared" ref="Z554:AI554" si="1543">SUM(D550)</f>
        <v>40</v>
      </c>
      <c r="AA554" s="23">
        <f t="shared" si="1543"/>
        <v>39</v>
      </c>
      <c r="AB554" s="24">
        <f t="shared" si="1543"/>
        <v>7823.772</v>
      </c>
      <c r="AC554" s="23">
        <f t="shared" si="1543"/>
        <v>2760</v>
      </c>
      <c r="AD554" s="23">
        <f t="shared" si="1543"/>
        <v>0</v>
      </c>
      <c r="AE554" s="23">
        <f t="shared" si="1543"/>
        <v>2760</v>
      </c>
      <c r="AF554" s="23">
        <f t="shared" si="1543"/>
        <v>3502</v>
      </c>
      <c r="AG554" s="23">
        <f t="shared" si="1543"/>
        <v>0</v>
      </c>
      <c r="AH554" s="23">
        <f t="shared" si="1543"/>
        <v>3502</v>
      </c>
      <c r="AI554" s="23">
        <f t="shared" si="1543"/>
        <v>6262</v>
      </c>
      <c r="AJ554" s="25">
        <f t="shared" si="1535"/>
        <v>200.6095385</v>
      </c>
      <c r="AK554" s="22">
        <f>SUM(O550)</f>
        <v>9354</v>
      </c>
      <c r="AL554" s="26">
        <f t="shared" si="1537"/>
        <v>0.6694462262</v>
      </c>
      <c r="AM554" s="27">
        <f>SUM(Q550)</f>
        <v>1.5</v>
      </c>
      <c r="AN554" s="26">
        <f t="shared" si="1539"/>
        <v>0.5335874648</v>
      </c>
      <c r="AO554" s="28">
        <f t="shared" si="1540"/>
        <v>0.8003811972</v>
      </c>
      <c r="AP554" s="27">
        <f t="shared" ref="AP554:AQ554" si="1544">SUM(T550)</f>
        <v>254.7381239</v>
      </c>
      <c r="AQ554" s="27">
        <f t="shared" si="1544"/>
        <v>6.531746767</v>
      </c>
      <c r="AR554" s="23">
        <f t="shared" si="1542"/>
        <v>160.5641026</v>
      </c>
    </row>
    <row r="555" ht="15.75" customHeight="1">
      <c r="A555" s="21"/>
      <c r="B555" s="38">
        <v>10.0</v>
      </c>
      <c r="C555" s="38" t="s">
        <v>37</v>
      </c>
      <c r="D555" s="78">
        <v>30.0</v>
      </c>
      <c r="E555" s="40">
        <f>IFERROR(__xludf.DUMMYFUNCTION("COUNT(IMPORTRANGE(""https://docs.google.com/spreadsheets/d/1rJyYfywRpWJW0zvDJHLOJtqUQqffoCGaqTVxxTDgV0k/edit"",""21!d2:d31""))"),28.0)</f>
        <v>28</v>
      </c>
      <c r="F555" s="45">
        <f>IFERROR(__xludf.DUMMYFUNCTION("SUM(IMPORTRANGE(""https://docs.google.com/spreadsheets/d/1rJyYfywRpWJW0zvDJHLOJtqUQqffoCGaqTVxxTDgV0k/edit"",""21!Q2:Q31""))"),5589.060000000001)</f>
        <v>5589.06</v>
      </c>
      <c r="G555" s="40">
        <f>IFERROR(__xludf.DUMMYFUNCTION("(IMPORTRANGE(""https://docs.google.com/spreadsheets/d/1rJyYfywRpWJW0zvDJHLOJtqUQqffoCGaqTVxxTDgV0k/edit"",""21!e38""))"),2025.0)</f>
        <v>2025</v>
      </c>
      <c r="H555" s="40">
        <f>IFERROR(__xludf.DUMMYFUNCTION("(IMPORTRANGE(""https://docs.google.com/spreadsheets/d/1rJyYfywRpWJW0zvDJHLOJtqUQqffoCGaqTVxxTDgV0k/edit"",""21!e39""))"),0.0)</f>
        <v>0</v>
      </c>
      <c r="I555" s="40">
        <f t="shared" si="1515"/>
        <v>2025</v>
      </c>
      <c r="J555" s="40">
        <f>IFERROR(__xludf.DUMMYFUNCTION("(IMPORTRANGE(""https://docs.google.com/spreadsheets/d/1rJyYfywRpWJW0zvDJHLOJtqUQqffoCGaqTVxxTDgV0k/edit"",""21!e42""))"),3105.0)</f>
        <v>3105</v>
      </c>
      <c r="K555" s="40">
        <f>IFERROR(__xludf.DUMMYFUNCTION("(IMPORTRANGE(""https://docs.google.com/spreadsheets/d/1rJyYfywRpWJW0zvDJHLOJtqUQqffoCGaqTVxxTDgV0k/edit"",""21!e43""))"),80.0)</f>
        <v>80</v>
      </c>
      <c r="L555" s="40">
        <f t="shared" si="1545"/>
        <v>3185</v>
      </c>
      <c r="M555" s="40">
        <f t="shared" si="1517"/>
        <v>5210</v>
      </c>
      <c r="N555" s="41">
        <f t="shared" si="1518"/>
        <v>199.6092857</v>
      </c>
      <c r="O555" s="38">
        <v>5887.0</v>
      </c>
      <c r="P555" s="42">
        <f t="shared" si="1519"/>
        <v>0.8850008493</v>
      </c>
      <c r="Q555" s="43">
        <v>1.5</v>
      </c>
      <c r="R555" s="42">
        <f t="shared" si="1520"/>
        <v>0.6214521464</v>
      </c>
      <c r="S555" s="44">
        <f t="shared" si="1521"/>
        <v>0.9321782196</v>
      </c>
      <c r="T555" s="43">
        <f>F555/24.792</f>
        <v>225.4380445</v>
      </c>
      <c r="U555" s="43">
        <f t="shared" si="1522"/>
        <v>8.051358733</v>
      </c>
      <c r="V555" s="40">
        <f t="shared" si="1523"/>
        <v>186.0714286</v>
      </c>
      <c r="X555" s="31">
        <v>4.0</v>
      </c>
      <c r="Y555" s="31" t="s">
        <v>38</v>
      </c>
      <c r="Z555" s="31">
        <f t="shared" ref="Z555:AI555" si="1546">SUM(D558)</f>
        <v>30</v>
      </c>
      <c r="AA555" s="32">
        <f t="shared" si="1546"/>
        <v>30</v>
      </c>
      <c r="AB555" s="33">
        <f t="shared" si="1546"/>
        <v>6345.57</v>
      </c>
      <c r="AC555" s="32">
        <f t="shared" si="1546"/>
        <v>1954</v>
      </c>
      <c r="AD555" s="32">
        <f t="shared" si="1546"/>
        <v>114</v>
      </c>
      <c r="AE555" s="32">
        <f t="shared" si="1546"/>
        <v>2068</v>
      </c>
      <c r="AF555" s="32">
        <f t="shared" si="1546"/>
        <v>3001</v>
      </c>
      <c r="AG555" s="32">
        <f t="shared" si="1546"/>
        <v>0</v>
      </c>
      <c r="AH555" s="32">
        <f t="shared" si="1546"/>
        <v>3001</v>
      </c>
      <c r="AI555" s="32">
        <f t="shared" si="1546"/>
        <v>5069</v>
      </c>
      <c r="AJ555" s="34">
        <f t="shared" si="1535"/>
        <v>211.519</v>
      </c>
      <c r="AK555" s="31">
        <v>7324.0</v>
      </c>
      <c r="AL555" s="35">
        <f t="shared" si="1537"/>
        <v>0.6921081376</v>
      </c>
      <c r="AM555" s="36">
        <f>SUM(Q558)</f>
        <v>1.5</v>
      </c>
      <c r="AN555" s="35">
        <f t="shared" si="1539"/>
        <v>0.5325500047</v>
      </c>
      <c r="AO555" s="37">
        <f t="shared" si="1540"/>
        <v>0.7988250071</v>
      </c>
      <c r="AP555" s="36">
        <f t="shared" ref="AP555:AQ555" si="1547">SUM(T558)</f>
        <v>154</v>
      </c>
      <c r="AQ555" s="36">
        <f t="shared" si="1547"/>
        <v>5.133333333</v>
      </c>
      <c r="AR555" s="32">
        <f t="shared" si="1542"/>
        <v>168.9666667</v>
      </c>
    </row>
    <row r="556" ht="15.75" customHeight="1">
      <c r="A556" s="21"/>
      <c r="B556" s="38">
        <v>12.0</v>
      </c>
      <c r="C556" s="38" t="s">
        <v>39</v>
      </c>
      <c r="D556" s="78">
        <v>28.0</v>
      </c>
      <c r="E556" s="40">
        <f>IFERROR(__xludf.DUMMYFUNCTION("COUNT(IMPORTRANGE(""https://docs.google.com/spreadsheets/d/1uaTn2DZCfr7O1PvovOd0wElzVz8kpl_iPfnrkNPp0Is/edit"",""21!d2:d29""))"),27.0)</f>
        <v>27</v>
      </c>
      <c r="F556" s="45">
        <f>IFERROR(__xludf.DUMMYFUNCTION("SUM(IMPORTRANGE(""https://docs.google.com/spreadsheets/d/1uaTn2DZCfr7O1PvovOd0wElzVz8kpl_iPfnrkNPp0Is/edit"",""21!Q2:Q29""))"),5039.440000000001)</f>
        <v>5039.44</v>
      </c>
      <c r="G556" s="40">
        <f>IFERROR(__xludf.DUMMYFUNCTION("IMPORTRANGE(""https://docs.google.com/spreadsheets/d/1uaTn2DZCfr7O1PvovOd0wElzVz8kpl_iPfnrkNPp0Is/edit"",""21!e36"")"),1099.0)</f>
        <v>1099</v>
      </c>
      <c r="H556" s="40">
        <f>IFERROR(__xludf.DUMMYFUNCTION("(IMPORTRANGE(""https://docs.google.com/spreadsheets/d/1uaTn2DZCfr7O1PvovOd0wElzVz8kpl_iPfnrkNPp0Is/edit"",""21!e37""))"),30.0)</f>
        <v>30</v>
      </c>
      <c r="I556" s="40">
        <f t="shared" si="1515"/>
        <v>1129</v>
      </c>
      <c r="J556" s="40">
        <f>IFERROR(__xludf.DUMMYFUNCTION("IMPORTRANGE(""https://docs.google.com/spreadsheets/d/1uaTn2DZCfr7O1PvovOd0wElzVz8kpl_iPfnrkNPp0Is/edit"",""21!e40"")"),1671.0)</f>
        <v>1671</v>
      </c>
      <c r="K556" s="40">
        <f>IFERROR(__xludf.DUMMYFUNCTION("IMPORTRANGE(""https://docs.google.com/spreadsheets/d/1uaTn2DZCfr7O1PvovOd0wElzVz8kpl_iPfnrkNPp0Is/edit"",""21!e41"")"),0.0)</f>
        <v>0</v>
      </c>
      <c r="L556" s="40">
        <f t="shared" si="1545"/>
        <v>1671</v>
      </c>
      <c r="M556" s="40">
        <f t="shared" si="1517"/>
        <v>2800</v>
      </c>
      <c r="N556" s="41">
        <f t="shared" si="1518"/>
        <v>186.6459259</v>
      </c>
      <c r="O556" s="38">
        <v>3569.0</v>
      </c>
      <c r="P556" s="42">
        <f t="shared" si="1519"/>
        <v>0.7845334828</v>
      </c>
      <c r="Q556" s="43">
        <v>1.5</v>
      </c>
      <c r="R556" s="42">
        <f t="shared" si="1520"/>
        <v>0.3704115272</v>
      </c>
      <c r="S556" s="44">
        <f t="shared" si="1521"/>
        <v>0.5556172908</v>
      </c>
      <c r="T556" s="43">
        <f>F556/21.463</f>
        <v>234.7966268</v>
      </c>
      <c r="U556" s="43">
        <f t="shared" si="1522"/>
        <v>8.696171361</v>
      </c>
      <c r="V556" s="40">
        <f t="shared" si="1523"/>
        <v>103.7037037</v>
      </c>
      <c r="X556" s="31">
        <v>5.0</v>
      </c>
      <c r="Y556" s="31" t="s">
        <v>40</v>
      </c>
      <c r="Z556" s="31">
        <f t="shared" ref="Z556:AI556" si="1548">SUM(D560)</f>
        <v>30</v>
      </c>
      <c r="AA556" s="32">
        <f t="shared" si="1548"/>
        <v>30</v>
      </c>
      <c r="AB556" s="33">
        <f t="shared" si="1548"/>
        <v>5830.815</v>
      </c>
      <c r="AC556" s="32">
        <f t="shared" si="1548"/>
        <v>3270</v>
      </c>
      <c r="AD556" s="32">
        <f t="shared" si="1548"/>
        <v>58</v>
      </c>
      <c r="AE556" s="32">
        <f t="shared" si="1548"/>
        <v>3328</v>
      </c>
      <c r="AF556" s="32">
        <f t="shared" si="1548"/>
        <v>4040</v>
      </c>
      <c r="AG556" s="32">
        <f t="shared" si="1548"/>
        <v>0</v>
      </c>
      <c r="AH556" s="32">
        <f t="shared" si="1548"/>
        <v>4040</v>
      </c>
      <c r="AI556" s="32">
        <f t="shared" si="1548"/>
        <v>7368</v>
      </c>
      <c r="AJ556" s="34">
        <f t="shared" si="1535"/>
        <v>194.3605</v>
      </c>
      <c r="AK556" s="31">
        <f t="shared" ref="AK556:AK557" si="1551">SUM(O560)</f>
        <v>8239</v>
      </c>
      <c r="AL556" s="35">
        <f t="shared" si="1537"/>
        <v>0.8942832868</v>
      </c>
      <c r="AM556" s="36">
        <f t="shared" ref="AM556:AM557" si="1552">SUM(Q560)</f>
        <v>1.5</v>
      </c>
      <c r="AN556" s="35">
        <f t="shared" si="1539"/>
        <v>0.842420828</v>
      </c>
      <c r="AO556" s="37">
        <f t="shared" si="1540"/>
        <v>1.263631242</v>
      </c>
      <c r="AP556" s="36">
        <f t="shared" ref="AP556:AQ556" si="1549">SUM(T560)</f>
        <v>205</v>
      </c>
      <c r="AQ556" s="36">
        <f t="shared" si="1549"/>
        <v>6.833333333</v>
      </c>
      <c r="AR556" s="32">
        <f t="shared" si="1542"/>
        <v>245.6</v>
      </c>
    </row>
    <row r="557" ht="15.75" customHeight="1">
      <c r="A557" s="21"/>
      <c r="B557" s="38">
        <v>12.0</v>
      </c>
      <c r="C557" s="38" t="s">
        <v>41</v>
      </c>
      <c r="D557" s="78">
        <v>24.0</v>
      </c>
      <c r="E557" s="40">
        <f>IFERROR(__xludf.DUMMYFUNCTION("COUNT(IMPORTRANGE(""https://docs.google.com/spreadsheets/d/1oYscvfOJW7GMkxt8QcupWuzb3ohaYePd3Mt2V2ufHok/edit"",""21!d2:d25""))"),24.0)</f>
        <v>24</v>
      </c>
      <c r="F557" s="45">
        <f>IFERROR(__xludf.DUMMYFUNCTION("SUM(IMPORTRANGE(""https://docs.google.com/spreadsheets/d/1oYscvfOJW7GMkxt8QcupWuzb3ohaYePd3Mt2V2ufHok/edit"",""21!Q2:Q25""))"),4645.012000000001)</f>
        <v>4645.012</v>
      </c>
      <c r="G557" s="40">
        <f>IFERROR(__xludf.DUMMYFUNCTION("IMPORTRANGE(""https://docs.google.com/spreadsheets/d/1oYscvfOJW7GMkxt8QcupWuzb3ohaYePd3Mt2V2ufHok/edit"",""21!e32"")"),1179.0)</f>
        <v>1179</v>
      </c>
      <c r="H557" s="40">
        <f>IFERROR(__xludf.DUMMYFUNCTION("IMPORTRANGE(""https://docs.google.com/spreadsheets/d/1oYscvfOJW7GMkxt8QcupWuzb3ohaYePd3Mt2V2ufHok/edit"",""21!e33"")"),0.0)</f>
        <v>0</v>
      </c>
      <c r="I557" s="40">
        <f t="shared" si="1515"/>
        <v>1179</v>
      </c>
      <c r="J557" s="40">
        <f>IFERROR(__xludf.DUMMYFUNCTION("IMPORTRANGE(""https://docs.google.com/spreadsheets/d/1oYscvfOJW7GMkxt8QcupWuzb3ohaYePd3Mt2V2ufHok/edit"",""21!e36"")"),1725.0)</f>
        <v>1725</v>
      </c>
      <c r="K557" s="40">
        <f>IFERROR(__xludf.DUMMYFUNCTION("IMPORTRANGE(""https://docs.google.com/spreadsheets/d/1oYscvfOJW7GMkxt8QcupWuzb3ohaYePd3Mt2V2ufHok/edit"",""21!e37"")"),0.0)</f>
        <v>0</v>
      </c>
      <c r="L557" s="40">
        <f t="shared" si="1545"/>
        <v>1725</v>
      </c>
      <c r="M557" s="40">
        <f t="shared" si="1517"/>
        <v>2904</v>
      </c>
      <c r="N557" s="41">
        <f t="shared" si="1518"/>
        <v>193.5421667</v>
      </c>
      <c r="O557" s="38">
        <v>3801.0</v>
      </c>
      <c r="P557" s="42">
        <f t="shared" si="1519"/>
        <v>0.7640094712</v>
      </c>
      <c r="Q557" s="43">
        <v>1.5</v>
      </c>
      <c r="R557" s="42">
        <f t="shared" si="1520"/>
        <v>0.416791173</v>
      </c>
      <c r="S557" s="44">
        <f t="shared" si="1521"/>
        <v>0.6251867595</v>
      </c>
      <c r="T557" s="43">
        <f>F557/29.628</f>
        <v>156.7777778</v>
      </c>
      <c r="U557" s="43">
        <f t="shared" si="1522"/>
        <v>6.532407407</v>
      </c>
      <c r="V557" s="40">
        <f t="shared" si="1523"/>
        <v>121</v>
      </c>
      <c r="X557" s="22">
        <v>6.0</v>
      </c>
      <c r="Y557" s="22" t="s">
        <v>42</v>
      </c>
      <c r="Z557" s="22">
        <f t="shared" ref="Z557:AI557" si="1550">SUM(D561)</f>
        <v>33</v>
      </c>
      <c r="AA557" s="23">
        <f t="shared" si="1550"/>
        <v>32</v>
      </c>
      <c r="AB557" s="24">
        <f t="shared" si="1550"/>
        <v>6240.276</v>
      </c>
      <c r="AC557" s="23">
        <f t="shared" si="1550"/>
        <v>3010</v>
      </c>
      <c r="AD557" s="23">
        <f t="shared" si="1550"/>
        <v>25</v>
      </c>
      <c r="AE557" s="23">
        <f t="shared" si="1550"/>
        <v>3035</v>
      </c>
      <c r="AF557" s="23">
        <f t="shared" si="1550"/>
        <v>4640</v>
      </c>
      <c r="AG557" s="23">
        <f t="shared" si="1550"/>
        <v>0</v>
      </c>
      <c r="AH557" s="23">
        <f t="shared" si="1550"/>
        <v>4640</v>
      </c>
      <c r="AI557" s="23">
        <f t="shared" si="1550"/>
        <v>7675</v>
      </c>
      <c r="AJ557" s="25">
        <f t="shared" si="1535"/>
        <v>195.008625</v>
      </c>
      <c r="AK557" s="22">
        <f t="shared" si="1551"/>
        <v>9877</v>
      </c>
      <c r="AL557" s="26">
        <f t="shared" si="1537"/>
        <v>0.7770578111</v>
      </c>
      <c r="AM557" s="27">
        <f t="shared" si="1552"/>
        <v>1.5</v>
      </c>
      <c r="AN557" s="26">
        <f t="shared" si="1539"/>
        <v>0.8199423658</v>
      </c>
      <c r="AO557" s="28">
        <f t="shared" si="1540"/>
        <v>1.229913549</v>
      </c>
      <c r="AP557" s="27">
        <f t="shared" ref="AP557:AQ557" si="1553">SUM(T561)</f>
        <v>238.5882623</v>
      </c>
      <c r="AQ557" s="27">
        <f t="shared" si="1553"/>
        <v>7.455883196</v>
      </c>
      <c r="AR557" s="23">
        <f t="shared" si="1542"/>
        <v>239.84375</v>
      </c>
    </row>
    <row r="558" ht="15.75" customHeight="1">
      <c r="A558" s="21"/>
      <c r="B558" s="38">
        <v>13.0</v>
      </c>
      <c r="C558" s="38" t="s">
        <v>43</v>
      </c>
      <c r="D558" s="78">
        <v>30.0</v>
      </c>
      <c r="E558" s="40">
        <f>IFERROR(__xludf.DUMMYFUNCTION("COUNT(IMPORTRANGE(""https://docs.google.com/spreadsheets/d/1AxBmuQEdOYAeRnZ4C8vO6kuTNp7X_SGhpLXuY0n4ln4/edit"",""21!d2:d31""))"),30.0)</f>
        <v>30</v>
      </c>
      <c r="F558" s="45">
        <f>IFERROR(__xludf.DUMMYFUNCTION("SUM(IMPORTRANGE(""https://docs.google.com/spreadsheets/d/1AxBmuQEdOYAeRnZ4C8vO6kuTNp7X_SGhpLXuY0n4ln4/edit"",""21!Q2:Q31""))"),6345.569999999998)</f>
        <v>6345.57</v>
      </c>
      <c r="G558" s="40">
        <f>IFERROR(__xludf.DUMMYFUNCTION("IMPORTRANGE(""https://docs.google.com/spreadsheets/d/1AxBmuQEdOYAeRnZ4C8vO6kuTNp7X_SGhpLXuY0n4ln4/edit"",""21!e38"")"),1954.0)</f>
        <v>1954</v>
      </c>
      <c r="H558" s="40">
        <f>IFERROR(__xludf.DUMMYFUNCTION("IMPORTRANGE(""https://docs.google.com/spreadsheets/d/1AxBmuQEdOYAeRnZ4C8vO6kuTNp7X_SGhpLXuY0n4ln4/edit"",""21!e39"")"),114.0)</f>
        <v>114</v>
      </c>
      <c r="I558" s="40">
        <f t="shared" si="1515"/>
        <v>2068</v>
      </c>
      <c r="J558" s="40">
        <f>IFERROR(__xludf.DUMMYFUNCTION("IMPORTRANGE(""https://docs.google.com/spreadsheets/d/1AxBmuQEdOYAeRnZ4C8vO6kuTNp7X_SGhpLXuY0n4ln4/edit"",""21!e42"")"),3001.0)</f>
        <v>3001</v>
      </c>
      <c r="K558" s="40">
        <f>IFERROR(__xludf.DUMMYFUNCTION("IMPORTRANGE(""https://docs.google.com/spreadsheets/d/1AxBmuQEdOYAeRnZ4C8vO6kuTNp7X_SGhpLXuY0n4ln4/edit"",""21!e43"")"),0.0)</f>
        <v>0</v>
      </c>
      <c r="L558" s="40">
        <f t="shared" si="1545"/>
        <v>3001</v>
      </c>
      <c r="M558" s="40">
        <f t="shared" si="1517"/>
        <v>5069</v>
      </c>
      <c r="N558" s="41">
        <f t="shared" si="1518"/>
        <v>211.519</v>
      </c>
      <c r="O558" s="38">
        <v>8345.0</v>
      </c>
      <c r="P558" s="42">
        <f t="shared" si="1519"/>
        <v>0.6074295986</v>
      </c>
      <c r="Q558" s="43">
        <v>1.5</v>
      </c>
      <c r="R558" s="42">
        <f t="shared" si="1520"/>
        <v>0.5325500047</v>
      </c>
      <c r="S558" s="44">
        <f t="shared" si="1521"/>
        <v>0.7988250071</v>
      </c>
      <c r="T558" s="43">
        <f>F558/41.205</f>
        <v>154</v>
      </c>
      <c r="U558" s="43">
        <f t="shared" si="1522"/>
        <v>5.133333333</v>
      </c>
      <c r="V558" s="40">
        <f t="shared" si="1523"/>
        <v>168.9666667</v>
      </c>
      <c r="X558" s="46" t="s">
        <v>33</v>
      </c>
      <c r="Y558" s="46">
        <v>6.0</v>
      </c>
      <c r="Z558" s="46">
        <f t="shared" ref="Z558:AI558" si="1554">SUM(Z552:Z557)</f>
        <v>226</v>
      </c>
      <c r="AA558" s="47">
        <f t="shared" si="1554"/>
        <v>224</v>
      </c>
      <c r="AB558" s="49">
        <f t="shared" si="1554"/>
        <v>44495.974</v>
      </c>
      <c r="AC558" s="47">
        <f t="shared" si="1554"/>
        <v>17321</v>
      </c>
      <c r="AD558" s="47">
        <f t="shared" si="1554"/>
        <v>326</v>
      </c>
      <c r="AE558" s="47">
        <f t="shared" si="1554"/>
        <v>17647</v>
      </c>
      <c r="AF558" s="47">
        <f t="shared" si="1554"/>
        <v>23829</v>
      </c>
      <c r="AG558" s="47">
        <f t="shared" si="1554"/>
        <v>323</v>
      </c>
      <c r="AH558" s="47">
        <f t="shared" si="1554"/>
        <v>24152</v>
      </c>
      <c r="AI558" s="47">
        <f t="shared" si="1554"/>
        <v>41799</v>
      </c>
      <c r="AJ558" s="49">
        <f t="shared" si="1535"/>
        <v>198.6427411</v>
      </c>
      <c r="AK558" s="46">
        <f>SUM(AK552:AK557)</f>
        <v>53273</v>
      </c>
      <c r="AL558" s="50">
        <f t="shared" si="1537"/>
        <v>0.7846188501</v>
      </c>
      <c r="AM558" s="51">
        <v>1.5</v>
      </c>
      <c r="AN558" s="50">
        <f t="shared" si="1539"/>
        <v>0.626258906</v>
      </c>
      <c r="AO558" s="52">
        <f t="shared" si="1540"/>
        <v>0.939388359</v>
      </c>
      <c r="AP558" s="51">
        <f>SUM(AP552:AP557)</f>
        <v>1460.097917</v>
      </c>
      <c r="AQ558" s="51">
        <f>AP558/AA558</f>
        <v>6.518294274</v>
      </c>
      <c r="AR558" s="47">
        <f t="shared" si="1542"/>
        <v>186.6026786</v>
      </c>
    </row>
    <row r="559" ht="15.75" customHeight="1">
      <c r="A559" s="21"/>
      <c r="B559" s="38">
        <v>14.0</v>
      </c>
      <c r="C559" s="38" t="s">
        <v>27</v>
      </c>
      <c r="D559" s="78">
        <v>30.0</v>
      </c>
      <c r="E559" s="40">
        <f>IFERROR(__xludf.DUMMYFUNCTION("COUNT(IMPORTRANGE(""https://docs.google.com/spreadsheets/d/1LsL4JuXvBtfJ-TVi4NFml9lV_pmd61b789A_nbO-QrA/edit"",""21!d2:d31""))"),28.0)</f>
        <v>28</v>
      </c>
      <c r="F559" s="45">
        <f>IFERROR(__xludf.DUMMYFUNCTION("SUM(IMPORTRANGE(""https://docs.google.com/spreadsheets/d/1LsL4JuXvBtfJ-TVi4NFml9lV_pmd61b789A_nbO-QrA/edit"",""21!Q2:Q31""))"),5585.67)</f>
        <v>5585.67</v>
      </c>
      <c r="G559" s="40">
        <f>IFERROR(__xludf.DUMMYFUNCTION("IMPORTRANGE(""https://docs.google.com/spreadsheets/d/1LsL4JuXvBtfJ-TVi4NFml9lV_pmd61b789A_nbO-QrA/edit"",""21!e38"")"),2274.0)</f>
        <v>2274</v>
      </c>
      <c r="H559" s="40">
        <f>IFERROR(__xludf.DUMMYFUNCTION("IMPORTRANGE(""https://docs.google.com/spreadsheets/d/1LsL4JuXvBtfJ-TVi4NFml9lV_pmd61b789A_nbO-QrA/edit"",""21!e39"")"),0.0)</f>
        <v>0</v>
      </c>
      <c r="I559" s="40">
        <f t="shared" si="1515"/>
        <v>2274</v>
      </c>
      <c r="J559" s="40">
        <f>IFERROR(__xludf.DUMMYFUNCTION("IMPORTRANGE(""https://docs.google.com/spreadsheets/d/1LsL4JuXvBtfJ-TVi4NFml9lV_pmd61b789A_nbO-QrA/edit"",""21!e42"")"),3438.0)</f>
        <v>3438</v>
      </c>
      <c r="K559" s="40">
        <f>IFERROR(__xludf.DUMMYFUNCTION("IMPORTRANGE(""https://docs.google.com/spreadsheets/d/1LsL4JuXvBtfJ-TVi4NFml9lV_pmd61b789A_nbO-QrA/edit"",""21!e43"")"),43.0)</f>
        <v>43</v>
      </c>
      <c r="L559" s="40">
        <f t="shared" si="1545"/>
        <v>3481</v>
      </c>
      <c r="M559" s="40">
        <f t="shared" si="1517"/>
        <v>5755</v>
      </c>
      <c r="N559" s="41">
        <f t="shared" si="1518"/>
        <v>199.4882143</v>
      </c>
      <c r="O559" s="38">
        <v>8101.0</v>
      </c>
      <c r="P559" s="42">
        <f t="shared" si="1519"/>
        <v>0.7104061227</v>
      </c>
      <c r="Q559" s="43">
        <v>1.5</v>
      </c>
      <c r="R559" s="42">
        <f t="shared" si="1520"/>
        <v>0.6868767161</v>
      </c>
      <c r="S559" s="44">
        <f t="shared" si="1521"/>
        <v>1.030315074</v>
      </c>
      <c r="T559" s="43">
        <f>F559/19.985</f>
        <v>279.4931198</v>
      </c>
      <c r="U559" s="43">
        <f t="shared" si="1522"/>
        <v>9.981897137</v>
      </c>
      <c r="V559" s="40">
        <f t="shared" si="1523"/>
        <v>205.5357143</v>
      </c>
      <c r="X559" s="59" t="s">
        <v>44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6"/>
    </row>
    <row r="560" ht="15.75" customHeight="1">
      <c r="A560" s="21"/>
      <c r="B560" s="38">
        <v>15.0</v>
      </c>
      <c r="C560" s="38" t="s">
        <v>40</v>
      </c>
      <c r="D560" s="78">
        <v>30.0</v>
      </c>
      <c r="E560" s="40">
        <f>IFERROR(__xludf.DUMMYFUNCTION("COUNT(IMPORTRANGE(""https://docs.google.com/spreadsheets/d/1Krav0MVlY0vbUNsFRDnb_kR72_tyuGnWBYbGjNZrl18/edit"",""21!d2:d31""))"),30.0)</f>
        <v>30</v>
      </c>
      <c r="F560" s="45">
        <f>IFERROR(__xludf.DUMMYFUNCTION("SUM(IMPORTRANGE(""https://docs.google.com/spreadsheets/d/1Krav0MVlY0vbUNsFRDnb_kR72_tyuGnWBYbGjNZrl18/edit"",""21!Q2:Q31""))"),5830.814999999999)</f>
        <v>5830.815</v>
      </c>
      <c r="G560" s="40">
        <f>IFERROR(__xludf.DUMMYFUNCTION("IMPORTRANGE(""https://docs.google.com/spreadsheets/d/1Krav0MVlY0vbUNsFRDnb_kR72_tyuGnWBYbGjNZrl18/edit"",""21!e38"")"),3270.0)</f>
        <v>3270</v>
      </c>
      <c r="H560" s="40">
        <f>IFERROR(__xludf.DUMMYFUNCTION("IMPORTRANGE(""https://docs.google.com/spreadsheets/d/1Krav0MVlY0vbUNsFRDnb_kR72_tyuGnWBYbGjNZrl18/edit"",""21!e39"")"),58.0)</f>
        <v>58</v>
      </c>
      <c r="I560" s="40">
        <f t="shared" si="1515"/>
        <v>3328</v>
      </c>
      <c r="J560" s="40">
        <f>IFERROR(__xludf.DUMMYFUNCTION("IMPORTRANGE(""https://docs.google.com/spreadsheets/d/1Krav0MVlY0vbUNsFRDnb_kR72_tyuGnWBYbGjNZrl18/edit"",""21!e42"")"),4040.0)</f>
        <v>4040</v>
      </c>
      <c r="K560" s="40">
        <f>IFERROR(__xludf.DUMMYFUNCTION("IMPORTRANGE(""https://docs.google.com/spreadsheets/d/1Krav0MVlY0vbUNsFRDnb_kR72_tyuGnWBYbGjNZrl18/edit"",""21!e43"")"),0.0)</f>
        <v>0</v>
      </c>
      <c r="L560" s="40">
        <f t="shared" si="1545"/>
        <v>4040</v>
      </c>
      <c r="M560" s="40">
        <f t="shared" si="1517"/>
        <v>7368</v>
      </c>
      <c r="N560" s="41">
        <f t="shared" si="1518"/>
        <v>194.3605</v>
      </c>
      <c r="O560" s="38">
        <v>8239.0</v>
      </c>
      <c r="P560" s="42">
        <f t="shared" si="1519"/>
        <v>0.8942832868</v>
      </c>
      <c r="Q560" s="43">
        <v>1.5</v>
      </c>
      <c r="R560" s="42">
        <f t="shared" si="1520"/>
        <v>0.842420828</v>
      </c>
      <c r="S560" s="44">
        <f t="shared" si="1521"/>
        <v>1.263631242</v>
      </c>
      <c r="T560" s="43">
        <f>F560/28.443</f>
        <v>205</v>
      </c>
      <c r="U560" s="43">
        <f t="shared" si="1522"/>
        <v>6.833333333</v>
      </c>
      <c r="V560" s="40">
        <f t="shared" si="1523"/>
        <v>245.6</v>
      </c>
      <c r="X560" s="14" t="s">
        <v>2</v>
      </c>
      <c r="Y560" s="14" t="s">
        <v>3</v>
      </c>
      <c r="Z560" s="14" t="s">
        <v>4</v>
      </c>
      <c r="AA560" s="14" t="s">
        <v>5</v>
      </c>
      <c r="AB560" s="15" t="s">
        <v>6</v>
      </c>
      <c r="AC560" s="14" t="s">
        <v>7</v>
      </c>
      <c r="AD560" s="14" t="s">
        <v>8</v>
      </c>
      <c r="AE560" s="14" t="s">
        <v>9</v>
      </c>
      <c r="AF560" s="14" t="s">
        <v>10</v>
      </c>
      <c r="AG560" s="14" t="s">
        <v>11</v>
      </c>
      <c r="AH560" s="14" t="s">
        <v>12</v>
      </c>
      <c r="AI560" s="14" t="s">
        <v>13</v>
      </c>
      <c r="AJ560" s="15" t="s">
        <v>14</v>
      </c>
      <c r="AK560" s="14" t="s">
        <v>15</v>
      </c>
      <c r="AL560" s="14" t="s">
        <v>16</v>
      </c>
      <c r="AM560" s="16" t="s">
        <v>17</v>
      </c>
      <c r="AN560" s="17" t="s">
        <v>18</v>
      </c>
      <c r="AO560" s="18" t="s">
        <v>19</v>
      </c>
      <c r="AP560" s="19" t="s">
        <v>20</v>
      </c>
      <c r="AQ560" s="19" t="s">
        <v>21</v>
      </c>
      <c r="AR560" s="20" t="s">
        <v>22</v>
      </c>
    </row>
    <row r="561" ht="15.75" customHeight="1">
      <c r="A561" s="21"/>
      <c r="B561" s="38">
        <v>16.0</v>
      </c>
      <c r="C561" s="38" t="s">
        <v>42</v>
      </c>
      <c r="D561" s="78">
        <v>33.0</v>
      </c>
      <c r="E561" s="40">
        <f>IFERROR(__xludf.DUMMYFUNCTION("COUNT(IMPORTRANGE(""https://docs.google.com/spreadsheets/d/1uXtm-E8PG0CetlFmSpTX3RK0LNEMnpR-mxbET9AGD6w/edit"",""21!d2:d34""))"),32.0)</f>
        <v>32</v>
      </c>
      <c r="F561" s="45">
        <f>IFERROR(__xludf.DUMMYFUNCTION("SUM(IMPORTRANGE(""https://docs.google.com/spreadsheets/d/1uXtm-E8PG0CetlFmSpTX3RK0LNEMnpR-mxbET9AGD6w/edit"",""21!Q2:Q34""))"),6240.275999999998)</f>
        <v>6240.276</v>
      </c>
      <c r="G561" s="40">
        <f>IFERROR(__xludf.DUMMYFUNCTION("IMPORTRANGE(""https://docs.google.com/spreadsheets/d/1uXtm-E8PG0CetlFmSpTX3RK0LNEMnpR-mxbET9AGD6w/edit"",""21!e41"")"),3010.0)</f>
        <v>3010</v>
      </c>
      <c r="H561" s="40">
        <f>IFERROR(__xludf.DUMMYFUNCTION("IMPORTRANGE(""https://docs.google.com/spreadsheets/d/1uXtm-E8PG0CetlFmSpTX3RK0LNEMnpR-mxbET9AGD6w/edit"",""21!e42"")"),25.0)</f>
        <v>25</v>
      </c>
      <c r="I561" s="40">
        <f t="shared" si="1515"/>
        <v>3035</v>
      </c>
      <c r="J561" s="40">
        <f>IFERROR(__xludf.DUMMYFUNCTION("IMPORTRANGE(""https://docs.google.com/spreadsheets/d/1uXtm-E8PG0CetlFmSpTX3RK0LNEMnpR-mxbET9AGD6w/edit"",""21!e45"")"),4640.0)</f>
        <v>4640</v>
      </c>
      <c r="K561" s="40">
        <f>IFERROR(__xludf.DUMMYFUNCTION("IMPORTRANGE(""https://docs.google.com/spreadsheets/d/1uXtm-E8PG0CetlFmSpTX3RK0LNEMnpR-mxbET9AGD6w/edit"",""21!e46"")"),0.0)</f>
        <v>0</v>
      </c>
      <c r="L561" s="40">
        <f t="shared" si="1545"/>
        <v>4640</v>
      </c>
      <c r="M561" s="40">
        <f t="shared" si="1517"/>
        <v>7675</v>
      </c>
      <c r="N561" s="41">
        <f t="shared" si="1518"/>
        <v>195.008625</v>
      </c>
      <c r="O561" s="38">
        <v>9877.0</v>
      </c>
      <c r="P561" s="42">
        <f t="shared" si="1519"/>
        <v>0.7770578111</v>
      </c>
      <c r="Q561" s="43">
        <v>1.5</v>
      </c>
      <c r="R561" s="42">
        <f t="shared" si="1520"/>
        <v>0.8199423658</v>
      </c>
      <c r="S561" s="44">
        <f t="shared" si="1521"/>
        <v>1.229913549</v>
      </c>
      <c r="T561" s="43">
        <f>F561/26.155</f>
        <v>238.5882623</v>
      </c>
      <c r="U561" s="43">
        <f t="shared" si="1522"/>
        <v>7.455883196</v>
      </c>
      <c r="V561" s="40">
        <f t="shared" si="1523"/>
        <v>239.84375</v>
      </c>
      <c r="X561" s="31">
        <v>1.0</v>
      </c>
      <c r="Y561" s="31" t="s">
        <v>26</v>
      </c>
      <c r="Z561" s="31">
        <f t="shared" ref="Z561:AI561" si="1555">SUM(D546)</f>
        <v>20</v>
      </c>
      <c r="AA561" s="32">
        <f t="shared" si="1555"/>
        <v>18</v>
      </c>
      <c r="AB561" s="34">
        <f t="shared" si="1555"/>
        <v>3352.023</v>
      </c>
      <c r="AC561" s="32">
        <f t="shared" si="1555"/>
        <v>1719</v>
      </c>
      <c r="AD561" s="32">
        <f t="shared" si="1555"/>
        <v>0</v>
      </c>
      <c r="AE561" s="32">
        <f t="shared" si="1555"/>
        <v>1719</v>
      </c>
      <c r="AF561" s="32">
        <f t="shared" si="1555"/>
        <v>3022</v>
      </c>
      <c r="AG561" s="32">
        <f t="shared" si="1555"/>
        <v>35</v>
      </c>
      <c r="AH561" s="32">
        <f t="shared" si="1555"/>
        <v>3057</v>
      </c>
      <c r="AI561" s="32">
        <f t="shared" si="1555"/>
        <v>4776</v>
      </c>
      <c r="AJ561" s="34">
        <f t="shared" ref="AJ561:AJ567" si="1558">AB561/AA561</f>
        <v>186.2235</v>
      </c>
      <c r="AK561" s="31">
        <f>SUM(O546)</f>
        <v>5161</v>
      </c>
      <c r="AL561" s="35">
        <f t="shared" ref="AL561:AL567" si="1559">AI561/AK561</f>
        <v>0.9254020539</v>
      </c>
      <c r="AM561" s="36">
        <f>SUM(Q546)</f>
        <v>1.5</v>
      </c>
      <c r="AN561" s="35">
        <f t="shared" ref="AN561:AN567" si="1560">AO561/AM561</f>
        <v>0.9498741506</v>
      </c>
      <c r="AO561" s="37">
        <f t="shared" ref="AO561:AO567" si="1561">AI561/AB561</f>
        <v>1.424811226</v>
      </c>
      <c r="AP561" s="36">
        <f t="shared" ref="AP561:AQ561" si="1556">SUM(T546)</f>
        <v>232.5371488</v>
      </c>
      <c r="AQ561" s="36">
        <f t="shared" si="1556"/>
        <v>12.91873049</v>
      </c>
      <c r="AR561" s="32">
        <f t="shared" ref="AR561:AR567" si="1563">AI561/AA561</f>
        <v>265.3333333</v>
      </c>
    </row>
    <row r="562" ht="15.75" customHeight="1">
      <c r="A562" s="21"/>
      <c r="B562" s="38">
        <v>17.0</v>
      </c>
      <c r="C562" s="38" t="s">
        <v>29</v>
      </c>
      <c r="D562" s="78">
        <v>30.0</v>
      </c>
      <c r="E562" s="40">
        <f>IFERROR(__xludf.DUMMYFUNCTION("COUNT(IMPORTRANGE(""https://docs.google.com/spreadsheets/d/12xcKI0lSnAsjEsxfm9K8Qx0B_89Gzsh816mowItkQao/edit"",""21!d2:d31""))"),29.0)</f>
        <v>29</v>
      </c>
      <c r="F562" s="45">
        <f>IFERROR(__xludf.DUMMYFUNCTION("SUM(IMPORTRANGE(""https://docs.google.com/spreadsheets/d/12xcKI0lSnAsjEsxfm9K8Qx0B_89Gzsh816mowItkQao/edit"",""21!Q2:Q31""))"),5806.473999999998)</f>
        <v>5806.474</v>
      </c>
      <c r="G562" s="40">
        <f>IFERROR(__xludf.DUMMYFUNCTION("IMPORTRANGE(""https://docs.google.com/spreadsheets/d/12xcKI0lSnAsjEsxfm9K8Qx0B_89Gzsh816mowItkQao/edit"",""21!e38"")"),2802.0)</f>
        <v>2802</v>
      </c>
      <c r="H562" s="40">
        <f>IFERROR(__xludf.DUMMYFUNCTION("IMPORTRANGE(""https://docs.google.com/spreadsheets/d/12xcKI0lSnAsjEsxfm9K8Qx0B_89Gzsh816mowItkQao/edit"",""21!e39"")"),0.0)</f>
        <v>0</v>
      </c>
      <c r="I562" s="40">
        <f t="shared" si="1515"/>
        <v>2802</v>
      </c>
      <c r="J562" s="40">
        <f>IFERROR(__xludf.DUMMYFUNCTION("IMPORTRANGE(""https://docs.google.com/spreadsheets/d/12xcKI0lSnAsjEsxfm9K8Qx0B_89Gzsh816mowItkQao/edit"",""21!e42"")"),4325.0)</f>
        <v>4325</v>
      </c>
      <c r="K562" s="40">
        <f>IFERROR(__xludf.DUMMYFUNCTION("IMPORTRANGE(""https://docs.google.com/spreadsheets/d/12xcKI0lSnAsjEsxfm9K8Qx0B_89Gzsh816mowItkQao/edit"",""21!e43"")"),0.0)</f>
        <v>0</v>
      </c>
      <c r="L562" s="40">
        <f t="shared" si="1545"/>
        <v>4325</v>
      </c>
      <c r="M562" s="40">
        <f t="shared" si="1517"/>
        <v>7127</v>
      </c>
      <c r="N562" s="41">
        <f t="shared" si="1518"/>
        <v>200.2232414</v>
      </c>
      <c r="O562" s="38">
        <v>9201.0</v>
      </c>
      <c r="P562" s="42">
        <f t="shared" si="1519"/>
        <v>0.7745897185</v>
      </c>
      <c r="Q562" s="43">
        <v>1.5</v>
      </c>
      <c r="R562" s="42">
        <f t="shared" si="1520"/>
        <v>0.8182820303</v>
      </c>
      <c r="S562" s="44">
        <f t="shared" si="1521"/>
        <v>1.227423045</v>
      </c>
      <c r="T562" s="43">
        <f>F562/26.038</f>
        <v>223</v>
      </c>
      <c r="U562" s="43">
        <f t="shared" si="1522"/>
        <v>7.689655172</v>
      </c>
      <c r="V562" s="40">
        <f t="shared" si="1523"/>
        <v>245.7586207</v>
      </c>
      <c r="X562" s="31">
        <v>2.0</v>
      </c>
      <c r="Y562" s="31" t="s">
        <v>32</v>
      </c>
      <c r="Z562" s="31">
        <f t="shared" ref="Z562:AI562" si="1557">SUM(D549)</f>
        <v>42</v>
      </c>
      <c r="AA562" s="32">
        <f t="shared" si="1557"/>
        <v>42</v>
      </c>
      <c r="AB562" s="33">
        <f t="shared" si="1557"/>
        <v>8429.904</v>
      </c>
      <c r="AC562" s="31">
        <f t="shared" si="1557"/>
        <v>4474</v>
      </c>
      <c r="AD562" s="31">
        <f t="shared" si="1557"/>
        <v>0</v>
      </c>
      <c r="AE562" s="32">
        <f t="shared" si="1557"/>
        <v>4474</v>
      </c>
      <c r="AF562" s="31">
        <f t="shared" si="1557"/>
        <v>5430</v>
      </c>
      <c r="AG562" s="31">
        <f t="shared" si="1557"/>
        <v>0</v>
      </c>
      <c r="AH562" s="32">
        <f t="shared" si="1557"/>
        <v>5430</v>
      </c>
      <c r="AI562" s="32">
        <f t="shared" si="1557"/>
        <v>9904</v>
      </c>
      <c r="AJ562" s="34">
        <f t="shared" si="1558"/>
        <v>200.712</v>
      </c>
      <c r="AK562" s="31">
        <f>SUM(O549)</f>
        <v>13817</v>
      </c>
      <c r="AL562" s="35">
        <f t="shared" si="1559"/>
        <v>0.7167981472</v>
      </c>
      <c r="AM562" s="36">
        <f>SUM(Q549)</f>
        <v>1.5</v>
      </c>
      <c r="AN562" s="35">
        <f t="shared" si="1560"/>
        <v>0.7832433995</v>
      </c>
      <c r="AO562" s="37">
        <f t="shared" si="1561"/>
        <v>1.174865099</v>
      </c>
      <c r="AP562" s="36">
        <f t="shared" ref="AP562:AQ562" si="1562">SUM(T549)</f>
        <v>336</v>
      </c>
      <c r="AQ562" s="36">
        <f t="shared" si="1562"/>
        <v>8</v>
      </c>
      <c r="AR562" s="32">
        <f t="shared" si="1563"/>
        <v>235.8095238</v>
      </c>
    </row>
    <row r="563" ht="15.75" customHeight="1">
      <c r="A563" s="21"/>
      <c r="B563" s="38">
        <v>18.0</v>
      </c>
      <c r="C563" s="38" t="s">
        <v>31</v>
      </c>
      <c r="D563" s="78">
        <v>15.0</v>
      </c>
      <c r="E563" s="40">
        <f>IFERROR(__xludf.DUMMYFUNCTION("COUNT(IMPORTRANGE(""https://docs.google.com/spreadsheets/d/1fgCFOFzOla4Qim6_-zG-lbYhLCItqv_kZiAHoErRgcM/edit"",""21!d2:d16""))"),14.0)</f>
        <v>14</v>
      </c>
      <c r="F563" s="41">
        <f>IFERROR(__xludf.DUMMYFUNCTION("SUM(IMPORTRANGE(""https://docs.google.com/spreadsheets/d/1fgCFOFzOla4Qim6_-zG-lbYhLCItqv_kZiAHoErRgcM/edit"",""21!Q2:Q16""))"),2738.295)</f>
        <v>2738.295</v>
      </c>
      <c r="G563" s="40">
        <f>IFERROR(__xludf.DUMMYFUNCTION("IMPORTRANGE(""https://docs.google.com/spreadsheets/d/1fgCFOFzOla4Qim6_-zG-lbYhLCItqv_kZiAHoErRgcM/edit"",""21!e23"")"),851.0)</f>
        <v>851</v>
      </c>
      <c r="H563" s="40">
        <f>IFERROR(__xludf.DUMMYFUNCTION("IMPORTRANGE(""https://docs.google.com/spreadsheets/d/1fgCFOFzOla4Qim6_-zG-lbYhLCItqv_kZiAHoErRgcM/edit"",""21!e24"")"),0.0)</f>
        <v>0</v>
      </c>
      <c r="I563" s="40">
        <f t="shared" si="1515"/>
        <v>851</v>
      </c>
      <c r="J563" s="40">
        <f>IFERROR(__xludf.DUMMYFUNCTION("IMPORTRANGE(""https://docs.google.com/spreadsheets/d/1fgCFOFzOla4Qim6_-zG-lbYhLCItqv_kZiAHoErRgcM/edit"",""21!e27"")"),1188.0)</f>
        <v>1188</v>
      </c>
      <c r="K563" s="40">
        <f>IFERROR(__xludf.DUMMYFUNCTION("IMPORTRANGE(""https://docs.google.com/spreadsheets/d/1fgCFOFzOla4Qim6_-zG-lbYhLCItqv_kZiAHoErRgcM/edit"",""21!e28"")"),0.0)</f>
        <v>0</v>
      </c>
      <c r="L563" s="40">
        <f t="shared" si="1545"/>
        <v>1188</v>
      </c>
      <c r="M563" s="40">
        <f t="shared" si="1517"/>
        <v>2039</v>
      </c>
      <c r="N563" s="41">
        <f t="shared" si="1518"/>
        <v>195.5925</v>
      </c>
      <c r="O563" s="38">
        <v>2717.0</v>
      </c>
      <c r="P563" s="42">
        <f t="shared" si="1519"/>
        <v>0.7504600662</v>
      </c>
      <c r="Q563" s="43">
        <v>1.5</v>
      </c>
      <c r="R563" s="42">
        <f t="shared" si="1520"/>
        <v>0.4964159571</v>
      </c>
      <c r="S563" s="44">
        <f t="shared" si="1521"/>
        <v>0.7446239357</v>
      </c>
      <c r="T563" s="43">
        <f>F563/43.465</f>
        <v>63</v>
      </c>
      <c r="U563" s="43">
        <f t="shared" si="1522"/>
        <v>4.5</v>
      </c>
      <c r="V563" s="40">
        <f t="shared" si="1523"/>
        <v>145.6428571</v>
      </c>
      <c r="X563" s="31">
        <v>3.0</v>
      </c>
      <c r="Y563" s="31" t="s">
        <v>36</v>
      </c>
      <c r="Z563" s="31">
        <f t="shared" ref="Z563:AI563" si="1564">SUM(D554)</f>
        <v>29</v>
      </c>
      <c r="AA563" s="32">
        <f t="shared" si="1564"/>
        <v>28</v>
      </c>
      <c r="AB563" s="33">
        <f t="shared" si="1564"/>
        <v>5604.12</v>
      </c>
      <c r="AC563" s="32">
        <f t="shared" si="1564"/>
        <v>1610</v>
      </c>
      <c r="AD563" s="32">
        <f t="shared" si="1564"/>
        <v>0</v>
      </c>
      <c r="AE563" s="32">
        <f t="shared" si="1564"/>
        <v>1610</v>
      </c>
      <c r="AF563" s="32">
        <f t="shared" si="1564"/>
        <v>2490</v>
      </c>
      <c r="AG563" s="32">
        <f t="shared" si="1564"/>
        <v>0</v>
      </c>
      <c r="AH563" s="32">
        <f t="shared" si="1564"/>
        <v>2490</v>
      </c>
      <c r="AI563" s="32">
        <f t="shared" si="1564"/>
        <v>4100</v>
      </c>
      <c r="AJ563" s="34">
        <f t="shared" si="1558"/>
        <v>200.1471429</v>
      </c>
      <c r="AK563" s="31">
        <f t="shared" ref="AK563:AK566" si="1568">SUM(O554)</f>
        <v>4796</v>
      </c>
      <c r="AL563" s="35">
        <f t="shared" si="1559"/>
        <v>0.8548790659</v>
      </c>
      <c r="AM563" s="36">
        <f t="shared" ref="AM563:AM566" si="1569">SUM(Q554)</f>
        <v>1.5</v>
      </c>
      <c r="AN563" s="35">
        <f t="shared" si="1560"/>
        <v>0.4877364035</v>
      </c>
      <c r="AO563" s="37">
        <f t="shared" si="1561"/>
        <v>0.7316046052</v>
      </c>
      <c r="AP563" s="36">
        <f t="shared" ref="AP563:AQ563" si="1565">SUM(T554)</f>
        <v>149.7867109</v>
      </c>
      <c r="AQ563" s="36">
        <f t="shared" si="1565"/>
        <v>5.349525388</v>
      </c>
      <c r="AR563" s="32">
        <f t="shared" si="1563"/>
        <v>146.4285714</v>
      </c>
    </row>
    <row r="564" ht="15.75" customHeight="1">
      <c r="A564" s="21"/>
      <c r="B564" s="60" t="s">
        <v>33</v>
      </c>
      <c r="C564" s="60">
        <v>18.0</v>
      </c>
      <c r="D564" s="60">
        <f t="shared" ref="D564:M564" si="1566">SUM(D546:D563)</f>
        <v>585</v>
      </c>
      <c r="E564" s="61">
        <f t="shared" si="1566"/>
        <v>569</v>
      </c>
      <c r="F564" s="62">
        <f t="shared" si="1566"/>
        <v>112387.814</v>
      </c>
      <c r="G564" s="61">
        <f t="shared" si="1566"/>
        <v>40554</v>
      </c>
      <c r="H564" s="61">
        <f t="shared" si="1566"/>
        <v>651</v>
      </c>
      <c r="I564" s="61">
        <f t="shared" si="1566"/>
        <v>41205</v>
      </c>
      <c r="J564" s="61">
        <f t="shared" si="1566"/>
        <v>58451</v>
      </c>
      <c r="K564" s="61">
        <f t="shared" si="1566"/>
        <v>834</v>
      </c>
      <c r="L564" s="61">
        <f t="shared" si="1566"/>
        <v>59285</v>
      </c>
      <c r="M564" s="61">
        <f t="shared" si="1566"/>
        <v>100490</v>
      </c>
      <c r="N564" s="62">
        <f t="shared" si="1518"/>
        <v>197.5181265</v>
      </c>
      <c r="O564" s="60">
        <f>SUM(O546:O563)</f>
        <v>126399</v>
      </c>
      <c r="P564" s="63">
        <f t="shared" si="1519"/>
        <v>0.7950221125</v>
      </c>
      <c r="Q564" s="64">
        <v>1.5</v>
      </c>
      <c r="R564" s="63">
        <f t="shared" si="1520"/>
        <v>0.5960907233</v>
      </c>
      <c r="S564" s="65">
        <f t="shared" si="1521"/>
        <v>0.8941360849</v>
      </c>
      <c r="T564" s="64">
        <f>SUM(T546:T563)</f>
        <v>4123.310363</v>
      </c>
      <c r="U564" s="64">
        <f t="shared" si="1522"/>
        <v>7.246591148</v>
      </c>
      <c r="V564" s="61">
        <f t="shared" si="1523"/>
        <v>176.6080844</v>
      </c>
      <c r="X564" s="31">
        <v>4.0</v>
      </c>
      <c r="Y564" s="31" t="s">
        <v>37</v>
      </c>
      <c r="Z564" s="31">
        <f t="shared" ref="Z564:AI564" si="1567">SUM(D555)</f>
        <v>30</v>
      </c>
      <c r="AA564" s="32">
        <f t="shared" si="1567"/>
        <v>28</v>
      </c>
      <c r="AB564" s="33">
        <f t="shared" si="1567"/>
        <v>5589.06</v>
      </c>
      <c r="AC564" s="32">
        <f t="shared" si="1567"/>
        <v>2025</v>
      </c>
      <c r="AD564" s="32">
        <f t="shared" si="1567"/>
        <v>0</v>
      </c>
      <c r="AE564" s="32">
        <f t="shared" si="1567"/>
        <v>2025</v>
      </c>
      <c r="AF564" s="32">
        <f t="shared" si="1567"/>
        <v>3105</v>
      </c>
      <c r="AG564" s="32">
        <f t="shared" si="1567"/>
        <v>80</v>
      </c>
      <c r="AH564" s="32">
        <f t="shared" si="1567"/>
        <v>3185</v>
      </c>
      <c r="AI564" s="32">
        <f t="shared" si="1567"/>
        <v>5210</v>
      </c>
      <c r="AJ564" s="34">
        <f t="shared" si="1558"/>
        <v>199.6092857</v>
      </c>
      <c r="AK564" s="31">
        <f t="shared" si="1568"/>
        <v>5887</v>
      </c>
      <c r="AL564" s="35">
        <f t="shared" si="1559"/>
        <v>0.8850008493</v>
      </c>
      <c r="AM564" s="36">
        <f t="shared" si="1569"/>
        <v>1.5</v>
      </c>
      <c r="AN564" s="35">
        <f t="shared" si="1560"/>
        <v>0.6214521464</v>
      </c>
      <c r="AO564" s="37">
        <f t="shared" si="1561"/>
        <v>0.9321782196</v>
      </c>
      <c r="AP564" s="36">
        <f t="shared" ref="AP564:AQ564" si="1570">SUM(T555)</f>
        <v>225.4380445</v>
      </c>
      <c r="AQ564" s="36">
        <f t="shared" si="1570"/>
        <v>8.051358733</v>
      </c>
      <c r="AR564" s="32">
        <f t="shared" si="1563"/>
        <v>186.0714286</v>
      </c>
    </row>
    <row r="565" ht="15.7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X565" s="31">
        <v>5.0</v>
      </c>
      <c r="Y565" s="31" t="s">
        <v>39</v>
      </c>
      <c r="Z565" s="31">
        <f t="shared" ref="Z565:AI565" si="1571">SUM(D556)</f>
        <v>28</v>
      </c>
      <c r="AA565" s="32">
        <f t="shared" si="1571"/>
        <v>27</v>
      </c>
      <c r="AB565" s="33">
        <f t="shared" si="1571"/>
        <v>5039.44</v>
      </c>
      <c r="AC565" s="32">
        <f t="shared" si="1571"/>
        <v>1099</v>
      </c>
      <c r="AD565" s="32">
        <f t="shared" si="1571"/>
        <v>30</v>
      </c>
      <c r="AE565" s="32">
        <f t="shared" si="1571"/>
        <v>1129</v>
      </c>
      <c r="AF565" s="32">
        <f t="shared" si="1571"/>
        <v>1671</v>
      </c>
      <c r="AG565" s="32">
        <f t="shared" si="1571"/>
        <v>0</v>
      </c>
      <c r="AH565" s="32">
        <f t="shared" si="1571"/>
        <v>1671</v>
      </c>
      <c r="AI565" s="32">
        <f t="shared" si="1571"/>
        <v>2800</v>
      </c>
      <c r="AJ565" s="34">
        <f t="shared" si="1558"/>
        <v>186.6459259</v>
      </c>
      <c r="AK565" s="31">
        <f t="shared" si="1568"/>
        <v>3569</v>
      </c>
      <c r="AL565" s="35">
        <f t="shared" si="1559"/>
        <v>0.7845334828</v>
      </c>
      <c r="AM565" s="36">
        <f t="shared" si="1569"/>
        <v>1.5</v>
      </c>
      <c r="AN565" s="35">
        <f t="shared" si="1560"/>
        <v>0.3704115272</v>
      </c>
      <c r="AO565" s="37">
        <f t="shared" si="1561"/>
        <v>0.5556172908</v>
      </c>
      <c r="AP565" s="36">
        <f t="shared" ref="AP565:AQ565" si="1572">SUM(T556)</f>
        <v>234.7966268</v>
      </c>
      <c r="AQ565" s="36">
        <f t="shared" si="1572"/>
        <v>8.696171361</v>
      </c>
      <c r="AR565" s="32">
        <f t="shared" si="1563"/>
        <v>103.7037037</v>
      </c>
    </row>
    <row r="566" ht="15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X566" s="31">
        <v>6.0</v>
      </c>
      <c r="Y566" s="31" t="s">
        <v>41</v>
      </c>
      <c r="Z566" s="31">
        <f t="shared" ref="Z566:AI566" si="1573">SUM(D557)</f>
        <v>24</v>
      </c>
      <c r="AA566" s="32">
        <f t="shared" si="1573"/>
        <v>24</v>
      </c>
      <c r="AB566" s="33">
        <f t="shared" si="1573"/>
        <v>4645.012</v>
      </c>
      <c r="AC566" s="32">
        <f t="shared" si="1573"/>
        <v>1179</v>
      </c>
      <c r="AD566" s="32">
        <f t="shared" si="1573"/>
        <v>0</v>
      </c>
      <c r="AE566" s="32">
        <f t="shared" si="1573"/>
        <v>1179</v>
      </c>
      <c r="AF566" s="32">
        <f t="shared" si="1573"/>
        <v>1725</v>
      </c>
      <c r="AG566" s="32">
        <f t="shared" si="1573"/>
        <v>0</v>
      </c>
      <c r="AH566" s="32">
        <f t="shared" si="1573"/>
        <v>1725</v>
      </c>
      <c r="AI566" s="32">
        <f t="shared" si="1573"/>
        <v>2904</v>
      </c>
      <c r="AJ566" s="34">
        <f t="shared" si="1558"/>
        <v>193.5421667</v>
      </c>
      <c r="AK566" s="31">
        <f t="shared" si="1568"/>
        <v>3801</v>
      </c>
      <c r="AL566" s="35">
        <f t="shared" si="1559"/>
        <v>0.7640094712</v>
      </c>
      <c r="AM566" s="36">
        <f t="shared" si="1569"/>
        <v>1.5</v>
      </c>
      <c r="AN566" s="35">
        <f t="shared" si="1560"/>
        <v>0.416791173</v>
      </c>
      <c r="AO566" s="37">
        <f t="shared" si="1561"/>
        <v>0.6251867595</v>
      </c>
      <c r="AP566" s="36">
        <f t="shared" ref="AP566:AQ566" si="1574">SUM(T557)</f>
        <v>156.7777778</v>
      </c>
      <c r="AQ566" s="36">
        <f t="shared" si="1574"/>
        <v>6.532407407</v>
      </c>
      <c r="AR566" s="32">
        <f t="shared" si="1563"/>
        <v>121</v>
      </c>
    </row>
    <row r="567" ht="15.75" customHeight="1">
      <c r="A567" s="1" t="s">
        <v>45</v>
      </c>
      <c r="D567" s="2"/>
      <c r="X567" s="46" t="s">
        <v>33</v>
      </c>
      <c r="Y567" s="46">
        <v>6.0</v>
      </c>
      <c r="Z567" s="46">
        <f t="shared" ref="Z567:AI567" si="1575">SUM(Z561:Z566)</f>
        <v>173</v>
      </c>
      <c r="AA567" s="47">
        <f t="shared" si="1575"/>
        <v>167</v>
      </c>
      <c r="AB567" s="49">
        <f t="shared" si="1575"/>
        <v>32659.559</v>
      </c>
      <c r="AC567" s="47">
        <f t="shared" si="1575"/>
        <v>12106</v>
      </c>
      <c r="AD567" s="47">
        <f t="shared" si="1575"/>
        <v>30</v>
      </c>
      <c r="AE567" s="47">
        <f t="shared" si="1575"/>
        <v>12136</v>
      </c>
      <c r="AF567" s="47">
        <f t="shared" si="1575"/>
        <v>17443</v>
      </c>
      <c r="AG567" s="47">
        <f t="shared" si="1575"/>
        <v>115</v>
      </c>
      <c r="AH567" s="47">
        <f t="shared" si="1575"/>
        <v>17558</v>
      </c>
      <c r="AI567" s="47">
        <f t="shared" si="1575"/>
        <v>29694</v>
      </c>
      <c r="AJ567" s="49">
        <f t="shared" si="1558"/>
        <v>195.5662216</v>
      </c>
      <c r="AK567" s="46">
        <f>SUM(AK561:AK566)</f>
        <v>37031</v>
      </c>
      <c r="AL567" s="50">
        <f t="shared" si="1559"/>
        <v>0.8018687046</v>
      </c>
      <c r="AM567" s="51">
        <v>1.5</v>
      </c>
      <c r="AN567" s="50">
        <f t="shared" si="1560"/>
        <v>0.6061318832</v>
      </c>
      <c r="AO567" s="52">
        <f t="shared" si="1561"/>
        <v>0.9091978247</v>
      </c>
      <c r="AP567" s="51">
        <f>SUM(AP561:AP566)</f>
        <v>1335.336309</v>
      </c>
      <c r="AQ567" s="51">
        <f>AP567/AA567</f>
        <v>7.996025801</v>
      </c>
      <c r="AR567" s="47">
        <f t="shared" si="1563"/>
        <v>177.8083832</v>
      </c>
    </row>
    <row r="568" ht="15.75" customHeight="1">
      <c r="A568" s="1" t="s">
        <v>45</v>
      </c>
      <c r="D568" s="2"/>
      <c r="X568" s="66" t="s">
        <v>1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6"/>
    </row>
    <row r="569" ht="15.75" customHeight="1">
      <c r="A569" s="7">
        <v>46225.0</v>
      </c>
      <c r="B569" s="8" t="s">
        <v>2</v>
      </c>
      <c r="C569" s="8" t="s">
        <v>3</v>
      </c>
      <c r="D569" s="8" t="s">
        <v>4</v>
      </c>
      <c r="E569" s="8" t="s">
        <v>5</v>
      </c>
      <c r="F569" s="9" t="s">
        <v>6</v>
      </c>
      <c r="G569" s="8" t="s">
        <v>7</v>
      </c>
      <c r="H569" s="8" t="s">
        <v>8</v>
      </c>
      <c r="I569" s="8" t="s">
        <v>9</v>
      </c>
      <c r="J569" s="8" t="s">
        <v>10</v>
      </c>
      <c r="K569" s="8" t="s">
        <v>11</v>
      </c>
      <c r="L569" s="8" t="s">
        <v>12</v>
      </c>
      <c r="M569" s="8" t="s">
        <v>13</v>
      </c>
      <c r="N569" s="9" t="s">
        <v>14</v>
      </c>
      <c r="O569" s="8" t="s">
        <v>15</v>
      </c>
      <c r="P569" s="8" t="s">
        <v>16</v>
      </c>
      <c r="Q569" s="8" t="s">
        <v>17</v>
      </c>
      <c r="R569" s="8" t="s">
        <v>18</v>
      </c>
      <c r="S569" s="11" t="s">
        <v>19</v>
      </c>
      <c r="T569" s="12" t="s">
        <v>20</v>
      </c>
      <c r="U569" s="12" t="s">
        <v>21</v>
      </c>
      <c r="V569" s="13" t="s">
        <v>22</v>
      </c>
      <c r="X569" s="14" t="s">
        <v>2</v>
      </c>
      <c r="Y569" s="14" t="s">
        <v>3</v>
      </c>
      <c r="Z569" s="14" t="s">
        <v>4</v>
      </c>
      <c r="AA569" s="14" t="s">
        <v>5</v>
      </c>
      <c r="AB569" s="15" t="s">
        <v>6</v>
      </c>
      <c r="AC569" s="14" t="s">
        <v>7</v>
      </c>
      <c r="AD569" s="14" t="s">
        <v>8</v>
      </c>
      <c r="AE569" s="14" t="s">
        <v>9</v>
      </c>
      <c r="AF569" s="14" t="s">
        <v>10</v>
      </c>
      <c r="AG569" s="14" t="s">
        <v>11</v>
      </c>
      <c r="AH569" s="14" t="s">
        <v>12</v>
      </c>
      <c r="AI569" s="14" t="s">
        <v>13</v>
      </c>
      <c r="AJ569" s="15" t="s">
        <v>14</v>
      </c>
      <c r="AK569" s="14" t="s">
        <v>15</v>
      </c>
      <c r="AL569" s="14" t="s">
        <v>16</v>
      </c>
      <c r="AM569" s="16" t="s">
        <v>17</v>
      </c>
      <c r="AN569" s="17" t="s">
        <v>18</v>
      </c>
      <c r="AO569" s="18" t="s">
        <v>19</v>
      </c>
      <c r="AP569" s="19" t="s">
        <v>20</v>
      </c>
      <c r="AQ569" s="19" t="s">
        <v>21</v>
      </c>
      <c r="AR569" s="20" t="s">
        <v>22</v>
      </c>
    </row>
    <row r="570" ht="15.7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X570" s="22">
        <v>1.0</v>
      </c>
      <c r="Y570" s="22" t="s">
        <v>23</v>
      </c>
      <c r="Z570" s="22">
        <f t="shared" ref="Z570:AI570" si="1576">SUM(D578)</f>
        <v>35</v>
      </c>
      <c r="AA570" s="23">
        <f t="shared" si="1576"/>
        <v>35</v>
      </c>
      <c r="AB570" s="24">
        <f t="shared" si="1576"/>
        <v>6815.48</v>
      </c>
      <c r="AC570" s="23">
        <f t="shared" si="1576"/>
        <v>1841</v>
      </c>
      <c r="AD570" s="23">
        <f t="shared" si="1576"/>
        <v>0</v>
      </c>
      <c r="AE570" s="23">
        <f t="shared" si="1576"/>
        <v>1841</v>
      </c>
      <c r="AF570" s="23">
        <f t="shared" si="1576"/>
        <v>3309</v>
      </c>
      <c r="AG570" s="23">
        <f t="shared" si="1576"/>
        <v>0</v>
      </c>
      <c r="AH570" s="23">
        <f t="shared" si="1576"/>
        <v>3309</v>
      </c>
      <c r="AI570" s="23">
        <f t="shared" si="1576"/>
        <v>5150</v>
      </c>
      <c r="AJ570" s="25">
        <f t="shared" ref="AJ570:AJ572" si="1579">AB570/AA570</f>
        <v>194.728</v>
      </c>
      <c r="AK570" s="22">
        <f>SUM(O578)</f>
        <v>6853</v>
      </c>
      <c r="AL570" s="26">
        <f t="shared" ref="AL570:AL576" si="1580">AI570/AK570</f>
        <v>0.7514956953</v>
      </c>
      <c r="AM570" s="27">
        <f t="shared" ref="AM570:AM572" si="1581">SUM(Q578)</f>
        <v>1.5</v>
      </c>
      <c r="AN570" s="26">
        <f t="shared" ref="AN570:AN576" si="1582">AO570/AM570</f>
        <v>0.5037551769</v>
      </c>
      <c r="AO570" s="28">
        <f t="shared" ref="AO570:AO576" si="1583">AI570/AB570</f>
        <v>0.7556327654</v>
      </c>
      <c r="AP570" s="27">
        <f t="shared" ref="AP570:AQ570" si="1577">SUM(T578)</f>
        <v>202</v>
      </c>
      <c r="AQ570" s="27">
        <f t="shared" si="1577"/>
        <v>5.771428571</v>
      </c>
      <c r="AR570" s="23">
        <f t="shared" ref="AR570:AR576" si="1585">AI570/AA570</f>
        <v>147.1428571</v>
      </c>
    </row>
    <row r="571" ht="15.7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X571" s="22">
        <v>2.0</v>
      </c>
      <c r="Y571" s="22" t="s">
        <v>24</v>
      </c>
      <c r="Z571" s="22">
        <f t="shared" ref="Z571:AI571" si="1578">SUM(D579)</f>
        <v>44</v>
      </c>
      <c r="AA571" s="23">
        <f t="shared" si="1578"/>
        <v>41</v>
      </c>
      <c r="AB571" s="24">
        <f t="shared" si="1578"/>
        <v>7922.848</v>
      </c>
      <c r="AC571" s="23">
        <f t="shared" si="1578"/>
        <v>1006</v>
      </c>
      <c r="AD571" s="23">
        <f t="shared" si="1578"/>
        <v>22</v>
      </c>
      <c r="AE571" s="23">
        <f t="shared" si="1578"/>
        <v>1028</v>
      </c>
      <c r="AF571" s="23">
        <f t="shared" si="1578"/>
        <v>1585</v>
      </c>
      <c r="AG571" s="23">
        <f t="shared" si="1578"/>
        <v>18</v>
      </c>
      <c r="AH571" s="23">
        <f t="shared" si="1578"/>
        <v>1603</v>
      </c>
      <c r="AI571" s="23">
        <f t="shared" si="1578"/>
        <v>2631</v>
      </c>
      <c r="AJ571" s="25">
        <f t="shared" si="1579"/>
        <v>193.2401951</v>
      </c>
      <c r="AK571" s="22">
        <v>1580.0</v>
      </c>
      <c r="AL571" s="29">
        <f t="shared" si="1580"/>
        <v>1.665189873</v>
      </c>
      <c r="AM571" s="27">
        <f t="shared" si="1581"/>
        <v>1.5</v>
      </c>
      <c r="AN571" s="26">
        <f t="shared" si="1582"/>
        <v>0.2213850373</v>
      </c>
      <c r="AO571" s="28">
        <f t="shared" si="1583"/>
        <v>0.3320775559</v>
      </c>
      <c r="AP571" s="27">
        <f t="shared" ref="AP571:AQ571" si="1584">SUM(T579)</f>
        <v>295.5735124</v>
      </c>
      <c r="AQ571" s="27">
        <f t="shared" si="1584"/>
        <v>7.209110059</v>
      </c>
      <c r="AR571" s="23">
        <f t="shared" si="1585"/>
        <v>64.17073171</v>
      </c>
    </row>
    <row r="572" ht="15.75" customHeight="1">
      <c r="A572" s="21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X572" s="31">
        <v>3.0</v>
      </c>
      <c r="Y572" s="31" t="s">
        <v>25</v>
      </c>
      <c r="Z572" s="31">
        <f t="shared" ref="Z572:AI572" si="1586">SUM(D580)</f>
        <v>32</v>
      </c>
      <c r="AA572" s="32">
        <f t="shared" si="1586"/>
        <v>32</v>
      </c>
      <c r="AB572" s="33">
        <f t="shared" si="1586"/>
        <v>5426.252</v>
      </c>
      <c r="AC572" s="32">
        <f t="shared" si="1586"/>
        <v>2196</v>
      </c>
      <c r="AD572" s="32">
        <f t="shared" si="1586"/>
        <v>525</v>
      </c>
      <c r="AE572" s="32">
        <f t="shared" si="1586"/>
        <v>2721</v>
      </c>
      <c r="AF572" s="32">
        <f t="shared" si="1586"/>
        <v>2874</v>
      </c>
      <c r="AG572" s="32">
        <f t="shared" si="1586"/>
        <v>248</v>
      </c>
      <c r="AH572" s="32">
        <f t="shared" si="1586"/>
        <v>3122</v>
      </c>
      <c r="AI572" s="32">
        <f t="shared" si="1586"/>
        <v>5843</v>
      </c>
      <c r="AJ572" s="34">
        <f t="shared" si="1579"/>
        <v>169.570375</v>
      </c>
      <c r="AK572" s="31">
        <f>SUM(O580)</f>
        <v>6622</v>
      </c>
      <c r="AL572" s="35">
        <f t="shared" si="1580"/>
        <v>0.8823618242</v>
      </c>
      <c r="AM572" s="36">
        <f t="shared" si="1581"/>
        <v>1.5</v>
      </c>
      <c r="AN572" s="35">
        <f t="shared" si="1582"/>
        <v>0.7178681221</v>
      </c>
      <c r="AO572" s="37">
        <f t="shared" si="1583"/>
        <v>1.076802183</v>
      </c>
      <c r="AP572" s="36">
        <f t="shared" ref="AP572:AQ572" si="1587">SUM(T580)</f>
        <v>227.6112416</v>
      </c>
      <c r="AQ572" s="36">
        <f t="shared" si="1587"/>
        <v>7.1128513</v>
      </c>
      <c r="AR572" s="32">
        <f t="shared" si="1585"/>
        <v>182.59375</v>
      </c>
    </row>
    <row r="573" ht="15.75" customHeight="1">
      <c r="A573" s="21"/>
      <c r="B573" s="38">
        <v>1.0</v>
      </c>
      <c r="C573" s="38" t="s">
        <v>26</v>
      </c>
      <c r="D573" s="77">
        <v>20.0</v>
      </c>
      <c r="E573" s="40">
        <f>IFERROR(__xludf.DUMMYFUNCTION("COUNT(IMPORTRANGE(""https://docs.google.com/spreadsheets/d/1z0o91thOT38lgejTE_Bd2p3v_9VCDdQRkUsMIVqpQCk/edit"",""22!d2:d21""))"),19.0)</f>
        <v>19</v>
      </c>
      <c r="F573" s="41">
        <f>IFERROR(__xludf.DUMMYFUNCTION("SUM(IMPORTRANGE(""https://docs.google.com/spreadsheets/d/1z0o91thOT38lgejTE_Bd2p3v_9VCDdQRkUsMIVqpQCk/edit"",""22!Q2:Q21""))"),3669.1530000000002)</f>
        <v>3669.153</v>
      </c>
      <c r="G573" s="40">
        <f>IFERROR(__xludf.DUMMYFUNCTION("IMPORTRANGE(""https://docs.google.com/spreadsheets/d/1z0o91thOT38lgejTE_Bd2p3v_9VCDdQRkUsMIVqpQCk/edit"",""22!e28"")"),1696.0)</f>
        <v>1696</v>
      </c>
      <c r="H573" s="40">
        <f>IFERROR(__xludf.DUMMYFUNCTION("IMPORTRANGE(""https://docs.google.com/spreadsheets/d/1z0o91thOT38lgejTE_Bd2p3v_9VCDdQRkUsMIVqpQCk/edit"",""22!e29"")"),42.0)</f>
        <v>42</v>
      </c>
      <c r="I573" s="40">
        <f t="shared" ref="I573:I590" si="1590">SUM(G573:H573)</f>
        <v>1738</v>
      </c>
      <c r="J573" s="40">
        <f>IFERROR(__xludf.DUMMYFUNCTION("IMPORTRANGE(""https://docs.google.com/spreadsheets/d/1z0o91thOT38lgejTE_Bd2p3v_9VCDdQRkUsMIVqpQCk/edit"",""22!e32"")"),3237.0)</f>
        <v>3237</v>
      </c>
      <c r="K573" s="40">
        <f>IFERROR(__xludf.DUMMYFUNCTION("IMPORTRANGE(""https://docs.google.com/spreadsheets/d/1z0o91thOT38lgejTE_Bd2p3v_9VCDdQRkUsMIVqpQCk/edit"",""22!e33"")"),140.0)</f>
        <v>140</v>
      </c>
      <c r="L573" s="40">
        <f t="shared" ref="L573:L579" si="1591">SUM(J573:K573)</f>
        <v>3377</v>
      </c>
      <c r="M573" s="40">
        <f t="shared" ref="M573:M590" si="1592">SUM(I573+L573)</f>
        <v>5115</v>
      </c>
      <c r="N573" s="41">
        <f t="shared" ref="N573:N591" si="1593">F573/E573</f>
        <v>193.1133158</v>
      </c>
      <c r="O573" s="38">
        <v>5161.0</v>
      </c>
      <c r="P573" s="42">
        <f t="shared" ref="P573:P591" si="1594">M573/O573</f>
        <v>0.9910869986</v>
      </c>
      <c r="Q573" s="43">
        <v>1.5</v>
      </c>
      <c r="R573" s="42">
        <f t="shared" ref="R573:R591" si="1595">S573/Q573</f>
        <v>0.9293698028</v>
      </c>
      <c r="S573" s="44">
        <f t="shared" ref="S573:S591" si="1596">M573/F573</f>
        <v>1.394054704</v>
      </c>
      <c r="T573" s="43">
        <f>F573/14.415</f>
        <v>254.5371488</v>
      </c>
      <c r="U573" s="43">
        <f t="shared" ref="U573:U591" si="1597">T573/E573</f>
        <v>13.39669204</v>
      </c>
      <c r="V573" s="40">
        <f t="shared" ref="V573:V591" si="1598">M573/E573</f>
        <v>269.2105263</v>
      </c>
      <c r="X573" s="22">
        <v>4.0</v>
      </c>
      <c r="Y573" s="22" t="s">
        <v>27</v>
      </c>
      <c r="Z573" s="22">
        <f t="shared" ref="Z573:AK573" si="1588">SUM(D586)</f>
        <v>30</v>
      </c>
      <c r="AA573" s="23">
        <f t="shared" si="1588"/>
        <v>30</v>
      </c>
      <c r="AB573" s="24">
        <f t="shared" si="1588"/>
        <v>5551.723</v>
      </c>
      <c r="AC573" s="23">
        <f t="shared" si="1588"/>
        <v>2142</v>
      </c>
      <c r="AD573" s="23">
        <f t="shared" si="1588"/>
        <v>30</v>
      </c>
      <c r="AE573" s="23">
        <f t="shared" si="1588"/>
        <v>2172</v>
      </c>
      <c r="AF573" s="23">
        <f t="shared" si="1588"/>
        <v>3314</v>
      </c>
      <c r="AG573" s="23">
        <f t="shared" si="1588"/>
        <v>0</v>
      </c>
      <c r="AH573" s="23">
        <f t="shared" si="1588"/>
        <v>3314</v>
      </c>
      <c r="AI573" s="23">
        <f t="shared" si="1588"/>
        <v>5486</v>
      </c>
      <c r="AJ573" s="25">
        <f t="shared" si="1588"/>
        <v>185.0574333</v>
      </c>
      <c r="AK573" s="22">
        <f t="shared" si="1588"/>
        <v>8101</v>
      </c>
      <c r="AL573" s="26">
        <f t="shared" si="1580"/>
        <v>0.6772003456</v>
      </c>
      <c r="AM573" s="27">
        <f>SUM(Q586)</f>
        <v>1.5</v>
      </c>
      <c r="AN573" s="26">
        <f t="shared" si="1582"/>
        <v>0.6587744622</v>
      </c>
      <c r="AO573" s="28">
        <f t="shared" si="1583"/>
        <v>0.9881616932</v>
      </c>
      <c r="AP573" s="27">
        <f t="shared" ref="AP573:AQ573" si="1589">SUM(T586)</f>
        <v>277.7944959</v>
      </c>
      <c r="AQ573" s="27">
        <f t="shared" si="1589"/>
        <v>9.259816529</v>
      </c>
      <c r="AR573" s="23">
        <f t="shared" si="1585"/>
        <v>182.8666667</v>
      </c>
    </row>
    <row r="574" ht="15.75" customHeight="1">
      <c r="A574" s="21"/>
      <c r="B574" s="38">
        <v>2.0</v>
      </c>
      <c r="C574" s="38" t="s">
        <v>28</v>
      </c>
      <c r="D574" s="78">
        <v>33.0</v>
      </c>
      <c r="E574" s="40">
        <f>IFERROR(__xludf.DUMMYFUNCTION("COUNT(IMPORTRANGE(""https://docs.google.com/spreadsheets/d/10a85iNN0y9GF6ngQfF1JXGAzFk-T7ywH4-TZtQcOTaE/edit"",""22!d2:d34""))"),33.0)</f>
        <v>33</v>
      </c>
      <c r="F574" s="41">
        <f>IFERROR(__xludf.DUMMYFUNCTION("SUM(IMPORTRANGE(""https://docs.google.com/spreadsheets/d/10a85iNN0y9GF6ngQfF1JXGAzFk-T7ywH4-TZtQcOTaE/edit"",""22!Q2:Q34""))"),6374.348000000002)</f>
        <v>6374.348</v>
      </c>
      <c r="G574" s="40">
        <f>IFERROR(__xludf.DUMMYFUNCTION("IMPORTRANGE(""https://docs.google.com/spreadsheets/d/10a85iNN0y9GF6ngQfF1JXGAzFk-T7ywH4-TZtQcOTaE/edit"",""22!e41"")"),2559.0)</f>
        <v>2559</v>
      </c>
      <c r="H574" s="40">
        <f>IFERROR(__xludf.DUMMYFUNCTION("IMPORTRANGE(""https://docs.google.com/spreadsheets/d/10a85iNN0y9GF6ngQfF1JXGAzFk-T7ywH4-TZtQcOTaE/edit"",""22!e42"")"),176.0)</f>
        <v>176</v>
      </c>
      <c r="I574" s="40">
        <f t="shared" si="1590"/>
        <v>2735</v>
      </c>
      <c r="J574" s="40">
        <f>IFERROR(__xludf.DUMMYFUNCTION("IMPORTRANGE(""https://docs.google.com/spreadsheets/d/10a85iNN0y9GF6ngQfF1JXGAzFk-T7ywH4-TZtQcOTaE/edit"",""22!e45"")"),3335.0)</f>
        <v>3335</v>
      </c>
      <c r="K574" s="40">
        <f>IFERROR(__xludf.DUMMYFUNCTION("IMPORTRANGE(""https://docs.google.com/spreadsheets/d/10a85iNN0y9GF6ngQfF1JXGAzFk-T7ywH4-TZtQcOTaE/edit"",""22!e46"")"),111.0)</f>
        <v>111</v>
      </c>
      <c r="L574" s="40">
        <f t="shared" si="1591"/>
        <v>3446</v>
      </c>
      <c r="M574" s="40">
        <f t="shared" si="1592"/>
        <v>6181</v>
      </c>
      <c r="N574" s="41">
        <f t="shared" si="1593"/>
        <v>193.1620606</v>
      </c>
      <c r="O574" s="38">
        <v>7315.0</v>
      </c>
      <c r="P574" s="42">
        <f t="shared" si="1594"/>
        <v>0.8449760766</v>
      </c>
      <c r="Q574" s="43">
        <v>1.5</v>
      </c>
      <c r="R574" s="42">
        <f t="shared" si="1595"/>
        <v>0.6464451998</v>
      </c>
      <c r="S574" s="44">
        <f t="shared" si="1596"/>
        <v>0.9696677997</v>
      </c>
      <c r="T574" s="43">
        <f>F574/30.897</f>
        <v>206.3096093</v>
      </c>
      <c r="U574" s="43">
        <f t="shared" si="1597"/>
        <v>6.251806344</v>
      </c>
      <c r="V574" s="40">
        <f t="shared" si="1598"/>
        <v>187.3030303</v>
      </c>
      <c r="X574" s="22">
        <v>5.0</v>
      </c>
      <c r="Y574" s="22" t="s">
        <v>29</v>
      </c>
      <c r="Z574" s="22">
        <f t="shared" ref="Z574:AI574" si="1599">SUM(D589)</f>
        <v>30</v>
      </c>
      <c r="AA574" s="23">
        <f t="shared" si="1599"/>
        <v>30</v>
      </c>
      <c r="AB574" s="24">
        <f t="shared" si="1599"/>
        <v>6066.854</v>
      </c>
      <c r="AC574" s="23">
        <f t="shared" si="1599"/>
        <v>2900</v>
      </c>
      <c r="AD574" s="23">
        <f t="shared" si="1599"/>
        <v>0</v>
      </c>
      <c r="AE574" s="23">
        <f t="shared" si="1599"/>
        <v>2900</v>
      </c>
      <c r="AF574" s="23">
        <f t="shared" si="1599"/>
        <v>4011</v>
      </c>
      <c r="AG574" s="23">
        <f t="shared" si="1599"/>
        <v>20</v>
      </c>
      <c r="AH574" s="23">
        <f t="shared" si="1599"/>
        <v>4031</v>
      </c>
      <c r="AI574" s="23">
        <f t="shared" si="1599"/>
        <v>6931</v>
      </c>
      <c r="AJ574" s="25">
        <f t="shared" ref="AJ574:AJ576" si="1602">AB574/AA574</f>
        <v>202.2284667</v>
      </c>
      <c r="AK574" s="22">
        <f t="shared" ref="AK574:AK575" si="1603">SUM(O589)</f>
        <v>9201</v>
      </c>
      <c r="AL574" s="26">
        <f t="shared" si="1580"/>
        <v>0.7532876861</v>
      </c>
      <c r="AM574" s="27">
        <f t="shared" ref="AM574:AM575" si="1604">SUM(Q589)</f>
        <v>1.5</v>
      </c>
      <c r="AN574" s="26">
        <f t="shared" si="1582"/>
        <v>0.7616248333</v>
      </c>
      <c r="AO574" s="28">
        <f t="shared" si="1583"/>
        <v>1.14243725</v>
      </c>
      <c r="AP574" s="27">
        <f t="shared" ref="AP574:AQ574" si="1600">SUM(T589)</f>
        <v>233</v>
      </c>
      <c r="AQ574" s="27">
        <f t="shared" si="1600"/>
        <v>7.766666667</v>
      </c>
      <c r="AR574" s="23">
        <f t="shared" si="1585"/>
        <v>231.0333333</v>
      </c>
    </row>
    <row r="575" ht="15.75" customHeight="1">
      <c r="A575" s="21"/>
      <c r="B575" s="38">
        <v>3.0</v>
      </c>
      <c r="C575" s="38" t="s">
        <v>30</v>
      </c>
      <c r="D575" s="78">
        <v>60.0</v>
      </c>
      <c r="E575" s="40">
        <f>IFERROR(__xludf.DUMMYFUNCTION("COUNT(IMPORTRANGE(""https://docs.google.com/spreadsheets/d/1WojVzHhpzodJL1e5UDHeu3A3u5MTSZwvxHu0BrwvL9w/edit"",""22!d2:d61""))"),58.0)</f>
        <v>58</v>
      </c>
      <c r="F575" s="45">
        <f>IFERROR(__xludf.DUMMYFUNCTION("SUM(IMPORTRANGE(""https://docs.google.com/spreadsheets/d/1WojVzHhpzodJL1e5UDHeu3A3u5MTSZwvxHu0BrwvL9w/edit"",""22!Q2:Q61""))"),11587.471999999987)</f>
        <v>11587.472</v>
      </c>
      <c r="G575" s="40">
        <f>IFERROR(__xludf.DUMMYFUNCTION("IMPORTRANGE(""https://docs.google.com/spreadsheets/d/1WojVzHhpzodJL1e5UDHeu3A3u5MTSZwvxHu0BrwvL9w/edit"",""22!e68"")"),3637.0)</f>
        <v>3637</v>
      </c>
      <c r="H575" s="40">
        <f>IFERROR(__xludf.DUMMYFUNCTION("IMPORTRANGE(""https://docs.google.com/spreadsheets/d/1WojVzHhpzodJL1e5UDHeu3A3u5MTSZwvxHu0BrwvL9w/edit"",""22!e69"")"),0.0)</f>
        <v>0</v>
      </c>
      <c r="I575" s="40">
        <f t="shared" si="1590"/>
        <v>3637</v>
      </c>
      <c r="J575" s="40">
        <f>IFERROR(__xludf.DUMMYFUNCTION("IMPORTRANGE(""https://docs.google.com/spreadsheets/d/1WojVzHhpzodJL1e5UDHeu3A3u5MTSZwvxHu0BrwvL9w/edit"",""22!e72"")"),5616.0)</f>
        <v>5616</v>
      </c>
      <c r="K575" s="40">
        <f>IFERROR(__xludf.DUMMYFUNCTION("IMPORTRANGE(""https://docs.google.com/spreadsheets/d/1WojVzHhpzodJL1e5UDHeu3A3u5MTSZwvxHu0BrwvL9w/edit"",""22!e73"")"),0.0)</f>
        <v>0</v>
      </c>
      <c r="L575" s="40">
        <f t="shared" si="1591"/>
        <v>5616</v>
      </c>
      <c r="M575" s="40">
        <f t="shared" si="1592"/>
        <v>9253</v>
      </c>
      <c r="N575" s="41">
        <f t="shared" si="1593"/>
        <v>199.784</v>
      </c>
      <c r="O575" s="38">
        <v>11164.0</v>
      </c>
      <c r="P575" s="42">
        <f t="shared" si="1594"/>
        <v>0.828824794</v>
      </c>
      <c r="Q575" s="43">
        <v>1.5</v>
      </c>
      <c r="R575" s="42">
        <f t="shared" si="1595"/>
        <v>0.5323565543</v>
      </c>
      <c r="S575" s="44">
        <f t="shared" si="1596"/>
        <v>0.7985348314</v>
      </c>
      <c r="T575" s="43">
        <f>F575/29.603</f>
        <v>391.4289768</v>
      </c>
      <c r="U575" s="43">
        <f t="shared" si="1597"/>
        <v>6.748775462</v>
      </c>
      <c r="V575" s="40">
        <f t="shared" si="1598"/>
        <v>159.5344828</v>
      </c>
      <c r="X575" s="22">
        <v>6.0</v>
      </c>
      <c r="Y575" s="22" t="s">
        <v>31</v>
      </c>
      <c r="Z575" s="22">
        <f t="shared" ref="Z575:AI575" si="1601">SUM(D590)</f>
        <v>15</v>
      </c>
      <c r="AA575" s="23">
        <f t="shared" si="1601"/>
        <v>15</v>
      </c>
      <c r="AB575" s="25">
        <f t="shared" si="1601"/>
        <v>2912.155</v>
      </c>
      <c r="AC575" s="23">
        <f t="shared" si="1601"/>
        <v>917</v>
      </c>
      <c r="AD575" s="23">
        <f t="shared" si="1601"/>
        <v>0</v>
      </c>
      <c r="AE575" s="23">
        <f t="shared" si="1601"/>
        <v>917</v>
      </c>
      <c r="AF575" s="23">
        <f t="shared" si="1601"/>
        <v>1354</v>
      </c>
      <c r="AG575" s="23">
        <f t="shared" si="1601"/>
        <v>0</v>
      </c>
      <c r="AH575" s="23">
        <f t="shared" si="1601"/>
        <v>1354</v>
      </c>
      <c r="AI575" s="23">
        <f t="shared" si="1601"/>
        <v>2271</v>
      </c>
      <c r="AJ575" s="25">
        <f t="shared" si="1602"/>
        <v>194.1436667</v>
      </c>
      <c r="AK575" s="22">
        <f t="shared" si="1603"/>
        <v>2717</v>
      </c>
      <c r="AL575" s="26">
        <f t="shared" si="1580"/>
        <v>0.8358483622</v>
      </c>
      <c r="AM575" s="27">
        <f t="shared" si="1604"/>
        <v>1.5</v>
      </c>
      <c r="AN575" s="26">
        <f t="shared" si="1582"/>
        <v>0.5198899097</v>
      </c>
      <c r="AO575" s="28">
        <f t="shared" si="1583"/>
        <v>0.7798348646</v>
      </c>
      <c r="AP575" s="27">
        <f t="shared" ref="AP575:AQ575" si="1605">SUM(T590)</f>
        <v>67</v>
      </c>
      <c r="AQ575" s="27">
        <f t="shared" si="1605"/>
        <v>4.466666667</v>
      </c>
      <c r="AR575" s="23">
        <f t="shared" si="1585"/>
        <v>151.4</v>
      </c>
    </row>
    <row r="576" ht="15.75" customHeight="1">
      <c r="A576" s="21"/>
      <c r="B576" s="38">
        <v>4.0</v>
      </c>
      <c r="C576" s="38" t="s">
        <v>32</v>
      </c>
      <c r="D576" s="78">
        <v>42.0</v>
      </c>
      <c r="E576" s="40">
        <f>IFERROR(__xludf.DUMMYFUNCTION("COUNT(IMPORTRANGE(""https://docs.google.com/spreadsheets/d/1vmCj5YcMSPHj1m64syDndQ6cqVL3yolcU03Y8KHmvdc/edit"",""22!d2:d43""))"),42.0)</f>
        <v>42</v>
      </c>
      <c r="F576" s="45">
        <f>IFERROR(__xludf.DUMMYFUNCTION("SUM(IMPORTRANGE(""https://docs.google.com/spreadsheets/d/1vmCj5YcMSPHj1m64syDndQ6cqVL3yolcU03Y8KHmvdc/edit"",""22!Q2:Q43""))"),8229.19199999999)</f>
        <v>8229.192</v>
      </c>
      <c r="G576" s="38">
        <f>IFERROR(__xludf.DUMMYFUNCTION("IMPORTRANGE(""https://docs.google.com/spreadsheets/d/1vmCj5YcMSPHj1m64syDndQ6cqVL3yolcU03Y8KHmvdc/edit"",""22!e50"")"),4548.0)</f>
        <v>4548</v>
      </c>
      <c r="H576" s="38">
        <f>IFERROR(__xludf.DUMMYFUNCTION("IMPORTRANGE(""https://docs.google.com/spreadsheets/d/1vmCj5YcMSPHj1m64syDndQ6cqVL3yolcU03Y8KHmvdc/edit"",""22!e51"")"),0.0)</f>
        <v>0</v>
      </c>
      <c r="I576" s="40">
        <f t="shared" si="1590"/>
        <v>4548</v>
      </c>
      <c r="J576" s="38">
        <f>IFERROR(__xludf.DUMMYFUNCTION("IMPORTRANGE(""https://docs.google.com/spreadsheets/d/1vmCj5YcMSPHj1m64syDndQ6cqVL3yolcU03Y8KHmvdc/edit"",""22!e54"")"),5423.0)</f>
        <v>5423</v>
      </c>
      <c r="K576" s="38">
        <f>IFERROR(__xludf.DUMMYFUNCTION("IMPORTRANGE(""https://docs.google.com/spreadsheets/d/1vmCj5YcMSPHj1m64syDndQ6cqVL3yolcU03Y8KHmvdc/edit"",""22!e55"")"),0.0)</f>
        <v>0</v>
      </c>
      <c r="L576" s="40">
        <f t="shared" si="1591"/>
        <v>5423</v>
      </c>
      <c r="M576" s="40">
        <f t="shared" si="1592"/>
        <v>9971</v>
      </c>
      <c r="N576" s="41">
        <f t="shared" si="1593"/>
        <v>195.9331429</v>
      </c>
      <c r="O576" s="38">
        <v>13817.0</v>
      </c>
      <c r="P576" s="42">
        <f t="shared" si="1594"/>
        <v>0.7216472461</v>
      </c>
      <c r="Q576" s="43">
        <v>1.5</v>
      </c>
      <c r="R576" s="42">
        <f t="shared" si="1595"/>
        <v>0.8077747285</v>
      </c>
      <c r="S576" s="44">
        <f t="shared" si="1596"/>
        <v>1.211662093</v>
      </c>
      <c r="T576" s="43">
        <f>F576/25.089</f>
        <v>328</v>
      </c>
      <c r="U576" s="43">
        <f t="shared" si="1597"/>
        <v>7.80952381</v>
      </c>
      <c r="V576" s="40">
        <f t="shared" si="1598"/>
        <v>237.4047619</v>
      </c>
      <c r="X576" s="46" t="s">
        <v>33</v>
      </c>
      <c r="Y576" s="46">
        <v>6.0</v>
      </c>
      <c r="Z576" s="46">
        <f t="shared" ref="Z576:AI576" si="1606">SUM(Z570:Z575)</f>
        <v>186</v>
      </c>
      <c r="AA576" s="47">
        <f t="shared" si="1606"/>
        <v>183</v>
      </c>
      <c r="AB576" s="48">
        <f t="shared" si="1606"/>
        <v>34695.312</v>
      </c>
      <c r="AC576" s="47">
        <f t="shared" si="1606"/>
        <v>11002</v>
      </c>
      <c r="AD576" s="47">
        <f t="shared" si="1606"/>
        <v>577</v>
      </c>
      <c r="AE576" s="47">
        <f t="shared" si="1606"/>
        <v>11579</v>
      </c>
      <c r="AF576" s="47">
        <f t="shared" si="1606"/>
        <v>16447</v>
      </c>
      <c r="AG576" s="47">
        <f t="shared" si="1606"/>
        <v>286</v>
      </c>
      <c r="AH576" s="47">
        <f t="shared" si="1606"/>
        <v>16733</v>
      </c>
      <c r="AI576" s="47">
        <f t="shared" si="1606"/>
        <v>28312</v>
      </c>
      <c r="AJ576" s="49">
        <f t="shared" si="1602"/>
        <v>189.5918689</v>
      </c>
      <c r="AK576" s="46">
        <f>SUM(AK570:AK575)</f>
        <v>35074</v>
      </c>
      <c r="AL576" s="50">
        <f t="shared" si="1580"/>
        <v>0.8072076182</v>
      </c>
      <c r="AM576" s="51">
        <v>1.5</v>
      </c>
      <c r="AN576" s="50">
        <f t="shared" si="1582"/>
        <v>0.5440120171</v>
      </c>
      <c r="AO576" s="52">
        <f t="shared" si="1583"/>
        <v>0.8160180257</v>
      </c>
      <c r="AP576" s="51">
        <f>SUM(AP570:AP575)</f>
        <v>1302.97925</v>
      </c>
      <c r="AQ576" s="51">
        <f>AP576/AA576</f>
        <v>7.120105191</v>
      </c>
      <c r="AR576" s="47">
        <f t="shared" si="1585"/>
        <v>154.7103825</v>
      </c>
    </row>
    <row r="577" ht="15.75" customHeight="1">
      <c r="A577" s="21"/>
      <c r="B577" s="38">
        <v>5.0</v>
      </c>
      <c r="C577" s="38" t="s">
        <v>34</v>
      </c>
      <c r="D577" s="78">
        <v>40.0</v>
      </c>
      <c r="E577" s="40">
        <f>IFERROR(__xludf.DUMMYFUNCTION("COUNT(IMPORTRANGE(""https://docs.google.com/spreadsheets/d/14_Y-fpuq1wcec3DlT_1PBYekOC0YblQMrWVfO12YO3k/edit"",""22!d2:d41""))"),40.0)</f>
        <v>40</v>
      </c>
      <c r="F577" s="45">
        <f>IFERROR(__xludf.DUMMYFUNCTION("SUM(IMPORTRANGE(""https://docs.google.com/spreadsheets/d/14_Y-fpuq1wcec3DlT_1PBYekOC0YblQMrWVfO12YO3k/edit"",""22!Q2:Q41""))"),8008.7310000000025)</f>
        <v>8008.731</v>
      </c>
      <c r="G577" s="40">
        <f>IFERROR(__xludf.DUMMYFUNCTION("IMPORTRANGE(""https://docs.google.com/spreadsheets/d/14_Y-fpuq1wcec3DlT_1PBYekOC0YblQMrWVfO12YO3k/edit"",""22!e48"")"),3030.0)</f>
        <v>3030</v>
      </c>
      <c r="H577" s="40">
        <f>IFERROR(__xludf.DUMMYFUNCTION("IMPORTRANGE(""https://docs.google.com/spreadsheets/d/14_Y-fpuq1wcec3DlT_1PBYekOC0YblQMrWVfO12YO3k/edit"",""22!e49"")"),0.0)</f>
        <v>0</v>
      </c>
      <c r="I577" s="40">
        <f t="shared" si="1590"/>
        <v>3030</v>
      </c>
      <c r="J577" s="40">
        <f>IFERROR(__xludf.DUMMYFUNCTION("IMPORTRANGE(""https://docs.google.com/spreadsheets/d/14_Y-fpuq1wcec3DlT_1PBYekOC0YblQMrWVfO12YO3k/edit"",""22!e52"")"),3430.0)</f>
        <v>3430</v>
      </c>
      <c r="K577" s="40">
        <f>IFERROR(__xludf.DUMMYFUNCTION("IMPORTRANGE(""https://docs.google.com/spreadsheets/d/14_Y-fpuq1wcec3DlT_1PBYekOC0YblQMrWVfO12YO3k/edit"",""22!e53"")"),0.0)</f>
        <v>0</v>
      </c>
      <c r="L577" s="40">
        <f t="shared" si="1591"/>
        <v>3430</v>
      </c>
      <c r="M577" s="40">
        <f t="shared" si="1592"/>
        <v>6460</v>
      </c>
      <c r="N577" s="41">
        <f t="shared" si="1593"/>
        <v>200.218275</v>
      </c>
      <c r="O577" s="38">
        <v>9354.0</v>
      </c>
      <c r="P577" s="42">
        <f t="shared" si="1594"/>
        <v>0.6906136412</v>
      </c>
      <c r="Q577" s="43">
        <v>1.5</v>
      </c>
      <c r="R577" s="42">
        <f t="shared" si="1595"/>
        <v>0.5377464503</v>
      </c>
      <c r="S577" s="44">
        <f t="shared" si="1596"/>
        <v>0.8066196755</v>
      </c>
      <c r="T577" s="43">
        <f>F577/30.713</f>
        <v>260.7602969</v>
      </c>
      <c r="U577" s="43">
        <f t="shared" si="1597"/>
        <v>6.519007424</v>
      </c>
      <c r="V577" s="40">
        <f t="shared" si="1598"/>
        <v>161.5</v>
      </c>
      <c r="X577" s="53" t="s">
        <v>35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6"/>
    </row>
    <row r="578" ht="15.75" customHeight="1">
      <c r="A578" s="21"/>
      <c r="B578" s="38">
        <v>6.0</v>
      </c>
      <c r="C578" s="38" t="s">
        <v>23</v>
      </c>
      <c r="D578" s="78">
        <v>35.0</v>
      </c>
      <c r="E578" s="40">
        <f>IFERROR(__xludf.DUMMYFUNCTION("COUNT(IMPORTRANGE(""https://docs.google.com/spreadsheets/d/1lJqjdj05V4LOXuBOiTdE65GV4ZITyx1cMLcDdcuoUnE/edit"",""22!d2:d36""))"),35.0)</f>
        <v>35</v>
      </c>
      <c r="F578" s="45">
        <f>IFERROR(__xludf.DUMMYFUNCTION("SUM(IMPORTRANGE(""https://docs.google.com/spreadsheets/d/1lJqjdj05V4LOXuBOiTdE65GV4ZITyx1cMLcDdcuoUnE/edit"",""22!Q2:Q36""))"),6815.479999999995)</f>
        <v>6815.48</v>
      </c>
      <c r="G578" s="40">
        <f>IFERROR(__xludf.DUMMYFUNCTION("IMPORTRANGE(""https://docs.google.com/spreadsheets/d/1lJqjdj05V4LOXuBOiTdE65GV4ZITyx1cMLcDdcuoUnE/edit"",""22!e43"")"),1841.0)</f>
        <v>1841</v>
      </c>
      <c r="H578" s="40">
        <f>IFERROR(__xludf.DUMMYFUNCTION("IMPORTRANGE(""https://docs.google.com/spreadsheets/d/1lJqjdj05V4LOXuBOiTdE65GV4ZITyx1cMLcDdcuoUnE/edit"",""22!e44"")"),0.0)</f>
        <v>0</v>
      </c>
      <c r="I578" s="40">
        <f t="shared" si="1590"/>
        <v>1841</v>
      </c>
      <c r="J578" s="40">
        <f>IFERROR(__xludf.DUMMYFUNCTION("IMPORTRANGE(""https://docs.google.com/spreadsheets/d/1lJqjdj05V4LOXuBOiTdE65GV4ZITyx1cMLcDdcuoUnE/edit"",""22!e47"")"),3309.0)</f>
        <v>3309</v>
      </c>
      <c r="K578" s="40">
        <f>IFERROR(__xludf.DUMMYFUNCTION("IMPORTRANGE(""https://docs.google.com/spreadsheets/d/1lJqjdj05V4LOXuBOiTdE65GV4ZITyx1cMLcDdcuoUnE/edit"",""22!e48"")"),0.0)</f>
        <v>0</v>
      </c>
      <c r="L578" s="40">
        <f t="shared" si="1591"/>
        <v>3309</v>
      </c>
      <c r="M578" s="40">
        <f t="shared" si="1592"/>
        <v>5150</v>
      </c>
      <c r="N578" s="41">
        <f t="shared" si="1593"/>
        <v>194.728</v>
      </c>
      <c r="O578" s="38">
        <v>6853.0</v>
      </c>
      <c r="P578" s="42">
        <f t="shared" si="1594"/>
        <v>0.7514956953</v>
      </c>
      <c r="Q578" s="43">
        <v>1.5</v>
      </c>
      <c r="R578" s="42">
        <f t="shared" si="1595"/>
        <v>0.5037551769</v>
      </c>
      <c r="S578" s="44">
        <f t="shared" si="1596"/>
        <v>0.7556327654</v>
      </c>
      <c r="T578" s="43">
        <f>F578/33.74</f>
        <v>202</v>
      </c>
      <c r="U578" s="43">
        <f t="shared" si="1597"/>
        <v>5.771428571</v>
      </c>
      <c r="V578" s="40">
        <f t="shared" si="1598"/>
        <v>147.1428571</v>
      </c>
      <c r="X578" s="14" t="s">
        <v>2</v>
      </c>
      <c r="Y578" s="14" t="s">
        <v>3</v>
      </c>
      <c r="Z578" s="14" t="s">
        <v>4</v>
      </c>
      <c r="AA578" s="14" t="s">
        <v>5</v>
      </c>
      <c r="AB578" s="15" t="s">
        <v>6</v>
      </c>
      <c r="AC578" s="14" t="s">
        <v>7</v>
      </c>
      <c r="AD578" s="14" t="s">
        <v>8</v>
      </c>
      <c r="AE578" s="14" t="s">
        <v>9</v>
      </c>
      <c r="AF578" s="14" t="s">
        <v>10</v>
      </c>
      <c r="AG578" s="14" t="s">
        <v>11</v>
      </c>
      <c r="AH578" s="14" t="s">
        <v>12</v>
      </c>
      <c r="AI578" s="14" t="s">
        <v>13</v>
      </c>
      <c r="AJ578" s="15" t="s">
        <v>14</v>
      </c>
      <c r="AK578" s="14" t="s">
        <v>15</v>
      </c>
      <c r="AL578" s="14" t="s">
        <v>16</v>
      </c>
      <c r="AM578" s="16" t="s">
        <v>17</v>
      </c>
      <c r="AN578" s="17" t="s">
        <v>18</v>
      </c>
      <c r="AO578" s="18" t="s">
        <v>19</v>
      </c>
      <c r="AP578" s="19" t="s">
        <v>20</v>
      </c>
      <c r="AQ578" s="19" t="s">
        <v>21</v>
      </c>
      <c r="AR578" s="20" t="s">
        <v>22</v>
      </c>
    </row>
    <row r="579" ht="15.75" customHeight="1">
      <c r="A579" s="21"/>
      <c r="B579" s="38">
        <v>7.0</v>
      </c>
      <c r="C579" s="38" t="s">
        <v>24</v>
      </c>
      <c r="D579" s="78">
        <v>44.0</v>
      </c>
      <c r="E579" s="54">
        <f>IFERROR(__xludf.DUMMYFUNCTION("COUNT(IMPORTRANGE(""https://docs.google.com/spreadsheets/d/1_7EEO26q9Yq-XhNFiy7I6Zh4Yg6uGjTs9y0UqNvPKcQ/edit"",""22!d2:d45""))"),41.0)</f>
        <v>41</v>
      </c>
      <c r="F579" s="55">
        <f>IFERROR(__xludf.DUMMYFUNCTION("SUM(IMPORTRANGE(""https://docs.google.com/spreadsheets/d/1_7EEO26q9Yq-XhNFiy7I6Zh4Yg6uGjTs9y0UqNvPKcQ/edit"",""22!Q2:Q45""))"),7922.847999999994)</f>
        <v>7922.848</v>
      </c>
      <c r="G579" s="54">
        <f>IFERROR(__xludf.DUMMYFUNCTION("IMPORTRANGE(""https://docs.google.com/spreadsheets/d/1_7EEO26q9Yq-XhNFiy7I6Zh4Yg6uGjTs9y0UqNvPKcQ/edit"",""22!e53"")"),1006.0)</f>
        <v>1006</v>
      </c>
      <c r="H579" s="54">
        <f>IFERROR(__xludf.DUMMYFUNCTION("IMPORTRANGE(""https://docs.google.com/spreadsheets/d/1_7EEO26q9Yq-XhNFiy7I6Zh4Yg6uGjTs9y0UqNvPKcQ/edit"",""22!e54"")"),22.0)</f>
        <v>22</v>
      </c>
      <c r="I579" s="54">
        <f t="shared" si="1590"/>
        <v>1028</v>
      </c>
      <c r="J579" s="54">
        <f>IFERROR(__xludf.DUMMYFUNCTION("IMPORTRANGE(""https://docs.google.com/spreadsheets/d/1_7EEO26q9Yq-XhNFiy7I6Zh4Yg6uGjTs9y0UqNvPKcQ/edit"",""22!e57"")"),1585.0)</f>
        <v>1585</v>
      </c>
      <c r="K579" s="54">
        <f>IFERROR(__xludf.DUMMYFUNCTION("IMPORTRANGE(""https://docs.google.com/spreadsheets/d/1_7EEO26q9Yq-XhNFiy7I6Zh4Yg6uGjTs9y0UqNvPKcQ/edit"",""22!e58"")"),18.0)</f>
        <v>18</v>
      </c>
      <c r="L579" s="40">
        <f t="shared" si="1591"/>
        <v>1603</v>
      </c>
      <c r="M579" s="40">
        <f t="shared" si="1592"/>
        <v>2631</v>
      </c>
      <c r="N579" s="41">
        <f t="shared" si="1593"/>
        <v>193.2401951</v>
      </c>
      <c r="O579" s="38">
        <v>1580.0</v>
      </c>
      <c r="P579" s="56">
        <f t="shared" si="1594"/>
        <v>1.665189873</v>
      </c>
      <c r="Q579" s="43">
        <v>1.5</v>
      </c>
      <c r="R579" s="42">
        <f t="shared" si="1595"/>
        <v>0.2213850373</v>
      </c>
      <c r="S579" s="44">
        <f t="shared" si="1596"/>
        <v>0.3320775559</v>
      </c>
      <c r="T579" s="43">
        <f>F579/26.805</f>
        <v>295.5735124</v>
      </c>
      <c r="U579" s="43">
        <f t="shared" si="1597"/>
        <v>7.209110059</v>
      </c>
      <c r="V579" s="40">
        <f t="shared" si="1598"/>
        <v>64.17073171</v>
      </c>
      <c r="X579" s="22">
        <v>1.0</v>
      </c>
      <c r="Y579" s="22" t="s">
        <v>28</v>
      </c>
      <c r="Z579" s="22">
        <f t="shared" ref="Z579:AI579" si="1607">SUM(D574)</f>
        <v>33</v>
      </c>
      <c r="AA579" s="23">
        <f t="shared" si="1607"/>
        <v>33</v>
      </c>
      <c r="AB579" s="25">
        <f t="shared" si="1607"/>
        <v>6374.348</v>
      </c>
      <c r="AC579" s="23">
        <f t="shared" si="1607"/>
        <v>2559</v>
      </c>
      <c r="AD579" s="23">
        <f t="shared" si="1607"/>
        <v>176</v>
      </c>
      <c r="AE579" s="23">
        <f t="shared" si="1607"/>
        <v>2735</v>
      </c>
      <c r="AF579" s="23">
        <f t="shared" si="1607"/>
        <v>3335</v>
      </c>
      <c r="AG579" s="23">
        <f t="shared" si="1607"/>
        <v>111</v>
      </c>
      <c r="AH579" s="23">
        <f t="shared" si="1607"/>
        <v>3446</v>
      </c>
      <c r="AI579" s="23">
        <f t="shared" si="1607"/>
        <v>6181</v>
      </c>
      <c r="AJ579" s="25">
        <f t="shared" ref="AJ579:AJ585" si="1610">AB579/AA579</f>
        <v>193.1620606</v>
      </c>
      <c r="AK579" s="22">
        <f t="shared" ref="AK579:AK580" si="1611">SUM(O574)</f>
        <v>7315</v>
      </c>
      <c r="AL579" s="26">
        <f t="shared" ref="AL579:AL585" si="1612">AI579/AK579</f>
        <v>0.8449760766</v>
      </c>
      <c r="AM579" s="27">
        <f t="shared" ref="AM579:AM580" si="1613">SUM(Q574)</f>
        <v>1.5</v>
      </c>
      <c r="AN579" s="26">
        <f t="shared" ref="AN579:AN585" si="1614">AO579/AM579</f>
        <v>0.6464451998</v>
      </c>
      <c r="AO579" s="28">
        <f t="shared" ref="AO579:AO585" si="1615">AI579/AB579</f>
        <v>0.9696677997</v>
      </c>
      <c r="AP579" s="27">
        <f t="shared" ref="AP579:AQ579" si="1608">SUM(T574)</f>
        <v>206.3096093</v>
      </c>
      <c r="AQ579" s="27">
        <f t="shared" si="1608"/>
        <v>6.251806344</v>
      </c>
      <c r="AR579" s="23">
        <f t="shared" ref="AR579:AR585" si="1617">AI579/AA579</f>
        <v>187.3030303</v>
      </c>
    </row>
    <row r="580" ht="15.75" customHeight="1">
      <c r="A580" s="21"/>
      <c r="B580" s="38">
        <v>8.0</v>
      </c>
      <c r="C580" s="38" t="s">
        <v>25</v>
      </c>
      <c r="D580" s="79">
        <v>32.0</v>
      </c>
      <c r="E580" s="40">
        <f>IFERROR(__xludf.DUMMYFUNCTION("COUNT(IMPORTRANGE(""https://docs.google.com/spreadsheets/d/1vLOLpiE-XsbnCnwWPcoi87PlUSXfqIAAQn3kvqHfO6s/edit"",""22!d2:D33""))"),32.0)</f>
        <v>32</v>
      </c>
      <c r="F580" s="45">
        <f>IFERROR(__xludf.DUMMYFUNCTION("SUM(IMPORTRANGE(""https://docs.google.com/spreadsheets/d/1vLOLpiE-XsbnCnwWPcoi87PlUSXfqIAAQn3kvqHfO6s/edit"",""22!Q2:Q33""))"),5426.252)</f>
        <v>5426.252</v>
      </c>
      <c r="G580" s="40">
        <f>IFERROR(__xludf.DUMMYFUNCTION("IMPORTRANGE(""https://docs.google.com/spreadsheets/d/1vLOLpiE-XsbnCnwWPcoi87PlUSXfqIAAQn3kvqHfO6s/edit"",""22!e40"")"),2196.0)</f>
        <v>2196</v>
      </c>
      <c r="H580" s="40">
        <f>IFERROR(__xludf.DUMMYFUNCTION("IMPORTRANGE(""https://docs.google.com/spreadsheets/d/1vLOLpiE-XsbnCnwWPcoi87PlUSXfqIAAQn3kvqHfO6s/edit"",""22!e41"")"),525.0)</f>
        <v>525</v>
      </c>
      <c r="I580" s="40">
        <f t="shared" si="1590"/>
        <v>2721</v>
      </c>
      <c r="J580" s="40">
        <f>IFERROR(__xludf.DUMMYFUNCTION("IMPORTRANGE(""https://docs.google.com/spreadsheets/d/1vLOLpiE-XsbnCnwWPcoi87PlUSXfqIAAQn3kvqHfO6s/edit"",""22!e44"")"),2874.0)</f>
        <v>2874</v>
      </c>
      <c r="K580" s="40">
        <f>IFERROR(__xludf.DUMMYFUNCTION("IMPORTRANGE(""https://docs.google.com/spreadsheets/d/1vLOLpiE-XsbnCnwWPcoi87PlUSXfqIAAQn3kvqHfO6s/edit"",""22!e45"")"),248.0)</f>
        <v>248</v>
      </c>
      <c r="L580" s="40">
        <f>J580+K580</f>
        <v>3122</v>
      </c>
      <c r="M580" s="40">
        <f t="shared" si="1592"/>
        <v>5843</v>
      </c>
      <c r="N580" s="41">
        <f t="shared" si="1593"/>
        <v>169.570375</v>
      </c>
      <c r="O580" s="38">
        <v>6622.0</v>
      </c>
      <c r="P580" s="42">
        <f t="shared" si="1594"/>
        <v>0.8823618242</v>
      </c>
      <c r="Q580" s="43">
        <v>1.5</v>
      </c>
      <c r="R580" s="42">
        <f t="shared" si="1595"/>
        <v>0.7178681221</v>
      </c>
      <c r="S580" s="44">
        <f t="shared" si="1596"/>
        <v>1.076802183</v>
      </c>
      <c r="T580" s="43">
        <f>F580/23.84</f>
        <v>227.6112416</v>
      </c>
      <c r="U580" s="43">
        <f t="shared" si="1597"/>
        <v>7.1128513</v>
      </c>
      <c r="V580" s="40">
        <f t="shared" si="1598"/>
        <v>182.59375</v>
      </c>
      <c r="X580" s="31">
        <v>2.0</v>
      </c>
      <c r="Y580" s="31" t="s">
        <v>30</v>
      </c>
      <c r="Z580" s="31">
        <f t="shared" ref="Z580:AI580" si="1609">SUM(D575)</f>
        <v>60</v>
      </c>
      <c r="AA580" s="32">
        <f t="shared" si="1609"/>
        <v>58</v>
      </c>
      <c r="AB580" s="33">
        <f t="shared" si="1609"/>
        <v>11587.472</v>
      </c>
      <c r="AC580" s="32">
        <f t="shared" si="1609"/>
        <v>3637</v>
      </c>
      <c r="AD580" s="32">
        <f t="shared" si="1609"/>
        <v>0</v>
      </c>
      <c r="AE580" s="32">
        <f t="shared" si="1609"/>
        <v>3637</v>
      </c>
      <c r="AF580" s="32">
        <f t="shared" si="1609"/>
        <v>5616</v>
      </c>
      <c r="AG580" s="32">
        <f t="shared" si="1609"/>
        <v>0</v>
      </c>
      <c r="AH580" s="32">
        <f t="shared" si="1609"/>
        <v>5616</v>
      </c>
      <c r="AI580" s="32">
        <f t="shared" si="1609"/>
        <v>9253</v>
      </c>
      <c r="AJ580" s="34">
        <f t="shared" si="1610"/>
        <v>199.784</v>
      </c>
      <c r="AK580" s="31">
        <f t="shared" si="1611"/>
        <v>11164</v>
      </c>
      <c r="AL580" s="35">
        <f t="shared" si="1612"/>
        <v>0.828824794</v>
      </c>
      <c r="AM580" s="36">
        <f t="shared" si="1613"/>
        <v>1.5</v>
      </c>
      <c r="AN580" s="35">
        <f t="shared" si="1614"/>
        <v>0.5323565543</v>
      </c>
      <c r="AO580" s="37">
        <f t="shared" si="1615"/>
        <v>0.7985348314</v>
      </c>
      <c r="AP580" s="36">
        <f t="shared" ref="AP580:AQ580" si="1616">SUM(T575)</f>
        <v>391.4289768</v>
      </c>
      <c r="AQ580" s="36">
        <f t="shared" si="1616"/>
        <v>6.748775462</v>
      </c>
      <c r="AR580" s="32">
        <f t="shared" si="1617"/>
        <v>159.5344828</v>
      </c>
    </row>
    <row r="581" ht="15.75" customHeight="1">
      <c r="A581" s="21"/>
      <c r="B581" s="38">
        <v>9.0</v>
      </c>
      <c r="C581" s="38" t="s">
        <v>36</v>
      </c>
      <c r="D581" s="79">
        <v>29.0</v>
      </c>
      <c r="E581" s="40">
        <f>IFERROR(__xludf.DUMMYFUNCTION("COUNT(IMPORTRANGE(""https://docs.google.com/spreadsheets/d/1WJJVq25XDtGjt-J2JPxeKs3jIvDZtkIREC0lFPXwf74/edit"",""22!d2:d31""))"),28.0)</f>
        <v>28</v>
      </c>
      <c r="F581" s="45">
        <f>IFERROR(__xludf.DUMMYFUNCTION("SUM(IMPORTRANGE(""https://docs.google.com/spreadsheets/d/1WJJVq25XDtGjt-J2JPxeKs3jIvDZtkIREC0lFPXwf74/edit"",""22!Q2:Q31""))"),5566.705999999997)</f>
        <v>5566.706</v>
      </c>
      <c r="G581" s="40">
        <f>IFERROR(__xludf.DUMMYFUNCTION("IMPORTRANGE(""https://docs.google.com/spreadsheets/d/1WJJVq25XDtGjt-J2JPxeKs3jIvDZtkIREC0lFPXwf74/edit"",""22!e38"")"),1579.0)</f>
        <v>1579</v>
      </c>
      <c r="H581" s="40">
        <f>IFERROR(__xludf.DUMMYFUNCTION("IMPORTRANGE(""https://docs.google.com/spreadsheets/d/1WJJVq25XDtGjt-J2JPxeKs3jIvDZtkIREC0lFPXwf74/edit"",""22!e39"")"),0.0)</f>
        <v>0</v>
      </c>
      <c r="I581" s="40">
        <f t="shared" si="1590"/>
        <v>1579</v>
      </c>
      <c r="J581" s="40">
        <f>IFERROR(__xludf.DUMMYFUNCTION("IMPORTRANGE(""https://docs.google.com/spreadsheets/d/1WJJVq25XDtGjt-J2JPxeKs3jIvDZtkIREC0lFPXwf74/edit"",""22!e42"")"),2410.0)</f>
        <v>2410</v>
      </c>
      <c r="K581" s="40">
        <f>IFERROR(__xludf.DUMMYFUNCTION("IMPORTRANGE(""https://docs.google.com/spreadsheets/d/1WJJVq25XDtGjt-J2JPxeKs3jIvDZtkIREC0lFPXwf74/edit"",""22!e43"")"),0.0)</f>
        <v>0</v>
      </c>
      <c r="L581" s="40">
        <f t="shared" ref="L581:L590" si="1620">SUM(J581:K581)</f>
        <v>2410</v>
      </c>
      <c r="M581" s="40">
        <f t="shared" si="1592"/>
        <v>3989</v>
      </c>
      <c r="N581" s="41">
        <f t="shared" si="1593"/>
        <v>198.8109286</v>
      </c>
      <c r="O581" s="38">
        <v>4796.0</v>
      </c>
      <c r="P581" s="42">
        <f t="shared" si="1594"/>
        <v>0.831734779</v>
      </c>
      <c r="Q581" s="43">
        <v>1.5</v>
      </c>
      <c r="R581" s="42">
        <f t="shared" si="1595"/>
        <v>0.4777211754</v>
      </c>
      <c r="S581" s="44">
        <f t="shared" si="1596"/>
        <v>0.7165817631</v>
      </c>
      <c r="T581" s="43">
        <f>F581/37.414</f>
        <v>148.7867109</v>
      </c>
      <c r="U581" s="43">
        <f t="shared" si="1597"/>
        <v>5.313811102</v>
      </c>
      <c r="V581" s="40">
        <f t="shared" si="1598"/>
        <v>142.4642857</v>
      </c>
      <c r="X581" s="22">
        <v>3.0</v>
      </c>
      <c r="Y581" s="22" t="s">
        <v>34</v>
      </c>
      <c r="Z581" s="22">
        <f t="shared" ref="Z581:AI581" si="1618">SUM(D577)</f>
        <v>40</v>
      </c>
      <c r="AA581" s="23">
        <f t="shared" si="1618"/>
        <v>40</v>
      </c>
      <c r="AB581" s="24">
        <f t="shared" si="1618"/>
        <v>8008.731</v>
      </c>
      <c r="AC581" s="23">
        <f t="shared" si="1618"/>
        <v>3030</v>
      </c>
      <c r="AD581" s="23">
        <f t="shared" si="1618"/>
        <v>0</v>
      </c>
      <c r="AE581" s="23">
        <f t="shared" si="1618"/>
        <v>3030</v>
      </c>
      <c r="AF581" s="23">
        <f t="shared" si="1618"/>
        <v>3430</v>
      </c>
      <c r="AG581" s="23">
        <f t="shared" si="1618"/>
        <v>0</v>
      </c>
      <c r="AH581" s="23">
        <f t="shared" si="1618"/>
        <v>3430</v>
      </c>
      <c r="AI581" s="23">
        <f t="shared" si="1618"/>
        <v>6460</v>
      </c>
      <c r="AJ581" s="25">
        <f t="shared" si="1610"/>
        <v>200.218275</v>
      </c>
      <c r="AK581" s="22">
        <f>SUM(O577)</f>
        <v>9354</v>
      </c>
      <c r="AL581" s="26">
        <f t="shared" si="1612"/>
        <v>0.6906136412</v>
      </c>
      <c r="AM581" s="27">
        <f>SUM(Q577)</f>
        <v>1.5</v>
      </c>
      <c r="AN581" s="26">
        <f t="shared" si="1614"/>
        <v>0.5377464503</v>
      </c>
      <c r="AO581" s="28">
        <f t="shared" si="1615"/>
        <v>0.8066196755</v>
      </c>
      <c r="AP581" s="27">
        <f t="shared" ref="AP581:AQ581" si="1619">SUM(T577)</f>
        <v>260.7602969</v>
      </c>
      <c r="AQ581" s="27">
        <f t="shared" si="1619"/>
        <v>6.519007424</v>
      </c>
      <c r="AR581" s="23">
        <f t="shared" si="1617"/>
        <v>161.5</v>
      </c>
    </row>
    <row r="582" ht="15.75" customHeight="1">
      <c r="A582" s="21"/>
      <c r="B582" s="38">
        <v>10.0</v>
      </c>
      <c r="C582" s="38" t="s">
        <v>37</v>
      </c>
      <c r="D582" s="78">
        <v>30.0</v>
      </c>
      <c r="E582" s="40">
        <f>IFERROR(__xludf.DUMMYFUNCTION("COUNT(IMPORTRANGE(""https://docs.google.com/spreadsheets/d/1rJyYfywRpWJW0zvDJHLOJtqUQqffoCGaqTVxxTDgV0k/edit"",""22!d2:d31""))"),30.0)</f>
        <v>30</v>
      </c>
      <c r="F582" s="45">
        <f>IFERROR(__xludf.DUMMYFUNCTION("SUM(IMPORTRANGE(""https://docs.google.com/spreadsheets/d/1rJyYfywRpWJW0zvDJHLOJtqUQqffoCGaqTVxxTDgV0k/edit"",""22!Q2:Q31""))"),5960.940000000002)</f>
        <v>5960.94</v>
      </c>
      <c r="G582" s="40">
        <f>IFERROR(__xludf.DUMMYFUNCTION("(IMPORTRANGE(""https://docs.google.com/spreadsheets/d/1rJyYfywRpWJW0zvDJHLOJtqUQqffoCGaqTVxxTDgV0k/edit"",""22!e38""))"),2277.0)</f>
        <v>2277</v>
      </c>
      <c r="H582" s="40">
        <f>IFERROR(__xludf.DUMMYFUNCTION("(IMPORTRANGE(""https://docs.google.com/spreadsheets/d/1rJyYfywRpWJW0zvDJHLOJtqUQqffoCGaqTVxxTDgV0k/edit"",""22!e39""))"),0.0)</f>
        <v>0</v>
      </c>
      <c r="I582" s="40">
        <f t="shared" si="1590"/>
        <v>2277</v>
      </c>
      <c r="J582" s="40">
        <f>IFERROR(__xludf.DUMMYFUNCTION("(IMPORTRANGE(""https://docs.google.com/spreadsheets/d/1rJyYfywRpWJW0zvDJHLOJtqUQqffoCGaqTVxxTDgV0k/edit"",""22!e42""))"),2934.0)</f>
        <v>2934</v>
      </c>
      <c r="K582" s="40">
        <f>IFERROR(__xludf.DUMMYFUNCTION("(IMPORTRANGE(""https://docs.google.com/spreadsheets/d/1rJyYfywRpWJW0zvDJHLOJtqUQqffoCGaqTVxxTDgV0k/edit"",""22!e43""))"),0.0)</f>
        <v>0</v>
      </c>
      <c r="L582" s="40">
        <f t="shared" si="1620"/>
        <v>2934</v>
      </c>
      <c r="M582" s="40">
        <f t="shared" si="1592"/>
        <v>5211</v>
      </c>
      <c r="N582" s="41">
        <f t="shared" si="1593"/>
        <v>198.698</v>
      </c>
      <c r="O582" s="38">
        <v>5887.0</v>
      </c>
      <c r="P582" s="42">
        <f t="shared" si="1594"/>
        <v>0.8851707151</v>
      </c>
      <c r="Q582" s="43">
        <v>1.5</v>
      </c>
      <c r="R582" s="42">
        <f t="shared" si="1595"/>
        <v>0.5827939889</v>
      </c>
      <c r="S582" s="44">
        <f t="shared" si="1596"/>
        <v>0.8741909833</v>
      </c>
      <c r="T582" s="43">
        <f>F582/24.792</f>
        <v>240.4380445</v>
      </c>
      <c r="U582" s="43">
        <f t="shared" si="1597"/>
        <v>8.014601484</v>
      </c>
      <c r="V582" s="40">
        <f t="shared" si="1598"/>
        <v>173.7</v>
      </c>
      <c r="X582" s="31">
        <v>4.0</v>
      </c>
      <c r="Y582" s="31" t="s">
        <v>38</v>
      </c>
      <c r="Z582" s="31">
        <f t="shared" ref="Z582:AI582" si="1621">SUM(D585)</f>
        <v>30</v>
      </c>
      <c r="AA582" s="32">
        <f t="shared" si="1621"/>
        <v>30</v>
      </c>
      <c r="AB582" s="33">
        <f t="shared" si="1621"/>
        <v>6325.483</v>
      </c>
      <c r="AC582" s="32">
        <f t="shared" si="1621"/>
        <v>2259</v>
      </c>
      <c r="AD582" s="32">
        <f t="shared" si="1621"/>
        <v>0</v>
      </c>
      <c r="AE582" s="32">
        <f t="shared" si="1621"/>
        <v>2259</v>
      </c>
      <c r="AF582" s="32">
        <f t="shared" si="1621"/>
        <v>2532</v>
      </c>
      <c r="AG582" s="32">
        <f t="shared" si="1621"/>
        <v>117</v>
      </c>
      <c r="AH582" s="32">
        <f t="shared" si="1621"/>
        <v>2649</v>
      </c>
      <c r="AI582" s="32">
        <f t="shared" si="1621"/>
        <v>4908</v>
      </c>
      <c r="AJ582" s="34">
        <f t="shared" si="1610"/>
        <v>210.8494333</v>
      </c>
      <c r="AK582" s="31">
        <v>7324.0</v>
      </c>
      <c r="AL582" s="35">
        <f t="shared" si="1612"/>
        <v>0.6701256144</v>
      </c>
      <c r="AM582" s="36">
        <f>SUM(Q585)</f>
        <v>1.5</v>
      </c>
      <c r="AN582" s="35">
        <f t="shared" si="1614"/>
        <v>0.5172727521</v>
      </c>
      <c r="AO582" s="37">
        <f t="shared" si="1615"/>
        <v>0.7759091282</v>
      </c>
      <c r="AP582" s="36">
        <f t="shared" ref="AP582:AQ582" si="1622">SUM(T585)</f>
        <v>153.5125106</v>
      </c>
      <c r="AQ582" s="36">
        <f t="shared" si="1622"/>
        <v>5.117083687</v>
      </c>
      <c r="AR582" s="32">
        <f t="shared" si="1617"/>
        <v>163.6</v>
      </c>
    </row>
    <row r="583" ht="15.75" customHeight="1">
      <c r="A583" s="21"/>
      <c r="B583" s="38">
        <v>12.0</v>
      </c>
      <c r="C583" s="38" t="s">
        <v>39</v>
      </c>
      <c r="D583" s="78">
        <v>28.0</v>
      </c>
      <c r="E583" s="40">
        <f>IFERROR(__xludf.DUMMYFUNCTION("COUNT(IMPORTRANGE(""https://docs.google.com/spreadsheets/d/1uaTn2DZCfr7O1PvovOd0wElzVz8kpl_iPfnrkNPp0Is/edit"",""22!d2:d29""))"),26.0)</f>
        <v>26</v>
      </c>
      <c r="F583" s="45">
        <f>IFERROR(__xludf.DUMMYFUNCTION("SUM(IMPORTRANGE(""https://docs.google.com/spreadsheets/d/1uaTn2DZCfr7O1PvovOd0wElzVz8kpl_iPfnrkNPp0Is/edit"",""22!Q2:Q29""))"),5094.007000000001)</f>
        <v>5094.007</v>
      </c>
      <c r="G583" s="40">
        <f>IFERROR(__xludf.DUMMYFUNCTION("IMPORTRANGE(""https://docs.google.com/spreadsheets/d/1uaTn2DZCfr7O1PvovOd0wElzVz8kpl_iPfnrkNPp0Is/edit"",""22!e36"")"),1379.0)</f>
        <v>1379</v>
      </c>
      <c r="H583" s="40">
        <f>IFERROR(__xludf.DUMMYFUNCTION("(IMPORTRANGE(""https://docs.google.com/spreadsheets/d/1uaTn2DZCfr7O1PvovOd0wElzVz8kpl_iPfnrkNPp0Is/edit"",""22!e37""))"),0.0)</f>
        <v>0</v>
      </c>
      <c r="I583" s="40">
        <f t="shared" si="1590"/>
        <v>1379</v>
      </c>
      <c r="J583" s="40">
        <f>IFERROR(__xludf.DUMMYFUNCTION("IMPORTRANGE(""https://docs.google.com/spreadsheets/d/1uaTn2DZCfr7O1PvovOd0wElzVz8kpl_iPfnrkNPp0Is/edit"",""22!e40"")"),1566.0)</f>
        <v>1566</v>
      </c>
      <c r="K583" s="40">
        <f>IFERROR(__xludf.DUMMYFUNCTION("IMPORTRANGE(""https://docs.google.com/spreadsheets/d/1uaTn2DZCfr7O1PvovOd0wElzVz8kpl_iPfnrkNPp0Is/edit"",""22!e41"")"),0.0)</f>
        <v>0</v>
      </c>
      <c r="L583" s="40">
        <f t="shared" si="1620"/>
        <v>1566</v>
      </c>
      <c r="M583" s="40">
        <f t="shared" si="1592"/>
        <v>2945</v>
      </c>
      <c r="N583" s="41">
        <f t="shared" si="1593"/>
        <v>195.9233462</v>
      </c>
      <c r="O583" s="38">
        <v>3569.0</v>
      </c>
      <c r="P583" s="42">
        <f t="shared" si="1594"/>
        <v>0.8251611096</v>
      </c>
      <c r="Q583" s="43">
        <v>1.5</v>
      </c>
      <c r="R583" s="42">
        <f t="shared" si="1595"/>
        <v>0.3854202268</v>
      </c>
      <c r="S583" s="44">
        <f t="shared" si="1596"/>
        <v>0.5781303402</v>
      </c>
      <c r="T583" s="43">
        <f>F583/21.463</f>
        <v>237.339002</v>
      </c>
      <c r="U583" s="43">
        <f t="shared" si="1597"/>
        <v>9.128423154</v>
      </c>
      <c r="V583" s="40">
        <f t="shared" si="1598"/>
        <v>113.2692308</v>
      </c>
      <c r="X583" s="31">
        <v>5.0</v>
      </c>
      <c r="Y583" s="31" t="s">
        <v>40</v>
      </c>
      <c r="Z583" s="31">
        <f t="shared" ref="Z583:AI583" si="1623">SUM(D587)</f>
        <v>30</v>
      </c>
      <c r="AA583" s="32">
        <f t="shared" si="1623"/>
        <v>30</v>
      </c>
      <c r="AB583" s="33">
        <f t="shared" si="1623"/>
        <v>5788.817</v>
      </c>
      <c r="AC583" s="32">
        <f t="shared" si="1623"/>
        <v>3226</v>
      </c>
      <c r="AD583" s="32">
        <f t="shared" si="1623"/>
        <v>48</v>
      </c>
      <c r="AE583" s="32">
        <f t="shared" si="1623"/>
        <v>3274</v>
      </c>
      <c r="AF583" s="32">
        <f t="shared" si="1623"/>
        <v>3983</v>
      </c>
      <c r="AG583" s="32">
        <f t="shared" si="1623"/>
        <v>35</v>
      </c>
      <c r="AH583" s="32">
        <f t="shared" si="1623"/>
        <v>4018</v>
      </c>
      <c r="AI583" s="32">
        <f t="shared" si="1623"/>
        <v>7292</v>
      </c>
      <c r="AJ583" s="34">
        <f t="shared" si="1610"/>
        <v>192.9605667</v>
      </c>
      <c r="AK583" s="31">
        <f t="shared" ref="AK583:AK584" si="1626">SUM(O587)</f>
        <v>8239</v>
      </c>
      <c r="AL583" s="35">
        <f t="shared" si="1612"/>
        <v>0.8850588664</v>
      </c>
      <c r="AM583" s="36">
        <f t="shared" ref="AM583:AM584" si="1627">SUM(Q587)</f>
        <v>1.5</v>
      </c>
      <c r="AN583" s="35">
        <f t="shared" si="1614"/>
        <v>0.8397801025</v>
      </c>
      <c r="AO583" s="37">
        <f t="shared" si="1615"/>
        <v>1.259670154</v>
      </c>
      <c r="AP583" s="36">
        <f t="shared" ref="AP583:AQ583" si="1624">SUM(T587)</f>
        <v>203.5234328</v>
      </c>
      <c r="AQ583" s="36">
        <f t="shared" si="1624"/>
        <v>6.784114428</v>
      </c>
      <c r="AR583" s="32">
        <f t="shared" si="1617"/>
        <v>243.0666667</v>
      </c>
    </row>
    <row r="584" ht="15.75" customHeight="1">
      <c r="A584" s="21"/>
      <c r="B584" s="38">
        <v>12.0</v>
      </c>
      <c r="C584" s="38" t="s">
        <v>41</v>
      </c>
      <c r="D584" s="78">
        <v>24.0</v>
      </c>
      <c r="E584" s="40">
        <f>IFERROR(__xludf.DUMMYFUNCTION("COUNT(IMPORTRANGE(""https://docs.google.com/spreadsheets/d/1oYscvfOJW7GMkxt8QcupWuzb3ohaYePd3Mt2V2ufHok/edit"",""22!d2:d25""))"),23.0)</f>
        <v>23</v>
      </c>
      <c r="F584" s="45">
        <f>IFERROR(__xludf.DUMMYFUNCTION("SUM(IMPORTRANGE(""https://docs.google.com/spreadsheets/d/1oYscvfOJW7GMkxt8QcupWuzb3ohaYePd3Mt2V2ufHok/edit"",""22!Q2:Q25""))"),4602.216000000001)</f>
        <v>4602.216</v>
      </c>
      <c r="G584" s="40">
        <f>IFERROR(__xludf.DUMMYFUNCTION("IMPORTRANGE(""https://docs.google.com/spreadsheets/d/1oYscvfOJW7GMkxt8QcupWuzb3ohaYePd3Mt2V2ufHok/edit"",""22!e32"")"),1346.0)</f>
        <v>1346</v>
      </c>
      <c r="H584" s="40">
        <f>IFERROR(__xludf.DUMMYFUNCTION("IMPORTRANGE(""https://docs.google.com/spreadsheets/d/1oYscvfOJW7GMkxt8QcupWuzb3ohaYePd3Mt2V2ufHok/edit"",""22!e33"")"),0.0)</f>
        <v>0</v>
      </c>
      <c r="I584" s="40">
        <f t="shared" si="1590"/>
        <v>1346</v>
      </c>
      <c r="J584" s="40">
        <f>IFERROR(__xludf.DUMMYFUNCTION("IMPORTRANGE(""https://docs.google.com/spreadsheets/d/1oYscvfOJW7GMkxt8QcupWuzb3ohaYePd3Mt2V2ufHok/edit"",""22!e36"")"),1753.0)</f>
        <v>1753</v>
      </c>
      <c r="K584" s="40">
        <f>IFERROR(__xludf.DUMMYFUNCTION("IMPORTRANGE(""https://docs.google.com/spreadsheets/d/1oYscvfOJW7GMkxt8QcupWuzb3ohaYePd3Mt2V2ufHok/edit"",""22!e37"")"),0.0)</f>
        <v>0</v>
      </c>
      <c r="L584" s="40">
        <f t="shared" si="1620"/>
        <v>1753</v>
      </c>
      <c r="M584" s="40">
        <f t="shared" si="1592"/>
        <v>3099</v>
      </c>
      <c r="N584" s="41">
        <f t="shared" si="1593"/>
        <v>200.0963478</v>
      </c>
      <c r="O584" s="38">
        <v>3801.0</v>
      </c>
      <c r="P584" s="42">
        <f t="shared" si="1594"/>
        <v>0.8153117601</v>
      </c>
      <c r="Q584" s="43">
        <v>1.5</v>
      </c>
      <c r="R584" s="42">
        <f t="shared" si="1595"/>
        <v>0.4489141753</v>
      </c>
      <c r="S584" s="44">
        <f t="shared" si="1596"/>
        <v>0.6733712629</v>
      </c>
      <c r="T584" s="43">
        <f>F584/29.628</f>
        <v>155.3333333</v>
      </c>
      <c r="U584" s="43">
        <f t="shared" si="1597"/>
        <v>6.753623188</v>
      </c>
      <c r="V584" s="40">
        <f t="shared" si="1598"/>
        <v>134.7391304</v>
      </c>
      <c r="X584" s="22">
        <v>6.0</v>
      </c>
      <c r="Y584" s="22" t="s">
        <v>42</v>
      </c>
      <c r="Z584" s="22">
        <f t="shared" ref="Z584:AI584" si="1625">SUM(D588)</f>
        <v>33</v>
      </c>
      <c r="AA584" s="23">
        <f t="shared" si="1625"/>
        <v>31</v>
      </c>
      <c r="AB584" s="24">
        <f t="shared" si="1625"/>
        <v>6049.498</v>
      </c>
      <c r="AC584" s="23">
        <f t="shared" si="1625"/>
        <v>2986</v>
      </c>
      <c r="AD584" s="23">
        <f t="shared" si="1625"/>
        <v>0</v>
      </c>
      <c r="AE584" s="23">
        <f t="shared" si="1625"/>
        <v>2986</v>
      </c>
      <c r="AF584" s="23">
        <f t="shared" si="1625"/>
        <v>4481</v>
      </c>
      <c r="AG584" s="23">
        <f t="shared" si="1625"/>
        <v>0</v>
      </c>
      <c r="AH584" s="23">
        <f t="shared" si="1625"/>
        <v>4481</v>
      </c>
      <c r="AI584" s="23">
        <f t="shared" si="1625"/>
        <v>7467</v>
      </c>
      <c r="AJ584" s="25">
        <f t="shared" si="1610"/>
        <v>195.1450968</v>
      </c>
      <c r="AK584" s="22">
        <f t="shared" si="1626"/>
        <v>9877</v>
      </c>
      <c r="AL584" s="26">
        <f t="shared" si="1612"/>
        <v>0.7559987851</v>
      </c>
      <c r="AM584" s="27">
        <f t="shared" si="1627"/>
        <v>1.5</v>
      </c>
      <c r="AN584" s="26">
        <f t="shared" si="1614"/>
        <v>0.8228781958</v>
      </c>
      <c r="AO584" s="28">
        <f t="shared" si="1615"/>
        <v>1.234317294</v>
      </c>
      <c r="AP584" s="27">
        <f t="shared" ref="AP584:AQ584" si="1628">SUM(T588)</f>
        <v>231.2941311</v>
      </c>
      <c r="AQ584" s="27">
        <f t="shared" si="1628"/>
        <v>7.461101005</v>
      </c>
      <c r="AR584" s="23">
        <f t="shared" si="1617"/>
        <v>240.8709677</v>
      </c>
    </row>
    <row r="585" ht="15.75" customHeight="1">
      <c r="A585" s="21"/>
      <c r="B585" s="38">
        <v>13.0</v>
      </c>
      <c r="C585" s="38" t="s">
        <v>43</v>
      </c>
      <c r="D585" s="78">
        <v>30.0</v>
      </c>
      <c r="E585" s="40">
        <f>IFERROR(__xludf.DUMMYFUNCTION("COUNT(IMPORTRANGE(""https://docs.google.com/spreadsheets/d/1AxBmuQEdOYAeRnZ4C8vO6kuTNp7X_SGhpLXuY0n4ln4/edit"",""22!d2:d31""))"),30.0)</f>
        <v>30</v>
      </c>
      <c r="F585" s="45">
        <f>IFERROR(__xludf.DUMMYFUNCTION("SUM(IMPORTRANGE(""https://docs.google.com/spreadsheets/d/1AxBmuQEdOYAeRnZ4C8vO6kuTNp7X_SGhpLXuY0n4ln4/edit"",""22!Q2:Q31""))"),6325.482999999998)</f>
        <v>6325.483</v>
      </c>
      <c r="G585" s="40">
        <f>IFERROR(__xludf.DUMMYFUNCTION("IMPORTRANGE(""https://docs.google.com/spreadsheets/d/1AxBmuQEdOYAeRnZ4C8vO6kuTNp7X_SGhpLXuY0n4ln4/edit"",""22!e38"")"),2259.0)</f>
        <v>2259</v>
      </c>
      <c r="H585" s="40">
        <f>IFERROR(__xludf.DUMMYFUNCTION("IMPORTRANGE(""https://docs.google.com/spreadsheets/d/1AxBmuQEdOYAeRnZ4C8vO6kuTNp7X_SGhpLXuY0n4ln4/edit"",""22!e39"")"),0.0)</f>
        <v>0</v>
      </c>
      <c r="I585" s="40">
        <f t="shared" si="1590"/>
        <v>2259</v>
      </c>
      <c r="J585" s="40">
        <f>IFERROR(__xludf.DUMMYFUNCTION("IMPORTRANGE(""https://docs.google.com/spreadsheets/d/1AxBmuQEdOYAeRnZ4C8vO6kuTNp7X_SGhpLXuY0n4ln4/edit"",""22!e42"")"),2532.0)</f>
        <v>2532</v>
      </c>
      <c r="K585" s="40">
        <f>IFERROR(__xludf.DUMMYFUNCTION("IMPORTRANGE(""https://docs.google.com/spreadsheets/d/1AxBmuQEdOYAeRnZ4C8vO6kuTNp7X_SGhpLXuY0n4ln4/edit"",""22!e43"")"),117.0)</f>
        <v>117</v>
      </c>
      <c r="L585" s="40">
        <f t="shared" si="1620"/>
        <v>2649</v>
      </c>
      <c r="M585" s="40">
        <f t="shared" si="1592"/>
        <v>4908</v>
      </c>
      <c r="N585" s="41">
        <f t="shared" si="1593"/>
        <v>210.8494333</v>
      </c>
      <c r="O585" s="38">
        <v>8345.0</v>
      </c>
      <c r="P585" s="42">
        <f t="shared" si="1594"/>
        <v>0.5881366087</v>
      </c>
      <c r="Q585" s="43">
        <v>1.5</v>
      </c>
      <c r="R585" s="42">
        <f t="shared" si="1595"/>
        <v>0.5172727521</v>
      </c>
      <c r="S585" s="44">
        <f t="shared" si="1596"/>
        <v>0.7759091282</v>
      </c>
      <c r="T585" s="43">
        <f>F585/41.205</f>
        <v>153.5125106</v>
      </c>
      <c r="U585" s="43">
        <f t="shared" si="1597"/>
        <v>5.117083687</v>
      </c>
      <c r="V585" s="40">
        <f t="shared" si="1598"/>
        <v>163.6</v>
      </c>
      <c r="X585" s="46" t="s">
        <v>33</v>
      </c>
      <c r="Y585" s="46">
        <v>6.0</v>
      </c>
      <c r="Z585" s="46">
        <f t="shared" ref="Z585:AI585" si="1629">SUM(Z579:Z584)</f>
        <v>226</v>
      </c>
      <c r="AA585" s="47">
        <f t="shared" si="1629"/>
        <v>222</v>
      </c>
      <c r="AB585" s="49">
        <f t="shared" si="1629"/>
        <v>44134.349</v>
      </c>
      <c r="AC585" s="47">
        <f t="shared" si="1629"/>
        <v>17697</v>
      </c>
      <c r="AD585" s="47">
        <f t="shared" si="1629"/>
        <v>224</v>
      </c>
      <c r="AE585" s="47">
        <f t="shared" si="1629"/>
        <v>17921</v>
      </c>
      <c r="AF585" s="47">
        <f t="shared" si="1629"/>
        <v>23377</v>
      </c>
      <c r="AG585" s="47">
        <f t="shared" si="1629"/>
        <v>263</v>
      </c>
      <c r="AH585" s="47">
        <f t="shared" si="1629"/>
        <v>23640</v>
      </c>
      <c r="AI585" s="47">
        <f t="shared" si="1629"/>
        <v>41561</v>
      </c>
      <c r="AJ585" s="49">
        <f t="shared" si="1610"/>
        <v>198.8033739</v>
      </c>
      <c r="AK585" s="46">
        <f>SUM(AK579:AK584)</f>
        <v>53273</v>
      </c>
      <c r="AL585" s="50">
        <f t="shared" si="1612"/>
        <v>0.7801512962</v>
      </c>
      <c r="AM585" s="51">
        <v>1.5</v>
      </c>
      <c r="AN585" s="50">
        <f t="shared" si="1614"/>
        <v>0.6277952198</v>
      </c>
      <c r="AO585" s="52">
        <f t="shared" si="1615"/>
        <v>0.9416928298</v>
      </c>
      <c r="AP585" s="51">
        <f>SUM(AP579:AP584)</f>
        <v>1446.828958</v>
      </c>
      <c r="AQ585" s="51">
        <f>AP585/AA585</f>
        <v>6.517247557</v>
      </c>
      <c r="AR585" s="47">
        <f t="shared" si="1617"/>
        <v>187.2117117</v>
      </c>
    </row>
    <row r="586" ht="15.75" customHeight="1">
      <c r="A586" s="21"/>
      <c r="B586" s="38">
        <v>14.0</v>
      </c>
      <c r="C586" s="38" t="s">
        <v>27</v>
      </c>
      <c r="D586" s="78">
        <v>30.0</v>
      </c>
      <c r="E586" s="40">
        <f>IFERROR(__xludf.DUMMYFUNCTION("COUNT(IMPORTRANGE(""https://docs.google.com/spreadsheets/d/1LsL4JuXvBtfJ-TVi4NFml9lV_pmd61b789A_nbO-QrA/edit"",""22!d2:d31""))"),30.0)</f>
        <v>30</v>
      </c>
      <c r="F586" s="45">
        <f>IFERROR(__xludf.DUMMYFUNCTION("SUM(IMPORTRANGE(""https://docs.google.com/spreadsheets/d/1LsL4JuXvBtfJ-TVi4NFml9lV_pmd61b789A_nbO-QrA/edit"",""22!Q2:Q31""))"),5551.722999999998)</f>
        <v>5551.723</v>
      </c>
      <c r="G586" s="40">
        <f>IFERROR(__xludf.DUMMYFUNCTION("IMPORTRANGE(""https://docs.google.com/spreadsheets/d/1LsL4JuXvBtfJ-TVi4NFml9lV_pmd61b789A_nbO-QrA/edit"",""22!e38"")"),2142.0)</f>
        <v>2142</v>
      </c>
      <c r="H586" s="40">
        <f>IFERROR(__xludf.DUMMYFUNCTION("IMPORTRANGE(""https://docs.google.com/spreadsheets/d/1LsL4JuXvBtfJ-TVi4NFml9lV_pmd61b789A_nbO-QrA/edit"",""22!e39"")"),30.0)</f>
        <v>30</v>
      </c>
      <c r="I586" s="40">
        <f t="shared" si="1590"/>
        <v>2172</v>
      </c>
      <c r="J586" s="40">
        <f>IFERROR(__xludf.DUMMYFUNCTION("IMPORTRANGE(""https://docs.google.com/spreadsheets/d/1LsL4JuXvBtfJ-TVi4NFml9lV_pmd61b789A_nbO-QrA/edit"",""22!e42"")"),3314.0)</f>
        <v>3314</v>
      </c>
      <c r="K586" s="40">
        <f>IFERROR(__xludf.DUMMYFUNCTION("IMPORTRANGE(""https://docs.google.com/spreadsheets/d/1LsL4JuXvBtfJ-TVi4NFml9lV_pmd61b789A_nbO-QrA/edit"",""22!e43"")"),0.0)</f>
        <v>0</v>
      </c>
      <c r="L586" s="40">
        <f t="shared" si="1620"/>
        <v>3314</v>
      </c>
      <c r="M586" s="40">
        <f t="shared" si="1592"/>
        <v>5486</v>
      </c>
      <c r="N586" s="41">
        <f t="shared" si="1593"/>
        <v>185.0574333</v>
      </c>
      <c r="O586" s="38">
        <v>8101.0</v>
      </c>
      <c r="P586" s="42">
        <f t="shared" si="1594"/>
        <v>0.6772003456</v>
      </c>
      <c r="Q586" s="43">
        <v>1.5</v>
      </c>
      <c r="R586" s="42">
        <f t="shared" si="1595"/>
        <v>0.6587744622</v>
      </c>
      <c r="S586" s="44">
        <f t="shared" si="1596"/>
        <v>0.9881616932</v>
      </c>
      <c r="T586" s="43">
        <f>F586/19.985</f>
        <v>277.7944959</v>
      </c>
      <c r="U586" s="43">
        <f t="shared" si="1597"/>
        <v>9.259816529</v>
      </c>
      <c r="V586" s="40">
        <f t="shared" si="1598"/>
        <v>182.8666667</v>
      </c>
      <c r="X586" s="59" t="s">
        <v>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6"/>
    </row>
    <row r="587" ht="15.75" customHeight="1">
      <c r="A587" s="21"/>
      <c r="B587" s="38">
        <v>15.0</v>
      </c>
      <c r="C587" s="38" t="s">
        <v>40</v>
      </c>
      <c r="D587" s="78">
        <v>30.0</v>
      </c>
      <c r="E587" s="40">
        <f>IFERROR(__xludf.DUMMYFUNCTION("COUNT(IMPORTRANGE(""https://docs.google.com/spreadsheets/d/1Krav0MVlY0vbUNsFRDnb_kR72_tyuGnWBYbGjNZrl18/edit"",""22!d2:d31""))"),30.0)</f>
        <v>30</v>
      </c>
      <c r="F587" s="45">
        <f>IFERROR(__xludf.DUMMYFUNCTION("SUM(IMPORTRANGE(""https://docs.google.com/spreadsheets/d/1Krav0MVlY0vbUNsFRDnb_kR72_tyuGnWBYbGjNZrl18/edit"",""22!Q2:Q31""))"),5788.816999999999)</f>
        <v>5788.817</v>
      </c>
      <c r="G587" s="40">
        <f>IFERROR(__xludf.DUMMYFUNCTION("IMPORTRANGE(""https://docs.google.com/spreadsheets/d/1Krav0MVlY0vbUNsFRDnb_kR72_tyuGnWBYbGjNZrl18/edit"",""22!e38"")"),3226.0)</f>
        <v>3226</v>
      </c>
      <c r="H587" s="40">
        <f>IFERROR(__xludf.DUMMYFUNCTION("IMPORTRANGE(""https://docs.google.com/spreadsheets/d/1Krav0MVlY0vbUNsFRDnb_kR72_tyuGnWBYbGjNZrl18/edit"",""22!e39"")"),48.0)</f>
        <v>48</v>
      </c>
      <c r="I587" s="40">
        <f t="shared" si="1590"/>
        <v>3274</v>
      </c>
      <c r="J587" s="40">
        <f>IFERROR(__xludf.DUMMYFUNCTION("IMPORTRANGE(""https://docs.google.com/spreadsheets/d/1Krav0MVlY0vbUNsFRDnb_kR72_tyuGnWBYbGjNZrl18/edit"",""22!e42"")"),3983.0)</f>
        <v>3983</v>
      </c>
      <c r="K587" s="40">
        <f>IFERROR(__xludf.DUMMYFUNCTION("IMPORTRANGE(""https://docs.google.com/spreadsheets/d/1Krav0MVlY0vbUNsFRDnb_kR72_tyuGnWBYbGjNZrl18/edit"",""22!e43"")"),35.0)</f>
        <v>35</v>
      </c>
      <c r="L587" s="40">
        <f t="shared" si="1620"/>
        <v>4018</v>
      </c>
      <c r="M587" s="40">
        <f t="shared" si="1592"/>
        <v>7292</v>
      </c>
      <c r="N587" s="41">
        <f t="shared" si="1593"/>
        <v>192.9605667</v>
      </c>
      <c r="O587" s="38">
        <v>8239.0</v>
      </c>
      <c r="P587" s="42">
        <f t="shared" si="1594"/>
        <v>0.8850588664</v>
      </c>
      <c r="Q587" s="43">
        <v>1.5</v>
      </c>
      <c r="R587" s="42">
        <f t="shared" si="1595"/>
        <v>0.8397801025</v>
      </c>
      <c r="S587" s="44">
        <f t="shared" si="1596"/>
        <v>1.259670154</v>
      </c>
      <c r="T587" s="43">
        <f>F587/28.443</f>
        <v>203.5234328</v>
      </c>
      <c r="U587" s="43">
        <f t="shared" si="1597"/>
        <v>6.784114428</v>
      </c>
      <c r="V587" s="40">
        <f t="shared" si="1598"/>
        <v>243.0666667</v>
      </c>
      <c r="X587" s="14" t="s">
        <v>2</v>
      </c>
      <c r="Y587" s="14" t="s">
        <v>3</v>
      </c>
      <c r="Z587" s="14" t="s">
        <v>4</v>
      </c>
      <c r="AA587" s="14" t="s">
        <v>5</v>
      </c>
      <c r="AB587" s="15" t="s">
        <v>6</v>
      </c>
      <c r="AC587" s="14" t="s">
        <v>7</v>
      </c>
      <c r="AD587" s="14" t="s">
        <v>8</v>
      </c>
      <c r="AE587" s="14" t="s">
        <v>9</v>
      </c>
      <c r="AF587" s="14" t="s">
        <v>10</v>
      </c>
      <c r="AG587" s="14" t="s">
        <v>11</v>
      </c>
      <c r="AH587" s="14" t="s">
        <v>12</v>
      </c>
      <c r="AI587" s="14" t="s">
        <v>13</v>
      </c>
      <c r="AJ587" s="15" t="s">
        <v>14</v>
      </c>
      <c r="AK587" s="14" t="s">
        <v>15</v>
      </c>
      <c r="AL587" s="14" t="s">
        <v>16</v>
      </c>
      <c r="AM587" s="16" t="s">
        <v>17</v>
      </c>
      <c r="AN587" s="17" t="s">
        <v>18</v>
      </c>
      <c r="AO587" s="18" t="s">
        <v>19</v>
      </c>
      <c r="AP587" s="19" t="s">
        <v>20</v>
      </c>
      <c r="AQ587" s="19" t="s">
        <v>21</v>
      </c>
      <c r="AR587" s="20" t="s">
        <v>22</v>
      </c>
    </row>
    <row r="588" ht="15.75" customHeight="1">
      <c r="A588" s="21"/>
      <c r="B588" s="38">
        <v>16.0</v>
      </c>
      <c r="C588" s="38" t="s">
        <v>42</v>
      </c>
      <c r="D588" s="78">
        <v>33.0</v>
      </c>
      <c r="E588" s="40">
        <f>IFERROR(__xludf.DUMMYFUNCTION("COUNT(IMPORTRANGE(""https://docs.google.com/spreadsheets/d/1uXtm-E8PG0CetlFmSpTX3RK0LNEMnpR-mxbET9AGD6w/edit"",""22!d2:d34""))"),31.0)</f>
        <v>31</v>
      </c>
      <c r="F588" s="45">
        <f>IFERROR(__xludf.DUMMYFUNCTION("SUM(IMPORTRANGE(""https://docs.google.com/spreadsheets/d/1uXtm-E8PG0CetlFmSpTX3RK0LNEMnpR-mxbET9AGD6w/edit"",""22!Q2:Q34""))"),6049.497999999997)</f>
        <v>6049.498</v>
      </c>
      <c r="G588" s="40">
        <f>IFERROR(__xludf.DUMMYFUNCTION("IMPORTRANGE(""https://docs.google.com/spreadsheets/d/1uXtm-E8PG0CetlFmSpTX3RK0LNEMnpR-mxbET9AGD6w/edit"",""22!e41"")"),2986.0)</f>
        <v>2986</v>
      </c>
      <c r="H588" s="40">
        <f>IFERROR(__xludf.DUMMYFUNCTION("IMPORTRANGE(""https://docs.google.com/spreadsheets/d/1uXtm-E8PG0CetlFmSpTX3RK0LNEMnpR-mxbET9AGD6w/edit"",""22!e42"")"),0.0)</f>
        <v>0</v>
      </c>
      <c r="I588" s="40">
        <f t="shared" si="1590"/>
        <v>2986</v>
      </c>
      <c r="J588" s="40">
        <f>IFERROR(__xludf.DUMMYFUNCTION("IMPORTRANGE(""https://docs.google.com/spreadsheets/d/1uXtm-E8PG0CetlFmSpTX3RK0LNEMnpR-mxbET9AGD6w/edit"",""22!e45"")"),4481.0)</f>
        <v>4481</v>
      </c>
      <c r="K588" s="40">
        <f>IFERROR(__xludf.DUMMYFUNCTION("IMPORTRANGE(""https://docs.google.com/spreadsheets/d/1uXtm-E8PG0CetlFmSpTX3RK0LNEMnpR-mxbET9AGD6w/edit"",""22!e46"")"),0.0)</f>
        <v>0</v>
      </c>
      <c r="L588" s="40">
        <f t="shared" si="1620"/>
        <v>4481</v>
      </c>
      <c r="M588" s="40">
        <f t="shared" si="1592"/>
        <v>7467</v>
      </c>
      <c r="N588" s="41">
        <f t="shared" si="1593"/>
        <v>195.1450968</v>
      </c>
      <c r="O588" s="38">
        <v>9877.0</v>
      </c>
      <c r="P588" s="42">
        <f t="shared" si="1594"/>
        <v>0.7559987851</v>
      </c>
      <c r="Q588" s="43">
        <v>1.5</v>
      </c>
      <c r="R588" s="42">
        <f t="shared" si="1595"/>
        <v>0.8228781958</v>
      </c>
      <c r="S588" s="44">
        <f t="shared" si="1596"/>
        <v>1.234317294</v>
      </c>
      <c r="T588" s="43">
        <f>F588/26.155</f>
        <v>231.2941311</v>
      </c>
      <c r="U588" s="43">
        <f t="shared" si="1597"/>
        <v>7.461101005</v>
      </c>
      <c r="V588" s="40">
        <f t="shared" si="1598"/>
        <v>240.8709677</v>
      </c>
      <c r="X588" s="31">
        <v>1.0</v>
      </c>
      <c r="Y588" s="31" t="s">
        <v>26</v>
      </c>
      <c r="Z588" s="31">
        <f t="shared" ref="Z588:AI588" si="1630">SUM(D573)</f>
        <v>20</v>
      </c>
      <c r="AA588" s="32">
        <f t="shared" si="1630"/>
        <v>19</v>
      </c>
      <c r="AB588" s="34">
        <f t="shared" si="1630"/>
        <v>3669.153</v>
      </c>
      <c r="AC588" s="32">
        <f t="shared" si="1630"/>
        <v>1696</v>
      </c>
      <c r="AD588" s="32">
        <f t="shared" si="1630"/>
        <v>42</v>
      </c>
      <c r="AE588" s="32">
        <f t="shared" si="1630"/>
        <v>1738</v>
      </c>
      <c r="AF588" s="32">
        <f t="shared" si="1630"/>
        <v>3237</v>
      </c>
      <c r="AG588" s="32">
        <f t="shared" si="1630"/>
        <v>140</v>
      </c>
      <c r="AH588" s="32">
        <f t="shared" si="1630"/>
        <v>3377</v>
      </c>
      <c r="AI588" s="32">
        <f t="shared" si="1630"/>
        <v>5115</v>
      </c>
      <c r="AJ588" s="34">
        <f t="shared" ref="AJ588:AJ594" si="1633">AB588/AA588</f>
        <v>193.1133158</v>
      </c>
      <c r="AK588" s="31">
        <f>SUM(O573)</f>
        <v>5161</v>
      </c>
      <c r="AL588" s="35">
        <f t="shared" ref="AL588:AL594" si="1634">AI588/AK588</f>
        <v>0.9910869986</v>
      </c>
      <c r="AM588" s="36">
        <f>SUM(Q573)</f>
        <v>1.5</v>
      </c>
      <c r="AN588" s="35">
        <f t="shared" ref="AN588:AN594" si="1635">AO588/AM588</f>
        <v>0.9293698028</v>
      </c>
      <c r="AO588" s="37">
        <f t="shared" ref="AO588:AO594" si="1636">AI588/AB588</f>
        <v>1.394054704</v>
      </c>
      <c r="AP588" s="36">
        <f t="shared" ref="AP588:AQ588" si="1631">SUM(T573)</f>
        <v>254.5371488</v>
      </c>
      <c r="AQ588" s="36">
        <f t="shared" si="1631"/>
        <v>13.39669204</v>
      </c>
      <c r="AR588" s="32">
        <f t="shared" ref="AR588:AR594" si="1638">AI588/AA588</f>
        <v>269.2105263</v>
      </c>
    </row>
    <row r="589" ht="15.75" customHeight="1">
      <c r="A589" s="21"/>
      <c r="B589" s="38">
        <v>17.0</v>
      </c>
      <c r="C589" s="38" t="s">
        <v>29</v>
      </c>
      <c r="D589" s="78">
        <v>30.0</v>
      </c>
      <c r="E589" s="40">
        <f>IFERROR(__xludf.DUMMYFUNCTION("COUNT(IMPORTRANGE(""https://docs.google.com/spreadsheets/d/12xcKI0lSnAsjEsxfm9K8Qx0B_89Gzsh816mowItkQao/edit"",""22!d2:d31""))"),30.0)</f>
        <v>30</v>
      </c>
      <c r="F589" s="45">
        <f>IFERROR(__xludf.DUMMYFUNCTION("SUM(IMPORTRANGE(""https://docs.google.com/spreadsheets/d/12xcKI0lSnAsjEsxfm9K8Qx0B_89Gzsh816mowItkQao/edit"",""22!Q2:Q31""))"),6066.853999999999)</f>
        <v>6066.854</v>
      </c>
      <c r="G589" s="40">
        <f>IFERROR(__xludf.DUMMYFUNCTION("IMPORTRANGE(""https://docs.google.com/spreadsheets/d/12xcKI0lSnAsjEsxfm9K8Qx0B_89Gzsh816mowItkQao/edit"",""22!e38"")"),2900.0)</f>
        <v>2900</v>
      </c>
      <c r="H589" s="40">
        <f>IFERROR(__xludf.DUMMYFUNCTION("IMPORTRANGE(""https://docs.google.com/spreadsheets/d/12xcKI0lSnAsjEsxfm9K8Qx0B_89Gzsh816mowItkQao/edit"",""22!e39"")"),0.0)</f>
        <v>0</v>
      </c>
      <c r="I589" s="40">
        <f t="shared" si="1590"/>
        <v>2900</v>
      </c>
      <c r="J589" s="40">
        <f>IFERROR(__xludf.DUMMYFUNCTION("IMPORTRANGE(""https://docs.google.com/spreadsheets/d/12xcKI0lSnAsjEsxfm9K8Qx0B_89Gzsh816mowItkQao/edit"",""22!e42"")"),4011.0)</f>
        <v>4011</v>
      </c>
      <c r="K589" s="40">
        <f>IFERROR(__xludf.DUMMYFUNCTION("IMPORTRANGE(""https://docs.google.com/spreadsheets/d/12xcKI0lSnAsjEsxfm9K8Qx0B_89Gzsh816mowItkQao/edit"",""22!e43"")"),20.0)</f>
        <v>20</v>
      </c>
      <c r="L589" s="40">
        <f t="shared" si="1620"/>
        <v>4031</v>
      </c>
      <c r="M589" s="40">
        <f t="shared" si="1592"/>
        <v>6931</v>
      </c>
      <c r="N589" s="41">
        <f t="shared" si="1593"/>
        <v>202.2284667</v>
      </c>
      <c r="O589" s="38">
        <v>9201.0</v>
      </c>
      <c r="P589" s="42">
        <f t="shared" si="1594"/>
        <v>0.7532876861</v>
      </c>
      <c r="Q589" s="43">
        <v>1.5</v>
      </c>
      <c r="R589" s="42">
        <f t="shared" si="1595"/>
        <v>0.7616248333</v>
      </c>
      <c r="S589" s="44">
        <f t="shared" si="1596"/>
        <v>1.14243725</v>
      </c>
      <c r="T589" s="43">
        <f>F589/26.038</f>
        <v>233</v>
      </c>
      <c r="U589" s="43">
        <f t="shared" si="1597"/>
        <v>7.766666667</v>
      </c>
      <c r="V589" s="40">
        <f t="shared" si="1598"/>
        <v>231.0333333</v>
      </c>
      <c r="X589" s="31">
        <v>2.0</v>
      </c>
      <c r="Y589" s="31" t="s">
        <v>32</v>
      </c>
      <c r="Z589" s="31">
        <f t="shared" ref="Z589:AI589" si="1632">SUM(D576)</f>
        <v>42</v>
      </c>
      <c r="AA589" s="32">
        <f t="shared" si="1632"/>
        <v>42</v>
      </c>
      <c r="AB589" s="33">
        <f t="shared" si="1632"/>
        <v>8229.192</v>
      </c>
      <c r="AC589" s="31">
        <f t="shared" si="1632"/>
        <v>4548</v>
      </c>
      <c r="AD589" s="31">
        <f t="shared" si="1632"/>
        <v>0</v>
      </c>
      <c r="AE589" s="32">
        <f t="shared" si="1632"/>
        <v>4548</v>
      </c>
      <c r="AF589" s="31">
        <f t="shared" si="1632"/>
        <v>5423</v>
      </c>
      <c r="AG589" s="31">
        <f t="shared" si="1632"/>
        <v>0</v>
      </c>
      <c r="AH589" s="32">
        <f t="shared" si="1632"/>
        <v>5423</v>
      </c>
      <c r="AI589" s="32">
        <f t="shared" si="1632"/>
        <v>9971</v>
      </c>
      <c r="AJ589" s="34">
        <f t="shared" si="1633"/>
        <v>195.9331429</v>
      </c>
      <c r="AK589" s="31">
        <f>SUM(O576)</f>
        <v>13817</v>
      </c>
      <c r="AL589" s="35">
        <f t="shared" si="1634"/>
        <v>0.7216472461</v>
      </c>
      <c r="AM589" s="36">
        <f>SUM(Q576)</f>
        <v>1.5</v>
      </c>
      <c r="AN589" s="35">
        <f t="shared" si="1635"/>
        <v>0.8077747285</v>
      </c>
      <c r="AO589" s="37">
        <f t="shared" si="1636"/>
        <v>1.211662093</v>
      </c>
      <c r="AP589" s="36">
        <f t="shared" ref="AP589:AQ589" si="1637">SUM(T576)</f>
        <v>328</v>
      </c>
      <c r="AQ589" s="36">
        <f t="shared" si="1637"/>
        <v>7.80952381</v>
      </c>
      <c r="AR589" s="32">
        <f t="shared" si="1638"/>
        <v>237.4047619</v>
      </c>
    </row>
    <row r="590" ht="15.75" customHeight="1">
      <c r="A590" s="21"/>
      <c r="B590" s="38">
        <v>18.0</v>
      </c>
      <c r="C590" s="38" t="s">
        <v>31</v>
      </c>
      <c r="D590" s="78">
        <v>15.0</v>
      </c>
      <c r="E590" s="40">
        <f>IFERROR(__xludf.DUMMYFUNCTION("COUNT(IMPORTRANGE(""https://docs.google.com/spreadsheets/d/1fgCFOFzOla4Qim6_-zG-lbYhLCItqv_kZiAHoErRgcM/edit"",""22!d2:d16""))"),15.0)</f>
        <v>15</v>
      </c>
      <c r="F590" s="41">
        <f>IFERROR(__xludf.DUMMYFUNCTION("SUM(IMPORTRANGE(""https://docs.google.com/spreadsheets/d/1fgCFOFzOla4Qim6_-zG-lbYhLCItqv_kZiAHoErRgcM/edit"",""22!Q2:Q16""))"),2912.1549999999993)</f>
        <v>2912.155</v>
      </c>
      <c r="G590" s="40">
        <f>IFERROR(__xludf.DUMMYFUNCTION("IMPORTRANGE(""https://docs.google.com/spreadsheets/d/1fgCFOFzOla4Qim6_-zG-lbYhLCItqv_kZiAHoErRgcM/edit"",""22!e23"")"),917.0)</f>
        <v>917</v>
      </c>
      <c r="H590" s="40">
        <f>IFERROR(__xludf.DUMMYFUNCTION("IMPORTRANGE(""https://docs.google.com/spreadsheets/d/1fgCFOFzOla4Qim6_-zG-lbYhLCItqv_kZiAHoErRgcM/edit"",""22!e24"")"),0.0)</f>
        <v>0</v>
      </c>
      <c r="I590" s="40">
        <f t="shared" si="1590"/>
        <v>917</v>
      </c>
      <c r="J590" s="40">
        <f>IFERROR(__xludf.DUMMYFUNCTION("IMPORTRANGE(""https://docs.google.com/spreadsheets/d/1fgCFOFzOla4Qim6_-zG-lbYhLCItqv_kZiAHoErRgcM/edit"",""22!e27"")"),1354.0)</f>
        <v>1354</v>
      </c>
      <c r="K590" s="40">
        <f>IFERROR(__xludf.DUMMYFUNCTION("IMPORTRANGE(""https://docs.google.com/spreadsheets/d/1fgCFOFzOla4Qim6_-zG-lbYhLCItqv_kZiAHoErRgcM/edit"",""22!e28"")"),0.0)</f>
        <v>0</v>
      </c>
      <c r="L590" s="40">
        <f t="shared" si="1620"/>
        <v>1354</v>
      </c>
      <c r="M590" s="40">
        <f t="shared" si="1592"/>
        <v>2271</v>
      </c>
      <c r="N590" s="41">
        <f t="shared" si="1593"/>
        <v>194.1436667</v>
      </c>
      <c r="O590" s="38">
        <v>2717.0</v>
      </c>
      <c r="P590" s="42">
        <f t="shared" si="1594"/>
        <v>0.8358483622</v>
      </c>
      <c r="Q590" s="43">
        <v>1.5</v>
      </c>
      <c r="R590" s="42">
        <f t="shared" si="1595"/>
        <v>0.5198899097</v>
      </c>
      <c r="S590" s="44">
        <f t="shared" si="1596"/>
        <v>0.7798348646</v>
      </c>
      <c r="T590" s="43">
        <f>F590/43.465</f>
        <v>67</v>
      </c>
      <c r="U590" s="43">
        <f t="shared" si="1597"/>
        <v>4.466666667</v>
      </c>
      <c r="V590" s="40">
        <f t="shared" si="1598"/>
        <v>151.4</v>
      </c>
      <c r="X590" s="31">
        <v>3.0</v>
      </c>
      <c r="Y590" s="31" t="s">
        <v>36</v>
      </c>
      <c r="Z590" s="31">
        <f t="shared" ref="Z590:AI590" si="1639">SUM(D581)</f>
        <v>29</v>
      </c>
      <c r="AA590" s="32">
        <f t="shared" si="1639"/>
        <v>28</v>
      </c>
      <c r="AB590" s="33">
        <f t="shared" si="1639"/>
        <v>5566.706</v>
      </c>
      <c r="AC590" s="32">
        <f t="shared" si="1639"/>
        <v>1579</v>
      </c>
      <c r="AD590" s="32">
        <f t="shared" si="1639"/>
        <v>0</v>
      </c>
      <c r="AE590" s="32">
        <f t="shared" si="1639"/>
        <v>1579</v>
      </c>
      <c r="AF590" s="32">
        <f t="shared" si="1639"/>
        <v>2410</v>
      </c>
      <c r="AG590" s="32">
        <f t="shared" si="1639"/>
        <v>0</v>
      </c>
      <c r="AH590" s="32">
        <f t="shared" si="1639"/>
        <v>2410</v>
      </c>
      <c r="AI590" s="32">
        <f t="shared" si="1639"/>
        <v>3989</v>
      </c>
      <c r="AJ590" s="34">
        <f t="shared" si="1633"/>
        <v>198.8109286</v>
      </c>
      <c r="AK590" s="31">
        <f t="shared" ref="AK590:AK593" si="1643">SUM(O581)</f>
        <v>4796</v>
      </c>
      <c r="AL590" s="35">
        <f t="shared" si="1634"/>
        <v>0.831734779</v>
      </c>
      <c r="AM590" s="36">
        <f t="shared" ref="AM590:AM593" si="1644">SUM(Q581)</f>
        <v>1.5</v>
      </c>
      <c r="AN590" s="35">
        <f t="shared" si="1635"/>
        <v>0.4777211754</v>
      </c>
      <c r="AO590" s="37">
        <f t="shared" si="1636"/>
        <v>0.7165817631</v>
      </c>
      <c r="AP590" s="36">
        <f t="shared" ref="AP590:AQ590" si="1640">SUM(T581)</f>
        <v>148.7867109</v>
      </c>
      <c r="AQ590" s="36">
        <f t="shared" si="1640"/>
        <v>5.313811102</v>
      </c>
      <c r="AR590" s="32">
        <f t="shared" si="1638"/>
        <v>142.4642857</v>
      </c>
    </row>
    <row r="591" ht="15.75" customHeight="1">
      <c r="A591" s="21"/>
      <c r="B591" s="60" t="s">
        <v>33</v>
      </c>
      <c r="C591" s="60">
        <v>18.0</v>
      </c>
      <c r="D591" s="60">
        <f t="shared" ref="D591:M591" si="1641">SUM(D573:D590)</f>
        <v>585</v>
      </c>
      <c r="E591" s="61">
        <f t="shared" si="1641"/>
        <v>573</v>
      </c>
      <c r="F591" s="62">
        <f t="shared" si="1641"/>
        <v>111951.875</v>
      </c>
      <c r="G591" s="61">
        <f t="shared" si="1641"/>
        <v>41524</v>
      </c>
      <c r="H591" s="61">
        <f t="shared" si="1641"/>
        <v>843</v>
      </c>
      <c r="I591" s="61">
        <f t="shared" si="1641"/>
        <v>42367</v>
      </c>
      <c r="J591" s="61">
        <f t="shared" si="1641"/>
        <v>57147</v>
      </c>
      <c r="K591" s="61">
        <f t="shared" si="1641"/>
        <v>689</v>
      </c>
      <c r="L591" s="61">
        <f t="shared" si="1641"/>
        <v>57836</v>
      </c>
      <c r="M591" s="61">
        <f t="shared" si="1641"/>
        <v>100203</v>
      </c>
      <c r="N591" s="62">
        <f t="shared" si="1593"/>
        <v>195.3784904</v>
      </c>
      <c r="O591" s="60">
        <f>SUM(O573:O590)</f>
        <v>126399</v>
      </c>
      <c r="P591" s="63">
        <f t="shared" si="1594"/>
        <v>0.7927515249</v>
      </c>
      <c r="Q591" s="64">
        <v>1.5</v>
      </c>
      <c r="R591" s="63">
        <f t="shared" si="1595"/>
        <v>0.5967028243</v>
      </c>
      <c r="S591" s="65">
        <f t="shared" si="1596"/>
        <v>0.8950542365</v>
      </c>
      <c r="T591" s="64">
        <f>SUM(T573:T590)</f>
        <v>4114.242447</v>
      </c>
      <c r="U591" s="64">
        <f t="shared" si="1597"/>
        <v>7.180178791</v>
      </c>
      <c r="V591" s="61">
        <f t="shared" si="1598"/>
        <v>174.8743455</v>
      </c>
      <c r="X591" s="31">
        <v>4.0</v>
      </c>
      <c r="Y591" s="31" t="s">
        <v>37</v>
      </c>
      <c r="Z591" s="31">
        <f t="shared" ref="Z591:AI591" si="1642">SUM(D582)</f>
        <v>30</v>
      </c>
      <c r="AA591" s="32">
        <f t="shared" si="1642"/>
        <v>30</v>
      </c>
      <c r="AB591" s="33">
        <f t="shared" si="1642"/>
        <v>5960.94</v>
      </c>
      <c r="AC591" s="32">
        <f t="shared" si="1642"/>
        <v>2277</v>
      </c>
      <c r="AD591" s="32">
        <f t="shared" si="1642"/>
        <v>0</v>
      </c>
      <c r="AE591" s="32">
        <f t="shared" si="1642"/>
        <v>2277</v>
      </c>
      <c r="AF591" s="32">
        <f t="shared" si="1642"/>
        <v>2934</v>
      </c>
      <c r="AG591" s="32">
        <f t="shared" si="1642"/>
        <v>0</v>
      </c>
      <c r="AH591" s="32">
        <f t="shared" si="1642"/>
        <v>2934</v>
      </c>
      <c r="AI591" s="32">
        <f t="shared" si="1642"/>
        <v>5211</v>
      </c>
      <c r="AJ591" s="34">
        <f t="shared" si="1633"/>
        <v>198.698</v>
      </c>
      <c r="AK591" s="31">
        <f t="shared" si="1643"/>
        <v>5887</v>
      </c>
      <c r="AL591" s="35">
        <f t="shared" si="1634"/>
        <v>0.8851707151</v>
      </c>
      <c r="AM591" s="36">
        <f t="shared" si="1644"/>
        <v>1.5</v>
      </c>
      <c r="AN591" s="35">
        <f t="shared" si="1635"/>
        <v>0.5827939889</v>
      </c>
      <c r="AO591" s="37">
        <f t="shared" si="1636"/>
        <v>0.8741909833</v>
      </c>
      <c r="AP591" s="36">
        <f t="shared" ref="AP591:AQ591" si="1645">SUM(T582)</f>
        <v>240.4380445</v>
      </c>
      <c r="AQ591" s="36">
        <f t="shared" si="1645"/>
        <v>8.014601484</v>
      </c>
      <c r="AR591" s="32">
        <f t="shared" si="1638"/>
        <v>173.7</v>
      </c>
    </row>
    <row r="592" ht="15.7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X592" s="31">
        <v>5.0</v>
      </c>
      <c r="Y592" s="31" t="s">
        <v>39</v>
      </c>
      <c r="Z592" s="31">
        <f t="shared" ref="Z592:AI592" si="1646">SUM(D583)</f>
        <v>28</v>
      </c>
      <c r="AA592" s="32">
        <f t="shared" si="1646"/>
        <v>26</v>
      </c>
      <c r="AB592" s="33">
        <f t="shared" si="1646"/>
        <v>5094.007</v>
      </c>
      <c r="AC592" s="32">
        <f t="shared" si="1646"/>
        <v>1379</v>
      </c>
      <c r="AD592" s="32">
        <f t="shared" si="1646"/>
        <v>0</v>
      </c>
      <c r="AE592" s="32">
        <f t="shared" si="1646"/>
        <v>1379</v>
      </c>
      <c r="AF592" s="32">
        <f t="shared" si="1646"/>
        <v>1566</v>
      </c>
      <c r="AG592" s="32">
        <f t="shared" si="1646"/>
        <v>0</v>
      </c>
      <c r="AH592" s="32">
        <f t="shared" si="1646"/>
        <v>1566</v>
      </c>
      <c r="AI592" s="32">
        <f t="shared" si="1646"/>
        <v>2945</v>
      </c>
      <c r="AJ592" s="34">
        <f t="shared" si="1633"/>
        <v>195.9233462</v>
      </c>
      <c r="AK592" s="31">
        <f t="shared" si="1643"/>
        <v>3569</v>
      </c>
      <c r="AL592" s="35">
        <f t="shared" si="1634"/>
        <v>0.8251611096</v>
      </c>
      <c r="AM592" s="36">
        <f t="shared" si="1644"/>
        <v>1.5</v>
      </c>
      <c r="AN592" s="35">
        <f t="shared" si="1635"/>
        <v>0.3854202268</v>
      </c>
      <c r="AO592" s="37">
        <f t="shared" si="1636"/>
        <v>0.5781303402</v>
      </c>
      <c r="AP592" s="36">
        <f t="shared" ref="AP592:AQ592" si="1647">SUM(T583)</f>
        <v>237.339002</v>
      </c>
      <c r="AQ592" s="36">
        <f t="shared" si="1647"/>
        <v>9.128423154</v>
      </c>
      <c r="AR592" s="32">
        <f t="shared" si="1638"/>
        <v>113.2692308</v>
      </c>
    </row>
    <row r="593" ht="15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X593" s="31">
        <v>6.0</v>
      </c>
      <c r="Y593" s="31" t="s">
        <v>41</v>
      </c>
      <c r="Z593" s="31">
        <f t="shared" ref="Z593:AI593" si="1648">SUM(D584)</f>
        <v>24</v>
      </c>
      <c r="AA593" s="32">
        <f t="shared" si="1648"/>
        <v>23</v>
      </c>
      <c r="AB593" s="33">
        <f t="shared" si="1648"/>
        <v>4602.216</v>
      </c>
      <c r="AC593" s="32">
        <f t="shared" si="1648"/>
        <v>1346</v>
      </c>
      <c r="AD593" s="32">
        <f t="shared" si="1648"/>
        <v>0</v>
      </c>
      <c r="AE593" s="32">
        <f t="shared" si="1648"/>
        <v>1346</v>
      </c>
      <c r="AF593" s="32">
        <f t="shared" si="1648"/>
        <v>1753</v>
      </c>
      <c r="AG593" s="32">
        <f t="shared" si="1648"/>
        <v>0</v>
      </c>
      <c r="AH593" s="32">
        <f t="shared" si="1648"/>
        <v>1753</v>
      </c>
      <c r="AI593" s="32">
        <f t="shared" si="1648"/>
        <v>3099</v>
      </c>
      <c r="AJ593" s="34">
        <f t="shared" si="1633"/>
        <v>200.0963478</v>
      </c>
      <c r="AK593" s="31">
        <f t="shared" si="1643"/>
        <v>3801</v>
      </c>
      <c r="AL593" s="35">
        <f t="shared" si="1634"/>
        <v>0.8153117601</v>
      </c>
      <c r="AM593" s="36">
        <f t="shared" si="1644"/>
        <v>1.5</v>
      </c>
      <c r="AN593" s="35">
        <f t="shared" si="1635"/>
        <v>0.4489141753</v>
      </c>
      <c r="AO593" s="37">
        <f t="shared" si="1636"/>
        <v>0.6733712629</v>
      </c>
      <c r="AP593" s="36">
        <f t="shared" ref="AP593:AQ593" si="1649">SUM(T584)</f>
        <v>155.3333333</v>
      </c>
      <c r="AQ593" s="36">
        <f t="shared" si="1649"/>
        <v>6.753623188</v>
      </c>
      <c r="AR593" s="32">
        <f t="shared" si="1638"/>
        <v>134.7391304</v>
      </c>
    </row>
    <row r="594" ht="15.75" customHeight="1">
      <c r="A594" s="1" t="s">
        <v>45</v>
      </c>
      <c r="D594" s="2"/>
      <c r="X594" s="46" t="s">
        <v>33</v>
      </c>
      <c r="Y594" s="46">
        <v>6.0</v>
      </c>
      <c r="Z594" s="46">
        <f t="shared" ref="Z594:AI594" si="1650">SUM(Z588:Z593)</f>
        <v>173</v>
      </c>
      <c r="AA594" s="47">
        <f t="shared" si="1650"/>
        <v>168</v>
      </c>
      <c r="AB594" s="49">
        <f t="shared" si="1650"/>
        <v>33122.214</v>
      </c>
      <c r="AC594" s="47">
        <f t="shared" si="1650"/>
        <v>12825</v>
      </c>
      <c r="AD594" s="47">
        <f t="shared" si="1650"/>
        <v>42</v>
      </c>
      <c r="AE594" s="47">
        <f t="shared" si="1650"/>
        <v>12867</v>
      </c>
      <c r="AF594" s="47">
        <f t="shared" si="1650"/>
        <v>17323</v>
      </c>
      <c r="AG594" s="47">
        <f t="shared" si="1650"/>
        <v>140</v>
      </c>
      <c r="AH594" s="47">
        <f t="shared" si="1650"/>
        <v>17463</v>
      </c>
      <c r="AI594" s="47">
        <f t="shared" si="1650"/>
        <v>30330</v>
      </c>
      <c r="AJ594" s="49">
        <f t="shared" si="1633"/>
        <v>197.1560357</v>
      </c>
      <c r="AK594" s="46">
        <f>SUM(AK588:AK593)</f>
        <v>37031</v>
      </c>
      <c r="AL594" s="50">
        <f t="shared" si="1634"/>
        <v>0.8190435041</v>
      </c>
      <c r="AM594" s="51">
        <v>1.5</v>
      </c>
      <c r="AN594" s="50">
        <f t="shared" si="1635"/>
        <v>0.610466438</v>
      </c>
      <c r="AO594" s="52">
        <f t="shared" si="1636"/>
        <v>0.915699657</v>
      </c>
      <c r="AP594" s="51">
        <f>SUM(AP588:AP593)</f>
        <v>1364.43424</v>
      </c>
      <c r="AQ594" s="51">
        <f>AP594/AA594</f>
        <v>8.121632378</v>
      </c>
      <c r="AR594" s="47">
        <f t="shared" si="1638"/>
        <v>180.5357143</v>
      </c>
    </row>
    <row r="595" ht="15.75" customHeight="1">
      <c r="A595" s="1" t="s">
        <v>45</v>
      </c>
      <c r="D595" s="2"/>
      <c r="X595" s="66" t="s">
        <v>1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6"/>
    </row>
    <row r="596" ht="15.75" customHeight="1">
      <c r="A596" s="7">
        <v>46226.0</v>
      </c>
      <c r="B596" s="8" t="s">
        <v>2</v>
      </c>
      <c r="C596" s="8" t="s">
        <v>3</v>
      </c>
      <c r="D596" s="8" t="s">
        <v>4</v>
      </c>
      <c r="E596" s="8" t="s">
        <v>5</v>
      </c>
      <c r="F596" s="9" t="s">
        <v>6</v>
      </c>
      <c r="G596" s="8" t="s">
        <v>7</v>
      </c>
      <c r="H596" s="8" t="s">
        <v>8</v>
      </c>
      <c r="I596" s="8" t="s">
        <v>9</v>
      </c>
      <c r="J596" s="8" t="s">
        <v>10</v>
      </c>
      <c r="K596" s="8" t="s">
        <v>11</v>
      </c>
      <c r="L596" s="8" t="s">
        <v>12</v>
      </c>
      <c r="M596" s="8" t="s">
        <v>13</v>
      </c>
      <c r="N596" s="9" t="s">
        <v>14</v>
      </c>
      <c r="O596" s="8" t="s">
        <v>15</v>
      </c>
      <c r="P596" s="8" t="s">
        <v>16</v>
      </c>
      <c r="Q596" s="8" t="s">
        <v>17</v>
      </c>
      <c r="R596" s="8" t="s">
        <v>18</v>
      </c>
      <c r="S596" s="11" t="s">
        <v>19</v>
      </c>
      <c r="T596" s="12" t="s">
        <v>20</v>
      </c>
      <c r="U596" s="12" t="s">
        <v>21</v>
      </c>
      <c r="V596" s="13" t="s">
        <v>22</v>
      </c>
      <c r="X596" s="14" t="s">
        <v>2</v>
      </c>
      <c r="Y596" s="14" t="s">
        <v>3</v>
      </c>
      <c r="Z596" s="14" t="s">
        <v>4</v>
      </c>
      <c r="AA596" s="14" t="s">
        <v>5</v>
      </c>
      <c r="AB596" s="15" t="s">
        <v>6</v>
      </c>
      <c r="AC596" s="14" t="s">
        <v>7</v>
      </c>
      <c r="AD596" s="14" t="s">
        <v>8</v>
      </c>
      <c r="AE596" s="14" t="s">
        <v>9</v>
      </c>
      <c r="AF596" s="14" t="s">
        <v>10</v>
      </c>
      <c r="AG596" s="14" t="s">
        <v>11</v>
      </c>
      <c r="AH596" s="14" t="s">
        <v>12</v>
      </c>
      <c r="AI596" s="14" t="s">
        <v>13</v>
      </c>
      <c r="AJ596" s="15" t="s">
        <v>14</v>
      </c>
      <c r="AK596" s="14" t="s">
        <v>15</v>
      </c>
      <c r="AL596" s="14" t="s">
        <v>16</v>
      </c>
      <c r="AM596" s="16" t="s">
        <v>17</v>
      </c>
      <c r="AN596" s="17" t="s">
        <v>18</v>
      </c>
      <c r="AO596" s="18" t="s">
        <v>19</v>
      </c>
      <c r="AP596" s="19" t="s">
        <v>20</v>
      </c>
      <c r="AQ596" s="19" t="s">
        <v>21</v>
      </c>
      <c r="AR596" s="20" t="s">
        <v>22</v>
      </c>
    </row>
    <row r="597" ht="15.7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X597" s="22">
        <v>1.0</v>
      </c>
      <c r="Y597" s="22" t="s">
        <v>23</v>
      </c>
      <c r="Z597" s="22">
        <f t="shared" ref="Z597:AI597" si="1651">SUM(D605)</f>
        <v>35</v>
      </c>
      <c r="AA597" s="23">
        <f t="shared" si="1651"/>
        <v>33</v>
      </c>
      <c r="AB597" s="24">
        <f t="shared" si="1651"/>
        <v>6275.64</v>
      </c>
      <c r="AC597" s="23">
        <f t="shared" si="1651"/>
        <v>1749</v>
      </c>
      <c r="AD597" s="23">
        <f t="shared" si="1651"/>
        <v>0</v>
      </c>
      <c r="AE597" s="23">
        <f t="shared" si="1651"/>
        <v>1749</v>
      </c>
      <c r="AF597" s="23">
        <f t="shared" si="1651"/>
        <v>3515</v>
      </c>
      <c r="AG597" s="23">
        <f t="shared" si="1651"/>
        <v>0</v>
      </c>
      <c r="AH597" s="23">
        <f t="shared" si="1651"/>
        <v>3515</v>
      </c>
      <c r="AI597" s="23">
        <f t="shared" si="1651"/>
        <v>5264</v>
      </c>
      <c r="AJ597" s="25">
        <f t="shared" ref="AJ597:AJ599" si="1654">AB597/AA597</f>
        <v>190.1709091</v>
      </c>
      <c r="AK597" s="22">
        <f>SUM(O605)</f>
        <v>6853</v>
      </c>
      <c r="AL597" s="26">
        <f t="shared" ref="AL597:AL603" si="1655">AI597/AK597</f>
        <v>0.7681307457</v>
      </c>
      <c r="AM597" s="27">
        <f t="shared" ref="AM597:AM599" si="1656">SUM(Q605)</f>
        <v>1.5</v>
      </c>
      <c r="AN597" s="26">
        <f t="shared" ref="AN597:AN603" si="1657">AO597/AM597</f>
        <v>0.5591992742</v>
      </c>
      <c r="AO597" s="28">
        <f t="shared" ref="AO597:AO603" si="1658">AI597/AB597</f>
        <v>0.8387989113</v>
      </c>
      <c r="AP597" s="27">
        <f t="shared" ref="AP597:AQ597" si="1652">SUM(T605)</f>
        <v>186</v>
      </c>
      <c r="AQ597" s="27">
        <f t="shared" si="1652"/>
        <v>5.636363636</v>
      </c>
      <c r="AR597" s="23">
        <f t="shared" ref="AR597:AR603" si="1660">AI597/AA597</f>
        <v>159.5151515</v>
      </c>
    </row>
    <row r="598" ht="15.7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X598" s="22">
        <v>2.0</v>
      </c>
      <c r="Y598" s="22" t="s">
        <v>24</v>
      </c>
      <c r="Z598" s="22">
        <f t="shared" ref="Z598:AI598" si="1653">SUM(D606)</f>
        <v>44</v>
      </c>
      <c r="AA598" s="23">
        <f t="shared" si="1653"/>
        <v>41</v>
      </c>
      <c r="AB598" s="24">
        <f t="shared" si="1653"/>
        <v>7973.312</v>
      </c>
      <c r="AC598" s="23">
        <f t="shared" si="1653"/>
        <v>1157</v>
      </c>
      <c r="AD598" s="23">
        <f t="shared" si="1653"/>
        <v>0</v>
      </c>
      <c r="AE598" s="23">
        <f t="shared" si="1653"/>
        <v>1157</v>
      </c>
      <c r="AF598" s="23">
        <f t="shared" si="1653"/>
        <v>1348</v>
      </c>
      <c r="AG598" s="23">
        <f t="shared" si="1653"/>
        <v>0</v>
      </c>
      <c r="AH598" s="23">
        <f t="shared" si="1653"/>
        <v>1348</v>
      </c>
      <c r="AI598" s="23">
        <f t="shared" si="1653"/>
        <v>2505</v>
      </c>
      <c r="AJ598" s="25">
        <f t="shared" si="1654"/>
        <v>194.4710244</v>
      </c>
      <c r="AK598" s="22">
        <v>1580.0</v>
      </c>
      <c r="AL598" s="26">
        <f t="shared" si="1655"/>
        <v>1.585443038</v>
      </c>
      <c r="AM598" s="27">
        <f t="shared" si="1656"/>
        <v>1.5</v>
      </c>
      <c r="AN598" s="26">
        <f t="shared" si="1657"/>
        <v>0.2094487209</v>
      </c>
      <c r="AO598" s="28">
        <f t="shared" si="1658"/>
        <v>0.3141730814</v>
      </c>
      <c r="AP598" s="27">
        <f t="shared" ref="AP598:AQ598" si="1659">SUM(T606)</f>
        <v>297.4561462</v>
      </c>
      <c r="AQ598" s="27">
        <f t="shared" si="1659"/>
        <v>7.255027957</v>
      </c>
      <c r="AR598" s="23">
        <f t="shared" si="1660"/>
        <v>61.09756098</v>
      </c>
    </row>
    <row r="599" ht="15.75" customHeight="1">
      <c r="A599" s="21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X599" s="31">
        <v>3.0</v>
      </c>
      <c r="Y599" s="31" t="s">
        <v>25</v>
      </c>
      <c r="Z599" s="31">
        <f t="shared" ref="Z599:AI599" si="1661">SUM(D607)</f>
        <v>32</v>
      </c>
      <c r="AA599" s="32">
        <f t="shared" si="1661"/>
        <v>32</v>
      </c>
      <c r="AB599" s="33">
        <f t="shared" si="1661"/>
        <v>5756.476</v>
      </c>
      <c r="AC599" s="32">
        <f t="shared" si="1661"/>
        <v>2238</v>
      </c>
      <c r="AD599" s="32">
        <f t="shared" si="1661"/>
        <v>555</v>
      </c>
      <c r="AE599" s="32">
        <f t="shared" si="1661"/>
        <v>2793</v>
      </c>
      <c r="AF599" s="32">
        <f t="shared" si="1661"/>
        <v>3130</v>
      </c>
      <c r="AG599" s="32">
        <f t="shared" si="1661"/>
        <v>213</v>
      </c>
      <c r="AH599" s="32">
        <f t="shared" si="1661"/>
        <v>3343</v>
      </c>
      <c r="AI599" s="32">
        <f t="shared" si="1661"/>
        <v>6136</v>
      </c>
      <c r="AJ599" s="34">
        <f t="shared" si="1654"/>
        <v>179.889875</v>
      </c>
      <c r="AK599" s="31">
        <f>SUM(O607)</f>
        <v>6622</v>
      </c>
      <c r="AL599" s="35">
        <f t="shared" si="1655"/>
        <v>0.9266082754</v>
      </c>
      <c r="AM599" s="36">
        <f t="shared" si="1656"/>
        <v>1.5</v>
      </c>
      <c r="AN599" s="35">
        <f t="shared" si="1657"/>
        <v>0.7106199464</v>
      </c>
      <c r="AO599" s="37">
        <f t="shared" si="1658"/>
        <v>1.06592992</v>
      </c>
      <c r="AP599" s="36">
        <f t="shared" ref="AP599:AQ599" si="1662">SUM(T607)</f>
        <v>241.4629195</v>
      </c>
      <c r="AQ599" s="36">
        <f t="shared" si="1662"/>
        <v>7.545716233</v>
      </c>
      <c r="AR599" s="32">
        <f t="shared" si="1660"/>
        <v>191.75</v>
      </c>
    </row>
    <row r="600" ht="15.75" customHeight="1">
      <c r="A600" s="21"/>
      <c r="B600" s="38">
        <v>1.0</v>
      </c>
      <c r="C600" s="38" t="s">
        <v>26</v>
      </c>
      <c r="D600" s="77">
        <v>20.0</v>
      </c>
      <c r="E600" s="40">
        <f>IFERROR(__xludf.DUMMYFUNCTION("COUNT(IMPORTRANGE(""https://docs.google.com/spreadsheets/d/1z0o91thOT38lgejTE_Bd2p3v_9VCDdQRkUsMIVqpQCk/edit"",""23!d2:d21""))"),18.0)</f>
        <v>18</v>
      </c>
      <c r="F600" s="41">
        <f>IFERROR(__xludf.DUMMYFUNCTION("SUM(IMPORTRANGE(""https://docs.google.com/spreadsheets/d/1z0o91thOT38lgejTE_Bd2p3v_9VCDdQRkUsMIVqpQCk/edit"",""23!Q2:Q21""))"),3236.703)</f>
        <v>3236.703</v>
      </c>
      <c r="G600" s="40">
        <f>IFERROR(__xludf.DUMMYFUNCTION("IMPORTRANGE(""https://docs.google.com/spreadsheets/d/1z0o91thOT38lgejTE_Bd2p3v_9VCDdQRkUsMIVqpQCk/edit"",""23!e28"")"),2009.0)</f>
        <v>2009</v>
      </c>
      <c r="H600" s="40">
        <f>IFERROR(__xludf.DUMMYFUNCTION("IMPORTRANGE(""https://docs.google.com/spreadsheets/d/1z0o91thOT38lgejTE_Bd2p3v_9VCDdQRkUsMIVqpQCk/edit"",""23!e29"")"),0.0)</f>
        <v>0</v>
      </c>
      <c r="I600" s="40">
        <f t="shared" ref="I600:I617" si="1665">SUM(G600:H600)</f>
        <v>2009</v>
      </c>
      <c r="J600" s="40">
        <f>IFERROR(__xludf.DUMMYFUNCTION("IMPORTRANGE(""https://docs.google.com/spreadsheets/d/1z0o91thOT38lgejTE_Bd2p3v_9VCDdQRkUsMIVqpQCk/edit"",""23!e32"")"),3058.0)</f>
        <v>3058</v>
      </c>
      <c r="K600" s="40">
        <f>IFERROR(__xludf.DUMMYFUNCTION("IMPORTRANGE(""https://docs.google.com/spreadsheets/d/1z0o91thOT38lgejTE_Bd2p3v_9VCDdQRkUsMIVqpQCk/edit"",""23!e33"")"),0.0)</f>
        <v>0</v>
      </c>
      <c r="L600" s="40">
        <f t="shared" ref="L600:L606" si="1666">SUM(J600:K600)</f>
        <v>3058</v>
      </c>
      <c r="M600" s="40">
        <f t="shared" ref="M600:M617" si="1667">SUM(I600+L600)</f>
        <v>5067</v>
      </c>
      <c r="N600" s="41">
        <f t="shared" ref="N600:N618" si="1668">F600/E600</f>
        <v>179.8168333</v>
      </c>
      <c r="O600" s="38">
        <v>5161.0</v>
      </c>
      <c r="P600" s="42">
        <f t="shared" ref="P600:P618" si="1669">M600/O600</f>
        <v>0.9817864755</v>
      </c>
      <c r="Q600" s="43">
        <v>1.5</v>
      </c>
      <c r="R600" s="42">
        <f t="shared" ref="R600:R618" si="1670">S600/Q600</f>
        <v>1.043654608</v>
      </c>
      <c r="S600" s="44">
        <f t="shared" ref="S600:S618" si="1671">M600/F600</f>
        <v>1.565481912</v>
      </c>
      <c r="T600" s="43">
        <f>F600/14.415</f>
        <v>224.5371488</v>
      </c>
      <c r="U600" s="43">
        <f t="shared" ref="U600:U618" si="1672">T600/E600</f>
        <v>12.47428604</v>
      </c>
      <c r="V600" s="40">
        <f t="shared" ref="V600:V618" si="1673">M600/E600</f>
        <v>281.5</v>
      </c>
      <c r="X600" s="22">
        <v>4.0</v>
      </c>
      <c r="Y600" s="22" t="s">
        <v>27</v>
      </c>
      <c r="Z600" s="22">
        <f t="shared" ref="Z600:AK600" si="1663">SUM(D613)</f>
        <v>30</v>
      </c>
      <c r="AA600" s="23">
        <f t="shared" si="1663"/>
        <v>30</v>
      </c>
      <c r="AB600" s="24">
        <f t="shared" si="1663"/>
        <v>5865.46</v>
      </c>
      <c r="AC600" s="23">
        <f t="shared" si="1663"/>
        <v>2374</v>
      </c>
      <c r="AD600" s="23">
        <f t="shared" si="1663"/>
        <v>0</v>
      </c>
      <c r="AE600" s="23">
        <f t="shared" si="1663"/>
        <v>2374</v>
      </c>
      <c r="AF600" s="23">
        <f t="shared" si="1663"/>
        <v>2977</v>
      </c>
      <c r="AG600" s="23">
        <f t="shared" si="1663"/>
        <v>0</v>
      </c>
      <c r="AH600" s="23">
        <f t="shared" si="1663"/>
        <v>2977</v>
      </c>
      <c r="AI600" s="23">
        <f t="shared" si="1663"/>
        <v>5351</v>
      </c>
      <c r="AJ600" s="25">
        <f t="shared" si="1663"/>
        <v>195.5153333</v>
      </c>
      <c r="AK600" s="22">
        <f t="shared" si="1663"/>
        <v>8101</v>
      </c>
      <c r="AL600" s="26">
        <f t="shared" si="1655"/>
        <v>0.6605357363</v>
      </c>
      <c r="AM600" s="27">
        <f>SUM(Q613)</f>
        <v>1.5</v>
      </c>
      <c r="AN600" s="26">
        <f t="shared" si="1657"/>
        <v>0.6081932761</v>
      </c>
      <c r="AO600" s="28">
        <f t="shared" si="1658"/>
        <v>0.9122899142</v>
      </c>
      <c r="AP600" s="27">
        <f t="shared" ref="AP600:AQ600" si="1664">SUM(T613)</f>
        <v>293.4931198</v>
      </c>
      <c r="AQ600" s="27">
        <f t="shared" si="1664"/>
        <v>9.783103995</v>
      </c>
      <c r="AR600" s="23">
        <f t="shared" si="1660"/>
        <v>178.3666667</v>
      </c>
    </row>
    <row r="601" ht="15.75" customHeight="1">
      <c r="A601" s="21"/>
      <c r="B601" s="38">
        <v>2.0</v>
      </c>
      <c r="C601" s="38" t="s">
        <v>28</v>
      </c>
      <c r="D601" s="78">
        <v>33.0</v>
      </c>
      <c r="E601" s="40">
        <f>IFERROR(__xludf.DUMMYFUNCTION("COUNT(IMPORTRANGE(""https://docs.google.com/spreadsheets/d/10a85iNN0y9GF6ngQfF1JXGAzFk-T7ywH4-TZtQcOTaE/edit"",""23!d2:d34""))"),33.0)</f>
        <v>33</v>
      </c>
      <c r="F601" s="41">
        <f>IFERROR(__xludf.DUMMYFUNCTION("SUM(IMPORTRANGE(""https://docs.google.com/spreadsheets/d/10a85iNN0y9GF6ngQfF1JXGAzFk-T7ywH4-TZtQcOTaE/edit"",""23!Q2:Q34""))"),6590.627)</f>
        <v>6590.627</v>
      </c>
      <c r="G601" s="40">
        <f>IFERROR(__xludf.DUMMYFUNCTION("IMPORTRANGE(""https://docs.google.com/spreadsheets/d/10a85iNN0y9GF6ngQfF1JXGAzFk-T7ywH4-TZtQcOTaE/edit"",""23!e41"")"),2491.0)</f>
        <v>2491</v>
      </c>
      <c r="H601" s="40">
        <f>IFERROR(__xludf.DUMMYFUNCTION("IMPORTRANGE(""https://docs.google.com/spreadsheets/d/10a85iNN0y9GF6ngQfF1JXGAzFk-T7ywH4-TZtQcOTaE/edit"",""23!e42"")"),364.0)</f>
        <v>364</v>
      </c>
      <c r="I601" s="40">
        <f t="shared" si="1665"/>
        <v>2855</v>
      </c>
      <c r="J601" s="40">
        <f>IFERROR(__xludf.DUMMYFUNCTION("IMPORTRANGE(""https://docs.google.com/spreadsheets/d/10a85iNN0y9GF6ngQfF1JXGAzFk-T7ywH4-TZtQcOTaE/edit"",""23!e45"")"),3069.0)</f>
        <v>3069</v>
      </c>
      <c r="K601" s="40">
        <f>IFERROR(__xludf.DUMMYFUNCTION("IMPORTRANGE(""https://docs.google.com/spreadsheets/d/10a85iNN0y9GF6ngQfF1JXGAzFk-T7ywH4-TZtQcOTaE/edit"",""23!e46"")"),384.0)</f>
        <v>384</v>
      </c>
      <c r="L601" s="40">
        <f t="shared" si="1666"/>
        <v>3453</v>
      </c>
      <c r="M601" s="40">
        <f t="shared" si="1667"/>
        <v>6308</v>
      </c>
      <c r="N601" s="41">
        <f t="shared" si="1668"/>
        <v>199.7159697</v>
      </c>
      <c r="O601" s="38">
        <v>7315.0</v>
      </c>
      <c r="P601" s="42">
        <f t="shared" si="1669"/>
        <v>0.8623376623</v>
      </c>
      <c r="Q601" s="43">
        <v>1.5</v>
      </c>
      <c r="R601" s="42">
        <f t="shared" si="1670"/>
        <v>0.6380778844</v>
      </c>
      <c r="S601" s="44">
        <f t="shared" si="1671"/>
        <v>0.9571168267</v>
      </c>
      <c r="T601" s="43">
        <f>F601/30.897</f>
        <v>213.3096093</v>
      </c>
      <c r="U601" s="43">
        <f t="shared" si="1672"/>
        <v>6.463927556</v>
      </c>
      <c r="V601" s="40">
        <f t="shared" si="1673"/>
        <v>191.1515152</v>
      </c>
      <c r="X601" s="22">
        <v>5.0</v>
      </c>
      <c r="Y601" s="22" t="s">
        <v>29</v>
      </c>
      <c r="Z601" s="22">
        <f t="shared" ref="Z601:AI601" si="1674">SUM(D616)</f>
        <v>30</v>
      </c>
      <c r="AA601" s="23">
        <f t="shared" si="1674"/>
        <v>30</v>
      </c>
      <c r="AB601" s="24">
        <f t="shared" si="1674"/>
        <v>5875.168</v>
      </c>
      <c r="AC601" s="23">
        <f t="shared" si="1674"/>
        <v>2862</v>
      </c>
      <c r="AD601" s="23">
        <f t="shared" si="1674"/>
        <v>0</v>
      </c>
      <c r="AE601" s="23">
        <f t="shared" si="1674"/>
        <v>2862</v>
      </c>
      <c r="AF601" s="23">
        <f t="shared" si="1674"/>
        <v>4133</v>
      </c>
      <c r="AG601" s="23">
        <f t="shared" si="1674"/>
        <v>10</v>
      </c>
      <c r="AH601" s="23">
        <f t="shared" si="1674"/>
        <v>4143</v>
      </c>
      <c r="AI601" s="23">
        <f t="shared" si="1674"/>
        <v>7005</v>
      </c>
      <c r="AJ601" s="25">
        <f t="shared" ref="AJ601:AJ603" si="1677">AB601/AA601</f>
        <v>195.8389333</v>
      </c>
      <c r="AK601" s="22">
        <f t="shared" ref="AK601:AK602" si="1678">SUM(O616)</f>
        <v>9201</v>
      </c>
      <c r="AL601" s="26">
        <f t="shared" si="1655"/>
        <v>0.7613302902</v>
      </c>
      <c r="AM601" s="27">
        <f t="shared" ref="AM601:AM602" si="1679">SUM(Q616)</f>
        <v>1.5</v>
      </c>
      <c r="AN601" s="26">
        <f t="shared" si="1657"/>
        <v>0.7948708871</v>
      </c>
      <c r="AO601" s="28">
        <f t="shared" si="1658"/>
        <v>1.192306331</v>
      </c>
      <c r="AP601" s="27">
        <f t="shared" ref="AP601:AQ601" si="1675">SUM(T616)</f>
        <v>225.6382211</v>
      </c>
      <c r="AQ601" s="27">
        <f t="shared" si="1675"/>
        <v>7.521274035</v>
      </c>
      <c r="AR601" s="23">
        <f t="shared" si="1660"/>
        <v>233.5</v>
      </c>
    </row>
    <row r="602" ht="15.75" customHeight="1">
      <c r="A602" s="21"/>
      <c r="B602" s="38">
        <v>3.0</v>
      </c>
      <c r="C602" s="38" t="s">
        <v>30</v>
      </c>
      <c r="D602" s="78">
        <v>60.0</v>
      </c>
      <c r="E602" s="40">
        <f>IFERROR(__xludf.DUMMYFUNCTION("COUNT(IMPORTRANGE(""https://docs.google.com/spreadsheets/d/1WojVzHhpzodJL1e5UDHeu3A3u5MTSZwvxHu0BrwvL9w/edit"",""23!d2:d61""))"),56.0)</f>
        <v>56</v>
      </c>
      <c r="F602" s="45">
        <f>IFERROR(__xludf.DUMMYFUNCTION("SUM(IMPORTRANGE(""https://docs.google.com/spreadsheets/d/1WojVzHhpzodJL1e5UDHeu3A3u5MTSZwvxHu0BrwvL9w/edit"",""23!Q2:Q61""))"),11063.027999999995)</f>
        <v>11063.028</v>
      </c>
      <c r="G602" s="40">
        <f>IFERROR(__xludf.DUMMYFUNCTION("IMPORTRANGE(""https://docs.google.com/spreadsheets/d/1WojVzHhpzodJL1e5UDHeu3A3u5MTSZwvxHu0BrwvL9w/edit"",""23!e68"")"),3172.0)</f>
        <v>3172</v>
      </c>
      <c r="H602" s="40">
        <f>IFERROR(__xludf.DUMMYFUNCTION("IMPORTRANGE(""https://docs.google.com/spreadsheets/d/1WojVzHhpzodJL1e5UDHeu3A3u5MTSZwvxHu0BrwvL9w/edit"",""23!e69"")"),0.0)</f>
        <v>0</v>
      </c>
      <c r="I602" s="40">
        <f t="shared" si="1665"/>
        <v>3172</v>
      </c>
      <c r="J602" s="40">
        <f>IFERROR(__xludf.DUMMYFUNCTION("IMPORTRANGE(""https://docs.google.com/spreadsheets/d/1WojVzHhpzodJL1e5UDHeu3A3u5MTSZwvxHu0BrwvL9w/edit"",""23!e72"")"),5796.0)</f>
        <v>5796</v>
      </c>
      <c r="K602" s="40">
        <f>IFERROR(__xludf.DUMMYFUNCTION("IMPORTRANGE(""https://docs.google.com/spreadsheets/d/1WojVzHhpzodJL1e5UDHeu3A3u5MTSZwvxHu0BrwvL9w/edit"",""23!e73"")"),0.0)</f>
        <v>0</v>
      </c>
      <c r="L602" s="40">
        <f t="shared" si="1666"/>
        <v>5796</v>
      </c>
      <c r="M602" s="40">
        <f t="shared" si="1667"/>
        <v>8968</v>
      </c>
      <c r="N602" s="41">
        <f t="shared" si="1668"/>
        <v>197.5540714</v>
      </c>
      <c r="O602" s="38">
        <v>11164.0</v>
      </c>
      <c r="P602" s="42">
        <f t="shared" si="1669"/>
        <v>0.8032963096</v>
      </c>
      <c r="Q602" s="43">
        <v>1.5</v>
      </c>
      <c r="R602" s="42">
        <f t="shared" si="1670"/>
        <v>0.5404186509</v>
      </c>
      <c r="S602" s="44">
        <f t="shared" si="1671"/>
        <v>0.8106279764</v>
      </c>
      <c r="T602" s="43">
        <f>F602/29.603</f>
        <v>373.7130696</v>
      </c>
      <c r="U602" s="43">
        <f t="shared" si="1672"/>
        <v>6.673447672</v>
      </c>
      <c r="V602" s="40">
        <f t="shared" si="1673"/>
        <v>160.1428571</v>
      </c>
      <c r="X602" s="22">
        <v>6.0</v>
      </c>
      <c r="Y602" s="22" t="s">
        <v>31</v>
      </c>
      <c r="Z602" s="22">
        <f t="shared" ref="Z602:AI602" si="1676">SUM(D617)</f>
        <v>15</v>
      </c>
      <c r="AA602" s="23">
        <f t="shared" si="1676"/>
        <v>15</v>
      </c>
      <c r="AB602" s="25">
        <f t="shared" si="1676"/>
        <v>2955.62</v>
      </c>
      <c r="AC602" s="23">
        <f t="shared" si="1676"/>
        <v>925</v>
      </c>
      <c r="AD602" s="23">
        <f t="shared" si="1676"/>
        <v>0</v>
      </c>
      <c r="AE602" s="23">
        <f t="shared" si="1676"/>
        <v>925</v>
      </c>
      <c r="AF602" s="23">
        <f t="shared" si="1676"/>
        <v>1192</v>
      </c>
      <c r="AG602" s="23">
        <f t="shared" si="1676"/>
        <v>0</v>
      </c>
      <c r="AH602" s="23">
        <f t="shared" si="1676"/>
        <v>1192</v>
      </c>
      <c r="AI602" s="23">
        <f t="shared" si="1676"/>
        <v>2117</v>
      </c>
      <c r="AJ602" s="25">
        <f t="shared" si="1677"/>
        <v>197.0413333</v>
      </c>
      <c r="AK602" s="22">
        <f t="shared" si="1678"/>
        <v>2717</v>
      </c>
      <c r="AL602" s="26">
        <f t="shared" si="1655"/>
        <v>0.7791682002</v>
      </c>
      <c r="AM602" s="27">
        <f t="shared" si="1679"/>
        <v>1.5</v>
      </c>
      <c r="AN602" s="26">
        <f t="shared" si="1657"/>
        <v>0.4775083852</v>
      </c>
      <c r="AO602" s="28">
        <f t="shared" si="1658"/>
        <v>0.7162625777</v>
      </c>
      <c r="AP602" s="27">
        <f t="shared" ref="AP602:AQ602" si="1680">SUM(T617)</f>
        <v>68</v>
      </c>
      <c r="AQ602" s="27">
        <f t="shared" si="1680"/>
        <v>4.533333333</v>
      </c>
      <c r="AR602" s="23">
        <f t="shared" si="1660"/>
        <v>141.1333333</v>
      </c>
    </row>
    <row r="603" ht="15.75" customHeight="1">
      <c r="A603" s="21"/>
      <c r="B603" s="38">
        <v>4.0</v>
      </c>
      <c r="C603" s="38" t="s">
        <v>32</v>
      </c>
      <c r="D603" s="78">
        <v>42.0</v>
      </c>
      <c r="E603" s="40">
        <f>IFERROR(__xludf.DUMMYFUNCTION("COUNT(IMPORTRANGE(""https://docs.google.com/spreadsheets/d/1vmCj5YcMSPHj1m64syDndQ6cqVL3yolcU03Y8KHmvdc/edit"",""23!d2:d43""))"),41.0)</f>
        <v>41</v>
      </c>
      <c r="F603" s="45">
        <f>IFERROR(__xludf.DUMMYFUNCTION("SUM(IMPORTRANGE(""https://docs.google.com/spreadsheets/d/1vmCj5YcMSPHj1m64syDndQ6cqVL3yolcU03Y8KHmvdc/edit"",""23!Q2:Q43""))"),7941.742999999991)</f>
        <v>7941.743</v>
      </c>
      <c r="G603" s="38">
        <f>IFERROR(__xludf.DUMMYFUNCTION("IMPORTRANGE(""https://docs.google.com/spreadsheets/d/1vmCj5YcMSPHj1m64syDndQ6cqVL3yolcU03Y8KHmvdc/edit"",""23!e50"")"),4568.0)</f>
        <v>4568</v>
      </c>
      <c r="H603" s="38">
        <f>IFERROR(__xludf.DUMMYFUNCTION("IMPORTRANGE(""https://docs.google.com/spreadsheets/d/1vmCj5YcMSPHj1m64syDndQ6cqVL3yolcU03Y8KHmvdc/edit"",""23!e51"")"),0.0)</f>
        <v>0</v>
      </c>
      <c r="I603" s="40">
        <f t="shared" si="1665"/>
        <v>4568</v>
      </c>
      <c r="J603" s="38">
        <f>IFERROR(__xludf.DUMMYFUNCTION("IMPORTRANGE(""https://docs.google.com/spreadsheets/d/1vmCj5YcMSPHj1m64syDndQ6cqVL3yolcU03Y8KHmvdc/edit"",""23!e54"")"),5341.0)</f>
        <v>5341</v>
      </c>
      <c r="K603" s="38">
        <f>IFERROR(__xludf.DUMMYFUNCTION("IMPORTRANGE(""https://docs.google.com/spreadsheets/d/1vmCj5YcMSPHj1m64syDndQ6cqVL3yolcU03Y8KHmvdc/edit"",""23!e55"")"),0.0)</f>
        <v>0</v>
      </c>
      <c r="L603" s="40">
        <f t="shared" si="1666"/>
        <v>5341</v>
      </c>
      <c r="M603" s="40">
        <f t="shared" si="1667"/>
        <v>9909</v>
      </c>
      <c r="N603" s="41">
        <f t="shared" si="1668"/>
        <v>193.7010488</v>
      </c>
      <c r="O603" s="38">
        <v>13817.0</v>
      </c>
      <c r="P603" s="42">
        <f t="shared" si="1669"/>
        <v>0.7171600203</v>
      </c>
      <c r="Q603" s="43">
        <v>1.5</v>
      </c>
      <c r="R603" s="42">
        <f t="shared" si="1670"/>
        <v>0.8318073249</v>
      </c>
      <c r="S603" s="44">
        <f t="shared" si="1671"/>
        <v>1.247710987</v>
      </c>
      <c r="T603" s="43">
        <f>F603/25.089</f>
        <v>316.5428275</v>
      </c>
      <c r="U603" s="43">
        <f t="shared" si="1672"/>
        <v>7.720556769</v>
      </c>
      <c r="V603" s="40">
        <f t="shared" si="1673"/>
        <v>241.6829268</v>
      </c>
      <c r="X603" s="46" t="s">
        <v>33</v>
      </c>
      <c r="Y603" s="46">
        <v>6.0</v>
      </c>
      <c r="Z603" s="46">
        <f t="shared" ref="Z603:AI603" si="1681">SUM(Z597:Z602)</f>
        <v>186</v>
      </c>
      <c r="AA603" s="47">
        <f t="shared" si="1681"/>
        <v>181</v>
      </c>
      <c r="AB603" s="48">
        <f t="shared" si="1681"/>
        <v>34701.676</v>
      </c>
      <c r="AC603" s="47">
        <f t="shared" si="1681"/>
        <v>11305</v>
      </c>
      <c r="AD603" s="47">
        <f t="shared" si="1681"/>
        <v>555</v>
      </c>
      <c r="AE603" s="47">
        <f t="shared" si="1681"/>
        <v>11860</v>
      </c>
      <c r="AF603" s="47">
        <f t="shared" si="1681"/>
        <v>16295</v>
      </c>
      <c r="AG603" s="47">
        <f t="shared" si="1681"/>
        <v>223</v>
      </c>
      <c r="AH603" s="47">
        <f t="shared" si="1681"/>
        <v>16518</v>
      </c>
      <c r="AI603" s="47">
        <f t="shared" si="1681"/>
        <v>28378</v>
      </c>
      <c r="AJ603" s="49">
        <f t="shared" si="1677"/>
        <v>191.7219669</v>
      </c>
      <c r="AK603" s="46">
        <f>SUM(AK597:AK602)</f>
        <v>35074</v>
      </c>
      <c r="AL603" s="50">
        <f t="shared" si="1655"/>
        <v>0.8090893539</v>
      </c>
      <c r="AM603" s="51">
        <v>1.5</v>
      </c>
      <c r="AN603" s="50">
        <f t="shared" si="1657"/>
        <v>0.5451802001</v>
      </c>
      <c r="AO603" s="52">
        <f t="shared" si="1658"/>
        <v>0.8177703002</v>
      </c>
      <c r="AP603" s="51">
        <f>SUM(AP597:AP602)</f>
        <v>1312.050407</v>
      </c>
      <c r="AQ603" s="51">
        <f>AP603/AA603</f>
        <v>7.248897274</v>
      </c>
      <c r="AR603" s="47">
        <f t="shared" si="1660"/>
        <v>156.7845304</v>
      </c>
    </row>
    <row r="604" ht="15.75" customHeight="1">
      <c r="A604" s="21"/>
      <c r="B604" s="38">
        <v>5.0</v>
      </c>
      <c r="C604" s="38" t="s">
        <v>34</v>
      </c>
      <c r="D604" s="78">
        <v>40.0</v>
      </c>
      <c r="E604" s="40">
        <f>IFERROR(__xludf.DUMMYFUNCTION("COUNT(IMPORTRANGE(""https://docs.google.com/spreadsheets/d/14_Y-fpuq1wcec3DlT_1PBYekOC0YblQMrWVfO12YO3k/edit"",""23!d2:d41""))"),39.0)</f>
        <v>39</v>
      </c>
      <c r="F604" s="45">
        <f>IFERROR(__xludf.DUMMYFUNCTION("SUM(IMPORTRANGE(""https://docs.google.com/spreadsheets/d/14_Y-fpuq1wcec3DlT_1PBYekOC0YblQMrWVfO12YO3k/edit"",""23!Q2:Q41""))"),7568.649000000002)</f>
        <v>7568.649</v>
      </c>
      <c r="G604" s="40">
        <f>IFERROR(__xludf.DUMMYFUNCTION("IMPORTRANGE(""https://docs.google.com/spreadsheets/d/14_Y-fpuq1wcec3DlT_1PBYekOC0YblQMrWVfO12YO3k/edit"",""23!e48"")"),2677.0)</f>
        <v>2677</v>
      </c>
      <c r="H604" s="40">
        <f>IFERROR(__xludf.DUMMYFUNCTION("IMPORTRANGE(""https://docs.google.com/spreadsheets/d/14_Y-fpuq1wcec3DlT_1PBYekOC0YblQMrWVfO12YO3k/edit"",""23!e49"")"),0.0)</f>
        <v>0</v>
      </c>
      <c r="I604" s="40">
        <f t="shared" si="1665"/>
        <v>2677</v>
      </c>
      <c r="J604" s="40">
        <f>IFERROR(__xludf.DUMMYFUNCTION("IMPORTRANGE(""https://docs.google.com/spreadsheets/d/14_Y-fpuq1wcec3DlT_1PBYekOC0YblQMrWVfO12YO3k/edit"",""23!e52"")"),3469.0)</f>
        <v>3469</v>
      </c>
      <c r="K604" s="40">
        <f>IFERROR(__xludf.DUMMYFUNCTION("IMPORTRANGE(""https://docs.google.com/spreadsheets/d/14_Y-fpuq1wcec3DlT_1PBYekOC0YblQMrWVfO12YO3k/edit"",""23!e53"")"),0.0)</f>
        <v>0</v>
      </c>
      <c r="L604" s="40">
        <f t="shared" si="1666"/>
        <v>3469</v>
      </c>
      <c r="M604" s="40">
        <f t="shared" si="1667"/>
        <v>6146</v>
      </c>
      <c r="N604" s="41">
        <f t="shared" si="1668"/>
        <v>194.0679231</v>
      </c>
      <c r="O604" s="38">
        <v>9354.0</v>
      </c>
      <c r="P604" s="42">
        <f t="shared" si="1669"/>
        <v>0.6570451144</v>
      </c>
      <c r="Q604" s="43">
        <v>1.5</v>
      </c>
      <c r="R604" s="42">
        <f t="shared" si="1670"/>
        <v>0.5413559716</v>
      </c>
      <c r="S604" s="44">
        <f t="shared" si="1671"/>
        <v>0.8120339574</v>
      </c>
      <c r="T604" s="43">
        <f>F604/30.713</f>
        <v>246.431446</v>
      </c>
      <c r="U604" s="43">
        <f t="shared" si="1672"/>
        <v>6.318755025</v>
      </c>
      <c r="V604" s="40">
        <f t="shared" si="1673"/>
        <v>157.5897436</v>
      </c>
      <c r="X604" s="53" t="s">
        <v>35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6"/>
    </row>
    <row r="605" ht="15.75" customHeight="1">
      <c r="A605" s="21"/>
      <c r="B605" s="38">
        <v>6.0</v>
      </c>
      <c r="C605" s="38" t="s">
        <v>23</v>
      </c>
      <c r="D605" s="78">
        <v>35.0</v>
      </c>
      <c r="E605" s="40">
        <f>IFERROR(__xludf.DUMMYFUNCTION("COUNT(IMPORTRANGE(""https://docs.google.com/spreadsheets/d/1lJqjdj05V4LOXuBOiTdE65GV4ZITyx1cMLcDdcuoUnE/edit"",""23!d2:d36""))"),33.0)</f>
        <v>33</v>
      </c>
      <c r="F605" s="45">
        <f>IFERROR(__xludf.DUMMYFUNCTION("SUM(IMPORTRANGE(""https://docs.google.com/spreadsheets/d/1lJqjdj05V4LOXuBOiTdE65GV4ZITyx1cMLcDdcuoUnE/edit"",""23!Q2:Q36""))"),6275.639999999997)</f>
        <v>6275.64</v>
      </c>
      <c r="G605" s="40">
        <f>IFERROR(__xludf.DUMMYFUNCTION("IMPORTRANGE(""https://docs.google.com/spreadsheets/d/1lJqjdj05V4LOXuBOiTdE65GV4ZITyx1cMLcDdcuoUnE/edit"",""23!e43"")"),1749.0)</f>
        <v>1749</v>
      </c>
      <c r="H605" s="40">
        <f>IFERROR(__xludf.DUMMYFUNCTION("IMPORTRANGE(""https://docs.google.com/spreadsheets/d/1lJqjdj05V4LOXuBOiTdE65GV4ZITyx1cMLcDdcuoUnE/edit"",""23!e44"")"),0.0)</f>
        <v>0</v>
      </c>
      <c r="I605" s="40">
        <f t="shared" si="1665"/>
        <v>1749</v>
      </c>
      <c r="J605" s="40">
        <f>IFERROR(__xludf.DUMMYFUNCTION("IMPORTRANGE(""https://docs.google.com/spreadsheets/d/1lJqjdj05V4LOXuBOiTdE65GV4ZITyx1cMLcDdcuoUnE/edit"",""23!e47"")"),3515.0)</f>
        <v>3515</v>
      </c>
      <c r="K605" s="40">
        <f>IFERROR(__xludf.DUMMYFUNCTION("IMPORTRANGE(""https://docs.google.com/spreadsheets/d/1lJqjdj05V4LOXuBOiTdE65GV4ZITyx1cMLcDdcuoUnE/edit"",""23!e48"")"),0.0)</f>
        <v>0</v>
      </c>
      <c r="L605" s="40">
        <f t="shared" si="1666"/>
        <v>3515</v>
      </c>
      <c r="M605" s="40">
        <f t="shared" si="1667"/>
        <v>5264</v>
      </c>
      <c r="N605" s="41">
        <f t="shared" si="1668"/>
        <v>190.1709091</v>
      </c>
      <c r="O605" s="38">
        <v>6853.0</v>
      </c>
      <c r="P605" s="42">
        <f t="shared" si="1669"/>
        <v>0.7681307457</v>
      </c>
      <c r="Q605" s="43">
        <v>1.5</v>
      </c>
      <c r="R605" s="42">
        <f t="shared" si="1670"/>
        <v>0.5591992742</v>
      </c>
      <c r="S605" s="44">
        <f t="shared" si="1671"/>
        <v>0.8387989113</v>
      </c>
      <c r="T605" s="43">
        <f>F605/33.74</f>
        <v>186</v>
      </c>
      <c r="U605" s="43">
        <f t="shared" si="1672"/>
        <v>5.636363636</v>
      </c>
      <c r="V605" s="40">
        <f t="shared" si="1673"/>
        <v>159.5151515</v>
      </c>
      <c r="X605" s="14" t="s">
        <v>2</v>
      </c>
      <c r="Y605" s="14" t="s">
        <v>3</v>
      </c>
      <c r="Z605" s="14" t="s">
        <v>4</v>
      </c>
      <c r="AA605" s="14" t="s">
        <v>5</v>
      </c>
      <c r="AB605" s="15" t="s">
        <v>6</v>
      </c>
      <c r="AC605" s="14" t="s">
        <v>7</v>
      </c>
      <c r="AD605" s="14" t="s">
        <v>8</v>
      </c>
      <c r="AE605" s="14" t="s">
        <v>9</v>
      </c>
      <c r="AF605" s="14" t="s">
        <v>10</v>
      </c>
      <c r="AG605" s="14" t="s">
        <v>11</v>
      </c>
      <c r="AH605" s="14" t="s">
        <v>12</v>
      </c>
      <c r="AI605" s="14" t="s">
        <v>13</v>
      </c>
      <c r="AJ605" s="15" t="s">
        <v>14</v>
      </c>
      <c r="AK605" s="14" t="s">
        <v>15</v>
      </c>
      <c r="AL605" s="14" t="s">
        <v>16</v>
      </c>
      <c r="AM605" s="16" t="s">
        <v>17</v>
      </c>
      <c r="AN605" s="17" t="s">
        <v>18</v>
      </c>
      <c r="AO605" s="18" t="s">
        <v>19</v>
      </c>
      <c r="AP605" s="19" t="s">
        <v>20</v>
      </c>
      <c r="AQ605" s="19" t="s">
        <v>21</v>
      </c>
      <c r="AR605" s="20" t="s">
        <v>22</v>
      </c>
    </row>
    <row r="606" ht="15.75" customHeight="1">
      <c r="A606" s="21"/>
      <c r="B606" s="38">
        <v>7.0</v>
      </c>
      <c r="C606" s="38" t="s">
        <v>24</v>
      </c>
      <c r="D606" s="78">
        <v>44.0</v>
      </c>
      <c r="E606" s="54">
        <f>IFERROR(__xludf.DUMMYFUNCTION("COUNT(IMPORTRANGE(""https://docs.google.com/spreadsheets/d/1_7EEO26q9Yq-XhNFiy7I6Zh4Yg6uGjTs9y0UqNvPKcQ/edit"",""23!d2:d45""))"),41.0)</f>
        <v>41</v>
      </c>
      <c r="F606" s="55">
        <f>IFERROR(__xludf.DUMMYFUNCTION("SUM(IMPORTRANGE(""https://docs.google.com/spreadsheets/d/1_7EEO26q9Yq-XhNFiy7I6Zh4Yg6uGjTs9y0UqNvPKcQ/edit"",""23!Q2:Q45""))"),7973.3119999999935)</f>
        <v>7973.312</v>
      </c>
      <c r="G606" s="54">
        <f>IFERROR(__xludf.DUMMYFUNCTION("IMPORTRANGE(""https://docs.google.com/spreadsheets/d/1_7EEO26q9Yq-XhNFiy7I6Zh4Yg6uGjTs9y0UqNvPKcQ/edit"",""23!e53"")"),1157.0)</f>
        <v>1157</v>
      </c>
      <c r="H606" s="54">
        <f>IFERROR(__xludf.DUMMYFUNCTION("IMPORTRANGE(""https://docs.google.com/spreadsheets/d/1_7EEO26q9Yq-XhNFiy7I6Zh4Yg6uGjTs9y0UqNvPKcQ/edit"",""23!e54"")"),0.0)</f>
        <v>0</v>
      </c>
      <c r="I606" s="54">
        <f t="shared" si="1665"/>
        <v>1157</v>
      </c>
      <c r="J606" s="54">
        <f>IFERROR(__xludf.DUMMYFUNCTION("IMPORTRANGE(""https://docs.google.com/spreadsheets/d/1_7EEO26q9Yq-XhNFiy7I6Zh4Yg6uGjTs9y0UqNvPKcQ/edit"",""23!e57"")"),1348.0)</f>
        <v>1348</v>
      </c>
      <c r="K606" s="54">
        <f>IFERROR(__xludf.DUMMYFUNCTION("IMPORTRANGE(""https://docs.google.com/spreadsheets/d/1_7EEO26q9Yq-XhNFiy7I6Zh4Yg6uGjTs9y0UqNvPKcQ/edit"",""23!e58"")"),0.0)</f>
        <v>0</v>
      </c>
      <c r="L606" s="40">
        <f t="shared" si="1666"/>
        <v>1348</v>
      </c>
      <c r="M606" s="40">
        <f t="shared" si="1667"/>
        <v>2505</v>
      </c>
      <c r="N606" s="41">
        <f t="shared" si="1668"/>
        <v>194.4710244</v>
      </c>
      <c r="O606" s="38">
        <v>1580.0</v>
      </c>
      <c r="P606" s="42">
        <f t="shared" si="1669"/>
        <v>1.585443038</v>
      </c>
      <c r="Q606" s="43">
        <v>1.5</v>
      </c>
      <c r="R606" s="42">
        <f t="shared" si="1670"/>
        <v>0.2094487209</v>
      </c>
      <c r="S606" s="44">
        <f t="shared" si="1671"/>
        <v>0.3141730814</v>
      </c>
      <c r="T606" s="43">
        <f>F606/26.805</f>
        <v>297.4561462</v>
      </c>
      <c r="U606" s="43">
        <f t="shared" si="1672"/>
        <v>7.255027957</v>
      </c>
      <c r="V606" s="40">
        <f t="shared" si="1673"/>
        <v>61.09756098</v>
      </c>
      <c r="X606" s="22">
        <v>1.0</v>
      </c>
      <c r="Y606" s="22" t="s">
        <v>28</v>
      </c>
      <c r="Z606" s="22">
        <f t="shared" ref="Z606:AI606" si="1682">SUM(D601)</f>
        <v>33</v>
      </c>
      <c r="AA606" s="23">
        <f t="shared" si="1682"/>
        <v>33</v>
      </c>
      <c r="AB606" s="25">
        <f t="shared" si="1682"/>
        <v>6590.627</v>
      </c>
      <c r="AC606" s="23">
        <f t="shared" si="1682"/>
        <v>2491</v>
      </c>
      <c r="AD606" s="23">
        <f t="shared" si="1682"/>
        <v>364</v>
      </c>
      <c r="AE606" s="23">
        <f t="shared" si="1682"/>
        <v>2855</v>
      </c>
      <c r="AF606" s="23">
        <f t="shared" si="1682"/>
        <v>3069</v>
      </c>
      <c r="AG606" s="23">
        <f t="shared" si="1682"/>
        <v>384</v>
      </c>
      <c r="AH606" s="23">
        <f t="shared" si="1682"/>
        <v>3453</v>
      </c>
      <c r="AI606" s="23">
        <f t="shared" si="1682"/>
        <v>6308</v>
      </c>
      <c r="AJ606" s="25">
        <f t="shared" ref="AJ606:AJ612" si="1685">AB606/AA606</f>
        <v>199.7159697</v>
      </c>
      <c r="AK606" s="22">
        <f t="shared" ref="AK606:AK607" si="1686">SUM(O601)</f>
        <v>7315</v>
      </c>
      <c r="AL606" s="26">
        <f t="shared" ref="AL606:AL612" si="1687">AI606/AK606</f>
        <v>0.8623376623</v>
      </c>
      <c r="AM606" s="27">
        <f t="shared" ref="AM606:AM607" si="1688">SUM(Q601)</f>
        <v>1.5</v>
      </c>
      <c r="AN606" s="26">
        <f t="shared" ref="AN606:AN612" si="1689">AO606/AM606</f>
        <v>0.6380778844</v>
      </c>
      <c r="AO606" s="28">
        <f t="shared" ref="AO606:AO612" si="1690">AI606/AB606</f>
        <v>0.9571168267</v>
      </c>
      <c r="AP606" s="27">
        <f t="shared" ref="AP606:AQ606" si="1683">SUM(T601)</f>
        <v>213.3096093</v>
      </c>
      <c r="AQ606" s="27">
        <f t="shared" si="1683"/>
        <v>6.463927556</v>
      </c>
      <c r="AR606" s="23">
        <f t="shared" ref="AR606:AR612" si="1692">AI606/AA606</f>
        <v>191.1515152</v>
      </c>
    </row>
    <row r="607" ht="15.75" customHeight="1">
      <c r="A607" s="21"/>
      <c r="B607" s="38">
        <v>8.0</v>
      </c>
      <c r="C607" s="38" t="s">
        <v>25</v>
      </c>
      <c r="D607" s="79">
        <v>32.0</v>
      </c>
      <c r="E607" s="40">
        <f>IFERROR(__xludf.DUMMYFUNCTION("COUNT(IMPORTRANGE(""https://docs.google.com/spreadsheets/d/1vLOLpiE-XsbnCnwWPcoi87PlUSXfqIAAQn3kvqHfO6s/edit"",""23!d2:D33""))"),32.0)</f>
        <v>32</v>
      </c>
      <c r="F607" s="45">
        <f>IFERROR(__xludf.DUMMYFUNCTION("SUM(IMPORTRANGE(""https://docs.google.com/spreadsheets/d/1vLOLpiE-XsbnCnwWPcoi87PlUSXfqIAAQn3kvqHfO6s/edit"",""23!Q2:Q33""))"),5756.4760000000015)</f>
        <v>5756.476</v>
      </c>
      <c r="G607" s="40">
        <f>IFERROR(__xludf.DUMMYFUNCTION("IMPORTRANGE(""https://docs.google.com/spreadsheets/d/1vLOLpiE-XsbnCnwWPcoi87PlUSXfqIAAQn3kvqHfO6s/edit"",""23!e40"")"),2238.0)</f>
        <v>2238</v>
      </c>
      <c r="H607" s="40">
        <f>IFERROR(__xludf.DUMMYFUNCTION("IMPORTRANGE(""https://docs.google.com/spreadsheets/d/1vLOLpiE-XsbnCnwWPcoi87PlUSXfqIAAQn3kvqHfO6s/edit"",""23!e41"")"),555.0)</f>
        <v>555</v>
      </c>
      <c r="I607" s="40">
        <f t="shared" si="1665"/>
        <v>2793</v>
      </c>
      <c r="J607" s="40">
        <f>IFERROR(__xludf.DUMMYFUNCTION("IMPORTRANGE(""https://docs.google.com/spreadsheets/d/1vLOLpiE-XsbnCnwWPcoi87PlUSXfqIAAQn3kvqHfO6s/edit"",""23!e44"")"),3130.0)</f>
        <v>3130</v>
      </c>
      <c r="K607" s="40">
        <f>IFERROR(__xludf.DUMMYFUNCTION("IMPORTRANGE(""https://docs.google.com/spreadsheets/d/1vLOLpiE-XsbnCnwWPcoi87PlUSXfqIAAQn3kvqHfO6s/edit"",""23!e45"")"),213.0)</f>
        <v>213</v>
      </c>
      <c r="L607" s="40">
        <f>J607+K607</f>
        <v>3343</v>
      </c>
      <c r="M607" s="40">
        <f t="shared" si="1667"/>
        <v>6136</v>
      </c>
      <c r="N607" s="41">
        <f t="shared" si="1668"/>
        <v>179.889875</v>
      </c>
      <c r="O607" s="38">
        <v>6622.0</v>
      </c>
      <c r="P607" s="42">
        <f t="shared" si="1669"/>
        <v>0.9266082754</v>
      </c>
      <c r="Q607" s="43">
        <v>1.5</v>
      </c>
      <c r="R607" s="42">
        <f t="shared" si="1670"/>
        <v>0.7106199464</v>
      </c>
      <c r="S607" s="44">
        <f t="shared" si="1671"/>
        <v>1.06592992</v>
      </c>
      <c r="T607" s="43">
        <f>F607/23.84</f>
        <v>241.4629195</v>
      </c>
      <c r="U607" s="43">
        <f t="shared" si="1672"/>
        <v>7.545716233</v>
      </c>
      <c r="V607" s="40">
        <f t="shared" si="1673"/>
        <v>191.75</v>
      </c>
      <c r="X607" s="31">
        <v>2.0</v>
      </c>
      <c r="Y607" s="31" t="s">
        <v>30</v>
      </c>
      <c r="Z607" s="31">
        <f t="shared" ref="Z607:AI607" si="1684">SUM(D602)</f>
        <v>60</v>
      </c>
      <c r="AA607" s="32">
        <f t="shared" si="1684"/>
        <v>56</v>
      </c>
      <c r="AB607" s="33">
        <f t="shared" si="1684"/>
        <v>11063.028</v>
      </c>
      <c r="AC607" s="32">
        <f t="shared" si="1684"/>
        <v>3172</v>
      </c>
      <c r="AD607" s="32">
        <f t="shared" si="1684"/>
        <v>0</v>
      </c>
      <c r="AE607" s="32">
        <f t="shared" si="1684"/>
        <v>3172</v>
      </c>
      <c r="AF607" s="32">
        <f t="shared" si="1684"/>
        <v>5796</v>
      </c>
      <c r="AG607" s="32">
        <f t="shared" si="1684"/>
        <v>0</v>
      </c>
      <c r="AH607" s="32">
        <f t="shared" si="1684"/>
        <v>5796</v>
      </c>
      <c r="AI607" s="32">
        <f t="shared" si="1684"/>
        <v>8968</v>
      </c>
      <c r="AJ607" s="34">
        <f t="shared" si="1685"/>
        <v>197.5540714</v>
      </c>
      <c r="AK607" s="31">
        <f t="shared" si="1686"/>
        <v>11164</v>
      </c>
      <c r="AL607" s="35">
        <f t="shared" si="1687"/>
        <v>0.8032963096</v>
      </c>
      <c r="AM607" s="36">
        <f t="shared" si="1688"/>
        <v>1.5</v>
      </c>
      <c r="AN607" s="35">
        <f t="shared" si="1689"/>
        <v>0.5404186509</v>
      </c>
      <c r="AO607" s="37">
        <f t="shared" si="1690"/>
        <v>0.8106279764</v>
      </c>
      <c r="AP607" s="36">
        <f t="shared" ref="AP607:AQ607" si="1691">SUM(T602)</f>
        <v>373.7130696</v>
      </c>
      <c r="AQ607" s="36">
        <f t="shared" si="1691"/>
        <v>6.673447672</v>
      </c>
      <c r="AR607" s="32">
        <f t="shared" si="1692"/>
        <v>160.1428571</v>
      </c>
    </row>
    <row r="608" ht="15.75" customHeight="1">
      <c r="A608" s="21"/>
      <c r="B608" s="38">
        <v>9.0</v>
      </c>
      <c r="C608" s="38" t="s">
        <v>36</v>
      </c>
      <c r="D608" s="79">
        <v>29.0</v>
      </c>
      <c r="E608" s="40">
        <f>IFERROR(__xludf.DUMMYFUNCTION("COUNT(IMPORTRANGE(""https://docs.google.com/spreadsheets/d/1WJJVq25XDtGjt-J2JPxeKs3jIvDZtkIREC0lFPXwf74/edit"",""23!d2:d31""))"),29.0)</f>
        <v>29</v>
      </c>
      <c r="F608" s="45">
        <f>IFERROR(__xludf.DUMMYFUNCTION("SUM(IMPORTRANGE(""https://docs.google.com/spreadsheets/d/1WJJVq25XDtGjt-J2JPxeKs3jIvDZtkIREC0lFPXwf74/edit"",""23!Q2:Q31""))"),5791.189999999998)</f>
        <v>5791.19</v>
      </c>
      <c r="G608" s="40">
        <f>IFERROR(__xludf.DUMMYFUNCTION("IMPORTRANGE(""https://docs.google.com/spreadsheets/d/1WJJVq25XDtGjt-J2JPxeKs3jIvDZtkIREC0lFPXwf74/edit"",""23!e38"")"),1576.0)</f>
        <v>1576</v>
      </c>
      <c r="H608" s="40">
        <f>IFERROR(__xludf.DUMMYFUNCTION("IMPORTRANGE(""https://docs.google.com/spreadsheets/d/1WJJVq25XDtGjt-J2JPxeKs3jIvDZtkIREC0lFPXwf74/edit"",""23!e39"")"),0.0)</f>
        <v>0</v>
      </c>
      <c r="I608" s="40">
        <f t="shared" si="1665"/>
        <v>1576</v>
      </c>
      <c r="J608" s="40">
        <f>IFERROR(__xludf.DUMMYFUNCTION("IMPORTRANGE(""https://docs.google.com/spreadsheets/d/1WJJVq25XDtGjt-J2JPxeKs3jIvDZtkIREC0lFPXwf74/edit"",""23!e42"")"),2323.0)</f>
        <v>2323</v>
      </c>
      <c r="K608" s="40">
        <f>IFERROR(__xludf.DUMMYFUNCTION("IMPORTRANGE(""https://docs.google.com/spreadsheets/d/1WJJVq25XDtGjt-J2JPxeKs3jIvDZtkIREC0lFPXwf74/edit"",""23!e43"")"),0.0)</f>
        <v>0</v>
      </c>
      <c r="L608" s="40">
        <f t="shared" ref="L608:L617" si="1695">SUM(J608:K608)</f>
        <v>2323</v>
      </c>
      <c r="M608" s="40">
        <f t="shared" si="1667"/>
        <v>3899</v>
      </c>
      <c r="N608" s="41">
        <f t="shared" si="1668"/>
        <v>199.6962069</v>
      </c>
      <c r="O608" s="38">
        <v>4796.0</v>
      </c>
      <c r="P608" s="42">
        <f t="shared" si="1669"/>
        <v>0.812969141</v>
      </c>
      <c r="Q608" s="43">
        <v>1.5</v>
      </c>
      <c r="R608" s="42">
        <f t="shared" si="1670"/>
        <v>0.4488426961</v>
      </c>
      <c r="S608" s="44">
        <f t="shared" si="1671"/>
        <v>0.6732640442</v>
      </c>
      <c r="T608" s="43">
        <f>F608/37.414</f>
        <v>154.7867109</v>
      </c>
      <c r="U608" s="43">
        <f t="shared" si="1672"/>
        <v>5.337472788</v>
      </c>
      <c r="V608" s="40">
        <f t="shared" si="1673"/>
        <v>134.4482759</v>
      </c>
      <c r="X608" s="22">
        <v>3.0</v>
      </c>
      <c r="Y608" s="22" t="s">
        <v>34</v>
      </c>
      <c r="Z608" s="22">
        <f t="shared" ref="Z608:AI608" si="1693">SUM(D604)</f>
        <v>40</v>
      </c>
      <c r="AA608" s="23">
        <f t="shared" si="1693"/>
        <v>39</v>
      </c>
      <c r="AB608" s="24">
        <f t="shared" si="1693"/>
        <v>7568.649</v>
      </c>
      <c r="AC608" s="23">
        <f t="shared" si="1693"/>
        <v>2677</v>
      </c>
      <c r="AD608" s="23">
        <f t="shared" si="1693"/>
        <v>0</v>
      </c>
      <c r="AE608" s="23">
        <f t="shared" si="1693"/>
        <v>2677</v>
      </c>
      <c r="AF608" s="23">
        <f t="shared" si="1693"/>
        <v>3469</v>
      </c>
      <c r="AG608" s="23">
        <f t="shared" si="1693"/>
        <v>0</v>
      </c>
      <c r="AH608" s="23">
        <f t="shared" si="1693"/>
        <v>3469</v>
      </c>
      <c r="AI608" s="23">
        <f t="shared" si="1693"/>
        <v>6146</v>
      </c>
      <c r="AJ608" s="25">
        <f t="shared" si="1685"/>
        <v>194.0679231</v>
      </c>
      <c r="AK608" s="22">
        <f>SUM(O604)</f>
        <v>9354</v>
      </c>
      <c r="AL608" s="26">
        <f t="shared" si="1687"/>
        <v>0.6570451144</v>
      </c>
      <c r="AM608" s="27">
        <f>SUM(Q604)</f>
        <v>1.5</v>
      </c>
      <c r="AN608" s="26">
        <f t="shared" si="1689"/>
        <v>0.5413559716</v>
      </c>
      <c r="AO608" s="28">
        <f t="shared" si="1690"/>
        <v>0.8120339574</v>
      </c>
      <c r="AP608" s="27">
        <f t="shared" ref="AP608:AQ608" si="1694">SUM(T604)</f>
        <v>246.431446</v>
      </c>
      <c r="AQ608" s="27">
        <f t="shared" si="1694"/>
        <v>6.318755025</v>
      </c>
      <c r="AR608" s="23">
        <f t="shared" si="1692"/>
        <v>157.5897436</v>
      </c>
    </row>
    <row r="609" ht="15.75" customHeight="1">
      <c r="A609" s="21"/>
      <c r="B609" s="38">
        <v>10.0</v>
      </c>
      <c r="C609" s="38" t="s">
        <v>37</v>
      </c>
      <c r="D609" s="78">
        <v>30.0</v>
      </c>
      <c r="E609" s="40">
        <f>IFERROR(__xludf.DUMMYFUNCTION("COUNT(IMPORTRANGE(""https://docs.google.com/spreadsheets/d/1rJyYfywRpWJW0zvDJHLOJtqUQqffoCGaqTVxxTDgV0k/edit"",""23!d2:d31""))"),30.0)</f>
        <v>30</v>
      </c>
      <c r="F609" s="45">
        <f>IFERROR(__xludf.DUMMYFUNCTION("SUM(IMPORTRANGE(""https://docs.google.com/spreadsheets/d/1rJyYfywRpWJW0zvDJHLOJtqUQqffoCGaqTVxxTDgV0k/edit"",""23!Q2:Q31""))"),5873.082000000002)</f>
        <v>5873.082</v>
      </c>
      <c r="G609" s="40">
        <f>IFERROR(__xludf.DUMMYFUNCTION("(IMPORTRANGE(""https://docs.google.com/spreadsheets/d/1rJyYfywRpWJW0zvDJHLOJtqUQqffoCGaqTVxxTDgV0k/edit"",""23!e38""))"),1918.0)</f>
        <v>1918</v>
      </c>
      <c r="H609" s="40">
        <f>IFERROR(__xludf.DUMMYFUNCTION("(IMPORTRANGE(""https://docs.google.com/spreadsheets/d/1rJyYfywRpWJW0zvDJHLOJtqUQqffoCGaqTVxxTDgV0k/edit"",""23!e39""))"),0.0)</f>
        <v>0</v>
      </c>
      <c r="I609" s="40">
        <f t="shared" si="1665"/>
        <v>1918</v>
      </c>
      <c r="J609" s="40">
        <f>IFERROR(__xludf.DUMMYFUNCTION("(IMPORTRANGE(""https://docs.google.com/spreadsheets/d/1rJyYfywRpWJW0zvDJHLOJtqUQqffoCGaqTVxxTDgV0k/edit"",""23!e42""))"),3245.0)</f>
        <v>3245</v>
      </c>
      <c r="K609" s="40">
        <f>IFERROR(__xludf.DUMMYFUNCTION("(IMPORTRANGE(""https://docs.google.com/spreadsheets/d/1rJyYfywRpWJW0zvDJHLOJtqUQqffoCGaqTVxxTDgV0k/edit"",""23!e43""))"),0.0)</f>
        <v>0</v>
      </c>
      <c r="L609" s="40">
        <f t="shared" si="1695"/>
        <v>3245</v>
      </c>
      <c r="M609" s="40">
        <f t="shared" si="1667"/>
        <v>5163</v>
      </c>
      <c r="N609" s="41">
        <f t="shared" si="1668"/>
        <v>195.7694</v>
      </c>
      <c r="O609" s="38">
        <v>5887.0</v>
      </c>
      <c r="P609" s="42">
        <f t="shared" si="1669"/>
        <v>0.8770171564</v>
      </c>
      <c r="Q609" s="43">
        <v>1.5</v>
      </c>
      <c r="R609" s="42">
        <f t="shared" si="1670"/>
        <v>0.5860636715</v>
      </c>
      <c r="S609" s="44">
        <f t="shared" si="1671"/>
        <v>0.8790955073</v>
      </c>
      <c r="T609" s="43">
        <f>F609/24.792</f>
        <v>236.8942401</v>
      </c>
      <c r="U609" s="43">
        <f t="shared" si="1672"/>
        <v>7.896474669</v>
      </c>
      <c r="V609" s="40">
        <f t="shared" si="1673"/>
        <v>172.1</v>
      </c>
      <c r="X609" s="31">
        <v>4.0</v>
      </c>
      <c r="Y609" s="31" t="s">
        <v>38</v>
      </c>
      <c r="Z609" s="31">
        <f t="shared" ref="Z609:AI609" si="1696">SUM(D612)</f>
        <v>30</v>
      </c>
      <c r="AA609" s="32">
        <f t="shared" si="1696"/>
        <v>29</v>
      </c>
      <c r="AB609" s="33">
        <f t="shared" si="1696"/>
        <v>6016.961</v>
      </c>
      <c r="AC609" s="32">
        <f t="shared" si="1696"/>
        <v>2163</v>
      </c>
      <c r="AD609" s="32">
        <f t="shared" si="1696"/>
        <v>0</v>
      </c>
      <c r="AE609" s="32">
        <f t="shared" si="1696"/>
        <v>2163</v>
      </c>
      <c r="AF609" s="32">
        <f t="shared" si="1696"/>
        <v>2761</v>
      </c>
      <c r="AG609" s="32">
        <f t="shared" si="1696"/>
        <v>0</v>
      </c>
      <c r="AH609" s="32">
        <f t="shared" si="1696"/>
        <v>2761</v>
      </c>
      <c r="AI609" s="32">
        <f t="shared" si="1696"/>
        <v>4924</v>
      </c>
      <c r="AJ609" s="34">
        <f t="shared" si="1685"/>
        <v>207.4814138</v>
      </c>
      <c r="AK609" s="31">
        <v>7324.0</v>
      </c>
      <c r="AL609" s="35">
        <f t="shared" si="1687"/>
        <v>0.672310213</v>
      </c>
      <c r="AM609" s="36">
        <f>SUM(Q612)</f>
        <v>1.5</v>
      </c>
      <c r="AN609" s="35">
        <f t="shared" si="1689"/>
        <v>0.5455688788</v>
      </c>
      <c r="AO609" s="37">
        <f t="shared" si="1690"/>
        <v>0.8183533182</v>
      </c>
      <c r="AP609" s="36">
        <f t="shared" ref="AP609:AQ609" si="1697">SUM(T612)</f>
        <v>146.0250212</v>
      </c>
      <c r="AQ609" s="36">
        <f t="shared" si="1697"/>
        <v>5.03534556</v>
      </c>
      <c r="AR609" s="32">
        <f t="shared" si="1692"/>
        <v>169.7931034</v>
      </c>
    </row>
    <row r="610" ht="15.75" customHeight="1">
      <c r="A610" s="21"/>
      <c r="B610" s="38">
        <v>12.0</v>
      </c>
      <c r="C610" s="38" t="s">
        <v>39</v>
      </c>
      <c r="D610" s="78">
        <v>28.0</v>
      </c>
      <c r="E610" s="40">
        <f>IFERROR(__xludf.DUMMYFUNCTION("COUNT(IMPORTRANGE(""https://docs.google.com/spreadsheets/d/1uaTn2DZCfr7O1PvovOd0wElzVz8kpl_iPfnrkNPp0Is/edit"",""23!d2:d29""))"),26.0)</f>
        <v>26</v>
      </c>
      <c r="F610" s="45">
        <f>IFERROR(__xludf.DUMMYFUNCTION("SUM(IMPORTRANGE(""https://docs.google.com/spreadsheets/d/1uaTn2DZCfr7O1PvovOd0wElzVz8kpl_iPfnrkNPp0Is/edit"",""23!Q2:Q29""))"),5211.144000000002)</f>
        <v>5211.144</v>
      </c>
      <c r="G610" s="40">
        <f>IFERROR(__xludf.DUMMYFUNCTION("IMPORTRANGE(""https://docs.google.com/spreadsheets/d/1uaTn2DZCfr7O1PvovOd0wElzVz8kpl_iPfnrkNPp0Is/edit"",""23!e36"")"),1197.0)</f>
        <v>1197</v>
      </c>
      <c r="H610" s="40">
        <f>IFERROR(__xludf.DUMMYFUNCTION("(IMPORTRANGE(""https://docs.google.com/spreadsheets/d/1uaTn2DZCfr7O1PvovOd0wElzVz8kpl_iPfnrkNPp0Is/edit"",""23!e37""))"),20.0)</f>
        <v>20</v>
      </c>
      <c r="I610" s="40">
        <f t="shared" si="1665"/>
        <v>1217</v>
      </c>
      <c r="J610" s="40">
        <f>IFERROR(__xludf.DUMMYFUNCTION("IMPORTRANGE(""https://docs.google.com/spreadsheets/d/1uaTn2DZCfr7O1PvovOd0wElzVz8kpl_iPfnrkNPp0Is/edit"",""23!e40"")"),1712.0)</f>
        <v>1712</v>
      </c>
      <c r="K610" s="40">
        <f>IFERROR(__xludf.DUMMYFUNCTION("IMPORTRANGE(""https://docs.google.com/spreadsheets/d/1uaTn2DZCfr7O1PvovOd0wElzVz8kpl_iPfnrkNPp0Is/edit"",""23!e41"")"),45.0)</f>
        <v>45</v>
      </c>
      <c r="L610" s="40">
        <f t="shared" si="1695"/>
        <v>1757</v>
      </c>
      <c r="M610" s="40">
        <f t="shared" si="1667"/>
        <v>2974</v>
      </c>
      <c r="N610" s="41">
        <f t="shared" si="1668"/>
        <v>200.4286154</v>
      </c>
      <c r="O610" s="38">
        <v>3569.0</v>
      </c>
      <c r="P610" s="42">
        <f t="shared" si="1669"/>
        <v>0.8332866349</v>
      </c>
      <c r="Q610" s="43">
        <v>1.5</v>
      </c>
      <c r="R610" s="42">
        <f t="shared" si="1670"/>
        <v>0.3804666819</v>
      </c>
      <c r="S610" s="44">
        <f t="shared" si="1671"/>
        <v>0.5707000229</v>
      </c>
      <c r="T610" s="43">
        <f>F610/21.463</f>
        <v>242.7966268</v>
      </c>
      <c r="U610" s="43">
        <f t="shared" si="1672"/>
        <v>9.338331798</v>
      </c>
      <c r="V610" s="40">
        <f t="shared" si="1673"/>
        <v>114.3846154</v>
      </c>
      <c r="X610" s="31">
        <v>5.0</v>
      </c>
      <c r="Y610" s="31" t="s">
        <v>40</v>
      </c>
      <c r="Z610" s="31">
        <f t="shared" ref="Z610:AI610" si="1698">SUM(D614)</f>
        <v>30</v>
      </c>
      <c r="AA610" s="32">
        <f t="shared" si="1698"/>
        <v>30</v>
      </c>
      <c r="AB610" s="33">
        <f t="shared" si="1698"/>
        <v>5958.142</v>
      </c>
      <c r="AC610" s="32">
        <f t="shared" si="1698"/>
        <v>3494</v>
      </c>
      <c r="AD610" s="32">
        <f t="shared" si="1698"/>
        <v>36</v>
      </c>
      <c r="AE610" s="32">
        <f t="shared" si="1698"/>
        <v>3530</v>
      </c>
      <c r="AF610" s="32">
        <f t="shared" si="1698"/>
        <v>3904</v>
      </c>
      <c r="AG610" s="32">
        <f t="shared" si="1698"/>
        <v>18</v>
      </c>
      <c r="AH610" s="32">
        <f t="shared" si="1698"/>
        <v>3922</v>
      </c>
      <c r="AI610" s="32">
        <f t="shared" si="1698"/>
        <v>7452</v>
      </c>
      <c r="AJ610" s="34">
        <f t="shared" si="1685"/>
        <v>198.6047333</v>
      </c>
      <c r="AK610" s="31">
        <f t="shared" ref="AK610:AK611" si="1701">SUM(O614)</f>
        <v>8239</v>
      </c>
      <c r="AL610" s="35">
        <f t="shared" si="1687"/>
        <v>0.9044786989</v>
      </c>
      <c r="AM610" s="36">
        <f t="shared" ref="AM610:AM611" si="1702">SUM(Q614)</f>
        <v>1.5</v>
      </c>
      <c r="AN610" s="35">
        <f t="shared" si="1689"/>
        <v>0.8338169852</v>
      </c>
      <c r="AO610" s="37">
        <f t="shared" si="1690"/>
        <v>1.250725478</v>
      </c>
      <c r="AP610" s="36">
        <f t="shared" ref="AP610:AQ610" si="1699">SUM(T614)</f>
        <v>209.4765672</v>
      </c>
      <c r="AQ610" s="36">
        <f t="shared" si="1699"/>
        <v>6.982552239</v>
      </c>
      <c r="AR610" s="32">
        <f t="shared" si="1692"/>
        <v>248.4</v>
      </c>
    </row>
    <row r="611" ht="15.75" customHeight="1">
      <c r="A611" s="21"/>
      <c r="B611" s="38">
        <v>12.0</v>
      </c>
      <c r="C611" s="38" t="s">
        <v>41</v>
      </c>
      <c r="D611" s="78">
        <v>24.0</v>
      </c>
      <c r="E611" s="40">
        <f>IFERROR(__xludf.DUMMYFUNCTION("COUNT(IMPORTRANGE(""https://docs.google.com/spreadsheets/d/1oYscvfOJW7GMkxt8QcupWuzb3ohaYePd3Mt2V2ufHok/edit"",""23!d2:d25""))"),24.0)</f>
        <v>24</v>
      </c>
      <c r="F611" s="45">
        <f>IFERROR(__xludf.DUMMYFUNCTION("SUM(IMPORTRANGE(""https://docs.google.com/spreadsheets/d/1oYscvfOJW7GMkxt8QcupWuzb3ohaYePd3Mt2V2ufHok/edit"",""23!Q2:Q25""))"),4704.268000000001)</f>
        <v>4704.268</v>
      </c>
      <c r="G611" s="40">
        <f>IFERROR(__xludf.DUMMYFUNCTION("IMPORTRANGE(""https://docs.google.com/spreadsheets/d/1oYscvfOJW7GMkxt8QcupWuzb3ohaYePd3Mt2V2ufHok/edit"",""23!e32"")"),1234.0)</f>
        <v>1234</v>
      </c>
      <c r="H611" s="40">
        <f>IFERROR(__xludf.DUMMYFUNCTION("IMPORTRANGE(""https://docs.google.com/spreadsheets/d/1oYscvfOJW7GMkxt8QcupWuzb3ohaYePd3Mt2V2ufHok/edit"",""23!e33"")"),29.0)</f>
        <v>29</v>
      </c>
      <c r="I611" s="40">
        <f t="shared" si="1665"/>
        <v>1263</v>
      </c>
      <c r="J611" s="40">
        <f>IFERROR(__xludf.DUMMYFUNCTION("IMPORTRANGE(""https://docs.google.com/spreadsheets/d/1oYscvfOJW7GMkxt8QcupWuzb3ohaYePd3Mt2V2ufHok/edit"",""23!e36"")"),1784.0)</f>
        <v>1784</v>
      </c>
      <c r="K611" s="40">
        <f>IFERROR(__xludf.DUMMYFUNCTION("IMPORTRANGE(""https://docs.google.com/spreadsheets/d/1oYscvfOJW7GMkxt8QcupWuzb3ohaYePd3Mt2V2ufHok/edit"",""23!e37"")"),30.0)</f>
        <v>30</v>
      </c>
      <c r="L611" s="40">
        <f t="shared" si="1695"/>
        <v>1814</v>
      </c>
      <c r="M611" s="40">
        <f t="shared" si="1667"/>
        <v>3077</v>
      </c>
      <c r="N611" s="41">
        <f t="shared" si="1668"/>
        <v>196.0111667</v>
      </c>
      <c r="O611" s="38">
        <v>3801.0</v>
      </c>
      <c r="P611" s="42">
        <f t="shared" si="1669"/>
        <v>0.8095238095</v>
      </c>
      <c r="Q611" s="43">
        <v>1.5</v>
      </c>
      <c r="R611" s="42">
        <f t="shared" si="1670"/>
        <v>0.436057923</v>
      </c>
      <c r="S611" s="44">
        <f t="shared" si="1671"/>
        <v>0.6540868845</v>
      </c>
      <c r="T611" s="43">
        <f>F611/29.628</f>
        <v>158.7777778</v>
      </c>
      <c r="U611" s="43">
        <f t="shared" si="1672"/>
        <v>6.615740741</v>
      </c>
      <c r="V611" s="40">
        <f t="shared" si="1673"/>
        <v>128.2083333</v>
      </c>
      <c r="X611" s="22">
        <v>6.0</v>
      </c>
      <c r="Y611" s="22" t="s">
        <v>42</v>
      </c>
      <c r="Z611" s="22">
        <f t="shared" ref="Z611:AI611" si="1700">SUM(D615)</f>
        <v>33</v>
      </c>
      <c r="AA611" s="23">
        <f t="shared" si="1700"/>
        <v>32</v>
      </c>
      <c r="AB611" s="24">
        <f t="shared" si="1700"/>
        <v>6257.2</v>
      </c>
      <c r="AC611" s="23">
        <f t="shared" si="1700"/>
        <v>3061</v>
      </c>
      <c r="AD611" s="23">
        <f t="shared" si="1700"/>
        <v>0</v>
      </c>
      <c r="AE611" s="23">
        <f t="shared" si="1700"/>
        <v>3061</v>
      </c>
      <c r="AF611" s="23">
        <f t="shared" si="1700"/>
        <v>4273</v>
      </c>
      <c r="AG611" s="23">
        <f t="shared" si="1700"/>
        <v>0</v>
      </c>
      <c r="AH611" s="23">
        <f t="shared" si="1700"/>
        <v>4273</v>
      </c>
      <c r="AI611" s="23">
        <f t="shared" si="1700"/>
        <v>7334</v>
      </c>
      <c r="AJ611" s="25">
        <f t="shared" si="1685"/>
        <v>195.5375</v>
      </c>
      <c r="AK611" s="22">
        <f t="shared" si="1701"/>
        <v>9877</v>
      </c>
      <c r="AL611" s="26">
        <f t="shared" si="1687"/>
        <v>0.7425331578</v>
      </c>
      <c r="AM611" s="27">
        <f t="shared" si="1702"/>
        <v>1.5</v>
      </c>
      <c r="AN611" s="26">
        <f t="shared" si="1689"/>
        <v>0.7813931684</v>
      </c>
      <c r="AO611" s="28">
        <f t="shared" si="1690"/>
        <v>1.172089753</v>
      </c>
      <c r="AP611" s="27">
        <f t="shared" ref="AP611:AQ611" si="1703">SUM(T615)</f>
        <v>239.2353279</v>
      </c>
      <c r="AQ611" s="27">
        <f t="shared" si="1703"/>
        <v>7.476103995</v>
      </c>
      <c r="AR611" s="23">
        <f t="shared" si="1692"/>
        <v>229.1875</v>
      </c>
    </row>
    <row r="612" ht="15.75" customHeight="1">
      <c r="A612" s="21"/>
      <c r="B612" s="38">
        <v>13.0</v>
      </c>
      <c r="C612" s="38" t="s">
        <v>43</v>
      </c>
      <c r="D612" s="78">
        <v>30.0</v>
      </c>
      <c r="E612" s="40">
        <f>IFERROR(__xludf.DUMMYFUNCTION("COUNT(IMPORTRANGE(""https://docs.google.com/spreadsheets/d/1AxBmuQEdOYAeRnZ4C8vO6kuTNp7X_SGhpLXuY0n4ln4/edit"",""23!d2:d31""))"),29.0)</f>
        <v>29</v>
      </c>
      <c r="F612" s="45">
        <f>IFERROR(__xludf.DUMMYFUNCTION("SUM(IMPORTRANGE(""https://docs.google.com/spreadsheets/d/1AxBmuQEdOYAeRnZ4C8vO6kuTNp7X_SGhpLXuY0n4ln4/edit"",""23!Q2:Q31""))"),6016.960999999999)</f>
        <v>6016.961</v>
      </c>
      <c r="G612" s="40">
        <f>IFERROR(__xludf.DUMMYFUNCTION("IMPORTRANGE(""https://docs.google.com/spreadsheets/d/1AxBmuQEdOYAeRnZ4C8vO6kuTNp7X_SGhpLXuY0n4ln4/edit"",""23!e38"")"),2163.0)</f>
        <v>2163</v>
      </c>
      <c r="H612" s="40">
        <f>IFERROR(__xludf.DUMMYFUNCTION("IMPORTRANGE(""https://docs.google.com/spreadsheets/d/1AxBmuQEdOYAeRnZ4C8vO6kuTNp7X_SGhpLXuY0n4ln4/edit"",""23!e39"")"),0.0)</f>
        <v>0</v>
      </c>
      <c r="I612" s="40">
        <f t="shared" si="1665"/>
        <v>2163</v>
      </c>
      <c r="J612" s="40">
        <f>IFERROR(__xludf.DUMMYFUNCTION("IMPORTRANGE(""https://docs.google.com/spreadsheets/d/1AxBmuQEdOYAeRnZ4C8vO6kuTNp7X_SGhpLXuY0n4ln4/edit"",""23!e42"")"),2761.0)</f>
        <v>2761</v>
      </c>
      <c r="K612" s="40">
        <f>IFERROR(__xludf.DUMMYFUNCTION("IMPORTRANGE(""https://docs.google.com/spreadsheets/d/1AxBmuQEdOYAeRnZ4C8vO6kuTNp7X_SGhpLXuY0n4ln4/edit"",""23!e43"")"),0.0)</f>
        <v>0</v>
      </c>
      <c r="L612" s="40">
        <f t="shared" si="1695"/>
        <v>2761</v>
      </c>
      <c r="M612" s="40">
        <f t="shared" si="1667"/>
        <v>4924</v>
      </c>
      <c r="N612" s="41">
        <f t="shared" si="1668"/>
        <v>207.4814138</v>
      </c>
      <c r="O612" s="38">
        <v>8345.0</v>
      </c>
      <c r="P612" s="42">
        <f t="shared" si="1669"/>
        <v>0.5900539245</v>
      </c>
      <c r="Q612" s="43">
        <v>1.5</v>
      </c>
      <c r="R612" s="42">
        <f t="shared" si="1670"/>
        <v>0.5455688788</v>
      </c>
      <c r="S612" s="44">
        <f t="shared" si="1671"/>
        <v>0.8183533182</v>
      </c>
      <c r="T612" s="43">
        <f>F612/41.205</f>
        <v>146.0250212</v>
      </c>
      <c r="U612" s="43">
        <f t="shared" si="1672"/>
        <v>5.03534556</v>
      </c>
      <c r="V612" s="40">
        <f t="shared" si="1673"/>
        <v>169.7931034</v>
      </c>
      <c r="X612" s="46" t="s">
        <v>33</v>
      </c>
      <c r="Y612" s="46">
        <v>6.0</v>
      </c>
      <c r="Z612" s="46">
        <f t="shared" ref="Z612:AI612" si="1704">SUM(Z606:Z611)</f>
        <v>226</v>
      </c>
      <c r="AA612" s="47">
        <f t="shared" si="1704"/>
        <v>219</v>
      </c>
      <c r="AB612" s="49">
        <f t="shared" si="1704"/>
        <v>43454.607</v>
      </c>
      <c r="AC612" s="47">
        <f t="shared" si="1704"/>
        <v>17058</v>
      </c>
      <c r="AD612" s="47">
        <f t="shared" si="1704"/>
        <v>400</v>
      </c>
      <c r="AE612" s="47">
        <f t="shared" si="1704"/>
        <v>17458</v>
      </c>
      <c r="AF612" s="47">
        <f t="shared" si="1704"/>
        <v>23272</v>
      </c>
      <c r="AG612" s="47">
        <f t="shared" si="1704"/>
        <v>402</v>
      </c>
      <c r="AH612" s="47">
        <f t="shared" si="1704"/>
        <v>23674</v>
      </c>
      <c r="AI612" s="47">
        <f t="shared" si="1704"/>
        <v>41132</v>
      </c>
      <c r="AJ612" s="49">
        <f t="shared" si="1685"/>
        <v>198.422863</v>
      </c>
      <c r="AK612" s="46">
        <f>SUM(AK606:AK611)</f>
        <v>53273</v>
      </c>
      <c r="AL612" s="50">
        <f t="shared" si="1687"/>
        <v>0.7720984364</v>
      </c>
      <c r="AM612" s="51">
        <v>1.5</v>
      </c>
      <c r="AN612" s="50">
        <f t="shared" si="1689"/>
        <v>0.6310339738</v>
      </c>
      <c r="AO612" s="52">
        <f t="shared" si="1690"/>
        <v>0.9465509606</v>
      </c>
      <c r="AP612" s="51">
        <f>SUM(AP606:AP611)</f>
        <v>1428.191041</v>
      </c>
      <c r="AQ612" s="51">
        <f>AP612/AA612</f>
        <v>6.521420279</v>
      </c>
      <c r="AR612" s="47">
        <f t="shared" si="1692"/>
        <v>187.8173516</v>
      </c>
    </row>
    <row r="613" ht="15.75" customHeight="1">
      <c r="A613" s="21"/>
      <c r="B613" s="38">
        <v>14.0</v>
      </c>
      <c r="C613" s="38" t="s">
        <v>27</v>
      </c>
      <c r="D613" s="78">
        <v>30.0</v>
      </c>
      <c r="E613" s="40">
        <f>IFERROR(__xludf.DUMMYFUNCTION("COUNT(IMPORTRANGE(""https://docs.google.com/spreadsheets/d/1LsL4JuXvBtfJ-TVi4NFml9lV_pmd61b789A_nbO-QrA/edit"",""23!d2:d31""))"),30.0)</f>
        <v>30</v>
      </c>
      <c r="F613" s="45">
        <f>IFERROR(__xludf.DUMMYFUNCTION("SUM(IMPORTRANGE(""https://docs.google.com/spreadsheets/d/1LsL4JuXvBtfJ-TVi4NFml9lV_pmd61b789A_nbO-QrA/edit"",""23!Q2:Q31""))"),5865.46)</f>
        <v>5865.46</v>
      </c>
      <c r="G613" s="40">
        <f>IFERROR(__xludf.DUMMYFUNCTION("IMPORTRANGE(""https://docs.google.com/spreadsheets/d/1LsL4JuXvBtfJ-TVi4NFml9lV_pmd61b789A_nbO-QrA/edit"",""23!e38"")"),2374.0)</f>
        <v>2374</v>
      </c>
      <c r="H613" s="40">
        <f>IFERROR(__xludf.DUMMYFUNCTION("IMPORTRANGE(""https://docs.google.com/spreadsheets/d/1LsL4JuXvBtfJ-TVi4NFml9lV_pmd61b789A_nbO-QrA/edit"",""23!e39"")"),0.0)</f>
        <v>0</v>
      </c>
      <c r="I613" s="40">
        <f t="shared" si="1665"/>
        <v>2374</v>
      </c>
      <c r="J613" s="40">
        <f>IFERROR(__xludf.DUMMYFUNCTION("IMPORTRANGE(""https://docs.google.com/spreadsheets/d/1LsL4JuXvBtfJ-TVi4NFml9lV_pmd61b789A_nbO-QrA/edit"",""23!e42"")"),2977.0)</f>
        <v>2977</v>
      </c>
      <c r="K613" s="40">
        <f>IFERROR(__xludf.DUMMYFUNCTION("IMPORTRANGE(""https://docs.google.com/spreadsheets/d/1LsL4JuXvBtfJ-TVi4NFml9lV_pmd61b789A_nbO-QrA/edit"",""23!e43"")"),0.0)</f>
        <v>0</v>
      </c>
      <c r="L613" s="40">
        <f t="shared" si="1695"/>
        <v>2977</v>
      </c>
      <c r="M613" s="40">
        <f t="shared" si="1667"/>
        <v>5351</v>
      </c>
      <c r="N613" s="41">
        <f t="shared" si="1668"/>
        <v>195.5153333</v>
      </c>
      <c r="O613" s="38">
        <v>8101.0</v>
      </c>
      <c r="P613" s="42">
        <f t="shared" si="1669"/>
        <v>0.6605357363</v>
      </c>
      <c r="Q613" s="43">
        <v>1.5</v>
      </c>
      <c r="R613" s="42">
        <f t="shared" si="1670"/>
        <v>0.6081932761</v>
      </c>
      <c r="S613" s="44">
        <f t="shared" si="1671"/>
        <v>0.9122899142</v>
      </c>
      <c r="T613" s="43">
        <f>F613/19.985</f>
        <v>293.4931198</v>
      </c>
      <c r="U613" s="43">
        <f t="shared" si="1672"/>
        <v>9.783103995</v>
      </c>
      <c r="V613" s="40">
        <f t="shared" si="1673"/>
        <v>178.3666667</v>
      </c>
      <c r="X613" s="59" t="s">
        <v>44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6"/>
    </row>
    <row r="614" ht="15.75" customHeight="1">
      <c r="A614" s="21"/>
      <c r="B614" s="38">
        <v>15.0</v>
      </c>
      <c r="C614" s="38" t="s">
        <v>40</v>
      </c>
      <c r="D614" s="78">
        <v>30.0</v>
      </c>
      <c r="E614" s="40">
        <f>IFERROR(__xludf.DUMMYFUNCTION("COUNT(IMPORTRANGE(""https://docs.google.com/spreadsheets/d/1Krav0MVlY0vbUNsFRDnb_kR72_tyuGnWBYbGjNZrl18/edit"",""23!d2:d31""))"),30.0)</f>
        <v>30</v>
      </c>
      <c r="F614" s="45">
        <f>IFERROR(__xludf.DUMMYFUNCTION("SUM(IMPORTRANGE(""https://docs.google.com/spreadsheets/d/1Krav0MVlY0vbUNsFRDnb_kR72_tyuGnWBYbGjNZrl18/edit"",""23!Q2:Q31""))"),5958.141999999998)</f>
        <v>5958.142</v>
      </c>
      <c r="G614" s="40">
        <f>IFERROR(__xludf.DUMMYFUNCTION("IMPORTRANGE(""https://docs.google.com/spreadsheets/d/1Krav0MVlY0vbUNsFRDnb_kR72_tyuGnWBYbGjNZrl18/edit"",""23!e38"")"),3494.0)</f>
        <v>3494</v>
      </c>
      <c r="H614" s="40">
        <f>IFERROR(__xludf.DUMMYFUNCTION("IMPORTRANGE(""https://docs.google.com/spreadsheets/d/1Krav0MVlY0vbUNsFRDnb_kR72_tyuGnWBYbGjNZrl18/edit"",""23!e39"")"),36.0)</f>
        <v>36</v>
      </c>
      <c r="I614" s="40">
        <f t="shared" si="1665"/>
        <v>3530</v>
      </c>
      <c r="J614" s="40">
        <f>IFERROR(__xludf.DUMMYFUNCTION("IMPORTRANGE(""https://docs.google.com/spreadsheets/d/1Krav0MVlY0vbUNsFRDnb_kR72_tyuGnWBYbGjNZrl18/edit"",""23!e42"")"),3904.0)</f>
        <v>3904</v>
      </c>
      <c r="K614" s="40">
        <f>IFERROR(__xludf.DUMMYFUNCTION("IMPORTRANGE(""https://docs.google.com/spreadsheets/d/1Krav0MVlY0vbUNsFRDnb_kR72_tyuGnWBYbGjNZrl18/edit"",""23!e43"")"),18.0)</f>
        <v>18</v>
      </c>
      <c r="L614" s="40">
        <f t="shared" si="1695"/>
        <v>3922</v>
      </c>
      <c r="M614" s="40">
        <f t="shared" si="1667"/>
        <v>7452</v>
      </c>
      <c r="N614" s="41">
        <f t="shared" si="1668"/>
        <v>198.6047333</v>
      </c>
      <c r="O614" s="38">
        <v>8239.0</v>
      </c>
      <c r="P614" s="42">
        <f t="shared" si="1669"/>
        <v>0.9044786989</v>
      </c>
      <c r="Q614" s="43">
        <v>1.5</v>
      </c>
      <c r="R614" s="42">
        <f t="shared" si="1670"/>
        <v>0.8338169852</v>
      </c>
      <c r="S614" s="44">
        <f t="shared" si="1671"/>
        <v>1.250725478</v>
      </c>
      <c r="T614" s="43">
        <f>F614/28.443</f>
        <v>209.4765672</v>
      </c>
      <c r="U614" s="43">
        <f t="shared" si="1672"/>
        <v>6.982552239</v>
      </c>
      <c r="V614" s="40">
        <f t="shared" si="1673"/>
        <v>248.4</v>
      </c>
      <c r="X614" s="14" t="s">
        <v>2</v>
      </c>
      <c r="Y614" s="14" t="s">
        <v>3</v>
      </c>
      <c r="Z614" s="14" t="s">
        <v>4</v>
      </c>
      <c r="AA614" s="14" t="s">
        <v>5</v>
      </c>
      <c r="AB614" s="15" t="s">
        <v>6</v>
      </c>
      <c r="AC614" s="14" t="s">
        <v>7</v>
      </c>
      <c r="AD614" s="14" t="s">
        <v>8</v>
      </c>
      <c r="AE614" s="14" t="s">
        <v>9</v>
      </c>
      <c r="AF614" s="14" t="s">
        <v>10</v>
      </c>
      <c r="AG614" s="14" t="s">
        <v>11</v>
      </c>
      <c r="AH614" s="14" t="s">
        <v>12</v>
      </c>
      <c r="AI614" s="14" t="s">
        <v>13</v>
      </c>
      <c r="AJ614" s="15" t="s">
        <v>14</v>
      </c>
      <c r="AK614" s="14" t="s">
        <v>15</v>
      </c>
      <c r="AL614" s="14" t="s">
        <v>16</v>
      </c>
      <c r="AM614" s="16" t="s">
        <v>17</v>
      </c>
      <c r="AN614" s="17" t="s">
        <v>18</v>
      </c>
      <c r="AO614" s="18" t="s">
        <v>19</v>
      </c>
      <c r="AP614" s="19" t="s">
        <v>20</v>
      </c>
      <c r="AQ614" s="19" t="s">
        <v>21</v>
      </c>
      <c r="AR614" s="20" t="s">
        <v>22</v>
      </c>
    </row>
    <row r="615" ht="15.75" customHeight="1">
      <c r="A615" s="21"/>
      <c r="B615" s="38">
        <v>16.0</v>
      </c>
      <c r="C615" s="38" t="s">
        <v>42</v>
      </c>
      <c r="D615" s="78">
        <v>33.0</v>
      </c>
      <c r="E615" s="40">
        <f>IFERROR(__xludf.DUMMYFUNCTION("COUNT(IMPORTRANGE(""https://docs.google.com/spreadsheets/d/1uXtm-E8PG0CetlFmSpTX3RK0LNEMnpR-mxbET9AGD6w/edit"",""23!d2:d34""))"),32.0)</f>
        <v>32</v>
      </c>
      <c r="F615" s="45">
        <f>IFERROR(__xludf.DUMMYFUNCTION("SUM(IMPORTRANGE(""https://docs.google.com/spreadsheets/d/1uXtm-E8PG0CetlFmSpTX3RK0LNEMnpR-mxbET9AGD6w/edit"",""23!Q2:Q34""))"),6257.199999999998)</f>
        <v>6257.2</v>
      </c>
      <c r="G615" s="40">
        <f>IFERROR(__xludf.DUMMYFUNCTION("IMPORTRANGE(""https://docs.google.com/spreadsheets/d/1uXtm-E8PG0CetlFmSpTX3RK0LNEMnpR-mxbET9AGD6w/edit"",""23!e41"")"),3061.0)</f>
        <v>3061</v>
      </c>
      <c r="H615" s="40">
        <f>IFERROR(__xludf.DUMMYFUNCTION("IMPORTRANGE(""https://docs.google.com/spreadsheets/d/1uXtm-E8PG0CetlFmSpTX3RK0LNEMnpR-mxbET9AGD6w/edit"",""23!e42"")"),0.0)</f>
        <v>0</v>
      </c>
      <c r="I615" s="40">
        <f t="shared" si="1665"/>
        <v>3061</v>
      </c>
      <c r="J615" s="40">
        <f>IFERROR(__xludf.DUMMYFUNCTION("IMPORTRANGE(""https://docs.google.com/spreadsheets/d/1uXtm-E8PG0CetlFmSpTX3RK0LNEMnpR-mxbET9AGD6w/edit"",""23!e45"")"),4273.0)</f>
        <v>4273</v>
      </c>
      <c r="K615" s="40">
        <f>IFERROR(__xludf.DUMMYFUNCTION("IMPORTRANGE(""https://docs.google.com/spreadsheets/d/1uXtm-E8PG0CetlFmSpTX3RK0LNEMnpR-mxbET9AGD6w/edit"",""23!e46"")"),0.0)</f>
        <v>0</v>
      </c>
      <c r="L615" s="40">
        <f t="shared" si="1695"/>
        <v>4273</v>
      </c>
      <c r="M615" s="40">
        <f t="shared" si="1667"/>
        <v>7334</v>
      </c>
      <c r="N615" s="41">
        <f t="shared" si="1668"/>
        <v>195.5375</v>
      </c>
      <c r="O615" s="38">
        <v>9877.0</v>
      </c>
      <c r="P615" s="42">
        <f t="shared" si="1669"/>
        <v>0.7425331578</v>
      </c>
      <c r="Q615" s="43">
        <v>1.5</v>
      </c>
      <c r="R615" s="42">
        <f t="shared" si="1670"/>
        <v>0.7813931684</v>
      </c>
      <c r="S615" s="44">
        <f t="shared" si="1671"/>
        <v>1.172089753</v>
      </c>
      <c r="T615" s="43">
        <f>F615/26.155</f>
        <v>239.2353279</v>
      </c>
      <c r="U615" s="43">
        <f t="shared" si="1672"/>
        <v>7.476103995</v>
      </c>
      <c r="V615" s="40">
        <f t="shared" si="1673"/>
        <v>229.1875</v>
      </c>
      <c r="X615" s="31">
        <v>1.0</v>
      </c>
      <c r="Y615" s="31" t="s">
        <v>26</v>
      </c>
      <c r="Z615" s="31">
        <f t="shared" ref="Z615:AI615" si="1705">SUM(D600)</f>
        <v>20</v>
      </c>
      <c r="AA615" s="32">
        <f t="shared" si="1705"/>
        <v>18</v>
      </c>
      <c r="AB615" s="34">
        <f t="shared" si="1705"/>
        <v>3236.703</v>
      </c>
      <c r="AC615" s="32">
        <f t="shared" si="1705"/>
        <v>2009</v>
      </c>
      <c r="AD615" s="32">
        <f t="shared" si="1705"/>
        <v>0</v>
      </c>
      <c r="AE615" s="32">
        <f t="shared" si="1705"/>
        <v>2009</v>
      </c>
      <c r="AF615" s="32">
        <f t="shared" si="1705"/>
        <v>3058</v>
      </c>
      <c r="AG615" s="32">
        <f t="shared" si="1705"/>
        <v>0</v>
      </c>
      <c r="AH615" s="32">
        <f t="shared" si="1705"/>
        <v>3058</v>
      </c>
      <c r="AI615" s="32">
        <f t="shared" si="1705"/>
        <v>5067</v>
      </c>
      <c r="AJ615" s="34">
        <f t="shared" ref="AJ615:AJ621" si="1708">AB615/AA615</f>
        <v>179.8168333</v>
      </c>
      <c r="AK615" s="31">
        <f>SUM(O600)</f>
        <v>5161</v>
      </c>
      <c r="AL615" s="35">
        <f t="shared" ref="AL615:AL621" si="1709">AI615/AK615</f>
        <v>0.9817864755</v>
      </c>
      <c r="AM615" s="36">
        <f>SUM(Q600)</f>
        <v>1.5</v>
      </c>
      <c r="AN615" s="35">
        <f t="shared" ref="AN615:AN621" si="1710">AO615/AM615</f>
        <v>1.043654608</v>
      </c>
      <c r="AO615" s="37">
        <f t="shared" ref="AO615:AO621" si="1711">AI615/AB615</f>
        <v>1.565481912</v>
      </c>
      <c r="AP615" s="36">
        <f t="shared" ref="AP615:AQ615" si="1706">SUM(T600)</f>
        <v>224.5371488</v>
      </c>
      <c r="AQ615" s="36">
        <f t="shared" si="1706"/>
        <v>12.47428604</v>
      </c>
      <c r="AR615" s="32">
        <f t="shared" ref="AR615:AR621" si="1713">AI615/AA615</f>
        <v>281.5</v>
      </c>
    </row>
    <row r="616" ht="15.75" customHeight="1">
      <c r="A616" s="21"/>
      <c r="B616" s="38">
        <v>17.0</v>
      </c>
      <c r="C616" s="38" t="s">
        <v>29</v>
      </c>
      <c r="D616" s="78">
        <v>30.0</v>
      </c>
      <c r="E616" s="40">
        <f>IFERROR(__xludf.DUMMYFUNCTION("COUNT(IMPORTRANGE(""https://docs.google.com/spreadsheets/d/12xcKI0lSnAsjEsxfm9K8Qx0B_89Gzsh816mowItkQao/edit"",""23!d2:d31""))"),30.0)</f>
        <v>30</v>
      </c>
      <c r="F616" s="45">
        <f>IFERROR(__xludf.DUMMYFUNCTION("SUM(IMPORTRANGE(""https://docs.google.com/spreadsheets/d/12xcKI0lSnAsjEsxfm9K8Qx0B_89Gzsh816mowItkQao/edit"",""23!Q2:Q31""))"),5875.168000000001)</f>
        <v>5875.168</v>
      </c>
      <c r="G616" s="40">
        <f>IFERROR(__xludf.DUMMYFUNCTION("IMPORTRANGE(""https://docs.google.com/spreadsheets/d/12xcKI0lSnAsjEsxfm9K8Qx0B_89Gzsh816mowItkQao/edit"",""23!e38"")"),2862.0)</f>
        <v>2862</v>
      </c>
      <c r="H616" s="40">
        <f>IFERROR(__xludf.DUMMYFUNCTION("IMPORTRANGE(""https://docs.google.com/spreadsheets/d/12xcKI0lSnAsjEsxfm9K8Qx0B_89Gzsh816mowItkQao/edit"",""23!e39"")"),0.0)</f>
        <v>0</v>
      </c>
      <c r="I616" s="40">
        <f t="shared" si="1665"/>
        <v>2862</v>
      </c>
      <c r="J616" s="40">
        <f>IFERROR(__xludf.DUMMYFUNCTION("IMPORTRANGE(""https://docs.google.com/spreadsheets/d/12xcKI0lSnAsjEsxfm9K8Qx0B_89Gzsh816mowItkQao/edit"",""23!e42"")"),4133.0)</f>
        <v>4133</v>
      </c>
      <c r="K616" s="40">
        <f>IFERROR(__xludf.DUMMYFUNCTION("IMPORTRANGE(""https://docs.google.com/spreadsheets/d/12xcKI0lSnAsjEsxfm9K8Qx0B_89Gzsh816mowItkQao/edit"",""23!e43"")"),10.0)</f>
        <v>10</v>
      </c>
      <c r="L616" s="40">
        <f t="shared" si="1695"/>
        <v>4143</v>
      </c>
      <c r="M616" s="40">
        <f t="shared" si="1667"/>
        <v>7005</v>
      </c>
      <c r="N616" s="41">
        <f t="shared" si="1668"/>
        <v>195.8389333</v>
      </c>
      <c r="O616" s="38">
        <v>9201.0</v>
      </c>
      <c r="P616" s="42">
        <f t="shared" si="1669"/>
        <v>0.7613302902</v>
      </c>
      <c r="Q616" s="43">
        <v>1.5</v>
      </c>
      <c r="R616" s="42">
        <f t="shared" si="1670"/>
        <v>0.7948708871</v>
      </c>
      <c r="S616" s="44">
        <f t="shared" si="1671"/>
        <v>1.192306331</v>
      </c>
      <c r="T616" s="43">
        <f>F616/26.038</f>
        <v>225.6382211</v>
      </c>
      <c r="U616" s="43">
        <f t="shared" si="1672"/>
        <v>7.521274035</v>
      </c>
      <c r="V616" s="40">
        <f t="shared" si="1673"/>
        <v>233.5</v>
      </c>
      <c r="X616" s="31">
        <v>2.0</v>
      </c>
      <c r="Y616" s="31" t="s">
        <v>32</v>
      </c>
      <c r="Z616" s="31">
        <f t="shared" ref="Z616:AI616" si="1707">SUM(D603)</f>
        <v>42</v>
      </c>
      <c r="AA616" s="32">
        <f t="shared" si="1707"/>
        <v>41</v>
      </c>
      <c r="AB616" s="33">
        <f t="shared" si="1707"/>
        <v>7941.743</v>
      </c>
      <c r="AC616" s="31">
        <f t="shared" si="1707"/>
        <v>4568</v>
      </c>
      <c r="AD616" s="31">
        <f t="shared" si="1707"/>
        <v>0</v>
      </c>
      <c r="AE616" s="32">
        <f t="shared" si="1707"/>
        <v>4568</v>
      </c>
      <c r="AF616" s="31">
        <f t="shared" si="1707"/>
        <v>5341</v>
      </c>
      <c r="AG616" s="31">
        <f t="shared" si="1707"/>
        <v>0</v>
      </c>
      <c r="AH616" s="32">
        <f t="shared" si="1707"/>
        <v>5341</v>
      </c>
      <c r="AI616" s="32">
        <f t="shared" si="1707"/>
        <v>9909</v>
      </c>
      <c r="AJ616" s="34">
        <f t="shared" si="1708"/>
        <v>193.7010488</v>
      </c>
      <c r="AK616" s="31">
        <f>SUM(O603)</f>
        <v>13817</v>
      </c>
      <c r="AL616" s="35">
        <f t="shared" si="1709"/>
        <v>0.7171600203</v>
      </c>
      <c r="AM616" s="36">
        <f>SUM(Q603)</f>
        <v>1.5</v>
      </c>
      <c r="AN616" s="35">
        <f t="shared" si="1710"/>
        <v>0.8318073249</v>
      </c>
      <c r="AO616" s="37">
        <f t="shared" si="1711"/>
        <v>1.247710987</v>
      </c>
      <c r="AP616" s="36">
        <f t="shared" ref="AP616:AQ616" si="1712">SUM(T603)</f>
        <v>316.5428275</v>
      </c>
      <c r="AQ616" s="36">
        <f t="shared" si="1712"/>
        <v>7.720556769</v>
      </c>
      <c r="AR616" s="32">
        <f t="shared" si="1713"/>
        <v>241.6829268</v>
      </c>
    </row>
    <row r="617" ht="15.75" customHeight="1">
      <c r="A617" s="21"/>
      <c r="B617" s="38">
        <v>18.0</v>
      </c>
      <c r="C617" s="38" t="s">
        <v>31</v>
      </c>
      <c r="D617" s="78">
        <v>15.0</v>
      </c>
      <c r="E617" s="40">
        <f>IFERROR(__xludf.DUMMYFUNCTION("COUNT(IMPORTRANGE(""https://docs.google.com/spreadsheets/d/1fgCFOFzOla4Qim6_-zG-lbYhLCItqv_kZiAHoErRgcM/edit"",""23!d2:d16""))"),15.0)</f>
        <v>15</v>
      </c>
      <c r="F617" s="41">
        <f>IFERROR(__xludf.DUMMYFUNCTION("SUM(IMPORTRANGE(""https://docs.google.com/spreadsheets/d/1fgCFOFzOla4Qim6_-zG-lbYhLCItqv_kZiAHoErRgcM/edit"",""23!Q2:Q16""))"),2955.6199999999994)</f>
        <v>2955.62</v>
      </c>
      <c r="G617" s="40">
        <f>IFERROR(__xludf.DUMMYFUNCTION("IMPORTRANGE(""https://docs.google.com/spreadsheets/d/1fgCFOFzOla4Qim6_-zG-lbYhLCItqv_kZiAHoErRgcM/edit"",""23!e23"")"),925.0)</f>
        <v>925</v>
      </c>
      <c r="H617" s="40">
        <f>IFERROR(__xludf.DUMMYFUNCTION("IMPORTRANGE(""https://docs.google.com/spreadsheets/d/1fgCFOFzOla4Qim6_-zG-lbYhLCItqv_kZiAHoErRgcM/edit"",""23!e24"")"),0.0)</f>
        <v>0</v>
      </c>
      <c r="I617" s="40">
        <f t="shared" si="1665"/>
        <v>925</v>
      </c>
      <c r="J617" s="40">
        <f>IFERROR(__xludf.DUMMYFUNCTION("IMPORTRANGE(""https://docs.google.com/spreadsheets/d/1fgCFOFzOla4Qim6_-zG-lbYhLCItqv_kZiAHoErRgcM/edit"",""23!e27"")"),1192.0)</f>
        <v>1192</v>
      </c>
      <c r="K617" s="40">
        <f>IFERROR(__xludf.DUMMYFUNCTION("IMPORTRANGE(""https://docs.google.com/spreadsheets/d/1fgCFOFzOla4Qim6_-zG-lbYhLCItqv_kZiAHoErRgcM/edit"",""23!e28"")"),0.0)</f>
        <v>0</v>
      </c>
      <c r="L617" s="40">
        <f t="shared" si="1695"/>
        <v>1192</v>
      </c>
      <c r="M617" s="40">
        <f t="shared" si="1667"/>
        <v>2117</v>
      </c>
      <c r="N617" s="41">
        <f t="shared" si="1668"/>
        <v>197.0413333</v>
      </c>
      <c r="O617" s="38">
        <v>2717.0</v>
      </c>
      <c r="P617" s="42">
        <f t="shared" si="1669"/>
        <v>0.7791682002</v>
      </c>
      <c r="Q617" s="43">
        <v>1.5</v>
      </c>
      <c r="R617" s="42">
        <f t="shared" si="1670"/>
        <v>0.4775083852</v>
      </c>
      <c r="S617" s="44">
        <f t="shared" si="1671"/>
        <v>0.7162625777</v>
      </c>
      <c r="T617" s="43">
        <f>F617/43.465</f>
        <v>68</v>
      </c>
      <c r="U617" s="43">
        <f t="shared" si="1672"/>
        <v>4.533333333</v>
      </c>
      <c r="V617" s="40">
        <f t="shared" si="1673"/>
        <v>141.1333333</v>
      </c>
      <c r="X617" s="31">
        <v>3.0</v>
      </c>
      <c r="Y617" s="31" t="s">
        <v>36</v>
      </c>
      <c r="Z617" s="31">
        <f t="shared" ref="Z617:AI617" si="1714">SUM(D608)</f>
        <v>29</v>
      </c>
      <c r="AA617" s="32">
        <f t="shared" si="1714"/>
        <v>29</v>
      </c>
      <c r="AB617" s="33">
        <f t="shared" si="1714"/>
        <v>5791.19</v>
      </c>
      <c r="AC617" s="32">
        <f t="shared" si="1714"/>
        <v>1576</v>
      </c>
      <c r="AD617" s="32">
        <f t="shared" si="1714"/>
        <v>0</v>
      </c>
      <c r="AE617" s="32">
        <f t="shared" si="1714"/>
        <v>1576</v>
      </c>
      <c r="AF617" s="32">
        <f t="shared" si="1714"/>
        <v>2323</v>
      </c>
      <c r="AG617" s="32">
        <f t="shared" si="1714"/>
        <v>0</v>
      </c>
      <c r="AH617" s="32">
        <f t="shared" si="1714"/>
        <v>2323</v>
      </c>
      <c r="AI617" s="32">
        <f t="shared" si="1714"/>
        <v>3899</v>
      </c>
      <c r="AJ617" s="34">
        <f t="shared" si="1708"/>
        <v>199.6962069</v>
      </c>
      <c r="AK617" s="31">
        <f t="shared" ref="AK617:AK620" si="1718">SUM(O608)</f>
        <v>4796</v>
      </c>
      <c r="AL617" s="35">
        <f t="shared" si="1709"/>
        <v>0.812969141</v>
      </c>
      <c r="AM617" s="36">
        <f t="shared" ref="AM617:AM620" si="1719">SUM(Q608)</f>
        <v>1.5</v>
      </c>
      <c r="AN617" s="35">
        <f t="shared" si="1710"/>
        <v>0.4488426961</v>
      </c>
      <c r="AO617" s="37">
        <f t="shared" si="1711"/>
        <v>0.6732640442</v>
      </c>
      <c r="AP617" s="36">
        <f t="shared" ref="AP617:AQ617" si="1715">SUM(T608)</f>
        <v>154.7867109</v>
      </c>
      <c r="AQ617" s="36">
        <f t="shared" si="1715"/>
        <v>5.337472788</v>
      </c>
      <c r="AR617" s="32">
        <f t="shared" si="1713"/>
        <v>134.4482759</v>
      </c>
    </row>
    <row r="618" ht="15.75" customHeight="1">
      <c r="A618" s="21"/>
      <c r="B618" s="60" t="s">
        <v>33</v>
      </c>
      <c r="C618" s="60">
        <v>18.0</v>
      </c>
      <c r="D618" s="60">
        <f t="shared" ref="D618:M618" si="1716">SUM(D600:D617)</f>
        <v>585</v>
      </c>
      <c r="E618" s="61">
        <f t="shared" si="1716"/>
        <v>568</v>
      </c>
      <c r="F618" s="62">
        <f t="shared" si="1716"/>
        <v>110914.413</v>
      </c>
      <c r="G618" s="61">
        <f t="shared" si="1716"/>
        <v>40865</v>
      </c>
      <c r="H618" s="61">
        <f t="shared" si="1716"/>
        <v>1004</v>
      </c>
      <c r="I618" s="61">
        <f t="shared" si="1716"/>
        <v>41869</v>
      </c>
      <c r="J618" s="61">
        <f t="shared" si="1716"/>
        <v>57030</v>
      </c>
      <c r="K618" s="61">
        <f t="shared" si="1716"/>
        <v>700</v>
      </c>
      <c r="L618" s="61">
        <f t="shared" si="1716"/>
        <v>57730</v>
      </c>
      <c r="M618" s="61">
        <f t="shared" si="1716"/>
        <v>99599</v>
      </c>
      <c r="N618" s="62">
        <f t="shared" si="1668"/>
        <v>195.2718539</v>
      </c>
      <c r="O618" s="60">
        <f>SUM(O600:O617)</f>
        <v>126399</v>
      </c>
      <c r="P618" s="63">
        <f t="shared" si="1669"/>
        <v>0.7879730061</v>
      </c>
      <c r="Q618" s="64">
        <v>1.5</v>
      </c>
      <c r="R618" s="63">
        <f t="shared" si="1670"/>
        <v>0.5986537866</v>
      </c>
      <c r="S618" s="65">
        <f t="shared" si="1671"/>
        <v>0.8979806799</v>
      </c>
      <c r="T618" s="64">
        <f>SUM(T600:T617)</f>
        <v>4074.57678</v>
      </c>
      <c r="U618" s="64">
        <f t="shared" si="1672"/>
        <v>7.173550668</v>
      </c>
      <c r="V618" s="61">
        <f t="shared" si="1673"/>
        <v>175.3503521</v>
      </c>
      <c r="X618" s="31">
        <v>4.0</v>
      </c>
      <c r="Y618" s="31" t="s">
        <v>37</v>
      </c>
      <c r="Z618" s="31">
        <f t="shared" ref="Z618:AI618" si="1717">SUM(D609)</f>
        <v>30</v>
      </c>
      <c r="AA618" s="32">
        <f t="shared" si="1717"/>
        <v>30</v>
      </c>
      <c r="AB618" s="33">
        <f t="shared" si="1717"/>
        <v>5873.082</v>
      </c>
      <c r="AC618" s="32">
        <f t="shared" si="1717"/>
        <v>1918</v>
      </c>
      <c r="AD618" s="32">
        <f t="shared" si="1717"/>
        <v>0</v>
      </c>
      <c r="AE618" s="32">
        <f t="shared" si="1717"/>
        <v>1918</v>
      </c>
      <c r="AF618" s="32">
        <f t="shared" si="1717"/>
        <v>3245</v>
      </c>
      <c r="AG618" s="32">
        <f t="shared" si="1717"/>
        <v>0</v>
      </c>
      <c r="AH618" s="32">
        <f t="shared" si="1717"/>
        <v>3245</v>
      </c>
      <c r="AI618" s="32">
        <f t="shared" si="1717"/>
        <v>5163</v>
      </c>
      <c r="AJ618" s="34">
        <f t="shared" si="1708"/>
        <v>195.7694</v>
      </c>
      <c r="AK618" s="31">
        <f t="shared" si="1718"/>
        <v>5887</v>
      </c>
      <c r="AL618" s="35">
        <f t="shared" si="1709"/>
        <v>0.8770171564</v>
      </c>
      <c r="AM618" s="36">
        <f t="shared" si="1719"/>
        <v>1.5</v>
      </c>
      <c r="AN618" s="35">
        <f t="shared" si="1710"/>
        <v>0.5860636715</v>
      </c>
      <c r="AO618" s="37">
        <f t="shared" si="1711"/>
        <v>0.8790955073</v>
      </c>
      <c r="AP618" s="36">
        <f t="shared" ref="AP618:AQ618" si="1720">SUM(T609)</f>
        <v>236.8942401</v>
      </c>
      <c r="AQ618" s="36">
        <f t="shared" si="1720"/>
        <v>7.896474669</v>
      </c>
      <c r="AR618" s="32">
        <f t="shared" si="1713"/>
        <v>172.1</v>
      </c>
    </row>
    <row r="619" ht="15.7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X619" s="31">
        <v>5.0</v>
      </c>
      <c r="Y619" s="31" t="s">
        <v>39</v>
      </c>
      <c r="Z619" s="31">
        <f t="shared" ref="Z619:AI619" si="1721">SUM(D610)</f>
        <v>28</v>
      </c>
      <c r="AA619" s="32">
        <f t="shared" si="1721"/>
        <v>26</v>
      </c>
      <c r="AB619" s="33">
        <f t="shared" si="1721"/>
        <v>5211.144</v>
      </c>
      <c r="AC619" s="32">
        <f t="shared" si="1721"/>
        <v>1197</v>
      </c>
      <c r="AD619" s="32">
        <f t="shared" si="1721"/>
        <v>20</v>
      </c>
      <c r="AE619" s="32">
        <f t="shared" si="1721"/>
        <v>1217</v>
      </c>
      <c r="AF619" s="32">
        <f t="shared" si="1721"/>
        <v>1712</v>
      </c>
      <c r="AG619" s="32">
        <f t="shared" si="1721"/>
        <v>45</v>
      </c>
      <c r="AH619" s="32">
        <f t="shared" si="1721"/>
        <v>1757</v>
      </c>
      <c r="AI619" s="32">
        <f t="shared" si="1721"/>
        <v>2974</v>
      </c>
      <c r="AJ619" s="34">
        <f t="shared" si="1708"/>
        <v>200.4286154</v>
      </c>
      <c r="AK619" s="31">
        <f t="shared" si="1718"/>
        <v>3569</v>
      </c>
      <c r="AL619" s="35">
        <f t="shared" si="1709"/>
        <v>0.8332866349</v>
      </c>
      <c r="AM619" s="36">
        <f t="shared" si="1719"/>
        <v>1.5</v>
      </c>
      <c r="AN619" s="35">
        <f t="shared" si="1710"/>
        <v>0.3804666819</v>
      </c>
      <c r="AO619" s="37">
        <f t="shared" si="1711"/>
        <v>0.5707000229</v>
      </c>
      <c r="AP619" s="36">
        <f t="shared" ref="AP619:AQ619" si="1722">SUM(T610)</f>
        <v>242.7966268</v>
      </c>
      <c r="AQ619" s="36">
        <f t="shared" si="1722"/>
        <v>9.338331798</v>
      </c>
      <c r="AR619" s="32">
        <f t="shared" si="1713"/>
        <v>114.3846154</v>
      </c>
    </row>
    <row r="620" ht="15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X620" s="31">
        <v>6.0</v>
      </c>
      <c r="Y620" s="31" t="s">
        <v>41</v>
      </c>
      <c r="Z620" s="31">
        <f t="shared" ref="Z620:AI620" si="1723">SUM(D611)</f>
        <v>24</v>
      </c>
      <c r="AA620" s="32">
        <f t="shared" si="1723"/>
        <v>24</v>
      </c>
      <c r="AB620" s="33">
        <f t="shared" si="1723"/>
        <v>4704.268</v>
      </c>
      <c r="AC620" s="32">
        <f t="shared" si="1723"/>
        <v>1234</v>
      </c>
      <c r="AD620" s="32">
        <f t="shared" si="1723"/>
        <v>29</v>
      </c>
      <c r="AE620" s="32">
        <f t="shared" si="1723"/>
        <v>1263</v>
      </c>
      <c r="AF620" s="32">
        <f t="shared" si="1723"/>
        <v>1784</v>
      </c>
      <c r="AG620" s="32">
        <f t="shared" si="1723"/>
        <v>30</v>
      </c>
      <c r="AH620" s="32">
        <f t="shared" si="1723"/>
        <v>1814</v>
      </c>
      <c r="AI620" s="32">
        <f t="shared" si="1723"/>
        <v>3077</v>
      </c>
      <c r="AJ620" s="34">
        <f t="shared" si="1708"/>
        <v>196.0111667</v>
      </c>
      <c r="AK620" s="31">
        <f t="shared" si="1718"/>
        <v>3801</v>
      </c>
      <c r="AL620" s="35">
        <f t="shared" si="1709"/>
        <v>0.8095238095</v>
      </c>
      <c r="AM620" s="36">
        <f t="shared" si="1719"/>
        <v>1.5</v>
      </c>
      <c r="AN620" s="35">
        <f t="shared" si="1710"/>
        <v>0.436057923</v>
      </c>
      <c r="AO620" s="37">
        <f t="shared" si="1711"/>
        <v>0.6540868845</v>
      </c>
      <c r="AP620" s="36">
        <f t="shared" ref="AP620:AQ620" si="1724">SUM(T611)</f>
        <v>158.7777778</v>
      </c>
      <c r="AQ620" s="36">
        <f t="shared" si="1724"/>
        <v>6.615740741</v>
      </c>
      <c r="AR620" s="32">
        <f t="shared" si="1713"/>
        <v>128.2083333</v>
      </c>
    </row>
    <row r="621" ht="15.75" customHeight="1">
      <c r="A621" s="1" t="s">
        <v>45</v>
      </c>
      <c r="D621" s="2"/>
      <c r="X621" s="46" t="s">
        <v>33</v>
      </c>
      <c r="Y621" s="46">
        <v>6.0</v>
      </c>
      <c r="Z621" s="46">
        <f t="shared" ref="Z621:AI621" si="1725">SUM(Z615:Z620)</f>
        <v>173</v>
      </c>
      <c r="AA621" s="47">
        <f t="shared" si="1725"/>
        <v>168</v>
      </c>
      <c r="AB621" s="49">
        <f t="shared" si="1725"/>
        <v>32758.13</v>
      </c>
      <c r="AC621" s="47">
        <f t="shared" si="1725"/>
        <v>12502</v>
      </c>
      <c r="AD621" s="47">
        <f t="shared" si="1725"/>
        <v>49</v>
      </c>
      <c r="AE621" s="47">
        <f t="shared" si="1725"/>
        <v>12551</v>
      </c>
      <c r="AF621" s="47">
        <f t="shared" si="1725"/>
        <v>17463</v>
      </c>
      <c r="AG621" s="47">
        <f t="shared" si="1725"/>
        <v>75</v>
      </c>
      <c r="AH621" s="47">
        <f t="shared" si="1725"/>
        <v>17538</v>
      </c>
      <c r="AI621" s="47">
        <f t="shared" si="1725"/>
        <v>30089</v>
      </c>
      <c r="AJ621" s="49">
        <f t="shared" si="1708"/>
        <v>194.988869</v>
      </c>
      <c r="AK621" s="46">
        <f>SUM(AK615:AK620)</f>
        <v>37031</v>
      </c>
      <c r="AL621" s="50">
        <f t="shared" si="1709"/>
        <v>0.8125354433</v>
      </c>
      <c r="AM621" s="51">
        <v>1.5</v>
      </c>
      <c r="AN621" s="50">
        <f t="shared" si="1710"/>
        <v>0.6123467162</v>
      </c>
      <c r="AO621" s="52">
        <f t="shared" si="1711"/>
        <v>0.9185200743</v>
      </c>
      <c r="AP621" s="51">
        <f>SUM(AP615:AP620)</f>
        <v>1334.335332</v>
      </c>
      <c r="AQ621" s="51">
        <f>AP621/AA621</f>
        <v>7.942472213</v>
      </c>
      <c r="AR621" s="47">
        <f t="shared" si="1713"/>
        <v>179.1011905</v>
      </c>
    </row>
    <row r="622" ht="15.75" customHeight="1">
      <c r="A622" s="1" t="s">
        <v>45</v>
      </c>
      <c r="D622" s="2"/>
      <c r="X622" s="66" t="s">
        <v>1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6"/>
    </row>
    <row r="623" ht="15.75" customHeight="1">
      <c r="A623" s="7">
        <v>46227.0</v>
      </c>
      <c r="B623" s="8" t="s">
        <v>2</v>
      </c>
      <c r="C623" s="8" t="s">
        <v>3</v>
      </c>
      <c r="D623" s="8" t="s">
        <v>4</v>
      </c>
      <c r="E623" s="8" t="s">
        <v>5</v>
      </c>
      <c r="F623" s="9" t="s">
        <v>6</v>
      </c>
      <c r="G623" s="8" t="s">
        <v>7</v>
      </c>
      <c r="H623" s="8" t="s">
        <v>8</v>
      </c>
      <c r="I623" s="8" t="s">
        <v>9</v>
      </c>
      <c r="J623" s="8" t="s">
        <v>10</v>
      </c>
      <c r="K623" s="8" t="s">
        <v>11</v>
      </c>
      <c r="L623" s="8" t="s">
        <v>12</v>
      </c>
      <c r="M623" s="8" t="s">
        <v>13</v>
      </c>
      <c r="N623" s="9" t="s">
        <v>14</v>
      </c>
      <c r="O623" s="8" t="s">
        <v>15</v>
      </c>
      <c r="P623" s="8" t="s">
        <v>16</v>
      </c>
      <c r="Q623" s="8" t="s">
        <v>17</v>
      </c>
      <c r="R623" s="8" t="s">
        <v>18</v>
      </c>
      <c r="S623" s="11" t="s">
        <v>19</v>
      </c>
      <c r="T623" s="12" t="s">
        <v>20</v>
      </c>
      <c r="U623" s="12" t="s">
        <v>21</v>
      </c>
      <c r="V623" s="13" t="s">
        <v>22</v>
      </c>
      <c r="X623" s="14" t="s">
        <v>2</v>
      </c>
      <c r="Y623" s="14" t="s">
        <v>3</v>
      </c>
      <c r="Z623" s="14" t="s">
        <v>4</v>
      </c>
      <c r="AA623" s="14" t="s">
        <v>5</v>
      </c>
      <c r="AB623" s="15" t="s">
        <v>6</v>
      </c>
      <c r="AC623" s="14" t="s">
        <v>7</v>
      </c>
      <c r="AD623" s="14" t="s">
        <v>8</v>
      </c>
      <c r="AE623" s="14" t="s">
        <v>9</v>
      </c>
      <c r="AF623" s="14" t="s">
        <v>10</v>
      </c>
      <c r="AG623" s="14" t="s">
        <v>11</v>
      </c>
      <c r="AH623" s="14" t="s">
        <v>12</v>
      </c>
      <c r="AI623" s="14" t="s">
        <v>13</v>
      </c>
      <c r="AJ623" s="15" t="s">
        <v>14</v>
      </c>
      <c r="AK623" s="14" t="s">
        <v>15</v>
      </c>
      <c r="AL623" s="14" t="s">
        <v>16</v>
      </c>
      <c r="AM623" s="16" t="s">
        <v>17</v>
      </c>
      <c r="AN623" s="17" t="s">
        <v>18</v>
      </c>
      <c r="AO623" s="18" t="s">
        <v>19</v>
      </c>
      <c r="AP623" s="19" t="s">
        <v>20</v>
      </c>
      <c r="AQ623" s="19" t="s">
        <v>21</v>
      </c>
      <c r="AR623" s="20" t="s">
        <v>22</v>
      </c>
    </row>
    <row r="624" ht="15.7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X624" s="22">
        <v>1.0</v>
      </c>
      <c r="Y624" s="22" t="s">
        <v>23</v>
      </c>
      <c r="Z624" s="22">
        <f t="shared" ref="Z624:AI624" si="1726">SUM(D632)</f>
        <v>35</v>
      </c>
      <c r="AA624" s="23">
        <f t="shared" si="1726"/>
        <v>35</v>
      </c>
      <c r="AB624" s="24">
        <f t="shared" si="1726"/>
        <v>6950.44</v>
      </c>
      <c r="AC624" s="23">
        <f t="shared" si="1726"/>
        <v>1758</v>
      </c>
      <c r="AD624" s="23">
        <f t="shared" si="1726"/>
        <v>0</v>
      </c>
      <c r="AE624" s="23">
        <f t="shared" si="1726"/>
        <v>1758</v>
      </c>
      <c r="AF624" s="23">
        <f t="shared" si="1726"/>
        <v>3534</v>
      </c>
      <c r="AG624" s="23">
        <f t="shared" si="1726"/>
        <v>0</v>
      </c>
      <c r="AH624" s="23">
        <f t="shared" si="1726"/>
        <v>3534</v>
      </c>
      <c r="AI624" s="23">
        <f t="shared" si="1726"/>
        <v>5292</v>
      </c>
      <c r="AJ624" s="25">
        <f t="shared" ref="AJ624:AJ626" si="1729">AB624/AA624</f>
        <v>198.584</v>
      </c>
      <c r="AK624" s="22">
        <f>SUM(O632)</f>
        <v>6853</v>
      </c>
      <c r="AL624" s="26">
        <f t="shared" ref="AL624:AL630" si="1730">AI624/AK624</f>
        <v>0.7722165475</v>
      </c>
      <c r="AM624" s="27">
        <f t="shared" ref="AM624:AM626" si="1731">SUM(Q632)</f>
        <v>1.5</v>
      </c>
      <c r="AN624" s="26">
        <f t="shared" ref="AN624:AN630" si="1732">AO624/AM624</f>
        <v>0.5075937638</v>
      </c>
      <c r="AO624" s="28">
        <f t="shared" ref="AO624:AO630" si="1733">AI624/AB624</f>
        <v>0.7613906458</v>
      </c>
      <c r="AP624" s="27">
        <f t="shared" ref="AP624:AQ624" si="1727">SUM(T632)</f>
        <v>206</v>
      </c>
      <c r="AQ624" s="27">
        <f t="shared" si="1727"/>
        <v>5.885714286</v>
      </c>
      <c r="AR624" s="23">
        <f t="shared" ref="AR624:AR630" si="1735">AI624/AA624</f>
        <v>151.2</v>
      </c>
    </row>
    <row r="625" ht="15.7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X625" s="22">
        <v>2.0</v>
      </c>
      <c r="Y625" s="22" t="s">
        <v>24</v>
      </c>
      <c r="Z625" s="22">
        <f t="shared" ref="Z625:AI625" si="1728">SUM(D633)</f>
        <v>44</v>
      </c>
      <c r="AA625" s="23">
        <f t="shared" si="1728"/>
        <v>41</v>
      </c>
      <c r="AB625" s="24">
        <f t="shared" si="1728"/>
        <v>8177.958</v>
      </c>
      <c r="AC625" s="23">
        <f t="shared" si="1728"/>
        <v>1068</v>
      </c>
      <c r="AD625" s="23">
        <f t="shared" si="1728"/>
        <v>0</v>
      </c>
      <c r="AE625" s="23">
        <f t="shared" si="1728"/>
        <v>1068</v>
      </c>
      <c r="AF625" s="23">
        <f t="shared" si="1728"/>
        <v>1372</v>
      </c>
      <c r="AG625" s="23">
        <f t="shared" si="1728"/>
        <v>0</v>
      </c>
      <c r="AH625" s="23">
        <f t="shared" si="1728"/>
        <v>1372</v>
      </c>
      <c r="AI625" s="23">
        <f t="shared" si="1728"/>
        <v>2440</v>
      </c>
      <c r="AJ625" s="25">
        <f t="shared" si="1729"/>
        <v>199.4623902</v>
      </c>
      <c r="AK625" s="22">
        <v>1580.0</v>
      </c>
      <c r="AL625" s="29">
        <f t="shared" si="1730"/>
        <v>1.544303797</v>
      </c>
      <c r="AM625" s="27">
        <f t="shared" si="1731"/>
        <v>1.5</v>
      </c>
      <c r="AN625" s="26">
        <f t="shared" si="1732"/>
        <v>0.1989086599</v>
      </c>
      <c r="AO625" s="28">
        <f t="shared" si="1733"/>
        <v>0.2983629899</v>
      </c>
      <c r="AP625" s="27">
        <f t="shared" ref="AP625:AQ625" si="1734">SUM(T633)</f>
        <v>305.0907666</v>
      </c>
      <c r="AQ625" s="27">
        <f t="shared" si="1734"/>
        <v>7.441238211</v>
      </c>
      <c r="AR625" s="23">
        <f t="shared" si="1735"/>
        <v>59.51219512</v>
      </c>
    </row>
    <row r="626" ht="15.75" customHeight="1">
      <c r="A626" s="21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X626" s="31">
        <v>3.0</v>
      </c>
      <c r="Y626" s="31" t="s">
        <v>25</v>
      </c>
      <c r="Z626" s="31">
        <f t="shared" ref="Z626:AI626" si="1736">SUM(D634)</f>
        <v>32</v>
      </c>
      <c r="AA626" s="32">
        <f t="shared" si="1736"/>
        <v>32</v>
      </c>
      <c r="AB626" s="33">
        <f t="shared" si="1736"/>
        <v>6104.808</v>
      </c>
      <c r="AC626" s="32">
        <f t="shared" si="1736"/>
        <v>2420</v>
      </c>
      <c r="AD626" s="32">
        <f t="shared" si="1736"/>
        <v>451</v>
      </c>
      <c r="AE626" s="32">
        <f t="shared" si="1736"/>
        <v>2871</v>
      </c>
      <c r="AF626" s="32">
        <f t="shared" si="1736"/>
        <v>3172</v>
      </c>
      <c r="AG626" s="32">
        <f t="shared" si="1736"/>
        <v>285</v>
      </c>
      <c r="AH626" s="32">
        <f t="shared" si="1736"/>
        <v>3457</v>
      </c>
      <c r="AI626" s="32">
        <f t="shared" si="1736"/>
        <v>6328</v>
      </c>
      <c r="AJ626" s="34">
        <f t="shared" si="1729"/>
        <v>190.77525</v>
      </c>
      <c r="AK626" s="31">
        <f>SUM(O634)</f>
        <v>6622</v>
      </c>
      <c r="AL626" s="35">
        <f t="shared" si="1730"/>
        <v>0.955602537</v>
      </c>
      <c r="AM626" s="36">
        <f t="shared" si="1731"/>
        <v>1.5</v>
      </c>
      <c r="AN626" s="35">
        <f t="shared" si="1732"/>
        <v>0.691040024</v>
      </c>
      <c r="AO626" s="37">
        <f t="shared" si="1733"/>
        <v>1.036560036</v>
      </c>
      <c r="AP626" s="36">
        <f t="shared" ref="AP626:AQ626" si="1737">SUM(T634)</f>
        <v>256.0741611</v>
      </c>
      <c r="AQ626" s="36">
        <f t="shared" si="1737"/>
        <v>8.002317534</v>
      </c>
      <c r="AR626" s="32">
        <f t="shared" si="1735"/>
        <v>197.75</v>
      </c>
    </row>
    <row r="627" ht="15.75" customHeight="1">
      <c r="A627" s="21"/>
      <c r="B627" s="38">
        <v>1.0</v>
      </c>
      <c r="C627" s="38" t="s">
        <v>26</v>
      </c>
      <c r="D627" s="77">
        <v>20.0</v>
      </c>
      <c r="E627" s="40">
        <f>IFERROR(__xludf.DUMMYFUNCTION("COUNT(IMPORTRANGE(""https://docs.google.com/spreadsheets/d/1z0o91thOT38lgejTE_Bd2p3v_9VCDdQRkUsMIVqpQCk/edit"",""24!d2:d21""))"),20.0)</f>
        <v>20</v>
      </c>
      <c r="F627" s="41">
        <f>IFERROR(__xludf.DUMMYFUNCTION("SUM(IMPORTRANGE(""https://docs.google.com/spreadsheets/d/1z0o91thOT38lgejTE_Bd2p3v_9VCDdQRkUsMIVqpQCk/edit"",""24!Q2:Q21""))"),3705.2670000000007)</f>
        <v>3705.267</v>
      </c>
      <c r="G627" s="40">
        <f>IFERROR(__xludf.DUMMYFUNCTION("IMPORTRANGE(""https://docs.google.com/spreadsheets/d/1z0o91thOT38lgejTE_Bd2p3v_9VCDdQRkUsMIVqpQCk/edit"",""24!e28"")"),2194.0)</f>
        <v>2194</v>
      </c>
      <c r="H627" s="40">
        <f>IFERROR(__xludf.DUMMYFUNCTION("IMPORTRANGE(""https://docs.google.com/spreadsheets/d/1z0o91thOT38lgejTE_Bd2p3v_9VCDdQRkUsMIVqpQCk/edit"",""24!e29"")"),47.0)</f>
        <v>47</v>
      </c>
      <c r="I627" s="40">
        <f t="shared" ref="I627:I644" si="1740">SUM(G627:H627)</f>
        <v>2241</v>
      </c>
      <c r="J627" s="40">
        <f>IFERROR(__xludf.DUMMYFUNCTION("IMPORTRANGE(""https://docs.google.com/spreadsheets/d/1z0o91thOT38lgejTE_Bd2p3v_9VCDdQRkUsMIVqpQCk/edit"",""24!e32"")"),2798.0)</f>
        <v>2798</v>
      </c>
      <c r="K627" s="40">
        <f>IFERROR(__xludf.DUMMYFUNCTION("IMPORTRANGE(""https://docs.google.com/spreadsheets/d/1z0o91thOT38lgejTE_Bd2p3v_9VCDdQRkUsMIVqpQCk/edit"",""24!e33"")"),0.0)</f>
        <v>0</v>
      </c>
      <c r="L627" s="40">
        <f t="shared" ref="L627:L633" si="1741">SUM(J627:K627)</f>
        <v>2798</v>
      </c>
      <c r="M627" s="40">
        <f t="shared" ref="M627:M644" si="1742">SUM(I627+L627)</f>
        <v>5039</v>
      </c>
      <c r="N627" s="41">
        <f t="shared" ref="N627:N645" si="1743">F627/E627</f>
        <v>185.26335</v>
      </c>
      <c r="O627" s="38">
        <v>5161.0</v>
      </c>
      <c r="P627" s="42">
        <f t="shared" ref="P627:P645" si="1744">M627/O627</f>
        <v>0.9763611703</v>
      </c>
      <c r="Q627" s="43">
        <v>1.5</v>
      </c>
      <c r="R627" s="42">
        <f t="shared" ref="R627:R645" si="1745">S627/Q627</f>
        <v>0.9066373175</v>
      </c>
      <c r="S627" s="44">
        <f t="shared" ref="S627:S645" si="1746">M627/F627</f>
        <v>1.359955976</v>
      </c>
      <c r="T627" s="43">
        <f>F627/14.415</f>
        <v>257.0424558</v>
      </c>
      <c r="U627" s="43">
        <f t="shared" ref="U627:U645" si="1747">T627/E627</f>
        <v>12.85212279</v>
      </c>
      <c r="V627" s="40">
        <f t="shared" ref="V627:V645" si="1748">M627/E627</f>
        <v>251.95</v>
      </c>
      <c r="X627" s="22">
        <v>4.0</v>
      </c>
      <c r="Y627" s="22" t="s">
        <v>27</v>
      </c>
      <c r="Z627" s="22">
        <f t="shared" ref="Z627:AK627" si="1738">SUM(D640)</f>
        <v>30</v>
      </c>
      <c r="AA627" s="23">
        <f t="shared" si="1738"/>
        <v>30</v>
      </c>
      <c r="AB627" s="24">
        <f t="shared" si="1738"/>
        <v>5305.88</v>
      </c>
      <c r="AC627" s="23">
        <f t="shared" si="1738"/>
        <v>2435</v>
      </c>
      <c r="AD627" s="23">
        <f t="shared" si="1738"/>
        <v>98</v>
      </c>
      <c r="AE627" s="23">
        <f t="shared" si="1738"/>
        <v>2533</v>
      </c>
      <c r="AF627" s="23">
        <f t="shared" si="1738"/>
        <v>3007</v>
      </c>
      <c r="AG627" s="23">
        <f t="shared" si="1738"/>
        <v>0</v>
      </c>
      <c r="AH627" s="23">
        <f t="shared" si="1738"/>
        <v>3007</v>
      </c>
      <c r="AI627" s="23">
        <f t="shared" si="1738"/>
        <v>5540</v>
      </c>
      <c r="AJ627" s="25">
        <f t="shared" si="1738"/>
        <v>176.8626667</v>
      </c>
      <c r="AK627" s="22">
        <f t="shared" si="1738"/>
        <v>8101</v>
      </c>
      <c r="AL627" s="26">
        <f t="shared" si="1730"/>
        <v>0.6838661894</v>
      </c>
      <c r="AM627" s="27">
        <f>SUM(Q640)</f>
        <v>1.5</v>
      </c>
      <c r="AN627" s="26">
        <f t="shared" si="1732"/>
        <v>0.6960830877</v>
      </c>
      <c r="AO627" s="28">
        <f t="shared" si="1733"/>
        <v>1.044124632</v>
      </c>
      <c r="AP627" s="27">
        <f t="shared" ref="AP627:AQ627" si="1739">SUM(T640)</f>
        <v>265.4931198</v>
      </c>
      <c r="AQ627" s="27">
        <f t="shared" si="1739"/>
        <v>8.849770661</v>
      </c>
      <c r="AR627" s="23">
        <f t="shared" si="1735"/>
        <v>184.6666667</v>
      </c>
    </row>
    <row r="628" ht="15.75" customHeight="1">
      <c r="A628" s="21"/>
      <c r="B628" s="38">
        <v>2.0</v>
      </c>
      <c r="C628" s="38" t="s">
        <v>28</v>
      </c>
      <c r="D628" s="78">
        <v>33.0</v>
      </c>
      <c r="E628" s="40">
        <f>IFERROR(__xludf.DUMMYFUNCTION("COUNT(IMPORTRANGE(""https://docs.google.com/spreadsheets/d/10a85iNN0y9GF6ngQfF1JXGAzFk-T7ywH4-TZtQcOTaE/edit"",""24!d2:d34""))"),33.0)</f>
        <v>33</v>
      </c>
      <c r="F628" s="41">
        <f>IFERROR(__xludf.DUMMYFUNCTION("SUM(IMPORTRANGE(""https://docs.google.com/spreadsheets/d/10a85iNN0y9GF6ngQfF1JXGAzFk-T7ywH4-TZtQcOTaE/edit"",""24!Q2:Q34""))"),6590.627)</f>
        <v>6590.627</v>
      </c>
      <c r="G628" s="40">
        <f>IFERROR(__xludf.DUMMYFUNCTION("IMPORTRANGE(""https://docs.google.com/spreadsheets/d/10a85iNN0y9GF6ngQfF1JXGAzFk-T7ywH4-TZtQcOTaE/edit"",""24!e41"")"),2705.0)</f>
        <v>2705</v>
      </c>
      <c r="H628" s="40">
        <f>IFERROR(__xludf.DUMMYFUNCTION("IMPORTRANGE(""https://docs.google.com/spreadsheets/d/10a85iNN0y9GF6ngQfF1JXGAzFk-T7ywH4-TZtQcOTaE/edit"",""24!e42"")"),273.0)</f>
        <v>273</v>
      </c>
      <c r="I628" s="40">
        <f t="shared" si="1740"/>
        <v>2978</v>
      </c>
      <c r="J628" s="40">
        <f>IFERROR(__xludf.DUMMYFUNCTION("IMPORTRANGE(""https://docs.google.com/spreadsheets/d/10a85iNN0y9GF6ngQfF1JXGAzFk-T7ywH4-TZtQcOTaE/edit"",""24!e45"")"),2522.0)</f>
        <v>2522</v>
      </c>
      <c r="K628" s="40">
        <f>IFERROR(__xludf.DUMMYFUNCTION("IMPORTRANGE(""https://docs.google.com/spreadsheets/d/10a85iNN0y9GF6ngQfF1JXGAzFk-T7ywH4-TZtQcOTaE/edit"",""24!e46"")"),165.0)</f>
        <v>165</v>
      </c>
      <c r="L628" s="40">
        <f t="shared" si="1741"/>
        <v>2687</v>
      </c>
      <c r="M628" s="40">
        <f t="shared" si="1742"/>
        <v>5665</v>
      </c>
      <c r="N628" s="41">
        <f t="shared" si="1743"/>
        <v>199.7159697</v>
      </c>
      <c r="O628" s="38">
        <v>7315.0</v>
      </c>
      <c r="P628" s="42">
        <f t="shared" si="1744"/>
        <v>0.7744360902</v>
      </c>
      <c r="Q628" s="43">
        <v>1.5</v>
      </c>
      <c r="R628" s="42">
        <f t="shared" si="1745"/>
        <v>0.5730360202</v>
      </c>
      <c r="S628" s="44">
        <f t="shared" si="1746"/>
        <v>0.8595540303</v>
      </c>
      <c r="T628" s="43">
        <f>F628/30.897</f>
        <v>213.3096093</v>
      </c>
      <c r="U628" s="43">
        <f t="shared" si="1747"/>
        <v>6.463927556</v>
      </c>
      <c r="V628" s="40">
        <f t="shared" si="1748"/>
        <v>171.6666667</v>
      </c>
      <c r="X628" s="22">
        <v>5.0</v>
      </c>
      <c r="Y628" s="22" t="s">
        <v>29</v>
      </c>
      <c r="Z628" s="22">
        <f t="shared" ref="Z628:AI628" si="1749">SUM(D643)</f>
        <v>30</v>
      </c>
      <c r="AA628" s="23">
        <f t="shared" si="1749"/>
        <v>30</v>
      </c>
      <c r="AB628" s="24">
        <f t="shared" si="1749"/>
        <v>5676.284</v>
      </c>
      <c r="AC628" s="23">
        <f t="shared" si="1749"/>
        <v>2891</v>
      </c>
      <c r="AD628" s="23">
        <f t="shared" si="1749"/>
        <v>0</v>
      </c>
      <c r="AE628" s="23">
        <f t="shared" si="1749"/>
        <v>2891</v>
      </c>
      <c r="AF628" s="23">
        <f t="shared" si="1749"/>
        <v>3942</v>
      </c>
      <c r="AG628" s="23">
        <f t="shared" si="1749"/>
        <v>0</v>
      </c>
      <c r="AH628" s="23">
        <f t="shared" si="1749"/>
        <v>3942</v>
      </c>
      <c r="AI628" s="23">
        <f t="shared" si="1749"/>
        <v>6833</v>
      </c>
      <c r="AJ628" s="25">
        <f t="shared" ref="AJ628:AJ630" si="1752">AB628/AA628</f>
        <v>189.2094667</v>
      </c>
      <c r="AK628" s="22">
        <f t="shared" ref="AK628:AK629" si="1753">SUM(O643)</f>
        <v>9201</v>
      </c>
      <c r="AL628" s="26">
        <f t="shared" si="1730"/>
        <v>0.7426366699</v>
      </c>
      <c r="AM628" s="27">
        <f t="shared" ref="AM628:AM629" si="1754">SUM(Q643)</f>
        <v>1.5</v>
      </c>
      <c r="AN628" s="26">
        <f t="shared" si="1732"/>
        <v>0.8025203343</v>
      </c>
      <c r="AO628" s="28">
        <f t="shared" si="1733"/>
        <v>1.203780501</v>
      </c>
      <c r="AP628" s="27">
        <f t="shared" ref="AP628:AQ628" si="1750">SUM(T643)</f>
        <v>218</v>
      </c>
      <c r="AQ628" s="27">
        <f t="shared" si="1750"/>
        <v>7.266666667</v>
      </c>
      <c r="AR628" s="23">
        <f t="shared" si="1735"/>
        <v>227.7666667</v>
      </c>
    </row>
    <row r="629" ht="15.75" customHeight="1">
      <c r="A629" s="21"/>
      <c r="B629" s="38">
        <v>3.0</v>
      </c>
      <c r="C629" s="38" t="s">
        <v>30</v>
      </c>
      <c r="D629" s="78">
        <v>60.0</v>
      </c>
      <c r="E629" s="40">
        <f>IFERROR(__xludf.DUMMYFUNCTION("COUNT(IMPORTRANGE(""https://docs.google.com/spreadsheets/d/1WojVzHhpzodJL1e5UDHeu3A3u5MTSZwvxHu0BrwvL9w/edit"",""24!d2:d61""))"),58.0)</f>
        <v>58</v>
      </c>
      <c r="F629" s="45">
        <f>IFERROR(__xludf.DUMMYFUNCTION("SUM(IMPORTRANGE(""https://docs.google.com/spreadsheets/d/1WojVzHhpzodJL1e5UDHeu3A3u5MTSZwvxHu0BrwvL9w/edit"",""24!Q2:Q61""))"),11574.772999999988)</f>
        <v>11574.773</v>
      </c>
      <c r="G629" s="40">
        <f>IFERROR(__xludf.DUMMYFUNCTION("IMPORTRANGE(""https://docs.google.com/spreadsheets/d/1WojVzHhpzodJL1e5UDHeu3A3u5MTSZwvxHu0BrwvL9w/edit"",""24!e68"")"),3557.0)</f>
        <v>3557</v>
      </c>
      <c r="H629" s="40">
        <f>IFERROR(__xludf.DUMMYFUNCTION("IMPORTRANGE(""https://docs.google.com/spreadsheets/d/1WojVzHhpzodJL1e5UDHeu3A3u5MTSZwvxHu0BrwvL9w/edit"",""24!e69"")"),0.0)</f>
        <v>0</v>
      </c>
      <c r="I629" s="40">
        <f t="shared" si="1740"/>
        <v>3557</v>
      </c>
      <c r="J629" s="40">
        <f>IFERROR(__xludf.DUMMYFUNCTION("IMPORTRANGE(""https://docs.google.com/spreadsheets/d/1WojVzHhpzodJL1e5UDHeu3A3u5MTSZwvxHu0BrwvL9w/edit"",""24!e72"")"),5644.0)</f>
        <v>5644</v>
      </c>
      <c r="K629" s="40">
        <f>IFERROR(__xludf.DUMMYFUNCTION("IMPORTRANGE(""https://docs.google.com/spreadsheets/d/1WojVzHhpzodJL1e5UDHeu3A3u5MTSZwvxHu0BrwvL9w/edit"",""24!e73"")"),0.0)</f>
        <v>0</v>
      </c>
      <c r="L629" s="40">
        <f t="shared" si="1741"/>
        <v>5644</v>
      </c>
      <c r="M629" s="40">
        <f t="shared" si="1742"/>
        <v>9201</v>
      </c>
      <c r="N629" s="41">
        <f t="shared" si="1743"/>
        <v>199.5650517</v>
      </c>
      <c r="O629" s="38">
        <v>11164.0</v>
      </c>
      <c r="P629" s="42">
        <f t="shared" si="1744"/>
        <v>0.8241669652</v>
      </c>
      <c r="Q629" s="43">
        <v>1.5</v>
      </c>
      <c r="R629" s="42">
        <f t="shared" si="1745"/>
        <v>0.5299455981</v>
      </c>
      <c r="S629" s="44">
        <f t="shared" si="1746"/>
        <v>0.7949183971</v>
      </c>
      <c r="T629" s="43">
        <f>F629/29.603</f>
        <v>391</v>
      </c>
      <c r="U629" s="43">
        <f t="shared" si="1747"/>
        <v>6.74137931</v>
      </c>
      <c r="V629" s="40">
        <f t="shared" si="1748"/>
        <v>158.637931</v>
      </c>
      <c r="X629" s="22">
        <v>6.0</v>
      </c>
      <c r="Y629" s="22" t="s">
        <v>31</v>
      </c>
      <c r="Z629" s="22">
        <f t="shared" ref="Z629:AI629" si="1751">SUM(D644)</f>
        <v>15</v>
      </c>
      <c r="AA629" s="23">
        <f t="shared" si="1751"/>
        <v>14</v>
      </c>
      <c r="AB629" s="25">
        <f t="shared" si="1751"/>
        <v>2825.225</v>
      </c>
      <c r="AC629" s="23">
        <f t="shared" si="1751"/>
        <v>837</v>
      </c>
      <c r="AD629" s="23">
        <f t="shared" si="1751"/>
        <v>0</v>
      </c>
      <c r="AE629" s="23">
        <f t="shared" si="1751"/>
        <v>837</v>
      </c>
      <c r="AF629" s="23">
        <f t="shared" si="1751"/>
        <v>1180</v>
      </c>
      <c r="AG629" s="23">
        <f t="shared" si="1751"/>
        <v>0</v>
      </c>
      <c r="AH629" s="23">
        <f t="shared" si="1751"/>
        <v>1180</v>
      </c>
      <c r="AI629" s="23">
        <f t="shared" si="1751"/>
        <v>2017</v>
      </c>
      <c r="AJ629" s="25">
        <f t="shared" si="1752"/>
        <v>201.8017857</v>
      </c>
      <c r="AK629" s="22">
        <f t="shared" si="1753"/>
        <v>2717</v>
      </c>
      <c r="AL629" s="26">
        <f t="shared" si="1730"/>
        <v>0.7423629003</v>
      </c>
      <c r="AM629" s="27">
        <f t="shared" si="1754"/>
        <v>1.5</v>
      </c>
      <c r="AN629" s="26">
        <f t="shared" si="1732"/>
        <v>0.475950293</v>
      </c>
      <c r="AO629" s="28">
        <f t="shared" si="1733"/>
        <v>0.7139254396</v>
      </c>
      <c r="AP629" s="27">
        <f t="shared" ref="AP629:AQ629" si="1755">SUM(T644)</f>
        <v>65</v>
      </c>
      <c r="AQ629" s="27">
        <f t="shared" si="1755"/>
        <v>4.642857143</v>
      </c>
      <c r="AR629" s="23">
        <f t="shared" si="1735"/>
        <v>144.0714286</v>
      </c>
    </row>
    <row r="630" ht="15.75" customHeight="1">
      <c r="A630" s="21"/>
      <c r="B630" s="38">
        <v>4.0</v>
      </c>
      <c r="C630" s="38" t="s">
        <v>32</v>
      </c>
      <c r="D630" s="78">
        <v>42.0</v>
      </c>
      <c r="E630" s="40">
        <f>IFERROR(__xludf.DUMMYFUNCTION("COUNT(IMPORTRANGE(""https://docs.google.com/spreadsheets/d/1vmCj5YcMSPHj1m64syDndQ6cqVL3yolcU03Y8KHmvdc/edit"",""24!d2:d43""))"),42.0)</f>
        <v>42</v>
      </c>
      <c r="F630" s="45">
        <f>IFERROR(__xludf.DUMMYFUNCTION("SUM(IMPORTRANGE(""https://docs.google.com/spreadsheets/d/1vmCj5YcMSPHj1m64syDndQ6cqVL3yolcU03Y8KHmvdc/edit"",""24!Q2:Q43""))"),8204.10299999999)</f>
        <v>8204.103</v>
      </c>
      <c r="G630" s="38">
        <f>IFERROR(__xludf.DUMMYFUNCTION("IMPORTRANGE(""https://docs.google.com/spreadsheets/d/1vmCj5YcMSPHj1m64syDndQ6cqVL3yolcU03Y8KHmvdc/edit"",""24!e50"")"),5281.0)</f>
        <v>5281</v>
      </c>
      <c r="H630" s="38">
        <f>IFERROR(__xludf.DUMMYFUNCTION("IMPORTRANGE(""https://docs.google.com/spreadsheets/d/1vmCj5YcMSPHj1m64syDndQ6cqVL3yolcU03Y8KHmvdc/edit"",""24!e51"")"),0.0)</f>
        <v>0</v>
      </c>
      <c r="I630" s="40">
        <f t="shared" si="1740"/>
        <v>5281</v>
      </c>
      <c r="J630" s="38">
        <f>IFERROR(__xludf.DUMMYFUNCTION("IMPORTRANGE(""https://docs.google.com/spreadsheets/d/1vmCj5YcMSPHj1m64syDndQ6cqVL3yolcU03Y8KHmvdc/edit"",""24!e54"")"),5566.0)</f>
        <v>5566</v>
      </c>
      <c r="K630" s="38">
        <f>IFERROR(__xludf.DUMMYFUNCTION("IMPORTRANGE(""https://docs.google.com/spreadsheets/d/1vmCj5YcMSPHj1m64syDndQ6cqVL3yolcU03Y8KHmvdc/edit"",""24!e55"")"),0.0)</f>
        <v>0</v>
      </c>
      <c r="L630" s="40">
        <f t="shared" si="1741"/>
        <v>5566</v>
      </c>
      <c r="M630" s="40">
        <f t="shared" si="1742"/>
        <v>10847</v>
      </c>
      <c r="N630" s="41">
        <f t="shared" si="1743"/>
        <v>195.3357857</v>
      </c>
      <c r="O630" s="38">
        <v>13817.0</v>
      </c>
      <c r="P630" s="42">
        <f t="shared" si="1744"/>
        <v>0.7850474054</v>
      </c>
      <c r="Q630" s="43">
        <v>1.5</v>
      </c>
      <c r="R630" s="42">
        <f t="shared" si="1745"/>
        <v>0.8814288818</v>
      </c>
      <c r="S630" s="44">
        <f t="shared" si="1746"/>
        <v>1.322143323</v>
      </c>
      <c r="T630" s="43">
        <f>F630/25.089</f>
        <v>327</v>
      </c>
      <c r="U630" s="43">
        <f t="shared" si="1747"/>
        <v>7.785714286</v>
      </c>
      <c r="V630" s="40">
        <f t="shared" si="1748"/>
        <v>258.2619048</v>
      </c>
      <c r="X630" s="46" t="s">
        <v>33</v>
      </c>
      <c r="Y630" s="46">
        <v>6.0</v>
      </c>
      <c r="Z630" s="46">
        <f t="shared" ref="Z630:AI630" si="1756">SUM(Z624:Z629)</f>
        <v>186</v>
      </c>
      <c r="AA630" s="47">
        <f t="shared" si="1756"/>
        <v>182</v>
      </c>
      <c r="AB630" s="48">
        <f t="shared" si="1756"/>
        <v>35040.595</v>
      </c>
      <c r="AC630" s="47">
        <f t="shared" si="1756"/>
        <v>11409</v>
      </c>
      <c r="AD630" s="47">
        <f t="shared" si="1756"/>
        <v>549</v>
      </c>
      <c r="AE630" s="47">
        <f t="shared" si="1756"/>
        <v>11958</v>
      </c>
      <c r="AF630" s="47">
        <f t="shared" si="1756"/>
        <v>16207</v>
      </c>
      <c r="AG630" s="47">
        <f t="shared" si="1756"/>
        <v>285</v>
      </c>
      <c r="AH630" s="47">
        <f t="shared" si="1756"/>
        <v>16492</v>
      </c>
      <c r="AI630" s="47">
        <f t="shared" si="1756"/>
        <v>28450</v>
      </c>
      <c r="AJ630" s="49">
        <f t="shared" si="1752"/>
        <v>192.5307418</v>
      </c>
      <c r="AK630" s="46">
        <f>SUM(AK624:AK629)</f>
        <v>35074</v>
      </c>
      <c r="AL630" s="50">
        <f t="shared" si="1730"/>
        <v>0.8111421566</v>
      </c>
      <c r="AM630" s="51">
        <v>1.5</v>
      </c>
      <c r="AN630" s="50">
        <f t="shared" si="1732"/>
        <v>0.541276958</v>
      </c>
      <c r="AO630" s="52">
        <f t="shared" si="1733"/>
        <v>0.8119154369</v>
      </c>
      <c r="AP630" s="51">
        <f>SUM(AP624:AP629)</f>
        <v>1315.658048</v>
      </c>
      <c r="AQ630" s="51">
        <f>AP630/AA630</f>
        <v>7.228890371</v>
      </c>
      <c r="AR630" s="47">
        <f t="shared" si="1735"/>
        <v>156.3186813</v>
      </c>
    </row>
    <row r="631" ht="15.75" customHeight="1">
      <c r="A631" s="21"/>
      <c r="B631" s="38">
        <v>5.0</v>
      </c>
      <c r="C631" s="38" t="s">
        <v>34</v>
      </c>
      <c r="D631" s="78">
        <v>40.0</v>
      </c>
      <c r="E631" s="40">
        <f>IFERROR(__xludf.DUMMYFUNCTION("COUNT(IMPORTRANGE(""https://docs.google.com/spreadsheets/d/14_Y-fpuq1wcec3DlT_1PBYekOC0YblQMrWVfO12YO3k/edit"",""24!d2:d41""))"),40.0)</f>
        <v>40</v>
      </c>
      <c r="F631" s="45">
        <f>IFERROR(__xludf.DUMMYFUNCTION("SUM(IMPORTRANGE(""https://docs.google.com/spreadsheets/d/14_Y-fpuq1wcec3DlT_1PBYekOC0YblQMrWVfO12YO3k/edit"",""24!Q2:Q41""))"),7752.201000000002)</f>
        <v>7752.201</v>
      </c>
      <c r="G631" s="40">
        <f>IFERROR(__xludf.DUMMYFUNCTION("IMPORTRANGE(""https://docs.google.com/spreadsheets/d/14_Y-fpuq1wcec3DlT_1PBYekOC0YblQMrWVfO12YO3k/edit"",""24!e48"")"),2810.0)</f>
        <v>2810</v>
      </c>
      <c r="H631" s="40">
        <f>IFERROR(__xludf.DUMMYFUNCTION("IMPORTRANGE(""https://docs.google.com/spreadsheets/d/14_Y-fpuq1wcec3DlT_1PBYekOC0YblQMrWVfO12YO3k/edit"",""24!e49"")"),0.0)</f>
        <v>0</v>
      </c>
      <c r="I631" s="40">
        <f t="shared" si="1740"/>
        <v>2810</v>
      </c>
      <c r="J631" s="40">
        <f>IFERROR(__xludf.DUMMYFUNCTION("IMPORTRANGE(""https://docs.google.com/spreadsheets/d/14_Y-fpuq1wcec3DlT_1PBYekOC0YblQMrWVfO12YO3k/edit"",""24!e52"")"),3596.0)</f>
        <v>3596</v>
      </c>
      <c r="K631" s="40">
        <f>IFERROR(__xludf.DUMMYFUNCTION("IMPORTRANGE(""https://docs.google.com/spreadsheets/d/14_Y-fpuq1wcec3DlT_1PBYekOC0YblQMrWVfO12YO3k/edit"",""24!e53"")"),0.0)</f>
        <v>0</v>
      </c>
      <c r="L631" s="40">
        <f t="shared" si="1741"/>
        <v>3596</v>
      </c>
      <c r="M631" s="40">
        <f t="shared" si="1742"/>
        <v>6406</v>
      </c>
      <c r="N631" s="41">
        <f t="shared" si="1743"/>
        <v>193.805025</v>
      </c>
      <c r="O631" s="38">
        <v>9354.0</v>
      </c>
      <c r="P631" s="42">
        <f t="shared" si="1744"/>
        <v>0.6848407099</v>
      </c>
      <c r="Q631" s="43">
        <v>1.5</v>
      </c>
      <c r="R631" s="42">
        <f t="shared" si="1745"/>
        <v>0.5508973086</v>
      </c>
      <c r="S631" s="44">
        <f t="shared" si="1746"/>
        <v>0.8263459629</v>
      </c>
      <c r="T631" s="43">
        <f>F631/30.713</f>
        <v>252.4078078</v>
      </c>
      <c r="U631" s="43">
        <f t="shared" si="1747"/>
        <v>6.310195194</v>
      </c>
      <c r="V631" s="40">
        <f t="shared" si="1748"/>
        <v>160.15</v>
      </c>
      <c r="X631" s="53" t="s">
        <v>35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6"/>
    </row>
    <row r="632" ht="15.75" customHeight="1">
      <c r="A632" s="21"/>
      <c r="B632" s="38">
        <v>6.0</v>
      </c>
      <c r="C632" s="38" t="s">
        <v>23</v>
      </c>
      <c r="D632" s="78">
        <v>35.0</v>
      </c>
      <c r="E632" s="40">
        <f>IFERROR(__xludf.DUMMYFUNCTION("COUNT(IMPORTRANGE(""https://docs.google.com/spreadsheets/d/1lJqjdj05V4LOXuBOiTdE65GV4ZITyx1cMLcDdcuoUnE/edit"",""24!d2:d36""))"),35.0)</f>
        <v>35</v>
      </c>
      <c r="F632" s="45">
        <f>IFERROR(__xludf.DUMMYFUNCTION("SUM(IMPORTRANGE(""https://docs.google.com/spreadsheets/d/1lJqjdj05V4LOXuBOiTdE65GV4ZITyx1cMLcDdcuoUnE/edit"",""24!Q2:Q36""))"),6950.439999999994)</f>
        <v>6950.44</v>
      </c>
      <c r="G632" s="40">
        <f>IFERROR(__xludf.DUMMYFUNCTION("IMPORTRANGE(""https://docs.google.com/spreadsheets/d/1lJqjdj05V4LOXuBOiTdE65GV4ZITyx1cMLcDdcuoUnE/edit"",""24!e43"")"),1758.0)</f>
        <v>1758</v>
      </c>
      <c r="H632" s="40">
        <f>IFERROR(__xludf.DUMMYFUNCTION("IMPORTRANGE(""https://docs.google.com/spreadsheets/d/1lJqjdj05V4LOXuBOiTdE65GV4ZITyx1cMLcDdcuoUnE/edit"",""24!e44"")"),0.0)</f>
        <v>0</v>
      </c>
      <c r="I632" s="40">
        <f t="shared" si="1740"/>
        <v>1758</v>
      </c>
      <c r="J632" s="40">
        <f>IFERROR(__xludf.DUMMYFUNCTION("IMPORTRANGE(""https://docs.google.com/spreadsheets/d/1lJqjdj05V4LOXuBOiTdE65GV4ZITyx1cMLcDdcuoUnE/edit"",""24!e47"")"),3534.0)</f>
        <v>3534</v>
      </c>
      <c r="K632" s="40">
        <f>IFERROR(__xludf.DUMMYFUNCTION("IMPORTRANGE(""https://docs.google.com/spreadsheets/d/1lJqjdj05V4LOXuBOiTdE65GV4ZITyx1cMLcDdcuoUnE/edit"",""24!e48"")"),0.0)</f>
        <v>0</v>
      </c>
      <c r="L632" s="40">
        <f t="shared" si="1741"/>
        <v>3534</v>
      </c>
      <c r="M632" s="40">
        <f t="shared" si="1742"/>
        <v>5292</v>
      </c>
      <c r="N632" s="41">
        <f t="shared" si="1743"/>
        <v>198.584</v>
      </c>
      <c r="O632" s="38">
        <v>6853.0</v>
      </c>
      <c r="P632" s="42">
        <f t="shared" si="1744"/>
        <v>0.7722165475</v>
      </c>
      <c r="Q632" s="43">
        <v>1.5</v>
      </c>
      <c r="R632" s="42">
        <f t="shared" si="1745"/>
        <v>0.5075937638</v>
      </c>
      <c r="S632" s="44">
        <f t="shared" si="1746"/>
        <v>0.7613906458</v>
      </c>
      <c r="T632" s="43">
        <f>F632/33.74</f>
        <v>206</v>
      </c>
      <c r="U632" s="43">
        <f t="shared" si="1747"/>
        <v>5.885714286</v>
      </c>
      <c r="V632" s="40">
        <f t="shared" si="1748"/>
        <v>151.2</v>
      </c>
      <c r="X632" s="14" t="s">
        <v>2</v>
      </c>
      <c r="Y632" s="14" t="s">
        <v>3</v>
      </c>
      <c r="Z632" s="14" t="s">
        <v>4</v>
      </c>
      <c r="AA632" s="14" t="s">
        <v>5</v>
      </c>
      <c r="AB632" s="15" t="s">
        <v>6</v>
      </c>
      <c r="AC632" s="14" t="s">
        <v>7</v>
      </c>
      <c r="AD632" s="14" t="s">
        <v>8</v>
      </c>
      <c r="AE632" s="14" t="s">
        <v>9</v>
      </c>
      <c r="AF632" s="14" t="s">
        <v>10</v>
      </c>
      <c r="AG632" s="14" t="s">
        <v>11</v>
      </c>
      <c r="AH632" s="14" t="s">
        <v>12</v>
      </c>
      <c r="AI632" s="14" t="s">
        <v>13</v>
      </c>
      <c r="AJ632" s="15" t="s">
        <v>14</v>
      </c>
      <c r="AK632" s="14" t="s">
        <v>15</v>
      </c>
      <c r="AL632" s="14" t="s">
        <v>16</v>
      </c>
      <c r="AM632" s="16" t="s">
        <v>17</v>
      </c>
      <c r="AN632" s="17" t="s">
        <v>18</v>
      </c>
      <c r="AO632" s="18" t="s">
        <v>19</v>
      </c>
      <c r="AP632" s="19" t="s">
        <v>20</v>
      </c>
      <c r="AQ632" s="19" t="s">
        <v>21</v>
      </c>
      <c r="AR632" s="20" t="s">
        <v>22</v>
      </c>
    </row>
    <row r="633" ht="15.75" customHeight="1">
      <c r="A633" s="21"/>
      <c r="B633" s="38">
        <v>7.0</v>
      </c>
      <c r="C633" s="38" t="s">
        <v>24</v>
      </c>
      <c r="D633" s="78">
        <v>44.0</v>
      </c>
      <c r="E633" s="54">
        <f>IFERROR(__xludf.DUMMYFUNCTION("COUNT(IMPORTRANGE(""https://docs.google.com/spreadsheets/d/1_7EEO26q9Yq-XhNFiy7I6Zh4Yg6uGjTs9y0UqNvPKcQ/edit"",""24!d2:d45""))"),41.0)</f>
        <v>41</v>
      </c>
      <c r="F633" s="55">
        <f>IFERROR(__xludf.DUMMYFUNCTION("SUM(IMPORTRANGE(""https://docs.google.com/spreadsheets/d/1_7EEO26q9Yq-XhNFiy7I6Zh4Yg6uGjTs9y0UqNvPKcQ/edit"",""24!Q2:Q45""))"),8177.957999999994)</f>
        <v>8177.958</v>
      </c>
      <c r="G633" s="54">
        <f>IFERROR(__xludf.DUMMYFUNCTION("IMPORTRANGE(""https://docs.google.com/spreadsheets/d/1_7EEO26q9Yq-XhNFiy7I6Zh4Yg6uGjTs9y0UqNvPKcQ/edit"",""24!e53"")"),1068.0)</f>
        <v>1068</v>
      </c>
      <c r="H633" s="54">
        <f>IFERROR(__xludf.DUMMYFUNCTION("IMPORTRANGE(""https://docs.google.com/spreadsheets/d/1_7EEO26q9Yq-XhNFiy7I6Zh4Yg6uGjTs9y0UqNvPKcQ/edit"",""24!e54"")"),0.0)</f>
        <v>0</v>
      </c>
      <c r="I633" s="54">
        <f t="shared" si="1740"/>
        <v>1068</v>
      </c>
      <c r="J633" s="54">
        <f>IFERROR(__xludf.DUMMYFUNCTION("IMPORTRANGE(""https://docs.google.com/spreadsheets/d/1_7EEO26q9Yq-XhNFiy7I6Zh4Yg6uGjTs9y0UqNvPKcQ/edit"",""24!e57"")"),1372.0)</f>
        <v>1372</v>
      </c>
      <c r="K633" s="54">
        <f>IFERROR(__xludf.DUMMYFUNCTION("IMPORTRANGE(""https://docs.google.com/spreadsheets/d/1_7EEO26q9Yq-XhNFiy7I6Zh4Yg6uGjTs9y0UqNvPKcQ/edit"",""24!e58"")"),0.0)</f>
        <v>0</v>
      </c>
      <c r="L633" s="40">
        <f t="shared" si="1741"/>
        <v>1372</v>
      </c>
      <c r="M633" s="40">
        <f t="shared" si="1742"/>
        <v>2440</v>
      </c>
      <c r="N633" s="41">
        <f t="shared" si="1743"/>
        <v>199.4623902</v>
      </c>
      <c r="O633" s="38">
        <v>1580.0</v>
      </c>
      <c r="P633" s="56">
        <f t="shared" si="1744"/>
        <v>1.544303797</v>
      </c>
      <c r="Q633" s="43">
        <v>1.5</v>
      </c>
      <c r="R633" s="42">
        <f t="shared" si="1745"/>
        <v>0.1989086599</v>
      </c>
      <c r="S633" s="44">
        <f t="shared" si="1746"/>
        <v>0.2983629899</v>
      </c>
      <c r="T633" s="43">
        <f>F633/26.805</f>
        <v>305.0907666</v>
      </c>
      <c r="U633" s="43">
        <f t="shared" si="1747"/>
        <v>7.441238211</v>
      </c>
      <c r="V633" s="40">
        <f t="shared" si="1748"/>
        <v>59.51219512</v>
      </c>
      <c r="X633" s="22">
        <v>1.0</v>
      </c>
      <c r="Y633" s="22" t="s">
        <v>28</v>
      </c>
      <c r="Z633" s="22">
        <f t="shared" ref="Z633:AI633" si="1757">SUM(D628)</f>
        <v>33</v>
      </c>
      <c r="AA633" s="23">
        <f t="shared" si="1757"/>
        <v>33</v>
      </c>
      <c r="AB633" s="25">
        <f t="shared" si="1757"/>
        <v>6590.627</v>
      </c>
      <c r="AC633" s="23">
        <f t="shared" si="1757"/>
        <v>2705</v>
      </c>
      <c r="AD633" s="23">
        <f t="shared" si="1757"/>
        <v>273</v>
      </c>
      <c r="AE633" s="23">
        <f t="shared" si="1757"/>
        <v>2978</v>
      </c>
      <c r="AF633" s="23">
        <f t="shared" si="1757"/>
        <v>2522</v>
      </c>
      <c r="AG633" s="23">
        <f t="shared" si="1757"/>
        <v>165</v>
      </c>
      <c r="AH633" s="23">
        <f t="shared" si="1757"/>
        <v>2687</v>
      </c>
      <c r="AI633" s="23">
        <f t="shared" si="1757"/>
        <v>5665</v>
      </c>
      <c r="AJ633" s="25">
        <f t="shared" ref="AJ633:AJ639" si="1760">AB633/AA633</f>
        <v>199.7159697</v>
      </c>
      <c r="AK633" s="22">
        <f t="shared" ref="AK633:AK634" si="1761">SUM(O628)</f>
        <v>7315</v>
      </c>
      <c r="AL633" s="26">
        <f t="shared" ref="AL633:AL639" si="1762">AI633/AK633</f>
        <v>0.7744360902</v>
      </c>
      <c r="AM633" s="27">
        <f t="shared" ref="AM633:AM634" si="1763">SUM(Q628)</f>
        <v>1.5</v>
      </c>
      <c r="AN633" s="26">
        <f t="shared" ref="AN633:AN639" si="1764">AO633/AM633</f>
        <v>0.5730360202</v>
      </c>
      <c r="AO633" s="28">
        <f t="shared" ref="AO633:AO639" si="1765">AI633/AB633</f>
        <v>0.8595540303</v>
      </c>
      <c r="AP633" s="27">
        <f t="shared" ref="AP633:AQ633" si="1758">SUM(T628)</f>
        <v>213.3096093</v>
      </c>
      <c r="AQ633" s="27">
        <f t="shared" si="1758"/>
        <v>6.463927556</v>
      </c>
      <c r="AR633" s="23">
        <f t="shared" ref="AR633:AR639" si="1767">AI633/AA633</f>
        <v>171.6666667</v>
      </c>
    </row>
    <row r="634" ht="15.75" customHeight="1">
      <c r="A634" s="21"/>
      <c r="B634" s="38">
        <v>8.0</v>
      </c>
      <c r="C634" s="38" t="s">
        <v>25</v>
      </c>
      <c r="D634" s="79">
        <v>32.0</v>
      </c>
      <c r="E634" s="40">
        <f>IFERROR(__xludf.DUMMYFUNCTION("COUNT(IMPORTRANGE(""https://docs.google.com/spreadsheets/d/1vLOLpiE-XsbnCnwWPcoi87PlUSXfqIAAQn3kvqHfO6s/edit"",""24!d2:D33""))"),32.0)</f>
        <v>32</v>
      </c>
      <c r="F634" s="45">
        <f>IFERROR(__xludf.DUMMYFUNCTION("SUM(IMPORTRANGE(""https://docs.google.com/spreadsheets/d/1vLOLpiE-XsbnCnwWPcoi87PlUSXfqIAAQn3kvqHfO6s/edit"",""24!Q2:Q33""))"),6104.808000000002)</f>
        <v>6104.808</v>
      </c>
      <c r="G634" s="40">
        <f>IFERROR(__xludf.DUMMYFUNCTION("IMPORTRANGE(""https://docs.google.com/spreadsheets/d/1vLOLpiE-XsbnCnwWPcoi87PlUSXfqIAAQn3kvqHfO6s/edit"",""24!e40"")"),2420.0)</f>
        <v>2420</v>
      </c>
      <c r="H634" s="40">
        <f>IFERROR(__xludf.DUMMYFUNCTION("IMPORTRANGE(""https://docs.google.com/spreadsheets/d/1vLOLpiE-XsbnCnwWPcoi87PlUSXfqIAAQn3kvqHfO6s/edit"",""24!e41"")"),451.0)</f>
        <v>451</v>
      </c>
      <c r="I634" s="40">
        <f t="shared" si="1740"/>
        <v>2871</v>
      </c>
      <c r="J634" s="40">
        <f>IFERROR(__xludf.DUMMYFUNCTION("IMPORTRANGE(""https://docs.google.com/spreadsheets/d/1vLOLpiE-XsbnCnwWPcoi87PlUSXfqIAAQn3kvqHfO6s/edit"",""24!e44"")"),3172.0)</f>
        <v>3172</v>
      </c>
      <c r="K634" s="40">
        <f>IFERROR(__xludf.DUMMYFUNCTION("IMPORTRANGE(""https://docs.google.com/spreadsheets/d/1vLOLpiE-XsbnCnwWPcoi87PlUSXfqIAAQn3kvqHfO6s/edit"",""24!e45"")"),285.0)</f>
        <v>285</v>
      </c>
      <c r="L634" s="40">
        <f>J634+K634</f>
        <v>3457</v>
      </c>
      <c r="M634" s="40">
        <f t="shared" si="1742"/>
        <v>6328</v>
      </c>
      <c r="N634" s="41">
        <f t="shared" si="1743"/>
        <v>190.77525</v>
      </c>
      <c r="O634" s="38">
        <v>6622.0</v>
      </c>
      <c r="P634" s="42">
        <f t="shared" si="1744"/>
        <v>0.955602537</v>
      </c>
      <c r="Q634" s="43">
        <v>1.5</v>
      </c>
      <c r="R634" s="42">
        <f t="shared" si="1745"/>
        <v>0.691040024</v>
      </c>
      <c r="S634" s="44">
        <f t="shared" si="1746"/>
        <v>1.036560036</v>
      </c>
      <c r="T634" s="43">
        <f>F634/23.84</f>
        <v>256.0741611</v>
      </c>
      <c r="U634" s="43">
        <f t="shared" si="1747"/>
        <v>8.002317534</v>
      </c>
      <c r="V634" s="40">
        <f t="shared" si="1748"/>
        <v>197.75</v>
      </c>
      <c r="X634" s="31">
        <v>2.0</v>
      </c>
      <c r="Y634" s="31" t="s">
        <v>30</v>
      </c>
      <c r="Z634" s="31">
        <f t="shared" ref="Z634:AI634" si="1759">SUM(D629)</f>
        <v>60</v>
      </c>
      <c r="AA634" s="32">
        <f t="shared" si="1759"/>
        <v>58</v>
      </c>
      <c r="AB634" s="33">
        <f t="shared" si="1759"/>
        <v>11574.773</v>
      </c>
      <c r="AC634" s="32">
        <f t="shared" si="1759"/>
        <v>3557</v>
      </c>
      <c r="AD634" s="32">
        <f t="shared" si="1759"/>
        <v>0</v>
      </c>
      <c r="AE634" s="32">
        <f t="shared" si="1759"/>
        <v>3557</v>
      </c>
      <c r="AF634" s="32">
        <f t="shared" si="1759"/>
        <v>5644</v>
      </c>
      <c r="AG634" s="32">
        <f t="shared" si="1759"/>
        <v>0</v>
      </c>
      <c r="AH634" s="32">
        <f t="shared" si="1759"/>
        <v>5644</v>
      </c>
      <c r="AI634" s="32">
        <f t="shared" si="1759"/>
        <v>9201</v>
      </c>
      <c r="AJ634" s="34">
        <f t="shared" si="1760"/>
        <v>199.5650517</v>
      </c>
      <c r="AK634" s="31">
        <f t="shared" si="1761"/>
        <v>11164</v>
      </c>
      <c r="AL634" s="35">
        <f t="shared" si="1762"/>
        <v>0.8241669652</v>
      </c>
      <c r="AM634" s="36">
        <f t="shared" si="1763"/>
        <v>1.5</v>
      </c>
      <c r="AN634" s="35">
        <f t="shared" si="1764"/>
        <v>0.5299455981</v>
      </c>
      <c r="AO634" s="37">
        <f t="shared" si="1765"/>
        <v>0.7949183971</v>
      </c>
      <c r="AP634" s="36">
        <f t="shared" ref="AP634:AQ634" si="1766">SUM(T629)</f>
        <v>391</v>
      </c>
      <c r="AQ634" s="36">
        <f t="shared" si="1766"/>
        <v>6.74137931</v>
      </c>
      <c r="AR634" s="32">
        <f t="shared" si="1767"/>
        <v>158.637931</v>
      </c>
    </row>
    <row r="635" ht="15.75" customHeight="1">
      <c r="A635" s="21"/>
      <c r="B635" s="38">
        <v>9.0</v>
      </c>
      <c r="C635" s="38" t="s">
        <v>36</v>
      </c>
      <c r="D635" s="79">
        <v>29.0</v>
      </c>
      <c r="E635" s="40">
        <f>IFERROR(__xludf.DUMMYFUNCTION("COUNT(IMPORTRANGE(""https://docs.google.com/spreadsheets/d/1WJJVq25XDtGjt-J2JPxeKs3jIvDZtkIREC0lFPXwf74/edit"",""24!d2:d31""))"),29.0)</f>
        <v>29</v>
      </c>
      <c r="F635" s="45">
        <f>IFERROR(__xludf.DUMMYFUNCTION("SUM(IMPORTRANGE(""https://docs.google.com/spreadsheets/d/1WJJVq25XDtGjt-J2JPxeKs3jIvDZtkIREC0lFPXwf74/edit"",""24!Q2:Q31""))"),5791.189999999998)</f>
        <v>5791.19</v>
      </c>
      <c r="G635" s="40">
        <f>IFERROR(__xludf.DUMMYFUNCTION("IMPORTRANGE(""https://docs.google.com/spreadsheets/d/1WJJVq25XDtGjt-J2JPxeKs3jIvDZtkIREC0lFPXwf74/edit"",""24!e38"")"),1536.0)</f>
        <v>1536</v>
      </c>
      <c r="H635" s="40">
        <f>IFERROR(__xludf.DUMMYFUNCTION("IMPORTRANGE(""https://docs.google.com/spreadsheets/d/1WJJVq25XDtGjt-J2JPxeKs3jIvDZtkIREC0lFPXwf74/edit"",""24!e39"")"),0.0)</f>
        <v>0</v>
      </c>
      <c r="I635" s="40">
        <f t="shared" si="1740"/>
        <v>1536</v>
      </c>
      <c r="J635" s="40">
        <f>IFERROR(__xludf.DUMMYFUNCTION("IMPORTRANGE(""https://docs.google.com/spreadsheets/d/1WJJVq25XDtGjt-J2JPxeKs3jIvDZtkIREC0lFPXwf74/edit"",""24!e42"")"),2298.0)</f>
        <v>2298</v>
      </c>
      <c r="K635" s="40">
        <f>IFERROR(__xludf.DUMMYFUNCTION("IMPORTRANGE(""https://docs.google.com/spreadsheets/d/1WJJVq25XDtGjt-J2JPxeKs3jIvDZtkIREC0lFPXwf74/edit"",""24!e43"")"),0.0)</f>
        <v>0</v>
      </c>
      <c r="L635" s="40">
        <f t="shared" ref="L635:L644" si="1770">SUM(J635:K635)</f>
        <v>2298</v>
      </c>
      <c r="M635" s="40">
        <f t="shared" si="1742"/>
        <v>3834</v>
      </c>
      <c r="N635" s="41">
        <f t="shared" si="1743"/>
        <v>199.6962069</v>
      </c>
      <c r="O635" s="38">
        <v>4796.0</v>
      </c>
      <c r="P635" s="42">
        <f t="shared" si="1744"/>
        <v>0.7994161802</v>
      </c>
      <c r="Q635" s="43">
        <v>1.5</v>
      </c>
      <c r="R635" s="42">
        <f t="shared" si="1745"/>
        <v>0.4413600659</v>
      </c>
      <c r="S635" s="44">
        <f t="shared" si="1746"/>
        <v>0.6620400988</v>
      </c>
      <c r="T635" s="43">
        <f>F635/37.414</f>
        <v>154.7867109</v>
      </c>
      <c r="U635" s="43">
        <f t="shared" si="1747"/>
        <v>5.337472788</v>
      </c>
      <c r="V635" s="40">
        <f t="shared" si="1748"/>
        <v>132.2068966</v>
      </c>
      <c r="X635" s="22">
        <v>3.0</v>
      </c>
      <c r="Y635" s="22" t="s">
        <v>34</v>
      </c>
      <c r="Z635" s="22">
        <f t="shared" ref="Z635:AI635" si="1768">SUM(D631)</f>
        <v>40</v>
      </c>
      <c r="AA635" s="23">
        <f t="shared" si="1768"/>
        <v>40</v>
      </c>
      <c r="AB635" s="24">
        <f t="shared" si="1768"/>
        <v>7752.201</v>
      </c>
      <c r="AC635" s="23">
        <f t="shared" si="1768"/>
        <v>2810</v>
      </c>
      <c r="AD635" s="23">
        <f t="shared" si="1768"/>
        <v>0</v>
      </c>
      <c r="AE635" s="23">
        <f t="shared" si="1768"/>
        <v>2810</v>
      </c>
      <c r="AF635" s="23">
        <f t="shared" si="1768"/>
        <v>3596</v>
      </c>
      <c r="AG635" s="23">
        <f t="shared" si="1768"/>
        <v>0</v>
      </c>
      <c r="AH635" s="23">
        <f t="shared" si="1768"/>
        <v>3596</v>
      </c>
      <c r="AI635" s="23">
        <f t="shared" si="1768"/>
        <v>6406</v>
      </c>
      <c r="AJ635" s="25">
        <f t="shared" si="1760"/>
        <v>193.805025</v>
      </c>
      <c r="AK635" s="22">
        <f>SUM(O631)</f>
        <v>9354</v>
      </c>
      <c r="AL635" s="26">
        <f t="shared" si="1762"/>
        <v>0.6848407099</v>
      </c>
      <c r="AM635" s="27">
        <f>SUM(Q631)</f>
        <v>1.5</v>
      </c>
      <c r="AN635" s="26">
        <f t="shared" si="1764"/>
        <v>0.5508973086</v>
      </c>
      <c r="AO635" s="28">
        <f t="shared" si="1765"/>
        <v>0.8263459629</v>
      </c>
      <c r="AP635" s="27">
        <f t="shared" ref="AP635:AQ635" si="1769">SUM(T631)</f>
        <v>252.4078078</v>
      </c>
      <c r="AQ635" s="27">
        <f t="shared" si="1769"/>
        <v>6.310195194</v>
      </c>
      <c r="AR635" s="23">
        <f t="shared" si="1767"/>
        <v>160.15</v>
      </c>
    </row>
    <row r="636" ht="15.75" customHeight="1">
      <c r="A636" s="21"/>
      <c r="B636" s="38">
        <v>10.0</v>
      </c>
      <c r="C636" s="38" t="s">
        <v>37</v>
      </c>
      <c r="D636" s="78">
        <v>30.0</v>
      </c>
      <c r="E636" s="40">
        <f>IFERROR(__xludf.DUMMYFUNCTION("COUNT(IMPORTRANGE(""https://docs.google.com/spreadsheets/d/1rJyYfywRpWJW0zvDJHLOJtqUQqffoCGaqTVxxTDgV0k/edit"",""24!d2:d31""))"),27.0)</f>
        <v>27</v>
      </c>
      <c r="F636" s="45">
        <f>IFERROR(__xludf.DUMMYFUNCTION("SUM(IMPORTRANGE(""https://docs.google.com/spreadsheets/d/1rJyYfywRpWJW0zvDJHLOJtqUQqffoCGaqTVxxTDgV0k/edit"",""24!Q2:Q31""))"),5217.180000000001)</f>
        <v>5217.18</v>
      </c>
      <c r="G636" s="40">
        <f>IFERROR(__xludf.DUMMYFUNCTION("(IMPORTRANGE(""https://docs.google.com/spreadsheets/d/1rJyYfywRpWJW0zvDJHLOJtqUQqffoCGaqTVxxTDgV0k/edit"",""24!e38""))"),1912.0)</f>
        <v>1912</v>
      </c>
      <c r="H636" s="40">
        <f>IFERROR(__xludf.DUMMYFUNCTION("(IMPORTRANGE(""https://docs.google.com/spreadsheets/d/1rJyYfywRpWJW0zvDJHLOJtqUQqffoCGaqTVxxTDgV0k/edit"",""24!e39""))"),0.0)</f>
        <v>0</v>
      </c>
      <c r="I636" s="40">
        <f t="shared" si="1740"/>
        <v>1912</v>
      </c>
      <c r="J636" s="40">
        <f>IFERROR(__xludf.DUMMYFUNCTION("(IMPORTRANGE(""https://docs.google.com/spreadsheets/d/1rJyYfywRpWJW0zvDJHLOJtqUQqffoCGaqTVxxTDgV0k/edit"",""24!e42""))"),3174.0)</f>
        <v>3174</v>
      </c>
      <c r="K636" s="40">
        <f>IFERROR(__xludf.DUMMYFUNCTION("(IMPORTRANGE(""https://docs.google.com/spreadsheets/d/1rJyYfywRpWJW0zvDJHLOJtqUQqffoCGaqTVxxTDgV0k/edit"",""24!e43""))"),0.0)</f>
        <v>0</v>
      </c>
      <c r="L636" s="40">
        <f t="shared" si="1770"/>
        <v>3174</v>
      </c>
      <c r="M636" s="40">
        <f t="shared" si="1742"/>
        <v>5086</v>
      </c>
      <c r="N636" s="41">
        <f t="shared" si="1743"/>
        <v>193.2288889</v>
      </c>
      <c r="O636" s="38">
        <v>5887.0</v>
      </c>
      <c r="P636" s="42">
        <f t="shared" si="1744"/>
        <v>0.8639374894</v>
      </c>
      <c r="Q636" s="43">
        <v>1.5</v>
      </c>
      <c r="R636" s="42">
        <f t="shared" si="1745"/>
        <v>0.6499040989</v>
      </c>
      <c r="S636" s="44">
        <f t="shared" si="1746"/>
        <v>0.9748561483</v>
      </c>
      <c r="T636" s="43">
        <f>F636/24.792</f>
        <v>210.4380445</v>
      </c>
      <c r="U636" s="43">
        <f t="shared" si="1747"/>
        <v>7.794001649</v>
      </c>
      <c r="V636" s="40">
        <f t="shared" si="1748"/>
        <v>188.3703704</v>
      </c>
      <c r="X636" s="31">
        <v>4.0</v>
      </c>
      <c r="Y636" s="31" t="s">
        <v>38</v>
      </c>
      <c r="Z636" s="31">
        <f t="shared" ref="Z636:AI636" si="1771">SUM(D639)</f>
        <v>30</v>
      </c>
      <c r="AA636" s="32">
        <f t="shared" si="1771"/>
        <v>29</v>
      </c>
      <c r="AB636" s="33">
        <f t="shared" si="1771"/>
        <v>6120.489</v>
      </c>
      <c r="AC636" s="32">
        <f t="shared" si="1771"/>
        <v>2371</v>
      </c>
      <c r="AD636" s="32">
        <f t="shared" si="1771"/>
        <v>0</v>
      </c>
      <c r="AE636" s="32">
        <f t="shared" si="1771"/>
        <v>2371</v>
      </c>
      <c r="AF636" s="32">
        <f t="shared" si="1771"/>
        <v>2856</v>
      </c>
      <c r="AG636" s="32">
        <f t="shared" si="1771"/>
        <v>336</v>
      </c>
      <c r="AH636" s="32">
        <f t="shared" si="1771"/>
        <v>3192</v>
      </c>
      <c r="AI636" s="32">
        <f t="shared" si="1771"/>
        <v>5563</v>
      </c>
      <c r="AJ636" s="34">
        <f t="shared" si="1760"/>
        <v>211.0513448</v>
      </c>
      <c r="AK636" s="31">
        <v>7324.0</v>
      </c>
      <c r="AL636" s="35">
        <f t="shared" si="1762"/>
        <v>0.7595576188</v>
      </c>
      <c r="AM636" s="36">
        <f>SUM(Q639)</f>
        <v>1.5</v>
      </c>
      <c r="AN636" s="35">
        <f t="shared" si="1764"/>
        <v>0.6059428694</v>
      </c>
      <c r="AO636" s="37">
        <f t="shared" si="1765"/>
        <v>0.9089143041</v>
      </c>
      <c r="AP636" s="36">
        <f t="shared" ref="AP636:AQ636" si="1772">SUM(T639)</f>
        <v>148.5375319</v>
      </c>
      <c r="AQ636" s="36">
        <f t="shared" si="1772"/>
        <v>5.121983857</v>
      </c>
      <c r="AR636" s="32">
        <f t="shared" si="1767"/>
        <v>191.8275862</v>
      </c>
    </row>
    <row r="637" ht="15.75" customHeight="1">
      <c r="A637" s="21"/>
      <c r="B637" s="38">
        <v>12.0</v>
      </c>
      <c r="C637" s="38" t="s">
        <v>39</v>
      </c>
      <c r="D637" s="78">
        <v>28.0</v>
      </c>
      <c r="E637" s="40">
        <f>IFERROR(__xludf.DUMMYFUNCTION("COUNT(IMPORTRANGE(""https://docs.google.com/spreadsheets/d/1uaTn2DZCfr7O1PvovOd0wElzVz8kpl_iPfnrkNPp0Is/edit"",""24!d2:d29""))"),27.0)</f>
        <v>27</v>
      </c>
      <c r="F637" s="45">
        <f>IFERROR(__xludf.DUMMYFUNCTION("SUM(IMPORTRANGE(""https://docs.google.com/spreadsheets/d/1uaTn2DZCfr7O1PvovOd0wElzVz8kpl_iPfnrkNPp0Is/edit"",""24!Q2:Q29""))"),5072.544000000002)</f>
        <v>5072.544</v>
      </c>
      <c r="G637" s="40">
        <f>IFERROR(__xludf.DUMMYFUNCTION("IMPORTRANGE(""https://docs.google.com/spreadsheets/d/1uaTn2DZCfr7O1PvovOd0wElzVz8kpl_iPfnrkNPp0Is/edit"",""24!e36"")"),1200.0)</f>
        <v>1200</v>
      </c>
      <c r="H637" s="40">
        <f>IFERROR(__xludf.DUMMYFUNCTION("(IMPORTRANGE(""https://docs.google.com/spreadsheets/d/1uaTn2DZCfr7O1PvovOd0wElzVz8kpl_iPfnrkNPp0Is/edit"",""24!e37""))"),0.0)</f>
        <v>0</v>
      </c>
      <c r="I637" s="40">
        <f t="shared" si="1740"/>
        <v>1200</v>
      </c>
      <c r="J637" s="40">
        <f>IFERROR(__xludf.DUMMYFUNCTION("IMPORTRANGE(""https://docs.google.com/spreadsheets/d/1uaTn2DZCfr7O1PvovOd0wElzVz8kpl_iPfnrkNPp0Is/edit"",""24!e40"")"),1830.0)</f>
        <v>1830</v>
      </c>
      <c r="K637" s="40">
        <f>IFERROR(__xludf.DUMMYFUNCTION("IMPORTRANGE(""https://docs.google.com/spreadsheets/d/1uaTn2DZCfr7O1PvovOd0wElzVz8kpl_iPfnrkNPp0Is/edit"",""24!e41"")"),0.0)</f>
        <v>0</v>
      </c>
      <c r="L637" s="40">
        <f t="shared" si="1770"/>
        <v>1830</v>
      </c>
      <c r="M637" s="40">
        <f t="shared" si="1742"/>
        <v>3030</v>
      </c>
      <c r="N637" s="41">
        <f t="shared" si="1743"/>
        <v>187.872</v>
      </c>
      <c r="O637" s="38">
        <v>3569.0</v>
      </c>
      <c r="P637" s="42">
        <f t="shared" si="1744"/>
        <v>0.8489773046</v>
      </c>
      <c r="Q637" s="43">
        <v>1.5</v>
      </c>
      <c r="R637" s="42">
        <f t="shared" si="1745"/>
        <v>0.3982222727</v>
      </c>
      <c r="S637" s="44">
        <f t="shared" si="1746"/>
        <v>0.597333409</v>
      </c>
      <c r="T637" s="43">
        <f>F637/21.463</f>
        <v>236.339002</v>
      </c>
      <c r="U637" s="43">
        <f t="shared" si="1747"/>
        <v>8.75329637</v>
      </c>
      <c r="V637" s="40">
        <f t="shared" si="1748"/>
        <v>112.2222222</v>
      </c>
      <c r="X637" s="31">
        <v>5.0</v>
      </c>
      <c r="Y637" s="31" t="s">
        <v>40</v>
      </c>
      <c r="Z637" s="31">
        <f t="shared" ref="Z637:AI637" si="1773">SUM(D641)</f>
        <v>30</v>
      </c>
      <c r="AA637" s="32">
        <f t="shared" si="1773"/>
        <v>30</v>
      </c>
      <c r="AB637" s="33">
        <f t="shared" si="1773"/>
        <v>5944.587</v>
      </c>
      <c r="AC637" s="32">
        <f t="shared" si="1773"/>
        <v>3685</v>
      </c>
      <c r="AD637" s="32">
        <f t="shared" si="1773"/>
        <v>9</v>
      </c>
      <c r="AE637" s="32">
        <f t="shared" si="1773"/>
        <v>3694</v>
      </c>
      <c r="AF637" s="32">
        <f t="shared" si="1773"/>
        <v>3969</v>
      </c>
      <c r="AG637" s="32">
        <f t="shared" si="1773"/>
        <v>0</v>
      </c>
      <c r="AH637" s="32">
        <f t="shared" si="1773"/>
        <v>3969</v>
      </c>
      <c r="AI637" s="32">
        <f t="shared" si="1773"/>
        <v>7663</v>
      </c>
      <c r="AJ637" s="34">
        <f t="shared" si="1760"/>
        <v>198.1529</v>
      </c>
      <c r="AK637" s="31">
        <f t="shared" ref="AK637:AK638" si="1776">SUM(O641)</f>
        <v>8239</v>
      </c>
      <c r="AL637" s="35">
        <f t="shared" si="1762"/>
        <v>0.930088603</v>
      </c>
      <c r="AM637" s="36">
        <f t="shared" ref="AM637:AM638" si="1777">SUM(Q641)</f>
        <v>1.5</v>
      </c>
      <c r="AN637" s="35">
        <f t="shared" si="1764"/>
        <v>0.8593812601</v>
      </c>
      <c r="AO637" s="37">
        <f t="shared" si="1765"/>
        <v>1.28907189</v>
      </c>
      <c r="AP637" s="36">
        <f t="shared" ref="AP637:AQ637" si="1774">SUM(T641)</f>
        <v>209</v>
      </c>
      <c r="AQ637" s="36">
        <f t="shared" si="1774"/>
        <v>6.966666667</v>
      </c>
      <c r="AR637" s="32">
        <f t="shared" si="1767"/>
        <v>255.4333333</v>
      </c>
    </row>
    <row r="638" ht="15.75" customHeight="1">
      <c r="A638" s="21"/>
      <c r="B638" s="38">
        <v>12.0</v>
      </c>
      <c r="C638" s="38" t="s">
        <v>41</v>
      </c>
      <c r="D638" s="78">
        <v>24.0</v>
      </c>
      <c r="E638" s="40">
        <f>IFERROR(__xludf.DUMMYFUNCTION("COUNT(IMPORTRANGE(""https://docs.google.com/spreadsheets/d/1oYscvfOJW7GMkxt8QcupWuzb3ohaYePd3Mt2V2ufHok/edit"",""24!d2:d25""))"),24.0)</f>
        <v>24</v>
      </c>
      <c r="F638" s="45">
        <f>IFERROR(__xludf.DUMMYFUNCTION("SUM(IMPORTRANGE(""https://docs.google.com/spreadsheets/d/1oYscvfOJW7GMkxt8QcupWuzb3ohaYePd3Mt2V2ufHok/edit"",""24!Q2:Q25""))"),4793.152000000001)</f>
        <v>4793.152</v>
      </c>
      <c r="G638" s="40">
        <f>IFERROR(__xludf.DUMMYFUNCTION("IMPORTRANGE(""https://docs.google.com/spreadsheets/d/1oYscvfOJW7GMkxt8QcupWuzb3ohaYePd3Mt2V2ufHok/edit"",""24!e32"")"),1278.0)</f>
        <v>1278</v>
      </c>
      <c r="H638" s="40">
        <f>IFERROR(__xludf.DUMMYFUNCTION("IMPORTRANGE(""https://docs.google.com/spreadsheets/d/1oYscvfOJW7GMkxt8QcupWuzb3ohaYePd3Mt2V2ufHok/edit"",""24!e33"")"),0.0)</f>
        <v>0</v>
      </c>
      <c r="I638" s="40">
        <f t="shared" si="1740"/>
        <v>1278</v>
      </c>
      <c r="J638" s="40">
        <f>IFERROR(__xludf.DUMMYFUNCTION("IMPORTRANGE(""https://docs.google.com/spreadsheets/d/1oYscvfOJW7GMkxt8QcupWuzb3ohaYePd3Mt2V2ufHok/edit"",""24!e36"")"),1905.0)</f>
        <v>1905</v>
      </c>
      <c r="K638" s="40">
        <f>IFERROR(__xludf.DUMMYFUNCTION("IMPORTRANGE(""https://docs.google.com/spreadsheets/d/1oYscvfOJW7GMkxt8QcupWuzb3ohaYePd3Mt2V2ufHok/edit"",""24!e37"")"),0.0)</f>
        <v>0</v>
      </c>
      <c r="L638" s="40">
        <f t="shared" si="1770"/>
        <v>1905</v>
      </c>
      <c r="M638" s="40">
        <f t="shared" si="1742"/>
        <v>3183</v>
      </c>
      <c r="N638" s="41">
        <f t="shared" si="1743"/>
        <v>199.7146667</v>
      </c>
      <c r="O638" s="38">
        <v>3801.0</v>
      </c>
      <c r="P638" s="42">
        <f t="shared" si="1744"/>
        <v>0.8374112076</v>
      </c>
      <c r="Q638" s="43">
        <v>1.5</v>
      </c>
      <c r="R638" s="42">
        <f t="shared" si="1745"/>
        <v>0.44271494</v>
      </c>
      <c r="S638" s="44">
        <f t="shared" si="1746"/>
        <v>0.66407241</v>
      </c>
      <c r="T638" s="43">
        <f>F638/29.628</f>
        <v>161.7777778</v>
      </c>
      <c r="U638" s="43">
        <f t="shared" si="1747"/>
        <v>6.740740741</v>
      </c>
      <c r="V638" s="40">
        <f t="shared" si="1748"/>
        <v>132.625</v>
      </c>
      <c r="X638" s="22">
        <v>6.0</v>
      </c>
      <c r="Y638" s="22" t="s">
        <v>42</v>
      </c>
      <c r="Z638" s="22">
        <f t="shared" ref="Z638:AI638" si="1775">SUM(D642)</f>
        <v>33</v>
      </c>
      <c r="AA638" s="23">
        <f t="shared" si="1775"/>
        <v>32</v>
      </c>
      <c r="AB638" s="24">
        <f t="shared" si="1775"/>
        <v>6215.659</v>
      </c>
      <c r="AC638" s="23">
        <f t="shared" si="1775"/>
        <v>3053</v>
      </c>
      <c r="AD638" s="23">
        <f t="shared" si="1775"/>
        <v>46</v>
      </c>
      <c r="AE638" s="23">
        <f t="shared" si="1775"/>
        <v>3099</v>
      </c>
      <c r="AF638" s="23">
        <f t="shared" si="1775"/>
        <v>4574</v>
      </c>
      <c r="AG638" s="23">
        <f t="shared" si="1775"/>
        <v>150</v>
      </c>
      <c r="AH638" s="23">
        <f t="shared" si="1775"/>
        <v>4724</v>
      </c>
      <c r="AI638" s="23">
        <f t="shared" si="1775"/>
        <v>7823</v>
      </c>
      <c r="AJ638" s="25">
        <f t="shared" si="1760"/>
        <v>194.2393438</v>
      </c>
      <c r="AK638" s="22">
        <f t="shared" si="1776"/>
        <v>9877</v>
      </c>
      <c r="AL638" s="26">
        <f t="shared" si="1762"/>
        <v>0.7920421181</v>
      </c>
      <c r="AM638" s="27">
        <f t="shared" si="1777"/>
        <v>1.5</v>
      </c>
      <c r="AN638" s="26">
        <f t="shared" si="1764"/>
        <v>0.8390636187</v>
      </c>
      <c r="AO638" s="28">
        <f t="shared" si="1765"/>
        <v>1.258595428</v>
      </c>
      <c r="AP638" s="27">
        <f t="shared" ref="AP638:AQ638" si="1778">SUM(T642)</f>
        <v>237.6470656</v>
      </c>
      <c r="AQ638" s="27">
        <f t="shared" si="1778"/>
        <v>7.426470799</v>
      </c>
      <c r="AR638" s="23">
        <f t="shared" si="1767"/>
        <v>244.46875</v>
      </c>
    </row>
    <row r="639" ht="15.75" customHeight="1">
      <c r="A639" s="21"/>
      <c r="B639" s="38">
        <v>13.0</v>
      </c>
      <c r="C639" s="38" t="s">
        <v>43</v>
      </c>
      <c r="D639" s="78">
        <v>30.0</v>
      </c>
      <c r="E639" s="40">
        <f>IFERROR(__xludf.DUMMYFUNCTION("COUNT(IMPORTRANGE(""https://docs.google.com/spreadsheets/d/1AxBmuQEdOYAeRnZ4C8vO6kuTNp7X_SGhpLXuY0n4ln4/edit"",""24!d2:d31""))"),29.0)</f>
        <v>29</v>
      </c>
      <c r="F639" s="45">
        <f>IFERROR(__xludf.DUMMYFUNCTION("SUM(IMPORTRANGE(""https://docs.google.com/spreadsheets/d/1AxBmuQEdOYAeRnZ4C8vO6kuTNp7X_SGhpLXuY0n4ln4/edit"",""24!Q2:Q31""))"),6120.488999999999)</f>
        <v>6120.489</v>
      </c>
      <c r="G639" s="40">
        <f>IFERROR(__xludf.DUMMYFUNCTION("IMPORTRANGE(""https://docs.google.com/spreadsheets/d/1AxBmuQEdOYAeRnZ4C8vO6kuTNp7X_SGhpLXuY0n4ln4/edit"",""24!e38"")"),2371.0)</f>
        <v>2371</v>
      </c>
      <c r="H639" s="40">
        <f>IFERROR(__xludf.DUMMYFUNCTION("IMPORTRANGE(""https://docs.google.com/spreadsheets/d/1AxBmuQEdOYAeRnZ4C8vO6kuTNp7X_SGhpLXuY0n4ln4/edit"",""24!e39"")"),0.0)</f>
        <v>0</v>
      </c>
      <c r="I639" s="40">
        <f t="shared" si="1740"/>
        <v>2371</v>
      </c>
      <c r="J639" s="40">
        <f>IFERROR(__xludf.DUMMYFUNCTION("IMPORTRANGE(""https://docs.google.com/spreadsheets/d/1AxBmuQEdOYAeRnZ4C8vO6kuTNp7X_SGhpLXuY0n4ln4/edit"",""24!e42"")"),2856.0)</f>
        <v>2856</v>
      </c>
      <c r="K639" s="40">
        <f>IFERROR(__xludf.DUMMYFUNCTION("IMPORTRANGE(""https://docs.google.com/spreadsheets/d/1AxBmuQEdOYAeRnZ4C8vO6kuTNp7X_SGhpLXuY0n4ln4/edit"",""24!e43"")"),336.0)</f>
        <v>336</v>
      </c>
      <c r="L639" s="40">
        <f t="shared" si="1770"/>
        <v>3192</v>
      </c>
      <c r="M639" s="40">
        <f t="shared" si="1742"/>
        <v>5563</v>
      </c>
      <c r="N639" s="41">
        <f t="shared" si="1743"/>
        <v>211.0513448</v>
      </c>
      <c r="O639" s="38">
        <v>8345.0</v>
      </c>
      <c r="P639" s="42">
        <f t="shared" si="1744"/>
        <v>0.6666267226</v>
      </c>
      <c r="Q639" s="43">
        <v>1.5</v>
      </c>
      <c r="R639" s="42">
        <f t="shared" si="1745"/>
        <v>0.6059428694</v>
      </c>
      <c r="S639" s="44">
        <f t="shared" si="1746"/>
        <v>0.9089143041</v>
      </c>
      <c r="T639" s="43">
        <f>F639/41.205</f>
        <v>148.5375319</v>
      </c>
      <c r="U639" s="43">
        <f t="shared" si="1747"/>
        <v>5.121983857</v>
      </c>
      <c r="V639" s="40">
        <f t="shared" si="1748"/>
        <v>191.8275862</v>
      </c>
      <c r="X639" s="46" t="s">
        <v>33</v>
      </c>
      <c r="Y639" s="46">
        <v>6.0</v>
      </c>
      <c r="Z639" s="46">
        <f t="shared" ref="Z639:AI639" si="1779">SUM(Z633:Z638)</f>
        <v>226</v>
      </c>
      <c r="AA639" s="47">
        <f t="shared" si="1779"/>
        <v>222</v>
      </c>
      <c r="AB639" s="49">
        <f t="shared" si="1779"/>
        <v>44198.336</v>
      </c>
      <c r="AC639" s="47">
        <f t="shared" si="1779"/>
        <v>18181</v>
      </c>
      <c r="AD639" s="47">
        <f t="shared" si="1779"/>
        <v>328</v>
      </c>
      <c r="AE639" s="47">
        <f t="shared" si="1779"/>
        <v>18509</v>
      </c>
      <c r="AF639" s="47">
        <f t="shared" si="1779"/>
        <v>23161</v>
      </c>
      <c r="AG639" s="47">
        <f t="shared" si="1779"/>
        <v>651</v>
      </c>
      <c r="AH639" s="47">
        <f t="shared" si="1779"/>
        <v>23812</v>
      </c>
      <c r="AI639" s="47">
        <f t="shared" si="1779"/>
        <v>42321</v>
      </c>
      <c r="AJ639" s="49">
        <f t="shared" si="1760"/>
        <v>199.0916036</v>
      </c>
      <c r="AK639" s="46">
        <f>SUM(AK633:AK638)</f>
        <v>53273</v>
      </c>
      <c r="AL639" s="50">
        <f t="shared" si="1762"/>
        <v>0.7944174347</v>
      </c>
      <c r="AM639" s="51">
        <v>1.5</v>
      </c>
      <c r="AN639" s="50">
        <f t="shared" si="1764"/>
        <v>0.6383498238</v>
      </c>
      <c r="AO639" s="52">
        <f t="shared" si="1765"/>
        <v>0.9575247358</v>
      </c>
      <c r="AP639" s="51">
        <f>SUM(AP633:AP638)</f>
        <v>1451.902015</v>
      </c>
      <c r="AQ639" s="51">
        <f>AP639/AA639</f>
        <v>6.540099165</v>
      </c>
      <c r="AR639" s="47">
        <f t="shared" si="1767"/>
        <v>190.6351351</v>
      </c>
    </row>
    <row r="640" ht="15.75" customHeight="1">
      <c r="A640" s="21"/>
      <c r="B640" s="38">
        <v>14.0</v>
      </c>
      <c r="C640" s="38" t="s">
        <v>27</v>
      </c>
      <c r="D640" s="78">
        <v>30.0</v>
      </c>
      <c r="E640" s="40">
        <f>IFERROR(__xludf.DUMMYFUNCTION("COUNT(IMPORTRANGE(""https://docs.google.com/spreadsheets/d/1LsL4JuXvBtfJ-TVi4NFml9lV_pmd61b789A_nbO-QrA/edit"",""24!d2:d31""))"),30.0)</f>
        <v>30</v>
      </c>
      <c r="F640" s="45">
        <f>IFERROR(__xludf.DUMMYFUNCTION("SUM(IMPORTRANGE(""https://docs.google.com/spreadsheets/d/1LsL4JuXvBtfJ-TVi4NFml9lV_pmd61b789A_nbO-QrA/edit"",""24!Q2:Q31""))"),5305.880000000002)</f>
        <v>5305.88</v>
      </c>
      <c r="G640" s="40">
        <f>IFERROR(__xludf.DUMMYFUNCTION("IMPORTRANGE(""https://docs.google.com/spreadsheets/d/1LsL4JuXvBtfJ-TVi4NFml9lV_pmd61b789A_nbO-QrA/edit"",""24!e38"")"),2435.0)</f>
        <v>2435</v>
      </c>
      <c r="H640" s="40">
        <f>IFERROR(__xludf.DUMMYFUNCTION("IMPORTRANGE(""https://docs.google.com/spreadsheets/d/1LsL4JuXvBtfJ-TVi4NFml9lV_pmd61b789A_nbO-QrA/edit"",""24!e39"")"),98.0)</f>
        <v>98</v>
      </c>
      <c r="I640" s="40">
        <f t="shared" si="1740"/>
        <v>2533</v>
      </c>
      <c r="J640" s="40">
        <f>IFERROR(__xludf.DUMMYFUNCTION("IMPORTRANGE(""https://docs.google.com/spreadsheets/d/1LsL4JuXvBtfJ-TVi4NFml9lV_pmd61b789A_nbO-QrA/edit"",""24!e42"")"),3007.0)</f>
        <v>3007</v>
      </c>
      <c r="K640" s="40">
        <f>IFERROR(__xludf.DUMMYFUNCTION("IMPORTRANGE(""https://docs.google.com/spreadsheets/d/1LsL4JuXvBtfJ-TVi4NFml9lV_pmd61b789A_nbO-QrA/edit"",""24!e43"")"),0.0)</f>
        <v>0</v>
      </c>
      <c r="L640" s="40">
        <f t="shared" si="1770"/>
        <v>3007</v>
      </c>
      <c r="M640" s="40">
        <f t="shared" si="1742"/>
        <v>5540</v>
      </c>
      <c r="N640" s="41">
        <f t="shared" si="1743"/>
        <v>176.8626667</v>
      </c>
      <c r="O640" s="38">
        <v>8101.0</v>
      </c>
      <c r="P640" s="42">
        <f t="shared" si="1744"/>
        <v>0.6838661894</v>
      </c>
      <c r="Q640" s="43">
        <v>1.5</v>
      </c>
      <c r="R640" s="42">
        <f t="shared" si="1745"/>
        <v>0.6960830877</v>
      </c>
      <c r="S640" s="44">
        <f t="shared" si="1746"/>
        <v>1.044124632</v>
      </c>
      <c r="T640" s="43">
        <f>F640/19.985</f>
        <v>265.4931198</v>
      </c>
      <c r="U640" s="43">
        <f t="shared" si="1747"/>
        <v>8.849770661</v>
      </c>
      <c r="V640" s="40">
        <f t="shared" si="1748"/>
        <v>184.6666667</v>
      </c>
      <c r="X640" s="59" t="s">
        <v>44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6"/>
    </row>
    <row r="641" ht="15.75" customHeight="1">
      <c r="A641" s="21"/>
      <c r="B641" s="38">
        <v>15.0</v>
      </c>
      <c r="C641" s="38" t="s">
        <v>40</v>
      </c>
      <c r="D641" s="78">
        <v>30.0</v>
      </c>
      <c r="E641" s="40">
        <f>IFERROR(__xludf.DUMMYFUNCTION("COUNT(IMPORTRANGE(""https://docs.google.com/spreadsheets/d/1Krav0MVlY0vbUNsFRDnb_kR72_tyuGnWBYbGjNZrl18/edit"",""24!d2:d31""))"),30.0)</f>
        <v>30</v>
      </c>
      <c r="F641" s="45">
        <f>IFERROR(__xludf.DUMMYFUNCTION("SUM(IMPORTRANGE(""https://docs.google.com/spreadsheets/d/1Krav0MVlY0vbUNsFRDnb_kR72_tyuGnWBYbGjNZrl18/edit"",""24!Q2:Q31""))"),5944.586999999999)</f>
        <v>5944.587</v>
      </c>
      <c r="G641" s="40">
        <f>IFERROR(__xludf.DUMMYFUNCTION("IMPORTRANGE(""https://docs.google.com/spreadsheets/d/1Krav0MVlY0vbUNsFRDnb_kR72_tyuGnWBYbGjNZrl18/edit"",""24!e38"")"),3685.0)</f>
        <v>3685</v>
      </c>
      <c r="H641" s="40">
        <f>IFERROR(__xludf.DUMMYFUNCTION("IMPORTRANGE(""https://docs.google.com/spreadsheets/d/1Krav0MVlY0vbUNsFRDnb_kR72_tyuGnWBYbGjNZrl18/edit"",""24!e39"")"),9.0)</f>
        <v>9</v>
      </c>
      <c r="I641" s="40">
        <f t="shared" si="1740"/>
        <v>3694</v>
      </c>
      <c r="J641" s="40">
        <f>IFERROR(__xludf.DUMMYFUNCTION("IMPORTRANGE(""https://docs.google.com/spreadsheets/d/1Krav0MVlY0vbUNsFRDnb_kR72_tyuGnWBYbGjNZrl18/edit"",""24!e42"")"),3969.0)</f>
        <v>3969</v>
      </c>
      <c r="K641" s="40">
        <f>IFERROR(__xludf.DUMMYFUNCTION("IMPORTRANGE(""https://docs.google.com/spreadsheets/d/1Krav0MVlY0vbUNsFRDnb_kR72_tyuGnWBYbGjNZrl18/edit"",""24!e43"")"),0.0)</f>
        <v>0</v>
      </c>
      <c r="L641" s="40">
        <f t="shared" si="1770"/>
        <v>3969</v>
      </c>
      <c r="M641" s="40">
        <f t="shared" si="1742"/>
        <v>7663</v>
      </c>
      <c r="N641" s="41">
        <f t="shared" si="1743"/>
        <v>198.1529</v>
      </c>
      <c r="O641" s="38">
        <v>8239.0</v>
      </c>
      <c r="P641" s="42">
        <f t="shared" si="1744"/>
        <v>0.930088603</v>
      </c>
      <c r="Q641" s="43">
        <v>1.5</v>
      </c>
      <c r="R641" s="42">
        <f t="shared" si="1745"/>
        <v>0.8593812601</v>
      </c>
      <c r="S641" s="44">
        <f t="shared" si="1746"/>
        <v>1.28907189</v>
      </c>
      <c r="T641" s="43">
        <f>F641/28.443</f>
        <v>209</v>
      </c>
      <c r="U641" s="43">
        <f t="shared" si="1747"/>
        <v>6.966666667</v>
      </c>
      <c r="V641" s="40">
        <f t="shared" si="1748"/>
        <v>255.4333333</v>
      </c>
      <c r="X641" s="14" t="s">
        <v>2</v>
      </c>
      <c r="Y641" s="14" t="s">
        <v>3</v>
      </c>
      <c r="Z641" s="14" t="s">
        <v>4</v>
      </c>
      <c r="AA641" s="14" t="s">
        <v>5</v>
      </c>
      <c r="AB641" s="15" t="s">
        <v>6</v>
      </c>
      <c r="AC641" s="14" t="s">
        <v>7</v>
      </c>
      <c r="AD641" s="14" t="s">
        <v>8</v>
      </c>
      <c r="AE641" s="14" t="s">
        <v>9</v>
      </c>
      <c r="AF641" s="14" t="s">
        <v>10</v>
      </c>
      <c r="AG641" s="14" t="s">
        <v>11</v>
      </c>
      <c r="AH641" s="14" t="s">
        <v>12</v>
      </c>
      <c r="AI641" s="14" t="s">
        <v>13</v>
      </c>
      <c r="AJ641" s="15" t="s">
        <v>14</v>
      </c>
      <c r="AK641" s="14" t="s">
        <v>15</v>
      </c>
      <c r="AL641" s="14" t="s">
        <v>16</v>
      </c>
      <c r="AM641" s="16" t="s">
        <v>17</v>
      </c>
      <c r="AN641" s="17" t="s">
        <v>18</v>
      </c>
      <c r="AO641" s="18" t="s">
        <v>19</v>
      </c>
      <c r="AP641" s="19" t="s">
        <v>20</v>
      </c>
      <c r="AQ641" s="19" t="s">
        <v>21</v>
      </c>
      <c r="AR641" s="20" t="s">
        <v>22</v>
      </c>
    </row>
    <row r="642" ht="15.75" customHeight="1">
      <c r="A642" s="21"/>
      <c r="B642" s="38">
        <v>16.0</v>
      </c>
      <c r="C642" s="38" t="s">
        <v>42</v>
      </c>
      <c r="D642" s="78">
        <v>33.0</v>
      </c>
      <c r="E642" s="40">
        <f>IFERROR(__xludf.DUMMYFUNCTION("COUNT(IMPORTRANGE(""https://docs.google.com/spreadsheets/d/1uXtm-E8PG0CetlFmSpTX3RK0LNEMnpR-mxbET9AGD6w/edit"",""24!d2:d34""))"),32.0)</f>
        <v>32</v>
      </c>
      <c r="F642" s="45">
        <f>IFERROR(__xludf.DUMMYFUNCTION("SUM(IMPORTRANGE(""https://docs.google.com/spreadsheets/d/1uXtm-E8PG0CetlFmSpTX3RK0LNEMnpR-mxbET9AGD6w/edit"",""24!Q2:Q34""))"),6215.658999999997)</f>
        <v>6215.659</v>
      </c>
      <c r="G642" s="40">
        <f>IFERROR(__xludf.DUMMYFUNCTION("IMPORTRANGE(""https://docs.google.com/spreadsheets/d/1uXtm-E8PG0CetlFmSpTX3RK0LNEMnpR-mxbET9AGD6w/edit"",""24!e41"")"),3053.0)</f>
        <v>3053</v>
      </c>
      <c r="H642" s="40">
        <f>IFERROR(__xludf.DUMMYFUNCTION("IMPORTRANGE(""https://docs.google.com/spreadsheets/d/1uXtm-E8PG0CetlFmSpTX3RK0LNEMnpR-mxbET9AGD6w/edit"",""24!e42"")"),46.0)</f>
        <v>46</v>
      </c>
      <c r="I642" s="40">
        <f t="shared" si="1740"/>
        <v>3099</v>
      </c>
      <c r="J642" s="40">
        <f>IFERROR(__xludf.DUMMYFUNCTION("IMPORTRANGE(""https://docs.google.com/spreadsheets/d/1uXtm-E8PG0CetlFmSpTX3RK0LNEMnpR-mxbET9AGD6w/edit"",""24!e45"")"),4574.0)</f>
        <v>4574</v>
      </c>
      <c r="K642" s="40">
        <f>IFERROR(__xludf.DUMMYFUNCTION("IMPORTRANGE(""https://docs.google.com/spreadsheets/d/1uXtm-E8PG0CetlFmSpTX3RK0LNEMnpR-mxbET9AGD6w/edit"",""24!e46"")"),150.0)</f>
        <v>150</v>
      </c>
      <c r="L642" s="40">
        <f t="shared" si="1770"/>
        <v>4724</v>
      </c>
      <c r="M642" s="40">
        <f t="shared" si="1742"/>
        <v>7823</v>
      </c>
      <c r="N642" s="41">
        <f t="shared" si="1743"/>
        <v>194.2393438</v>
      </c>
      <c r="O642" s="38">
        <v>9877.0</v>
      </c>
      <c r="P642" s="42">
        <f t="shared" si="1744"/>
        <v>0.7920421181</v>
      </c>
      <c r="Q642" s="43">
        <v>1.5</v>
      </c>
      <c r="R642" s="42">
        <f t="shared" si="1745"/>
        <v>0.8390636187</v>
      </c>
      <c r="S642" s="44">
        <f t="shared" si="1746"/>
        <v>1.258595428</v>
      </c>
      <c r="T642" s="43">
        <f>F642/26.155</f>
        <v>237.6470656</v>
      </c>
      <c r="U642" s="43">
        <f t="shared" si="1747"/>
        <v>7.426470799</v>
      </c>
      <c r="V642" s="40">
        <f t="shared" si="1748"/>
        <v>244.46875</v>
      </c>
      <c r="X642" s="31">
        <v>1.0</v>
      </c>
      <c r="Y642" s="31" t="s">
        <v>26</v>
      </c>
      <c r="Z642" s="31">
        <f t="shared" ref="Z642:AI642" si="1780">SUM(D627)</f>
        <v>20</v>
      </c>
      <c r="AA642" s="32">
        <f t="shared" si="1780"/>
        <v>20</v>
      </c>
      <c r="AB642" s="34">
        <f t="shared" si="1780"/>
        <v>3705.267</v>
      </c>
      <c r="AC642" s="32">
        <f t="shared" si="1780"/>
        <v>2194</v>
      </c>
      <c r="AD642" s="32">
        <f t="shared" si="1780"/>
        <v>47</v>
      </c>
      <c r="AE642" s="32">
        <f t="shared" si="1780"/>
        <v>2241</v>
      </c>
      <c r="AF642" s="32">
        <f t="shared" si="1780"/>
        <v>2798</v>
      </c>
      <c r="AG642" s="32">
        <f t="shared" si="1780"/>
        <v>0</v>
      </c>
      <c r="AH642" s="32">
        <f t="shared" si="1780"/>
        <v>2798</v>
      </c>
      <c r="AI642" s="32">
        <f t="shared" si="1780"/>
        <v>5039</v>
      </c>
      <c r="AJ642" s="34">
        <f t="shared" ref="AJ642:AJ648" si="1783">AB642/AA642</f>
        <v>185.26335</v>
      </c>
      <c r="AK642" s="31">
        <f>SUM(O627)</f>
        <v>5161</v>
      </c>
      <c r="AL642" s="35">
        <f t="shared" ref="AL642:AL648" si="1784">AI642/AK642</f>
        <v>0.9763611703</v>
      </c>
      <c r="AM642" s="36">
        <f>SUM(Q627)</f>
        <v>1.5</v>
      </c>
      <c r="AN642" s="35">
        <f t="shared" ref="AN642:AN648" si="1785">AO642/AM642</f>
        <v>0.9066373175</v>
      </c>
      <c r="AO642" s="37">
        <f t="shared" ref="AO642:AO648" si="1786">AI642/AB642</f>
        <v>1.359955976</v>
      </c>
      <c r="AP642" s="36">
        <f t="shared" ref="AP642:AQ642" si="1781">SUM(T627)</f>
        <v>257.0424558</v>
      </c>
      <c r="AQ642" s="36">
        <f t="shared" si="1781"/>
        <v>12.85212279</v>
      </c>
      <c r="AR642" s="32">
        <f t="shared" ref="AR642:AR648" si="1788">AI642/AA642</f>
        <v>251.95</v>
      </c>
    </row>
    <row r="643" ht="15.75" customHeight="1">
      <c r="A643" s="21"/>
      <c r="B643" s="38">
        <v>17.0</v>
      </c>
      <c r="C643" s="38" t="s">
        <v>29</v>
      </c>
      <c r="D643" s="78">
        <v>30.0</v>
      </c>
      <c r="E643" s="40">
        <f>IFERROR(__xludf.DUMMYFUNCTION("COUNT(IMPORTRANGE(""https://docs.google.com/spreadsheets/d/12xcKI0lSnAsjEsxfm9K8Qx0B_89Gzsh816mowItkQao/edit"",""24!d2:d31""))"),30.0)</f>
        <v>30</v>
      </c>
      <c r="F643" s="45">
        <f>IFERROR(__xludf.DUMMYFUNCTION("SUM(IMPORTRANGE(""https://docs.google.com/spreadsheets/d/12xcKI0lSnAsjEsxfm9K8Qx0B_89Gzsh816mowItkQao/edit"",""24!Q2:Q31""))"),5676.284000000001)</f>
        <v>5676.284</v>
      </c>
      <c r="G643" s="40">
        <f>IFERROR(__xludf.DUMMYFUNCTION("IMPORTRANGE(""https://docs.google.com/spreadsheets/d/12xcKI0lSnAsjEsxfm9K8Qx0B_89Gzsh816mowItkQao/edit"",""24!e38"")"),2891.0)</f>
        <v>2891</v>
      </c>
      <c r="H643" s="40">
        <f>IFERROR(__xludf.DUMMYFUNCTION("IMPORTRANGE(""https://docs.google.com/spreadsheets/d/12xcKI0lSnAsjEsxfm9K8Qx0B_89Gzsh816mowItkQao/edit"",""24!e39"")"),0.0)</f>
        <v>0</v>
      </c>
      <c r="I643" s="40">
        <f t="shared" si="1740"/>
        <v>2891</v>
      </c>
      <c r="J643" s="40">
        <f>IFERROR(__xludf.DUMMYFUNCTION("IMPORTRANGE(""https://docs.google.com/spreadsheets/d/12xcKI0lSnAsjEsxfm9K8Qx0B_89Gzsh816mowItkQao/edit"",""24!e42"")"),3942.0)</f>
        <v>3942</v>
      </c>
      <c r="K643" s="40">
        <f>IFERROR(__xludf.DUMMYFUNCTION("IMPORTRANGE(""https://docs.google.com/spreadsheets/d/12xcKI0lSnAsjEsxfm9K8Qx0B_89Gzsh816mowItkQao/edit"",""24!e43"")"),0.0)</f>
        <v>0</v>
      </c>
      <c r="L643" s="40">
        <f t="shared" si="1770"/>
        <v>3942</v>
      </c>
      <c r="M643" s="40">
        <f t="shared" si="1742"/>
        <v>6833</v>
      </c>
      <c r="N643" s="41">
        <f t="shared" si="1743"/>
        <v>189.2094667</v>
      </c>
      <c r="O643" s="38">
        <v>9201.0</v>
      </c>
      <c r="P643" s="42">
        <f t="shared" si="1744"/>
        <v>0.7426366699</v>
      </c>
      <c r="Q643" s="43">
        <v>1.5</v>
      </c>
      <c r="R643" s="42">
        <f t="shared" si="1745"/>
        <v>0.8025203343</v>
      </c>
      <c r="S643" s="44">
        <f t="shared" si="1746"/>
        <v>1.203780501</v>
      </c>
      <c r="T643" s="43">
        <f>F643/26.038</f>
        <v>218</v>
      </c>
      <c r="U643" s="43">
        <f t="shared" si="1747"/>
        <v>7.266666667</v>
      </c>
      <c r="V643" s="40">
        <f t="shared" si="1748"/>
        <v>227.7666667</v>
      </c>
      <c r="X643" s="31">
        <v>2.0</v>
      </c>
      <c r="Y643" s="31" t="s">
        <v>32</v>
      </c>
      <c r="Z643" s="31">
        <f t="shared" ref="Z643:AI643" si="1782">SUM(D630)</f>
        <v>42</v>
      </c>
      <c r="AA643" s="32">
        <f t="shared" si="1782"/>
        <v>42</v>
      </c>
      <c r="AB643" s="33">
        <f t="shared" si="1782"/>
        <v>8204.103</v>
      </c>
      <c r="AC643" s="31">
        <f t="shared" si="1782"/>
        <v>5281</v>
      </c>
      <c r="AD643" s="31">
        <f t="shared" si="1782"/>
        <v>0</v>
      </c>
      <c r="AE643" s="32">
        <f t="shared" si="1782"/>
        <v>5281</v>
      </c>
      <c r="AF643" s="31">
        <f t="shared" si="1782"/>
        <v>5566</v>
      </c>
      <c r="AG643" s="31">
        <f t="shared" si="1782"/>
        <v>0</v>
      </c>
      <c r="AH643" s="32">
        <f t="shared" si="1782"/>
        <v>5566</v>
      </c>
      <c r="AI643" s="32">
        <f t="shared" si="1782"/>
        <v>10847</v>
      </c>
      <c r="AJ643" s="34">
        <f t="shared" si="1783"/>
        <v>195.3357857</v>
      </c>
      <c r="AK643" s="31">
        <f>SUM(O630)</f>
        <v>13817</v>
      </c>
      <c r="AL643" s="35">
        <f t="shared" si="1784"/>
        <v>0.7850474054</v>
      </c>
      <c r="AM643" s="36">
        <f>SUM(Q630)</f>
        <v>1.5</v>
      </c>
      <c r="AN643" s="35">
        <f t="shared" si="1785"/>
        <v>0.8814288818</v>
      </c>
      <c r="AO643" s="37">
        <f t="shared" si="1786"/>
        <v>1.322143323</v>
      </c>
      <c r="AP643" s="36">
        <f t="shared" ref="AP643:AQ643" si="1787">SUM(T630)</f>
        <v>327</v>
      </c>
      <c r="AQ643" s="36">
        <f t="shared" si="1787"/>
        <v>7.785714286</v>
      </c>
      <c r="AR643" s="32">
        <f t="shared" si="1788"/>
        <v>258.2619048</v>
      </c>
    </row>
    <row r="644" ht="15.75" customHeight="1">
      <c r="A644" s="21"/>
      <c r="B644" s="38">
        <v>18.0</v>
      </c>
      <c r="C644" s="38" t="s">
        <v>31</v>
      </c>
      <c r="D644" s="78">
        <v>15.0</v>
      </c>
      <c r="E644" s="40">
        <f>IFERROR(__xludf.DUMMYFUNCTION("COUNT(IMPORTRANGE(""https://docs.google.com/spreadsheets/d/1fgCFOFzOla4Qim6_-zG-lbYhLCItqv_kZiAHoErRgcM/edit"",""24!d2:d16""))"),14.0)</f>
        <v>14</v>
      </c>
      <c r="F644" s="41">
        <f>IFERROR(__xludf.DUMMYFUNCTION("SUM(IMPORTRANGE(""https://docs.google.com/spreadsheets/d/1fgCFOFzOla4Qim6_-zG-lbYhLCItqv_kZiAHoErRgcM/edit"",""24!Q2:Q16""))"),2825.225)</f>
        <v>2825.225</v>
      </c>
      <c r="G644" s="40">
        <f>IFERROR(__xludf.DUMMYFUNCTION("IMPORTRANGE(""https://docs.google.com/spreadsheets/d/1fgCFOFzOla4Qim6_-zG-lbYhLCItqv_kZiAHoErRgcM/edit"",""24!e23"")"),837.0)</f>
        <v>837</v>
      </c>
      <c r="H644" s="40">
        <f>IFERROR(__xludf.DUMMYFUNCTION("IMPORTRANGE(""https://docs.google.com/spreadsheets/d/1fgCFOFzOla4Qim6_-zG-lbYhLCItqv_kZiAHoErRgcM/edit"",""24!e24"")"),0.0)</f>
        <v>0</v>
      </c>
      <c r="I644" s="40">
        <f t="shared" si="1740"/>
        <v>837</v>
      </c>
      <c r="J644" s="40">
        <f>IFERROR(__xludf.DUMMYFUNCTION("IMPORTRANGE(""https://docs.google.com/spreadsheets/d/1fgCFOFzOla4Qim6_-zG-lbYhLCItqv_kZiAHoErRgcM/edit"",""24!e27"")"),1180.0)</f>
        <v>1180</v>
      </c>
      <c r="K644" s="40">
        <f>IFERROR(__xludf.DUMMYFUNCTION("IMPORTRANGE(""https://docs.google.com/spreadsheets/d/1fgCFOFzOla4Qim6_-zG-lbYhLCItqv_kZiAHoErRgcM/edit"",""24!e28"")"),0.0)</f>
        <v>0</v>
      </c>
      <c r="L644" s="40">
        <f t="shared" si="1770"/>
        <v>1180</v>
      </c>
      <c r="M644" s="40">
        <f t="shared" si="1742"/>
        <v>2017</v>
      </c>
      <c r="N644" s="41">
        <f t="shared" si="1743"/>
        <v>201.8017857</v>
      </c>
      <c r="O644" s="38">
        <v>2717.0</v>
      </c>
      <c r="P644" s="42">
        <f t="shared" si="1744"/>
        <v>0.7423629003</v>
      </c>
      <c r="Q644" s="43">
        <v>1.5</v>
      </c>
      <c r="R644" s="42">
        <f t="shared" si="1745"/>
        <v>0.475950293</v>
      </c>
      <c r="S644" s="44">
        <f t="shared" si="1746"/>
        <v>0.7139254396</v>
      </c>
      <c r="T644" s="43">
        <f>F644/43.465</f>
        <v>65</v>
      </c>
      <c r="U644" s="43">
        <f t="shared" si="1747"/>
        <v>4.642857143</v>
      </c>
      <c r="V644" s="40">
        <f t="shared" si="1748"/>
        <v>144.0714286</v>
      </c>
      <c r="X644" s="31">
        <v>3.0</v>
      </c>
      <c r="Y644" s="31" t="s">
        <v>36</v>
      </c>
      <c r="Z644" s="31">
        <f t="shared" ref="Z644:AI644" si="1789">SUM(D635)</f>
        <v>29</v>
      </c>
      <c r="AA644" s="32">
        <f t="shared" si="1789"/>
        <v>29</v>
      </c>
      <c r="AB644" s="33">
        <f t="shared" si="1789"/>
        <v>5791.19</v>
      </c>
      <c r="AC644" s="32">
        <f t="shared" si="1789"/>
        <v>1536</v>
      </c>
      <c r="AD644" s="32">
        <f t="shared" si="1789"/>
        <v>0</v>
      </c>
      <c r="AE644" s="32">
        <f t="shared" si="1789"/>
        <v>1536</v>
      </c>
      <c r="AF644" s="32">
        <f t="shared" si="1789"/>
        <v>2298</v>
      </c>
      <c r="AG644" s="32">
        <f t="shared" si="1789"/>
        <v>0</v>
      </c>
      <c r="AH644" s="32">
        <f t="shared" si="1789"/>
        <v>2298</v>
      </c>
      <c r="AI644" s="32">
        <f t="shared" si="1789"/>
        <v>3834</v>
      </c>
      <c r="AJ644" s="34">
        <f t="shared" si="1783"/>
        <v>199.6962069</v>
      </c>
      <c r="AK644" s="31">
        <f t="shared" ref="AK644:AK647" si="1793">SUM(O635)</f>
        <v>4796</v>
      </c>
      <c r="AL644" s="35">
        <f t="shared" si="1784"/>
        <v>0.7994161802</v>
      </c>
      <c r="AM644" s="36">
        <f t="shared" ref="AM644:AM647" si="1794">SUM(Q635)</f>
        <v>1.5</v>
      </c>
      <c r="AN644" s="35">
        <f t="shared" si="1785"/>
        <v>0.4413600659</v>
      </c>
      <c r="AO644" s="37">
        <f t="shared" si="1786"/>
        <v>0.6620400988</v>
      </c>
      <c r="AP644" s="36">
        <f t="shared" ref="AP644:AQ644" si="1790">SUM(T635)</f>
        <v>154.7867109</v>
      </c>
      <c r="AQ644" s="36">
        <f t="shared" si="1790"/>
        <v>5.337472788</v>
      </c>
      <c r="AR644" s="32">
        <f t="shared" si="1788"/>
        <v>132.2068966</v>
      </c>
    </row>
    <row r="645" ht="15.75" customHeight="1">
      <c r="A645" s="21"/>
      <c r="B645" s="60" t="s">
        <v>33</v>
      </c>
      <c r="C645" s="60">
        <v>18.0</v>
      </c>
      <c r="D645" s="60">
        <f t="shared" ref="D645:M645" si="1791">SUM(D627:D644)</f>
        <v>585</v>
      </c>
      <c r="E645" s="61">
        <f t="shared" si="1791"/>
        <v>573</v>
      </c>
      <c r="F645" s="62">
        <f t="shared" si="1791"/>
        <v>112022.367</v>
      </c>
      <c r="G645" s="61">
        <f t="shared" si="1791"/>
        <v>42991</v>
      </c>
      <c r="H645" s="61">
        <f t="shared" si="1791"/>
        <v>924</v>
      </c>
      <c r="I645" s="61">
        <f t="shared" si="1791"/>
        <v>43915</v>
      </c>
      <c r="J645" s="61">
        <f t="shared" si="1791"/>
        <v>56939</v>
      </c>
      <c r="K645" s="61">
        <f t="shared" si="1791"/>
        <v>936</v>
      </c>
      <c r="L645" s="61">
        <f t="shared" si="1791"/>
        <v>57875</v>
      </c>
      <c r="M645" s="61">
        <f t="shared" si="1791"/>
        <v>101790</v>
      </c>
      <c r="N645" s="62">
        <f t="shared" si="1743"/>
        <v>195.5015131</v>
      </c>
      <c r="O645" s="60">
        <f>SUM(O627:O644)</f>
        <v>126399</v>
      </c>
      <c r="P645" s="63">
        <f t="shared" si="1744"/>
        <v>0.805307004</v>
      </c>
      <c r="Q645" s="64">
        <v>1.5</v>
      </c>
      <c r="R645" s="63">
        <f t="shared" si="1745"/>
        <v>0.6057718813</v>
      </c>
      <c r="S645" s="65">
        <f t="shared" si="1746"/>
        <v>0.9086578219</v>
      </c>
      <c r="T645" s="64">
        <f>SUM(T627:T644)</f>
        <v>4114.944053</v>
      </c>
      <c r="U645" s="64">
        <f t="shared" si="1747"/>
        <v>7.181403234</v>
      </c>
      <c r="V645" s="61">
        <f t="shared" si="1748"/>
        <v>177.6439791</v>
      </c>
      <c r="X645" s="31">
        <v>4.0</v>
      </c>
      <c r="Y645" s="31" t="s">
        <v>37</v>
      </c>
      <c r="Z645" s="31">
        <f t="shared" ref="Z645:AI645" si="1792">SUM(D636)</f>
        <v>30</v>
      </c>
      <c r="AA645" s="32">
        <f t="shared" si="1792"/>
        <v>27</v>
      </c>
      <c r="AB645" s="33">
        <f t="shared" si="1792"/>
        <v>5217.18</v>
      </c>
      <c r="AC645" s="32">
        <f t="shared" si="1792"/>
        <v>1912</v>
      </c>
      <c r="AD645" s="32">
        <f t="shared" si="1792"/>
        <v>0</v>
      </c>
      <c r="AE645" s="32">
        <f t="shared" si="1792"/>
        <v>1912</v>
      </c>
      <c r="AF645" s="32">
        <f t="shared" si="1792"/>
        <v>3174</v>
      </c>
      <c r="AG645" s="32">
        <f t="shared" si="1792"/>
        <v>0</v>
      </c>
      <c r="AH645" s="32">
        <f t="shared" si="1792"/>
        <v>3174</v>
      </c>
      <c r="AI645" s="32">
        <f t="shared" si="1792"/>
        <v>5086</v>
      </c>
      <c r="AJ645" s="34">
        <f t="shared" si="1783"/>
        <v>193.2288889</v>
      </c>
      <c r="AK645" s="31">
        <f t="shared" si="1793"/>
        <v>5887</v>
      </c>
      <c r="AL645" s="35">
        <f t="shared" si="1784"/>
        <v>0.8639374894</v>
      </c>
      <c r="AM645" s="36">
        <f t="shared" si="1794"/>
        <v>1.5</v>
      </c>
      <c r="AN645" s="35">
        <f t="shared" si="1785"/>
        <v>0.6499040989</v>
      </c>
      <c r="AO645" s="37">
        <f t="shared" si="1786"/>
        <v>0.9748561483</v>
      </c>
      <c r="AP645" s="36">
        <f t="shared" ref="AP645:AQ645" si="1795">SUM(T636)</f>
        <v>210.4380445</v>
      </c>
      <c r="AQ645" s="36">
        <f t="shared" si="1795"/>
        <v>7.794001649</v>
      </c>
      <c r="AR645" s="32">
        <f t="shared" si="1788"/>
        <v>188.3703704</v>
      </c>
    </row>
    <row r="646" ht="15.7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X646" s="31">
        <v>5.0</v>
      </c>
      <c r="Y646" s="31" t="s">
        <v>39</v>
      </c>
      <c r="Z646" s="31">
        <f t="shared" ref="Z646:AI646" si="1796">SUM(D637)</f>
        <v>28</v>
      </c>
      <c r="AA646" s="32">
        <f t="shared" si="1796"/>
        <v>27</v>
      </c>
      <c r="AB646" s="33">
        <f t="shared" si="1796"/>
        <v>5072.544</v>
      </c>
      <c r="AC646" s="32">
        <f t="shared" si="1796"/>
        <v>1200</v>
      </c>
      <c r="AD646" s="32">
        <f t="shared" si="1796"/>
        <v>0</v>
      </c>
      <c r="AE646" s="32">
        <f t="shared" si="1796"/>
        <v>1200</v>
      </c>
      <c r="AF646" s="32">
        <f t="shared" si="1796"/>
        <v>1830</v>
      </c>
      <c r="AG646" s="32">
        <f t="shared" si="1796"/>
        <v>0</v>
      </c>
      <c r="AH646" s="32">
        <f t="shared" si="1796"/>
        <v>1830</v>
      </c>
      <c r="AI646" s="32">
        <f t="shared" si="1796"/>
        <v>3030</v>
      </c>
      <c r="AJ646" s="34">
        <f t="shared" si="1783"/>
        <v>187.872</v>
      </c>
      <c r="AK646" s="31">
        <f t="shared" si="1793"/>
        <v>3569</v>
      </c>
      <c r="AL646" s="35">
        <f t="shared" si="1784"/>
        <v>0.8489773046</v>
      </c>
      <c r="AM646" s="36">
        <f t="shared" si="1794"/>
        <v>1.5</v>
      </c>
      <c r="AN646" s="35">
        <f t="shared" si="1785"/>
        <v>0.3982222727</v>
      </c>
      <c r="AO646" s="37">
        <f t="shared" si="1786"/>
        <v>0.597333409</v>
      </c>
      <c r="AP646" s="36">
        <f t="shared" ref="AP646:AQ646" si="1797">SUM(T637)</f>
        <v>236.339002</v>
      </c>
      <c r="AQ646" s="36">
        <f t="shared" si="1797"/>
        <v>8.75329637</v>
      </c>
      <c r="AR646" s="32">
        <f t="shared" si="1788"/>
        <v>112.2222222</v>
      </c>
    </row>
    <row r="647" ht="15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X647" s="31">
        <v>6.0</v>
      </c>
      <c r="Y647" s="31" t="s">
        <v>41</v>
      </c>
      <c r="Z647" s="31">
        <f t="shared" ref="Z647:AI647" si="1798">SUM(D638)</f>
        <v>24</v>
      </c>
      <c r="AA647" s="32">
        <f t="shared" si="1798"/>
        <v>24</v>
      </c>
      <c r="AB647" s="33">
        <f t="shared" si="1798"/>
        <v>4793.152</v>
      </c>
      <c r="AC647" s="32">
        <f t="shared" si="1798"/>
        <v>1278</v>
      </c>
      <c r="AD647" s="32">
        <f t="shared" si="1798"/>
        <v>0</v>
      </c>
      <c r="AE647" s="32">
        <f t="shared" si="1798"/>
        <v>1278</v>
      </c>
      <c r="AF647" s="32">
        <f t="shared" si="1798"/>
        <v>1905</v>
      </c>
      <c r="AG647" s="32">
        <f t="shared" si="1798"/>
        <v>0</v>
      </c>
      <c r="AH647" s="32">
        <f t="shared" si="1798"/>
        <v>1905</v>
      </c>
      <c r="AI647" s="32">
        <f t="shared" si="1798"/>
        <v>3183</v>
      </c>
      <c r="AJ647" s="34">
        <f t="shared" si="1783"/>
        <v>199.7146667</v>
      </c>
      <c r="AK647" s="31">
        <f t="shared" si="1793"/>
        <v>3801</v>
      </c>
      <c r="AL647" s="35">
        <f t="shared" si="1784"/>
        <v>0.8374112076</v>
      </c>
      <c r="AM647" s="36">
        <f t="shared" si="1794"/>
        <v>1.5</v>
      </c>
      <c r="AN647" s="35">
        <f t="shared" si="1785"/>
        <v>0.44271494</v>
      </c>
      <c r="AO647" s="37">
        <f t="shared" si="1786"/>
        <v>0.66407241</v>
      </c>
      <c r="AP647" s="36">
        <f t="shared" ref="AP647:AQ647" si="1799">SUM(T638)</f>
        <v>161.7777778</v>
      </c>
      <c r="AQ647" s="36">
        <f t="shared" si="1799"/>
        <v>6.740740741</v>
      </c>
      <c r="AR647" s="32">
        <f t="shared" si="1788"/>
        <v>132.625</v>
      </c>
    </row>
    <row r="648" ht="15.75" customHeight="1">
      <c r="A648" s="1" t="s">
        <v>45</v>
      </c>
      <c r="D648" s="2"/>
      <c r="X648" s="46" t="s">
        <v>33</v>
      </c>
      <c r="Y648" s="46">
        <v>6.0</v>
      </c>
      <c r="Z648" s="46">
        <f t="shared" ref="Z648:AI648" si="1800">SUM(Z642:Z647)</f>
        <v>173</v>
      </c>
      <c r="AA648" s="47">
        <f t="shared" si="1800"/>
        <v>169</v>
      </c>
      <c r="AB648" s="49">
        <f t="shared" si="1800"/>
        <v>32783.436</v>
      </c>
      <c r="AC648" s="47">
        <f t="shared" si="1800"/>
        <v>13401</v>
      </c>
      <c r="AD648" s="47">
        <f t="shared" si="1800"/>
        <v>47</v>
      </c>
      <c r="AE648" s="47">
        <f t="shared" si="1800"/>
        <v>13448</v>
      </c>
      <c r="AF648" s="47">
        <f t="shared" si="1800"/>
        <v>17571</v>
      </c>
      <c r="AG648" s="47">
        <f t="shared" si="1800"/>
        <v>0</v>
      </c>
      <c r="AH648" s="47">
        <f t="shared" si="1800"/>
        <v>17571</v>
      </c>
      <c r="AI648" s="47">
        <f t="shared" si="1800"/>
        <v>31019</v>
      </c>
      <c r="AJ648" s="49">
        <f t="shared" si="1783"/>
        <v>193.9848284</v>
      </c>
      <c r="AK648" s="46">
        <f>SUM(AK642:AK647)</f>
        <v>37031</v>
      </c>
      <c r="AL648" s="50">
        <f t="shared" si="1784"/>
        <v>0.8376495369</v>
      </c>
      <c r="AM648" s="51">
        <v>1.5</v>
      </c>
      <c r="AN648" s="50">
        <f t="shared" si="1785"/>
        <v>0.6307860266</v>
      </c>
      <c r="AO648" s="52">
        <f t="shared" si="1786"/>
        <v>0.9461790399</v>
      </c>
      <c r="AP648" s="51">
        <f>SUM(AP642:AP647)</f>
        <v>1347.383991</v>
      </c>
      <c r="AQ648" s="51">
        <f>AP648/AA648</f>
        <v>7.972686337</v>
      </c>
      <c r="AR648" s="47">
        <f t="shared" si="1788"/>
        <v>183.5443787</v>
      </c>
    </row>
    <row r="649" ht="15.75" customHeight="1">
      <c r="A649" s="1" t="s">
        <v>45</v>
      </c>
      <c r="D649" s="2"/>
      <c r="X649" s="66" t="s">
        <v>1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6"/>
    </row>
    <row r="650" ht="15.75" customHeight="1">
      <c r="A650" s="10">
        <v>46228.0</v>
      </c>
      <c r="B650" s="8" t="s">
        <v>2</v>
      </c>
      <c r="C650" s="8" t="s">
        <v>3</v>
      </c>
      <c r="D650" s="8" t="s">
        <v>4</v>
      </c>
      <c r="E650" s="8" t="s">
        <v>5</v>
      </c>
      <c r="F650" s="9" t="s">
        <v>6</v>
      </c>
      <c r="G650" s="8" t="s">
        <v>7</v>
      </c>
      <c r="H650" s="8" t="s">
        <v>8</v>
      </c>
      <c r="I650" s="8" t="s">
        <v>9</v>
      </c>
      <c r="J650" s="8" t="s">
        <v>10</v>
      </c>
      <c r="K650" s="8" t="s">
        <v>11</v>
      </c>
      <c r="L650" s="8" t="s">
        <v>12</v>
      </c>
      <c r="M650" s="8" t="s">
        <v>13</v>
      </c>
      <c r="N650" s="9" t="s">
        <v>14</v>
      </c>
      <c r="O650" s="8" t="s">
        <v>15</v>
      </c>
      <c r="P650" s="8" t="s">
        <v>16</v>
      </c>
      <c r="Q650" s="8" t="s">
        <v>17</v>
      </c>
      <c r="R650" s="8" t="s">
        <v>18</v>
      </c>
      <c r="S650" s="11" t="s">
        <v>19</v>
      </c>
      <c r="T650" s="12" t="s">
        <v>20</v>
      </c>
      <c r="U650" s="12" t="s">
        <v>21</v>
      </c>
      <c r="V650" s="13" t="s">
        <v>22</v>
      </c>
      <c r="X650" s="14" t="s">
        <v>2</v>
      </c>
      <c r="Y650" s="14" t="s">
        <v>3</v>
      </c>
      <c r="Z650" s="14" t="s">
        <v>4</v>
      </c>
      <c r="AA650" s="14" t="s">
        <v>5</v>
      </c>
      <c r="AB650" s="15" t="s">
        <v>6</v>
      </c>
      <c r="AC650" s="14" t="s">
        <v>7</v>
      </c>
      <c r="AD650" s="14" t="s">
        <v>8</v>
      </c>
      <c r="AE650" s="14" t="s">
        <v>9</v>
      </c>
      <c r="AF650" s="14" t="s">
        <v>10</v>
      </c>
      <c r="AG650" s="14" t="s">
        <v>11</v>
      </c>
      <c r="AH650" s="14" t="s">
        <v>12</v>
      </c>
      <c r="AI650" s="14" t="s">
        <v>13</v>
      </c>
      <c r="AJ650" s="15" t="s">
        <v>14</v>
      </c>
      <c r="AK650" s="14" t="s">
        <v>15</v>
      </c>
      <c r="AL650" s="14" t="s">
        <v>16</v>
      </c>
      <c r="AM650" s="16" t="s">
        <v>17</v>
      </c>
      <c r="AN650" s="17" t="s">
        <v>18</v>
      </c>
      <c r="AO650" s="18" t="s">
        <v>19</v>
      </c>
      <c r="AP650" s="19" t="s">
        <v>20</v>
      </c>
      <c r="AQ650" s="19" t="s">
        <v>21</v>
      </c>
      <c r="AR650" s="20" t="s">
        <v>22</v>
      </c>
    </row>
    <row r="651" ht="15.7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X651" s="22">
        <v>1.0</v>
      </c>
      <c r="Y651" s="22" t="s">
        <v>23</v>
      </c>
      <c r="Z651" s="22">
        <f t="shared" ref="Z651:AI651" si="1801">SUM(D659)</f>
        <v>28</v>
      </c>
      <c r="AA651" s="23">
        <f t="shared" si="1801"/>
        <v>27</v>
      </c>
      <c r="AB651" s="24">
        <f t="shared" si="1801"/>
        <v>5297.18</v>
      </c>
      <c r="AC651" s="23">
        <f t="shared" si="1801"/>
        <v>1328</v>
      </c>
      <c r="AD651" s="23">
        <f t="shared" si="1801"/>
        <v>0</v>
      </c>
      <c r="AE651" s="23">
        <f t="shared" si="1801"/>
        <v>1328</v>
      </c>
      <c r="AF651" s="23">
        <f t="shared" si="1801"/>
        <v>2356</v>
      </c>
      <c r="AG651" s="23">
        <f t="shared" si="1801"/>
        <v>0</v>
      </c>
      <c r="AH651" s="23">
        <f t="shared" si="1801"/>
        <v>2356</v>
      </c>
      <c r="AI651" s="23">
        <f t="shared" si="1801"/>
        <v>3684</v>
      </c>
      <c r="AJ651" s="25">
        <f t="shared" ref="AJ651:AJ653" si="1804">AB651/AA651</f>
        <v>196.1918519</v>
      </c>
      <c r="AK651" s="22">
        <f>SUM(O659)</f>
        <v>6853</v>
      </c>
      <c r="AL651" s="26">
        <f t="shared" ref="AL651:AL657" si="1805">AI651/AK651</f>
        <v>0.5375747848</v>
      </c>
      <c r="AM651" s="27">
        <f t="shared" ref="AM651:AM653" si="1806">SUM(Q659)</f>
        <v>1.5</v>
      </c>
      <c r="AN651" s="26">
        <f t="shared" ref="AN651:AN657" si="1807">AO651/AM651</f>
        <v>0.4636429194</v>
      </c>
      <c r="AO651" s="28">
        <f t="shared" ref="AO651:AO657" si="1808">AI651/AB651</f>
        <v>0.6954643792</v>
      </c>
      <c r="AP651" s="27">
        <f t="shared" ref="AP651:AQ651" si="1802">SUM(T659)</f>
        <v>157</v>
      </c>
      <c r="AQ651" s="27">
        <f t="shared" si="1802"/>
        <v>5.814814815</v>
      </c>
      <c r="AR651" s="23">
        <f t="shared" ref="AR651:AR657" si="1810">AI651/AA651</f>
        <v>136.4444444</v>
      </c>
    </row>
    <row r="652" ht="15.7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X652" s="22">
        <v>2.0</v>
      </c>
      <c r="Y652" s="22" t="s">
        <v>24</v>
      </c>
      <c r="Z652" s="22">
        <f t="shared" ref="Z652:AI652" si="1803">SUM(D660)</f>
        <v>37</v>
      </c>
      <c r="AA652" s="23">
        <f t="shared" si="1803"/>
        <v>37</v>
      </c>
      <c r="AB652" s="24">
        <f t="shared" si="1803"/>
        <v>7090.192</v>
      </c>
      <c r="AC652" s="23">
        <f t="shared" si="1803"/>
        <v>854</v>
      </c>
      <c r="AD652" s="23">
        <f t="shared" si="1803"/>
        <v>11</v>
      </c>
      <c r="AE652" s="23">
        <f t="shared" si="1803"/>
        <v>865</v>
      </c>
      <c r="AF652" s="23">
        <f t="shared" si="1803"/>
        <v>967</v>
      </c>
      <c r="AG652" s="23">
        <f t="shared" si="1803"/>
        <v>0</v>
      </c>
      <c r="AH652" s="23">
        <f t="shared" si="1803"/>
        <v>967</v>
      </c>
      <c r="AI652" s="23">
        <f t="shared" si="1803"/>
        <v>1832</v>
      </c>
      <c r="AJ652" s="25">
        <f t="shared" si="1804"/>
        <v>191.6268108</v>
      </c>
      <c r="AK652" s="22">
        <v>1580.0</v>
      </c>
      <c r="AL652" s="29">
        <f t="shared" si="1805"/>
        <v>1.159493671</v>
      </c>
      <c r="AM652" s="27">
        <f t="shared" si="1806"/>
        <v>1.5</v>
      </c>
      <c r="AN652" s="26">
        <f t="shared" si="1807"/>
        <v>0.1722567363</v>
      </c>
      <c r="AO652" s="28">
        <f t="shared" si="1808"/>
        <v>0.2583851044</v>
      </c>
      <c r="AP652" s="27">
        <f t="shared" ref="AP652:AQ652" si="1809">SUM(T660)</f>
        <v>264.5100541</v>
      </c>
      <c r="AQ652" s="27">
        <f t="shared" si="1809"/>
        <v>7.148920381</v>
      </c>
      <c r="AR652" s="23">
        <f t="shared" si="1810"/>
        <v>49.51351351</v>
      </c>
    </row>
    <row r="653" ht="15.75" customHeight="1">
      <c r="A653" s="21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X653" s="31">
        <v>3.0</v>
      </c>
      <c r="Y653" s="31" t="s">
        <v>25</v>
      </c>
      <c r="Z653" s="31">
        <f t="shared" ref="Z653:AI653" si="1811">SUM(D661)</f>
        <v>27</v>
      </c>
      <c r="AA653" s="32">
        <f t="shared" si="1811"/>
        <v>27</v>
      </c>
      <c r="AB653" s="33">
        <f t="shared" si="1811"/>
        <v>5256.748</v>
      </c>
      <c r="AC653" s="32">
        <f t="shared" si="1811"/>
        <v>1957</v>
      </c>
      <c r="AD653" s="32">
        <f t="shared" si="1811"/>
        <v>462</v>
      </c>
      <c r="AE653" s="32">
        <f t="shared" si="1811"/>
        <v>2419</v>
      </c>
      <c r="AF653" s="32">
        <f t="shared" si="1811"/>
        <v>2402</v>
      </c>
      <c r="AG653" s="32">
        <f t="shared" si="1811"/>
        <v>325</v>
      </c>
      <c r="AH653" s="32">
        <f t="shared" si="1811"/>
        <v>2727</v>
      </c>
      <c r="AI653" s="32">
        <f t="shared" si="1811"/>
        <v>5146</v>
      </c>
      <c r="AJ653" s="34">
        <f t="shared" si="1804"/>
        <v>194.6943704</v>
      </c>
      <c r="AK653" s="31">
        <f>SUM(O661)</f>
        <v>6622</v>
      </c>
      <c r="AL653" s="35">
        <f t="shared" si="1805"/>
        <v>0.7771066143</v>
      </c>
      <c r="AM653" s="36">
        <f t="shared" si="1806"/>
        <v>1.5</v>
      </c>
      <c r="AN653" s="35">
        <f t="shared" si="1807"/>
        <v>0.6526214813</v>
      </c>
      <c r="AO653" s="37">
        <f t="shared" si="1808"/>
        <v>0.978932222</v>
      </c>
      <c r="AP653" s="36">
        <f t="shared" ref="AP653:AQ653" si="1812">SUM(T661)</f>
        <v>220.5011745</v>
      </c>
      <c r="AQ653" s="36">
        <f t="shared" si="1812"/>
        <v>8.166710167</v>
      </c>
      <c r="AR653" s="32">
        <f t="shared" si="1810"/>
        <v>190.5925926</v>
      </c>
    </row>
    <row r="654" ht="15.75" customHeight="1">
      <c r="A654" s="21"/>
      <c r="B654" s="38">
        <v>1.0</v>
      </c>
      <c r="C654" s="38" t="s">
        <v>26</v>
      </c>
      <c r="D654" s="39">
        <v>16.0</v>
      </c>
      <c r="E654" s="40">
        <f>IFERROR(__xludf.DUMMYFUNCTION("COUNT(IMPORTRANGE(""https://docs.google.com/spreadsheets/d/1z0o91thOT38lgejTE_Bd2p3v_9VCDdQRkUsMIVqpQCk/edit"",""25!d2:d21""))"),16.0)</f>
        <v>16</v>
      </c>
      <c r="F654" s="41">
        <f>IFERROR(__xludf.DUMMYFUNCTION("SUM(IMPORTRANGE(""https://docs.google.com/spreadsheets/d/1z0o91thOT38lgejTE_Bd2p3v_9VCDdQRkUsMIVqpQCk/edit"",""25!Q2:Q21""))"),2948.4030000000002)</f>
        <v>2948.403</v>
      </c>
      <c r="G654" s="40">
        <f>IFERROR(__xludf.DUMMYFUNCTION("IMPORTRANGE(""https://docs.google.com/spreadsheets/d/1z0o91thOT38lgejTE_Bd2p3v_9VCDdQRkUsMIVqpQCk/edit"",""25!e28"")"),1866.0)</f>
        <v>1866</v>
      </c>
      <c r="H654" s="40">
        <f>IFERROR(__xludf.DUMMYFUNCTION("IMPORTRANGE(""https://docs.google.com/spreadsheets/d/1z0o91thOT38lgejTE_Bd2p3v_9VCDdQRkUsMIVqpQCk/edit"",""25!e29"")"),0.0)</f>
        <v>0</v>
      </c>
      <c r="I654" s="40">
        <f t="shared" ref="I654:I671" si="1815">SUM(G654:H654)</f>
        <v>1866</v>
      </c>
      <c r="J654" s="40">
        <f>IFERROR(__xludf.DUMMYFUNCTION("IMPORTRANGE(""https://docs.google.com/spreadsheets/d/1z0o91thOT38lgejTE_Bd2p3v_9VCDdQRkUsMIVqpQCk/edit"",""25!e32"")"),1918.0)</f>
        <v>1918</v>
      </c>
      <c r="K654" s="40">
        <f>IFERROR(__xludf.DUMMYFUNCTION("IMPORTRANGE(""https://docs.google.com/spreadsheets/d/1z0o91thOT38lgejTE_Bd2p3v_9VCDdQRkUsMIVqpQCk/edit"",""25!e33"")"),0.0)</f>
        <v>0</v>
      </c>
      <c r="L654" s="40">
        <f t="shared" ref="L654:L660" si="1816">SUM(J654:K654)</f>
        <v>1918</v>
      </c>
      <c r="M654" s="40">
        <f t="shared" ref="M654:M671" si="1817">SUM(I654+L654)</f>
        <v>3784</v>
      </c>
      <c r="N654" s="41">
        <f t="shared" ref="N654:N672" si="1818">F654/E654</f>
        <v>184.2751875</v>
      </c>
      <c r="O654" s="38">
        <v>5161.0</v>
      </c>
      <c r="P654" s="42">
        <f t="shared" ref="P654:P672" si="1819">M654/O654</f>
        <v>0.733191242</v>
      </c>
      <c r="Q654" s="43">
        <v>1.5</v>
      </c>
      <c r="R654" s="42">
        <f t="shared" ref="R654:R672" si="1820">S654/Q654</f>
        <v>0.8556044295</v>
      </c>
      <c r="S654" s="44">
        <f t="shared" ref="S654:S672" si="1821">M654/F654</f>
        <v>1.283406644</v>
      </c>
      <c r="T654" s="43">
        <f>F654/14.415</f>
        <v>204.5371488</v>
      </c>
      <c r="U654" s="43">
        <f t="shared" ref="U654:U672" si="1822">T654/E654</f>
        <v>12.7835718</v>
      </c>
      <c r="V654" s="40">
        <f t="shared" ref="V654:V672" si="1823">M654/E654</f>
        <v>236.5</v>
      </c>
      <c r="X654" s="22">
        <v>4.0</v>
      </c>
      <c r="Y654" s="22" t="s">
        <v>27</v>
      </c>
      <c r="Z654" s="22">
        <f t="shared" ref="Z654:AK654" si="1813">SUM(D667)</f>
        <v>24</v>
      </c>
      <c r="AA654" s="23">
        <f t="shared" si="1813"/>
        <v>21</v>
      </c>
      <c r="AB654" s="24">
        <f t="shared" si="1813"/>
        <v>4052.848</v>
      </c>
      <c r="AC654" s="23">
        <f t="shared" si="1813"/>
        <v>1867</v>
      </c>
      <c r="AD654" s="23">
        <f t="shared" si="1813"/>
        <v>0</v>
      </c>
      <c r="AE654" s="23">
        <f t="shared" si="1813"/>
        <v>1867</v>
      </c>
      <c r="AF654" s="23">
        <f t="shared" si="1813"/>
        <v>2341</v>
      </c>
      <c r="AG654" s="23">
        <f t="shared" si="1813"/>
        <v>20</v>
      </c>
      <c r="AH654" s="23">
        <f t="shared" si="1813"/>
        <v>2361</v>
      </c>
      <c r="AI654" s="23">
        <f t="shared" si="1813"/>
        <v>4228</v>
      </c>
      <c r="AJ654" s="25">
        <f t="shared" si="1813"/>
        <v>192.9927619</v>
      </c>
      <c r="AK654" s="22">
        <f t="shared" si="1813"/>
        <v>8101</v>
      </c>
      <c r="AL654" s="26">
        <f t="shared" si="1805"/>
        <v>0.5219108752</v>
      </c>
      <c r="AM654" s="27">
        <f>SUM(Q667)</f>
        <v>1.5</v>
      </c>
      <c r="AN654" s="26">
        <f t="shared" si="1807"/>
        <v>0.6954780112</v>
      </c>
      <c r="AO654" s="28">
        <f t="shared" si="1808"/>
        <v>1.043217017</v>
      </c>
      <c r="AP654" s="27">
        <f t="shared" ref="AP654:AQ654" si="1814">SUM(T667)</f>
        <v>202.7944959</v>
      </c>
      <c r="AQ654" s="27">
        <f t="shared" si="1814"/>
        <v>9.656880756</v>
      </c>
      <c r="AR654" s="23">
        <f t="shared" si="1810"/>
        <v>201.3333333</v>
      </c>
    </row>
    <row r="655" ht="15.75" customHeight="1">
      <c r="A655" s="21"/>
      <c r="B655" s="38">
        <v>2.0</v>
      </c>
      <c r="C655" s="38" t="s">
        <v>28</v>
      </c>
      <c r="D655" s="39">
        <v>26.0</v>
      </c>
      <c r="E655" s="40">
        <f>IFERROR(__xludf.DUMMYFUNCTION("COUNT(IMPORTRANGE(""https://docs.google.com/spreadsheets/d/10a85iNN0y9GF6ngQfF1JXGAzFk-T7ywH4-TZtQcOTaE/edit"",""25!d2:d34""))"),26.0)</f>
        <v>26</v>
      </c>
      <c r="F655" s="41">
        <f>IFERROR(__xludf.DUMMYFUNCTION("SUM(IMPORTRANGE(""https://docs.google.com/spreadsheets/d/10a85iNN0y9GF6ngQfF1JXGAzFk-T7ywH4-TZtQcOTaE/edit"",""25!Q2:Q34""))"),4953.086000000001)</f>
        <v>4953.086</v>
      </c>
      <c r="G655" s="40">
        <f>IFERROR(__xludf.DUMMYFUNCTION("IMPORTRANGE(""https://docs.google.com/spreadsheets/d/10a85iNN0y9GF6ngQfF1JXGAzFk-T7ywH4-TZtQcOTaE/edit"",""25!e41"")"),1896.0)</f>
        <v>1896</v>
      </c>
      <c r="H655" s="40">
        <f>IFERROR(__xludf.DUMMYFUNCTION("IMPORTRANGE(""https://docs.google.com/spreadsheets/d/10a85iNN0y9GF6ngQfF1JXGAzFk-T7ywH4-TZtQcOTaE/edit"",""25!e42"")"),139.0)</f>
        <v>139</v>
      </c>
      <c r="I655" s="40">
        <f t="shared" si="1815"/>
        <v>2035</v>
      </c>
      <c r="J655" s="40">
        <f>IFERROR(__xludf.DUMMYFUNCTION("IMPORTRANGE(""https://docs.google.com/spreadsheets/d/10a85iNN0y9GF6ngQfF1JXGAzFk-T7ywH4-TZtQcOTaE/edit"",""25!e45"")"),1899.0)</f>
        <v>1899</v>
      </c>
      <c r="K655" s="40">
        <f>IFERROR(__xludf.DUMMYFUNCTION("IMPORTRANGE(""https://docs.google.com/spreadsheets/d/10a85iNN0y9GF6ngQfF1JXGAzFk-T7ywH4-TZtQcOTaE/edit"",""25!e46"")"),77.0)</f>
        <v>77</v>
      </c>
      <c r="L655" s="40">
        <f t="shared" si="1816"/>
        <v>1976</v>
      </c>
      <c r="M655" s="40">
        <f t="shared" si="1817"/>
        <v>4011</v>
      </c>
      <c r="N655" s="41">
        <f t="shared" si="1818"/>
        <v>190.5033077</v>
      </c>
      <c r="O655" s="38">
        <v>7315.0</v>
      </c>
      <c r="P655" s="42">
        <f t="shared" si="1819"/>
        <v>0.5483253589</v>
      </c>
      <c r="Q655" s="43">
        <v>1.5</v>
      </c>
      <c r="R655" s="42">
        <f t="shared" si="1820"/>
        <v>0.5398654495</v>
      </c>
      <c r="S655" s="44">
        <f t="shared" si="1821"/>
        <v>0.8097981743</v>
      </c>
      <c r="T655" s="43">
        <f>F655/30.897</f>
        <v>160.3096093</v>
      </c>
      <c r="U655" s="43">
        <f t="shared" si="1822"/>
        <v>6.165754206</v>
      </c>
      <c r="V655" s="40">
        <f t="shared" si="1823"/>
        <v>154.2692308</v>
      </c>
      <c r="X655" s="22">
        <v>5.0</v>
      </c>
      <c r="Y655" s="22" t="s">
        <v>29</v>
      </c>
      <c r="Z655" s="22">
        <f t="shared" ref="Z655:AI655" si="1824">SUM(D670)</f>
        <v>24</v>
      </c>
      <c r="AA655" s="23">
        <f t="shared" si="1824"/>
        <v>24</v>
      </c>
      <c r="AB655" s="24">
        <f t="shared" si="1824"/>
        <v>4790.992</v>
      </c>
      <c r="AC655" s="23">
        <f t="shared" si="1824"/>
        <v>2115</v>
      </c>
      <c r="AD655" s="23">
        <f t="shared" si="1824"/>
        <v>0</v>
      </c>
      <c r="AE655" s="23">
        <f t="shared" si="1824"/>
        <v>2115</v>
      </c>
      <c r="AF655" s="23">
        <f t="shared" si="1824"/>
        <v>2967</v>
      </c>
      <c r="AG655" s="23">
        <f t="shared" si="1824"/>
        <v>116</v>
      </c>
      <c r="AH655" s="23">
        <f t="shared" si="1824"/>
        <v>3083</v>
      </c>
      <c r="AI655" s="23">
        <f t="shared" si="1824"/>
        <v>5198</v>
      </c>
      <c r="AJ655" s="25">
        <f t="shared" ref="AJ655:AJ657" si="1827">AB655/AA655</f>
        <v>199.6246667</v>
      </c>
      <c r="AK655" s="22">
        <f t="shared" ref="AK655:AK656" si="1828">SUM(O670)</f>
        <v>9201</v>
      </c>
      <c r="AL655" s="26">
        <f t="shared" si="1805"/>
        <v>0.5649385936</v>
      </c>
      <c r="AM655" s="27">
        <f t="shared" ref="AM655:AM656" si="1829">SUM(Q670)</f>
        <v>1.5</v>
      </c>
      <c r="AN655" s="26">
        <f t="shared" si="1807"/>
        <v>0.7233018409</v>
      </c>
      <c r="AO655" s="28">
        <f t="shared" si="1808"/>
        <v>1.084952761</v>
      </c>
      <c r="AP655" s="27">
        <f t="shared" ref="AP655:AQ655" si="1825">SUM(T670)</f>
        <v>184</v>
      </c>
      <c r="AQ655" s="27">
        <f t="shared" si="1825"/>
        <v>7.666666667</v>
      </c>
      <c r="AR655" s="23">
        <f t="shared" si="1810"/>
        <v>216.5833333</v>
      </c>
    </row>
    <row r="656" ht="15.75" customHeight="1">
      <c r="A656" s="21"/>
      <c r="B656" s="38">
        <v>3.0</v>
      </c>
      <c r="C656" s="38" t="s">
        <v>30</v>
      </c>
      <c r="D656" s="39">
        <v>48.0</v>
      </c>
      <c r="E656" s="40">
        <f>IFERROR(__xludf.DUMMYFUNCTION("COUNT(IMPORTRANGE(""https://docs.google.com/spreadsheets/d/1WojVzHhpzodJL1e5UDHeu3A3u5MTSZwvxHu0BrwvL9w/edit"",""25!d2:d61""))"),47.0)</f>
        <v>47</v>
      </c>
      <c r="F656" s="45">
        <f>IFERROR(__xludf.DUMMYFUNCTION("SUM(IMPORTRANGE(""https://docs.google.com/spreadsheets/d/1WojVzHhpzodJL1e5UDHeu3A3u5MTSZwvxHu0BrwvL9w/edit"",""25!Q2:Q61""))"),8952.720999999998)</f>
        <v>8952.721</v>
      </c>
      <c r="G656" s="40">
        <f>IFERROR(__xludf.DUMMYFUNCTION("IMPORTRANGE(""https://docs.google.com/spreadsheets/d/1WojVzHhpzodJL1e5UDHeu3A3u5MTSZwvxHu0BrwvL9w/edit"",""25!e68"")"),2602.0)</f>
        <v>2602</v>
      </c>
      <c r="H656" s="40">
        <f>IFERROR(__xludf.DUMMYFUNCTION("IMPORTRANGE(""https://docs.google.com/spreadsheets/d/1WojVzHhpzodJL1e5UDHeu3A3u5MTSZwvxHu0BrwvL9w/edit"",""25!e69"")"),0.0)</f>
        <v>0</v>
      </c>
      <c r="I656" s="40">
        <f t="shared" si="1815"/>
        <v>2602</v>
      </c>
      <c r="J656" s="40">
        <f>IFERROR(__xludf.DUMMYFUNCTION("IMPORTRANGE(""https://docs.google.com/spreadsheets/d/1WojVzHhpzodJL1e5UDHeu3A3u5MTSZwvxHu0BrwvL9w/edit"",""25!e72"")"),4043.0)</f>
        <v>4043</v>
      </c>
      <c r="K656" s="40">
        <f>IFERROR(__xludf.DUMMYFUNCTION("IMPORTRANGE(""https://docs.google.com/spreadsheets/d/1WojVzHhpzodJL1e5UDHeu3A3u5MTSZwvxHu0BrwvL9w/edit"",""25!e73"")"),0.0)</f>
        <v>0</v>
      </c>
      <c r="L656" s="40">
        <f t="shared" si="1816"/>
        <v>4043</v>
      </c>
      <c r="M656" s="40">
        <f t="shared" si="1817"/>
        <v>6645</v>
      </c>
      <c r="N656" s="41">
        <f t="shared" si="1818"/>
        <v>190.4834255</v>
      </c>
      <c r="O656" s="38">
        <v>11164.0</v>
      </c>
      <c r="P656" s="42">
        <f t="shared" si="1819"/>
        <v>0.5952167682</v>
      </c>
      <c r="Q656" s="43">
        <v>1.5</v>
      </c>
      <c r="R656" s="42">
        <f t="shared" si="1820"/>
        <v>0.4948216302</v>
      </c>
      <c r="S656" s="44">
        <f t="shared" si="1821"/>
        <v>0.7422324453</v>
      </c>
      <c r="T656" s="43">
        <f>F656/29.603</f>
        <v>302.4261392</v>
      </c>
      <c r="U656" s="43">
        <f t="shared" si="1822"/>
        <v>6.434598707</v>
      </c>
      <c r="V656" s="40">
        <f t="shared" si="1823"/>
        <v>141.3829787</v>
      </c>
      <c r="X656" s="22">
        <v>6.0</v>
      </c>
      <c r="Y656" s="22" t="s">
        <v>31</v>
      </c>
      <c r="Z656" s="22">
        <f t="shared" ref="Z656:AI656" si="1826">SUM(D671)</f>
        <v>12</v>
      </c>
      <c r="AA656" s="23">
        <f t="shared" si="1826"/>
        <v>10</v>
      </c>
      <c r="AB656" s="25">
        <f t="shared" si="1826"/>
        <v>1955.925</v>
      </c>
      <c r="AC656" s="23">
        <f t="shared" si="1826"/>
        <v>626</v>
      </c>
      <c r="AD656" s="23">
        <f t="shared" si="1826"/>
        <v>8</v>
      </c>
      <c r="AE656" s="23">
        <f t="shared" si="1826"/>
        <v>634</v>
      </c>
      <c r="AF656" s="23">
        <f t="shared" si="1826"/>
        <v>639</v>
      </c>
      <c r="AG656" s="23">
        <f t="shared" si="1826"/>
        <v>0</v>
      </c>
      <c r="AH656" s="23">
        <f t="shared" si="1826"/>
        <v>639</v>
      </c>
      <c r="AI656" s="23">
        <f t="shared" si="1826"/>
        <v>1273</v>
      </c>
      <c r="AJ656" s="25">
        <f t="shared" si="1827"/>
        <v>195.5925</v>
      </c>
      <c r="AK656" s="22">
        <f t="shared" si="1828"/>
        <v>2717</v>
      </c>
      <c r="AL656" s="26">
        <f t="shared" si="1805"/>
        <v>0.4685314685</v>
      </c>
      <c r="AM656" s="27">
        <f t="shared" si="1829"/>
        <v>1.5</v>
      </c>
      <c r="AN656" s="26">
        <f t="shared" si="1807"/>
        <v>0.433895301</v>
      </c>
      <c r="AO656" s="28">
        <f t="shared" si="1808"/>
        <v>0.6508429515</v>
      </c>
      <c r="AP656" s="27">
        <f t="shared" ref="AP656:AQ656" si="1830">SUM(T671)</f>
        <v>45</v>
      </c>
      <c r="AQ656" s="27">
        <f t="shared" si="1830"/>
        <v>4.5</v>
      </c>
      <c r="AR656" s="23">
        <f t="shared" si="1810"/>
        <v>127.3</v>
      </c>
    </row>
    <row r="657" ht="15.75" customHeight="1">
      <c r="A657" s="21"/>
      <c r="B657" s="38">
        <v>4.0</v>
      </c>
      <c r="C657" s="38" t="s">
        <v>32</v>
      </c>
      <c r="D657" s="39">
        <v>33.0</v>
      </c>
      <c r="E657" s="40">
        <f>IFERROR(__xludf.DUMMYFUNCTION("COUNT(IMPORTRANGE(""https://docs.google.com/spreadsheets/d/1vmCj5YcMSPHj1m64syDndQ6cqVL3yolcU03Y8KHmvdc/edit"",""25!d2:d43""))"),33.0)</f>
        <v>33</v>
      </c>
      <c r="F657" s="45">
        <f>IFERROR(__xludf.DUMMYFUNCTION("SUM(IMPORTRANGE(""https://docs.google.com/spreadsheets/d/1vmCj5YcMSPHj1m64syDndQ6cqVL3yolcU03Y8KHmvdc/edit"",""25!Q2:Q43""))"),6447.872999999994)</f>
        <v>6447.873</v>
      </c>
      <c r="G657" s="38">
        <f>IFERROR(__xludf.DUMMYFUNCTION("IMPORTRANGE(""https://docs.google.com/spreadsheets/d/1vmCj5YcMSPHj1m64syDndQ6cqVL3yolcU03Y8KHmvdc/edit"",""25!e50"")"),3761.0)</f>
        <v>3761</v>
      </c>
      <c r="H657" s="38">
        <f>IFERROR(__xludf.DUMMYFUNCTION("IMPORTRANGE(""https://docs.google.com/spreadsheets/d/1vmCj5YcMSPHj1m64syDndQ6cqVL3yolcU03Y8KHmvdc/edit"",""25!e51"")"),101.0)</f>
        <v>101</v>
      </c>
      <c r="I657" s="40">
        <f t="shared" si="1815"/>
        <v>3862</v>
      </c>
      <c r="J657" s="38">
        <f>IFERROR(__xludf.DUMMYFUNCTION("IMPORTRANGE(""https://docs.google.com/spreadsheets/d/1vmCj5YcMSPHj1m64syDndQ6cqVL3yolcU03Y8KHmvdc/edit"",""25!e54"")"),4134.0)</f>
        <v>4134</v>
      </c>
      <c r="K657" s="38">
        <f>IFERROR(__xludf.DUMMYFUNCTION("IMPORTRANGE(""https://docs.google.com/spreadsheets/d/1vmCj5YcMSPHj1m64syDndQ6cqVL3yolcU03Y8KHmvdc/edit"",""25!e55"")"),0.0)</f>
        <v>0</v>
      </c>
      <c r="L657" s="40">
        <f t="shared" si="1816"/>
        <v>4134</v>
      </c>
      <c r="M657" s="40">
        <f t="shared" si="1817"/>
        <v>7996</v>
      </c>
      <c r="N657" s="41">
        <f t="shared" si="1818"/>
        <v>195.3900909</v>
      </c>
      <c r="O657" s="38">
        <v>13817.0</v>
      </c>
      <c r="P657" s="42">
        <f t="shared" si="1819"/>
        <v>0.5787073894</v>
      </c>
      <c r="Q657" s="43">
        <v>1.5</v>
      </c>
      <c r="R657" s="42">
        <f t="shared" si="1820"/>
        <v>0.8267325778</v>
      </c>
      <c r="S657" s="44">
        <f t="shared" si="1821"/>
        <v>1.240098867</v>
      </c>
      <c r="T657" s="43">
        <f>F657/25.089</f>
        <v>257</v>
      </c>
      <c r="U657" s="43">
        <f t="shared" si="1822"/>
        <v>7.787878788</v>
      </c>
      <c r="V657" s="40">
        <f t="shared" si="1823"/>
        <v>242.3030303</v>
      </c>
      <c r="X657" s="46" t="s">
        <v>33</v>
      </c>
      <c r="Y657" s="46">
        <v>6.0</v>
      </c>
      <c r="Z657" s="46">
        <f t="shared" ref="Z657:AI657" si="1831">SUM(Z651:Z656)</f>
        <v>152</v>
      </c>
      <c r="AA657" s="47">
        <f t="shared" si="1831"/>
        <v>146</v>
      </c>
      <c r="AB657" s="48">
        <f t="shared" si="1831"/>
        <v>28443.885</v>
      </c>
      <c r="AC657" s="47">
        <f t="shared" si="1831"/>
        <v>8747</v>
      </c>
      <c r="AD657" s="47">
        <f t="shared" si="1831"/>
        <v>481</v>
      </c>
      <c r="AE657" s="47">
        <f t="shared" si="1831"/>
        <v>9228</v>
      </c>
      <c r="AF657" s="47">
        <f t="shared" si="1831"/>
        <v>11672</v>
      </c>
      <c r="AG657" s="47">
        <f t="shared" si="1831"/>
        <v>461</v>
      </c>
      <c r="AH657" s="47">
        <f t="shared" si="1831"/>
        <v>12133</v>
      </c>
      <c r="AI657" s="47">
        <f t="shared" si="1831"/>
        <v>21361</v>
      </c>
      <c r="AJ657" s="49">
        <f t="shared" si="1827"/>
        <v>194.8211301</v>
      </c>
      <c r="AK657" s="46">
        <f>SUM(AK651:AK656)</f>
        <v>35074</v>
      </c>
      <c r="AL657" s="50">
        <f t="shared" si="1805"/>
        <v>0.6090266294</v>
      </c>
      <c r="AM657" s="51">
        <v>1.5</v>
      </c>
      <c r="AN657" s="50">
        <f t="shared" si="1807"/>
        <v>0.5006582844</v>
      </c>
      <c r="AO657" s="52">
        <f t="shared" si="1808"/>
        <v>0.7509874266</v>
      </c>
      <c r="AP657" s="51">
        <f>SUM(AP651:AP656)</f>
        <v>1073.805724</v>
      </c>
      <c r="AQ657" s="51">
        <f>AP657/AA657</f>
        <v>7.354833729</v>
      </c>
      <c r="AR657" s="47">
        <f t="shared" si="1810"/>
        <v>146.3082192</v>
      </c>
    </row>
    <row r="658" ht="15.75" customHeight="1">
      <c r="A658" s="21"/>
      <c r="B658" s="38">
        <v>5.0</v>
      </c>
      <c r="C658" s="38" t="s">
        <v>34</v>
      </c>
      <c r="D658" s="39">
        <v>32.0</v>
      </c>
      <c r="E658" s="40">
        <f>IFERROR(__xludf.DUMMYFUNCTION("COUNT(IMPORTRANGE(""https://docs.google.com/spreadsheets/d/14_Y-fpuq1wcec3DlT_1PBYekOC0YblQMrWVfO12YO3k/edit"",""25!d2:d41""))"),31.0)</f>
        <v>31</v>
      </c>
      <c r="F658" s="45">
        <f>IFERROR(__xludf.DUMMYFUNCTION("SUM(IMPORTRANGE(""https://docs.google.com/spreadsheets/d/14_Y-fpuq1wcec3DlT_1PBYekOC0YblQMrWVfO12YO3k/edit"",""25!Q2:Q41""))"),6037.911000000002)</f>
        <v>6037.911</v>
      </c>
      <c r="G658" s="40">
        <f>IFERROR(__xludf.DUMMYFUNCTION("IMPORTRANGE(""https://docs.google.com/spreadsheets/d/14_Y-fpuq1wcec3DlT_1PBYekOC0YblQMrWVfO12YO3k/edit"",""25!e48"")"),1849.0)</f>
        <v>1849</v>
      </c>
      <c r="H658" s="40">
        <f>IFERROR(__xludf.DUMMYFUNCTION("IMPORTRANGE(""https://docs.google.com/spreadsheets/d/14_Y-fpuq1wcec3DlT_1PBYekOC0YblQMrWVfO12YO3k/edit"",""25!e49"")"),79.0)</f>
        <v>79</v>
      </c>
      <c r="I658" s="40">
        <f t="shared" si="1815"/>
        <v>1928</v>
      </c>
      <c r="J658" s="40">
        <f>IFERROR(__xludf.DUMMYFUNCTION("IMPORTRANGE(""https://docs.google.com/spreadsheets/d/14_Y-fpuq1wcec3DlT_1PBYekOC0YblQMrWVfO12YO3k/edit"",""25!e52"")"),2446.0)</f>
        <v>2446</v>
      </c>
      <c r="K658" s="40">
        <f>IFERROR(__xludf.DUMMYFUNCTION("IMPORTRANGE(""https://docs.google.com/spreadsheets/d/14_Y-fpuq1wcec3DlT_1PBYekOC0YblQMrWVfO12YO3k/edit"",""25!e53"")"),85.0)</f>
        <v>85</v>
      </c>
      <c r="L658" s="40">
        <f t="shared" si="1816"/>
        <v>2531</v>
      </c>
      <c r="M658" s="40">
        <f t="shared" si="1817"/>
        <v>4459</v>
      </c>
      <c r="N658" s="41">
        <f t="shared" si="1818"/>
        <v>194.7713226</v>
      </c>
      <c r="O658" s="38">
        <v>9354.0</v>
      </c>
      <c r="P658" s="42">
        <f t="shared" si="1819"/>
        <v>0.4766944623</v>
      </c>
      <c r="Q658" s="43">
        <v>1.5</v>
      </c>
      <c r="R658" s="42">
        <f t="shared" si="1820"/>
        <v>0.4923336344</v>
      </c>
      <c r="S658" s="44">
        <f t="shared" si="1821"/>
        <v>0.7385004516</v>
      </c>
      <c r="T658" s="43">
        <f>F658/30.713</f>
        <v>196.5913782</v>
      </c>
      <c r="U658" s="43">
        <f t="shared" si="1822"/>
        <v>6.341657363</v>
      </c>
      <c r="V658" s="40">
        <f t="shared" si="1823"/>
        <v>143.8387097</v>
      </c>
      <c r="X658" s="53" t="s">
        <v>35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6"/>
    </row>
    <row r="659" ht="15.75" customHeight="1">
      <c r="A659" s="21"/>
      <c r="B659" s="38">
        <v>6.0</v>
      </c>
      <c r="C659" s="38" t="s">
        <v>23</v>
      </c>
      <c r="D659" s="39">
        <v>28.0</v>
      </c>
      <c r="E659" s="40">
        <f>IFERROR(__xludf.DUMMYFUNCTION("COUNT(IMPORTRANGE(""https://docs.google.com/spreadsheets/d/1lJqjdj05V4LOXuBOiTdE65GV4ZITyx1cMLcDdcuoUnE/edit"",""25!d2:d36""))"),27.0)</f>
        <v>27</v>
      </c>
      <c r="F659" s="45">
        <f>IFERROR(__xludf.DUMMYFUNCTION("SUM(IMPORTRANGE(""https://docs.google.com/spreadsheets/d/1lJqjdj05V4LOXuBOiTdE65GV4ZITyx1cMLcDdcuoUnE/edit"",""25!Q2:Q36""))"),5297.1799999999985)</f>
        <v>5297.18</v>
      </c>
      <c r="G659" s="40">
        <f>IFERROR(__xludf.DUMMYFUNCTION("IMPORTRANGE(""https://docs.google.com/spreadsheets/d/1lJqjdj05V4LOXuBOiTdE65GV4ZITyx1cMLcDdcuoUnE/edit"",""25!e43"")"),1328.0)</f>
        <v>1328</v>
      </c>
      <c r="H659" s="40">
        <f>IFERROR(__xludf.DUMMYFUNCTION("IMPORTRANGE(""https://docs.google.com/spreadsheets/d/1lJqjdj05V4LOXuBOiTdE65GV4ZITyx1cMLcDdcuoUnE/edit"",""25!e44"")"),0.0)</f>
        <v>0</v>
      </c>
      <c r="I659" s="40">
        <f t="shared" si="1815"/>
        <v>1328</v>
      </c>
      <c r="J659" s="40">
        <f>IFERROR(__xludf.DUMMYFUNCTION("IMPORTRANGE(""https://docs.google.com/spreadsheets/d/1lJqjdj05V4LOXuBOiTdE65GV4ZITyx1cMLcDdcuoUnE/edit"",""25!e47"")"),2356.0)</f>
        <v>2356</v>
      </c>
      <c r="K659" s="40">
        <f>IFERROR(__xludf.DUMMYFUNCTION("IMPORTRANGE(""https://docs.google.com/spreadsheets/d/1lJqjdj05V4LOXuBOiTdE65GV4ZITyx1cMLcDdcuoUnE/edit"",""25!e48"")"),0.0)</f>
        <v>0</v>
      </c>
      <c r="L659" s="40">
        <f t="shared" si="1816"/>
        <v>2356</v>
      </c>
      <c r="M659" s="40">
        <f t="shared" si="1817"/>
        <v>3684</v>
      </c>
      <c r="N659" s="41">
        <f t="shared" si="1818"/>
        <v>196.1918519</v>
      </c>
      <c r="O659" s="38">
        <v>6853.0</v>
      </c>
      <c r="P659" s="42">
        <f t="shared" si="1819"/>
        <v>0.5375747848</v>
      </c>
      <c r="Q659" s="43">
        <v>1.5</v>
      </c>
      <c r="R659" s="42">
        <f t="shared" si="1820"/>
        <v>0.4636429194</v>
      </c>
      <c r="S659" s="44">
        <f t="shared" si="1821"/>
        <v>0.6954643792</v>
      </c>
      <c r="T659" s="43">
        <f>F659/33.74</f>
        <v>157</v>
      </c>
      <c r="U659" s="43">
        <f t="shared" si="1822"/>
        <v>5.814814815</v>
      </c>
      <c r="V659" s="40">
        <f t="shared" si="1823"/>
        <v>136.4444444</v>
      </c>
      <c r="X659" s="14" t="s">
        <v>2</v>
      </c>
      <c r="Y659" s="14" t="s">
        <v>3</v>
      </c>
      <c r="Z659" s="14" t="s">
        <v>4</v>
      </c>
      <c r="AA659" s="14" t="s">
        <v>5</v>
      </c>
      <c r="AB659" s="15" t="s">
        <v>6</v>
      </c>
      <c r="AC659" s="14" t="s">
        <v>7</v>
      </c>
      <c r="AD659" s="14" t="s">
        <v>8</v>
      </c>
      <c r="AE659" s="14" t="s">
        <v>9</v>
      </c>
      <c r="AF659" s="14" t="s">
        <v>10</v>
      </c>
      <c r="AG659" s="14" t="s">
        <v>11</v>
      </c>
      <c r="AH659" s="14" t="s">
        <v>12</v>
      </c>
      <c r="AI659" s="14" t="s">
        <v>13</v>
      </c>
      <c r="AJ659" s="15" t="s">
        <v>14</v>
      </c>
      <c r="AK659" s="14" t="s">
        <v>15</v>
      </c>
      <c r="AL659" s="14" t="s">
        <v>16</v>
      </c>
      <c r="AM659" s="16" t="s">
        <v>17</v>
      </c>
      <c r="AN659" s="17" t="s">
        <v>18</v>
      </c>
      <c r="AO659" s="18" t="s">
        <v>19</v>
      </c>
      <c r="AP659" s="19" t="s">
        <v>20</v>
      </c>
      <c r="AQ659" s="19" t="s">
        <v>21</v>
      </c>
      <c r="AR659" s="20" t="s">
        <v>22</v>
      </c>
    </row>
    <row r="660" ht="15.75" customHeight="1">
      <c r="A660" s="21"/>
      <c r="B660" s="38">
        <v>7.0</v>
      </c>
      <c r="C660" s="38" t="s">
        <v>24</v>
      </c>
      <c r="D660" s="39">
        <v>37.0</v>
      </c>
      <c r="E660" s="54">
        <f>IFERROR(__xludf.DUMMYFUNCTION("COUNT(IMPORTRANGE(""https://docs.google.com/spreadsheets/d/1_7EEO26q9Yq-XhNFiy7I6Zh4Yg6uGjTs9y0UqNvPKcQ/edit"",""25!d2:d45""))"),37.0)</f>
        <v>37</v>
      </c>
      <c r="F660" s="55">
        <f>IFERROR(__xludf.DUMMYFUNCTION("SUM(IMPORTRANGE(""https://docs.google.com/spreadsheets/d/1_7EEO26q9Yq-XhNFiy7I6Zh4Yg6uGjTs9y0UqNvPKcQ/edit"",""25!Q2:Q45""))"),7090.191999999995)</f>
        <v>7090.192</v>
      </c>
      <c r="G660" s="54">
        <f>IFERROR(__xludf.DUMMYFUNCTION("IMPORTRANGE(""https://docs.google.com/spreadsheets/d/1_7EEO26q9Yq-XhNFiy7I6Zh4Yg6uGjTs9y0UqNvPKcQ/edit"",""25!e53"")"),854.0)</f>
        <v>854</v>
      </c>
      <c r="H660" s="54">
        <f>IFERROR(__xludf.DUMMYFUNCTION("IMPORTRANGE(""https://docs.google.com/spreadsheets/d/1_7EEO26q9Yq-XhNFiy7I6Zh4Yg6uGjTs9y0UqNvPKcQ/edit"",""25!e54"")"),11.0)</f>
        <v>11</v>
      </c>
      <c r="I660" s="54">
        <f t="shared" si="1815"/>
        <v>865</v>
      </c>
      <c r="J660" s="54">
        <f>IFERROR(__xludf.DUMMYFUNCTION("IMPORTRANGE(""https://docs.google.com/spreadsheets/d/1_7EEO26q9Yq-XhNFiy7I6Zh4Yg6uGjTs9y0UqNvPKcQ/edit"",""25!e57"")"),967.0)</f>
        <v>967</v>
      </c>
      <c r="K660" s="54">
        <f>IFERROR(__xludf.DUMMYFUNCTION("IMPORTRANGE(""https://docs.google.com/spreadsheets/d/1_7EEO26q9Yq-XhNFiy7I6Zh4Yg6uGjTs9y0UqNvPKcQ/edit"",""25!e58"")"),0.0)</f>
        <v>0</v>
      </c>
      <c r="L660" s="40">
        <f t="shared" si="1816"/>
        <v>967</v>
      </c>
      <c r="M660" s="40">
        <f t="shared" si="1817"/>
        <v>1832</v>
      </c>
      <c r="N660" s="41">
        <f t="shared" si="1818"/>
        <v>191.6268108</v>
      </c>
      <c r="O660" s="38">
        <v>1580.0</v>
      </c>
      <c r="P660" s="56">
        <f t="shared" si="1819"/>
        <v>1.159493671</v>
      </c>
      <c r="Q660" s="43">
        <v>1.5</v>
      </c>
      <c r="R660" s="42">
        <f t="shared" si="1820"/>
        <v>0.1722567363</v>
      </c>
      <c r="S660" s="44">
        <f t="shared" si="1821"/>
        <v>0.2583851044</v>
      </c>
      <c r="T660" s="43">
        <f>F660/26.805</f>
        <v>264.5100541</v>
      </c>
      <c r="U660" s="43">
        <f t="shared" si="1822"/>
        <v>7.148920381</v>
      </c>
      <c r="V660" s="40">
        <f t="shared" si="1823"/>
        <v>49.51351351</v>
      </c>
      <c r="X660" s="22">
        <v>1.0</v>
      </c>
      <c r="Y660" s="22" t="s">
        <v>28</v>
      </c>
      <c r="Z660" s="22">
        <f t="shared" ref="Z660:AI660" si="1832">SUM(D655)</f>
        <v>26</v>
      </c>
      <c r="AA660" s="23">
        <f t="shared" si="1832"/>
        <v>26</v>
      </c>
      <c r="AB660" s="25">
        <f t="shared" si="1832"/>
        <v>4953.086</v>
      </c>
      <c r="AC660" s="23">
        <f t="shared" si="1832"/>
        <v>1896</v>
      </c>
      <c r="AD660" s="23">
        <f t="shared" si="1832"/>
        <v>139</v>
      </c>
      <c r="AE660" s="23">
        <f t="shared" si="1832"/>
        <v>2035</v>
      </c>
      <c r="AF660" s="23">
        <f t="shared" si="1832"/>
        <v>1899</v>
      </c>
      <c r="AG660" s="23">
        <f t="shared" si="1832"/>
        <v>77</v>
      </c>
      <c r="AH660" s="23">
        <f t="shared" si="1832"/>
        <v>1976</v>
      </c>
      <c r="AI660" s="23">
        <f t="shared" si="1832"/>
        <v>4011</v>
      </c>
      <c r="AJ660" s="25">
        <f t="shared" ref="AJ660:AJ666" si="1835">AB660/AA660</f>
        <v>190.5033077</v>
      </c>
      <c r="AK660" s="22">
        <f t="shared" ref="AK660:AK661" si="1836">SUM(O655)</f>
        <v>7315</v>
      </c>
      <c r="AL660" s="26">
        <f t="shared" ref="AL660:AL666" si="1837">AI660/AK660</f>
        <v>0.5483253589</v>
      </c>
      <c r="AM660" s="27">
        <f t="shared" ref="AM660:AM661" si="1838">SUM(Q655)</f>
        <v>1.5</v>
      </c>
      <c r="AN660" s="26">
        <f t="shared" ref="AN660:AN666" si="1839">AO660/AM660</f>
        <v>0.5398654495</v>
      </c>
      <c r="AO660" s="28">
        <f t="shared" ref="AO660:AO666" si="1840">AI660/AB660</f>
        <v>0.8097981743</v>
      </c>
      <c r="AP660" s="27">
        <f t="shared" ref="AP660:AQ660" si="1833">SUM(T655)</f>
        <v>160.3096093</v>
      </c>
      <c r="AQ660" s="27">
        <f t="shared" si="1833"/>
        <v>6.165754206</v>
      </c>
      <c r="AR660" s="23">
        <f t="shared" ref="AR660:AR666" si="1842">AI660/AA660</f>
        <v>154.2692308</v>
      </c>
    </row>
    <row r="661" ht="15.75" customHeight="1">
      <c r="A661" s="21"/>
      <c r="B661" s="38">
        <v>8.0</v>
      </c>
      <c r="C661" s="38" t="s">
        <v>25</v>
      </c>
      <c r="D661" s="57">
        <v>27.0</v>
      </c>
      <c r="E661" s="40">
        <f>IFERROR(__xludf.DUMMYFUNCTION("COUNT(IMPORTRANGE(""https://docs.google.com/spreadsheets/d/1vLOLpiE-XsbnCnwWPcoi87PlUSXfqIAAQn3kvqHfO6s/edit"",""25!d2:D33""))"),27.0)</f>
        <v>27</v>
      </c>
      <c r="F661" s="45">
        <f>IFERROR(__xludf.DUMMYFUNCTION("SUM(IMPORTRANGE(""https://docs.google.com/spreadsheets/d/1vLOLpiE-XsbnCnwWPcoi87PlUSXfqIAAQn3kvqHfO6s/edit"",""25!Q2:Q33""))"),5256.7480000000005)</f>
        <v>5256.748</v>
      </c>
      <c r="G661" s="40">
        <f>IFERROR(__xludf.DUMMYFUNCTION("IMPORTRANGE(""https://docs.google.com/spreadsheets/d/1vLOLpiE-XsbnCnwWPcoi87PlUSXfqIAAQn3kvqHfO6s/edit"",""25!e40"")"),1957.0)</f>
        <v>1957</v>
      </c>
      <c r="H661" s="40">
        <f>IFERROR(__xludf.DUMMYFUNCTION("IMPORTRANGE(""https://docs.google.com/spreadsheets/d/1vLOLpiE-XsbnCnwWPcoi87PlUSXfqIAAQn3kvqHfO6s/edit"",""25!e41"")"),462.0)</f>
        <v>462</v>
      </c>
      <c r="I661" s="40">
        <f t="shared" si="1815"/>
        <v>2419</v>
      </c>
      <c r="J661" s="40">
        <f>IFERROR(__xludf.DUMMYFUNCTION("IMPORTRANGE(""https://docs.google.com/spreadsheets/d/1vLOLpiE-XsbnCnwWPcoi87PlUSXfqIAAQn3kvqHfO6s/edit"",""25!e44"")"),2402.0)</f>
        <v>2402</v>
      </c>
      <c r="K661" s="40">
        <f>IFERROR(__xludf.DUMMYFUNCTION("IMPORTRANGE(""https://docs.google.com/spreadsheets/d/1vLOLpiE-XsbnCnwWPcoi87PlUSXfqIAAQn3kvqHfO6s/edit"",""25!e45"")"),325.0)</f>
        <v>325</v>
      </c>
      <c r="L661" s="40">
        <f>J661+K661</f>
        <v>2727</v>
      </c>
      <c r="M661" s="40">
        <f t="shared" si="1817"/>
        <v>5146</v>
      </c>
      <c r="N661" s="41">
        <f t="shared" si="1818"/>
        <v>194.6943704</v>
      </c>
      <c r="O661" s="38">
        <v>6622.0</v>
      </c>
      <c r="P661" s="42">
        <f t="shared" si="1819"/>
        <v>0.7771066143</v>
      </c>
      <c r="Q661" s="43">
        <v>1.5</v>
      </c>
      <c r="R661" s="42">
        <f t="shared" si="1820"/>
        <v>0.6526214813</v>
      </c>
      <c r="S661" s="44">
        <f t="shared" si="1821"/>
        <v>0.978932222</v>
      </c>
      <c r="T661" s="43">
        <f>F661/23.84</f>
        <v>220.5011745</v>
      </c>
      <c r="U661" s="43">
        <f t="shared" si="1822"/>
        <v>8.166710167</v>
      </c>
      <c r="V661" s="40">
        <f t="shared" si="1823"/>
        <v>190.5925926</v>
      </c>
      <c r="X661" s="31">
        <v>2.0</v>
      </c>
      <c r="Y661" s="31" t="s">
        <v>30</v>
      </c>
      <c r="Z661" s="31">
        <f t="shared" ref="Z661:AI661" si="1834">SUM(D656)</f>
        <v>48</v>
      </c>
      <c r="AA661" s="32">
        <f t="shared" si="1834"/>
        <v>47</v>
      </c>
      <c r="AB661" s="33">
        <f t="shared" si="1834"/>
        <v>8952.721</v>
      </c>
      <c r="AC661" s="32">
        <f t="shared" si="1834"/>
        <v>2602</v>
      </c>
      <c r="AD661" s="32">
        <f t="shared" si="1834"/>
        <v>0</v>
      </c>
      <c r="AE661" s="32">
        <f t="shared" si="1834"/>
        <v>2602</v>
      </c>
      <c r="AF661" s="32">
        <f t="shared" si="1834"/>
        <v>4043</v>
      </c>
      <c r="AG661" s="32">
        <f t="shared" si="1834"/>
        <v>0</v>
      </c>
      <c r="AH661" s="32">
        <f t="shared" si="1834"/>
        <v>4043</v>
      </c>
      <c r="AI661" s="32">
        <f t="shared" si="1834"/>
        <v>6645</v>
      </c>
      <c r="AJ661" s="34">
        <f t="shared" si="1835"/>
        <v>190.4834255</v>
      </c>
      <c r="AK661" s="31">
        <f t="shared" si="1836"/>
        <v>11164</v>
      </c>
      <c r="AL661" s="35">
        <f t="shared" si="1837"/>
        <v>0.5952167682</v>
      </c>
      <c r="AM661" s="36">
        <f t="shared" si="1838"/>
        <v>1.5</v>
      </c>
      <c r="AN661" s="35">
        <f t="shared" si="1839"/>
        <v>0.4948216302</v>
      </c>
      <c r="AO661" s="37">
        <f t="shared" si="1840"/>
        <v>0.7422324453</v>
      </c>
      <c r="AP661" s="36">
        <f t="shared" ref="AP661:AQ661" si="1841">SUM(T656)</f>
        <v>302.4261392</v>
      </c>
      <c r="AQ661" s="36">
        <f t="shared" si="1841"/>
        <v>6.434598707</v>
      </c>
      <c r="AR661" s="32">
        <f t="shared" si="1842"/>
        <v>141.3829787</v>
      </c>
    </row>
    <row r="662" ht="15.75" customHeight="1">
      <c r="A662" s="21"/>
      <c r="B662" s="38">
        <v>9.0</v>
      </c>
      <c r="C662" s="38" t="s">
        <v>36</v>
      </c>
      <c r="D662" s="58">
        <v>23.0</v>
      </c>
      <c r="E662" s="40">
        <f>IFERROR(__xludf.DUMMYFUNCTION("COUNT(IMPORTRANGE(""https://docs.google.com/spreadsheets/d/1WJJVq25XDtGjt-J2JPxeKs3jIvDZtkIREC0lFPXwf74/edit"",""25!d2:d31""))"),23.0)</f>
        <v>23</v>
      </c>
      <c r="F662" s="45">
        <f>IFERROR(__xludf.DUMMYFUNCTION("SUM(IMPORTRANGE(""https://docs.google.com/spreadsheets/d/1WJJVq25XDtGjt-J2JPxeKs3jIvDZtkIREC0lFPXwf74/edit"",""25!Q2:Q31""))"),4484.891999999999)</f>
        <v>4484.892</v>
      </c>
      <c r="G662" s="40">
        <f>IFERROR(__xludf.DUMMYFUNCTION("IMPORTRANGE(""https://docs.google.com/spreadsheets/d/1WJJVq25XDtGjt-J2JPxeKs3jIvDZtkIREC0lFPXwf74/edit"",""25!e38"")"),1114.0)</f>
        <v>1114</v>
      </c>
      <c r="H662" s="40">
        <f>IFERROR(__xludf.DUMMYFUNCTION("IMPORTRANGE(""https://docs.google.com/spreadsheets/d/1WJJVq25XDtGjt-J2JPxeKs3jIvDZtkIREC0lFPXwf74/edit"",""25!e39"")"),0.0)</f>
        <v>0</v>
      </c>
      <c r="I662" s="40">
        <f t="shared" si="1815"/>
        <v>1114</v>
      </c>
      <c r="J662" s="40">
        <f>IFERROR(__xludf.DUMMYFUNCTION("IMPORTRANGE(""https://docs.google.com/spreadsheets/d/1WJJVq25XDtGjt-J2JPxeKs3jIvDZtkIREC0lFPXwf74/edit"",""25!e42"")"),1625.0)</f>
        <v>1625</v>
      </c>
      <c r="K662" s="40">
        <f>IFERROR(__xludf.DUMMYFUNCTION("IMPORTRANGE(""https://docs.google.com/spreadsheets/d/1WJJVq25XDtGjt-J2JPxeKs3jIvDZtkIREC0lFPXwf74/edit"",""25!e43"")"),0.0)</f>
        <v>0</v>
      </c>
      <c r="L662" s="40">
        <f t="shared" ref="L662:L671" si="1845">SUM(J662:K662)</f>
        <v>1625</v>
      </c>
      <c r="M662" s="40">
        <f t="shared" si="1817"/>
        <v>2739</v>
      </c>
      <c r="N662" s="41">
        <f t="shared" si="1818"/>
        <v>194.9953043</v>
      </c>
      <c r="O662" s="38">
        <v>4796.0</v>
      </c>
      <c r="P662" s="42">
        <f t="shared" si="1819"/>
        <v>0.5711009174</v>
      </c>
      <c r="Q662" s="43">
        <v>1.5</v>
      </c>
      <c r="R662" s="42">
        <f t="shared" si="1820"/>
        <v>0.4071446982</v>
      </c>
      <c r="S662" s="44">
        <f t="shared" si="1821"/>
        <v>0.6107170474</v>
      </c>
      <c r="T662" s="43">
        <f>F662/37.414</f>
        <v>119.8720265</v>
      </c>
      <c r="U662" s="43">
        <f t="shared" si="1822"/>
        <v>5.21182724</v>
      </c>
      <c r="V662" s="40">
        <f t="shared" si="1823"/>
        <v>119.0869565</v>
      </c>
      <c r="X662" s="22">
        <v>3.0</v>
      </c>
      <c r="Y662" s="22" t="s">
        <v>34</v>
      </c>
      <c r="Z662" s="22">
        <f t="shared" ref="Z662:AI662" si="1843">SUM(D658)</f>
        <v>32</v>
      </c>
      <c r="AA662" s="23">
        <f t="shared" si="1843"/>
        <v>31</v>
      </c>
      <c r="AB662" s="24">
        <f t="shared" si="1843"/>
        <v>6037.911</v>
      </c>
      <c r="AC662" s="23">
        <f t="shared" si="1843"/>
        <v>1849</v>
      </c>
      <c r="AD662" s="23">
        <f t="shared" si="1843"/>
        <v>79</v>
      </c>
      <c r="AE662" s="23">
        <f t="shared" si="1843"/>
        <v>1928</v>
      </c>
      <c r="AF662" s="23">
        <f t="shared" si="1843"/>
        <v>2446</v>
      </c>
      <c r="AG662" s="23">
        <f t="shared" si="1843"/>
        <v>85</v>
      </c>
      <c r="AH662" s="23">
        <f t="shared" si="1843"/>
        <v>2531</v>
      </c>
      <c r="AI662" s="23">
        <f t="shared" si="1843"/>
        <v>4459</v>
      </c>
      <c r="AJ662" s="25">
        <f t="shared" si="1835"/>
        <v>194.7713226</v>
      </c>
      <c r="AK662" s="22">
        <f>SUM(O658)</f>
        <v>9354</v>
      </c>
      <c r="AL662" s="26">
        <f t="shared" si="1837"/>
        <v>0.4766944623</v>
      </c>
      <c r="AM662" s="27">
        <f>SUM(Q658)</f>
        <v>1.5</v>
      </c>
      <c r="AN662" s="26">
        <f t="shared" si="1839"/>
        <v>0.4923336344</v>
      </c>
      <c r="AO662" s="28">
        <f t="shared" si="1840"/>
        <v>0.7385004516</v>
      </c>
      <c r="AP662" s="27">
        <f t="shared" ref="AP662:AQ662" si="1844">SUM(T658)</f>
        <v>196.5913782</v>
      </c>
      <c r="AQ662" s="27">
        <f t="shared" si="1844"/>
        <v>6.341657363</v>
      </c>
      <c r="AR662" s="23">
        <f t="shared" si="1842"/>
        <v>143.8387097</v>
      </c>
    </row>
    <row r="663" ht="15.75" customHeight="1">
      <c r="A663" s="21"/>
      <c r="B663" s="38">
        <v>10.0</v>
      </c>
      <c r="C663" s="38" t="s">
        <v>37</v>
      </c>
      <c r="D663" s="39">
        <v>24.0</v>
      </c>
      <c r="E663" s="40">
        <f>IFERROR(__xludf.DUMMYFUNCTION("COUNT(IMPORTRANGE(""https://docs.google.com/spreadsheets/d/1rJyYfywRpWJW0zvDJHLOJtqUQqffoCGaqTVxxTDgV0k/edit"",""25!d2:d31""))"),23.0)</f>
        <v>23</v>
      </c>
      <c r="F663" s="45">
        <f>IFERROR(__xludf.DUMMYFUNCTION("SUM(IMPORTRANGE(""https://docs.google.com/spreadsheets/d/1rJyYfywRpWJW0zvDJHLOJtqUQqffoCGaqTVxxTDgV0k/edit"",""25!Q2:Q31""))"),4349.460000000001)</f>
        <v>4349.46</v>
      </c>
      <c r="G663" s="40">
        <f>IFERROR(__xludf.DUMMYFUNCTION("(IMPORTRANGE(""https://docs.google.com/spreadsheets/d/1rJyYfywRpWJW0zvDJHLOJtqUQqffoCGaqTVxxTDgV0k/edit"",""25!e38""))"),1279.0)</f>
        <v>1279</v>
      </c>
      <c r="H663" s="40">
        <f>IFERROR(__xludf.DUMMYFUNCTION("(IMPORTRANGE(""https://docs.google.com/spreadsheets/d/1rJyYfywRpWJW0zvDJHLOJtqUQqffoCGaqTVxxTDgV0k/edit"",""25!e39""))"),0.0)</f>
        <v>0</v>
      </c>
      <c r="I663" s="40">
        <f t="shared" si="1815"/>
        <v>1279</v>
      </c>
      <c r="J663" s="40">
        <f>IFERROR(__xludf.DUMMYFUNCTION("(IMPORTRANGE(""https://docs.google.com/spreadsheets/d/1rJyYfywRpWJW0zvDJHLOJtqUQqffoCGaqTVxxTDgV0k/edit"",""25!e42""))"),2475.0)</f>
        <v>2475</v>
      </c>
      <c r="K663" s="40">
        <f>IFERROR(__xludf.DUMMYFUNCTION("(IMPORTRANGE(""https://docs.google.com/spreadsheets/d/1rJyYfywRpWJW0zvDJHLOJtqUQqffoCGaqTVxxTDgV0k/edit"",""25!e43""))"),0.0)</f>
        <v>0</v>
      </c>
      <c r="L663" s="40">
        <f t="shared" si="1845"/>
        <v>2475</v>
      </c>
      <c r="M663" s="40">
        <f t="shared" si="1817"/>
        <v>3754</v>
      </c>
      <c r="N663" s="41">
        <f t="shared" si="1818"/>
        <v>189.1069565</v>
      </c>
      <c r="O663" s="38">
        <v>5887.0</v>
      </c>
      <c r="P663" s="42">
        <f t="shared" si="1819"/>
        <v>0.6376762358</v>
      </c>
      <c r="Q663" s="43">
        <v>1.5</v>
      </c>
      <c r="R663" s="42">
        <f t="shared" si="1820"/>
        <v>0.5753970991</v>
      </c>
      <c r="S663" s="44">
        <f t="shared" si="1821"/>
        <v>0.8630956487</v>
      </c>
      <c r="T663" s="43">
        <f>F663/24.792</f>
        <v>175.4380445</v>
      </c>
      <c r="U663" s="43">
        <f t="shared" si="1822"/>
        <v>7.627741067</v>
      </c>
      <c r="V663" s="40">
        <f t="shared" si="1823"/>
        <v>163.2173913</v>
      </c>
      <c r="X663" s="31">
        <v>4.0</v>
      </c>
      <c r="Y663" s="31" t="s">
        <v>38</v>
      </c>
      <c r="Z663" s="31">
        <f t="shared" ref="Z663:AI663" si="1846">SUM(D666)</f>
        <v>24</v>
      </c>
      <c r="AA663" s="32">
        <f t="shared" si="1846"/>
        <v>24</v>
      </c>
      <c r="AB663" s="33">
        <f t="shared" si="1846"/>
        <v>4738.575</v>
      </c>
      <c r="AC663" s="32">
        <f t="shared" si="1846"/>
        <v>1509</v>
      </c>
      <c r="AD663" s="32">
        <f t="shared" si="1846"/>
        <v>0</v>
      </c>
      <c r="AE663" s="32">
        <f t="shared" si="1846"/>
        <v>1509</v>
      </c>
      <c r="AF663" s="32">
        <f t="shared" si="1846"/>
        <v>2201</v>
      </c>
      <c r="AG663" s="32">
        <f t="shared" si="1846"/>
        <v>212</v>
      </c>
      <c r="AH663" s="32">
        <f t="shared" si="1846"/>
        <v>2413</v>
      </c>
      <c r="AI663" s="32">
        <f t="shared" si="1846"/>
        <v>3922</v>
      </c>
      <c r="AJ663" s="34">
        <f t="shared" si="1835"/>
        <v>197.440625</v>
      </c>
      <c r="AK663" s="31">
        <v>7324.0</v>
      </c>
      <c r="AL663" s="35">
        <f t="shared" si="1837"/>
        <v>0.5354997269</v>
      </c>
      <c r="AM663" s="36">
        <f>SUM(Q666)</f>
        <v>1.5</v>
      </c>
      <c r="AN663" s="35">
        <f t="shared" si="1839"/>
        <v>0.5517833245</v>
      </c>
      <c r="AO663" s="37">
        <f t="shared" si="1840"/>
        <v>0.8276749867</v>
      </c>
      <c r="AP663" s="36">
        <f t="shared" ref="AP663:AQ663" si="1847">SUM(T666)</f>
        <v>115</v>
      </c>
      <c r="AQ663" s="36">
        <f t="shared" si="1847"/>
        <v>4.791666667</v>
      </c>
      <c r="AR663" s="32">
        <f t="shared" si="1842"/>
        <v>163.4166667</v>
      </c>
    </row>
    <row r="664" ht="15.75" customHeight="1">
      <c r="A664" s="21"/>
      <c r="B664" s="38">
        <v>12.0</v>
      </c>
      <c r="C664" s="38" t="s">
        <v>39</v>
      </c>
      <c r="D664" s="39">
        <v>22.0</v>
      </c>
      <c r="E664" s="40">
        <f>IFERROR(__xludf.DUMMYFUNCTION("COUNT(IMPORTRANGE(""https://docs.google.com/spreadsheets/d/1uaTn2DZCfr7O1PvovOd0wElzVz8kpl_iPfnrkNPp0Is/edit"",""25!d2:d29""))"),21.0)</f>
        <v>21</v>
      </c>
      <c r="F664" s="45">
        <f>IFERROR(__xludf.DUMMYFUNCTION("SUM(IMPORTRANGE(""https://docs.google.com/spreadsheets/d/1uaTn2DZCfr7O1PvovOd0wElzVz8kpl_iPfnrkNPp0Is/edit"",""25!Q2:Q29""))"),4083.4269999999997)</f>
        <v>4083.427</v>
      </c>
      <c r="G664" s="40">
        <f>IFERROR(__xludf.DUMMYFUNCTION("IMPORTRANGE(""https://docs.google.com/spreadsheets/d/1uaTn2DZCfr7O1PvovOd0wElzVz8kpl_iPfnrkNPp0Is/edit"",""25!e36"")"),899.0)</f>
        <v>899</v>
      </c>
      <c r="H664" s="40">
        <f>IFERROR(__xludf.DUMMYFUNCTION("(IMPORTRANGE(""https://docs.google.com/spreadsheets/d/1uaTn2DZCfr7O1PvovOd0wElzVz8kpl_iPfnrkNPp0Is/edit"",""25!e37""))"),0.0)</f>
        <v>0</v>
      </c>
      <c r="I664" s="40">
        <f t="shared" si="1815"/>
        <v>899</v>
      </c>
      <c r="J664" s="40">
        <f>IFERROR(__xludf.DUMMYFUNCTION("IMPORTRANGE(""https://docs.google.com/spreadsheets/d/1uaTn2DZCfr7O1PvovOd0wElzVz8kpl_iPfnrkNPp0Is/edit"",""25!e40"")"),1841.0)</f>
        <v>1841</v>
      </c>
      <c r="K664" s="40">
        <f>IFERROR(__xludf.DUMMYFUNCTION("IMPORTRANGE(""https://docs.google.com/spreadsheets/d/1uaTn2DZCfr7O1PvovOd0wElzVz8kpl_iPfnrkNPp0Is/edit"",""25!e41"")"),0.0)</f>
        <v>0</v>
      </c>
      <c r="L664" s="40">
        <f t="shared" si="1845"/>
        <v>1841</v>
      </c>
      <c r="M664" s="40">
        <f t="shared" si="1817"/>
        <v>2740</v>
      </c>
      <c r="N664" s="41">
        <f t="shared" si="1818"/>
        <v>194.4489048</v>
      </c>
      <c r="O664" s="38">
        <v>3569.0</v>
      </c>
      <c r="P664" s="42">
        <f t="shared" si="1819"/>
        <v>0.767722051</v>
      </c>
      <c r="Q664" s="43">
        <v>1.5</v>
      </c>
      <c r="R664" s="42">
        <f t="shared" si="1820"/>
        <v>0.4473366774</v>
      </c>
      <c r="S664" s="44">
        <f t="shared" si="1821"/>
        <v>0.6710050161</v>
      </c>
      <c r="T664" s="43">
        <f>F664/21.463</f>
        <v>190.2542515</v>
      </c>
      <c r="U664" s="43">
        <f t="shared" si="1822"/>
        <v>9.059726262</v>
      </c>
      <c r="V664" s="40">
        <f t="shared" si="1823"/>
        <v>130.4761905</v>
      </c>
      <c r="X664" s="31">
        <v>5.0</v>
      </c>
      <c r="Y664" s="31" t="s">
        <v>40</v>
      </c>
      <c r="Z664" s="31">
        <f t="shared" ref="Z664:AI664" si="1848">SUM(D668)</f>
        <v>24</v>
      </c>
      <c r="AA664" s="32">
        <f t="shared" si="1848"/>
        <v>24</v>
      </c>
      <c r="AB664" s="33">
        <f t="shared" si="1848"/>
        <v>4693.095</v>
      </c>
      <c r="AC664" s="32">
        <f t="shared" si="1848"/>
        <v>2667</v>
      </c>
      <c r="AD664" s="32">
        <f t="shared" si="1848"/>
        <v>0</v>
      </c>
      <c r="AE664" s="32">
        <f t="shared" si="1848"/>
        <v>2667</v>
      </c>
      <c r="AF664" s="32">
        <f t="shared" si="1848"/>
        <v>3267</v>
      </c>
      <c r="AG664" s="32">
        <f t="shared" si="1848"/>
        <v>0</v>
      </c>
      <c r="AH664" s="32">
        <f t="shared" si="1848"/>
        <v>3267</v>
      </c>
      <c r="AI664" s="32">
        <f t="shared" si="1848"/>
        <v>5934</v>
      </c>
      <c r="AJ664" s="34">
        <f t="shared" si="1835"/>
        <v>195.545625</v>
      </c>
      <c r="AK664" s="31">
        <f t="shared" ref="AK664:AK665" si="1851">SUM(O668)</f>
        <v>8239</v>
      </c>
      <c r="AL664" s="35">
        <f t="shared" si="1837"/>
        <v>0.720233038</v>
      </c>
      <c r="AM664" s="36">
        <f t="shared" ref="AM664:AM665" si="1852">SUM(Q668)</f>
        <v>1.5</v>
      </c>
      <c r="AN664" s="35">
        <f t="shared" si="1839"/>
        <v>0.8429405328</v>
      </c>
      <c r="AO664" s="37">
        <f t="shared" si="1840"/>
        <v>1.264410799</v>
      </c>
      <c r="AP664" s="36">
        <f t="shared" ref="AP664:AQ664" si="1849">SUM(T668)</f>
        <v>165</v>
      </c>
      <c r="AQ664" s="36">
        <f t="shared" si="1849"/>
        <v>6.875</v>
      </c>
      <c r="AR664" s="32">
        <f t="shared" si="1842"/>
        <v>247.25</v>
      </c>
    </row>
    <row r="665" ht="15.75" customHeight="1">
      <c r="A665" s="21"/>
      <c r="B665" s="38">
        <v>12.0</v>
      </c>
      <c r="C665" s="38" t="s">
        <v>41</v>
      </c>
      <c r="D665" s="39">
        <v>20.0</v>
      </c>
      <c r="E665" s="40">
        <f>IFERROR(__xludf.DUMMYFUNCTION("COUNT(IMPORTRANGE(""https://docs.google.com/spreadsheets/d/1oYscvfOJW7GMkxt8QcupWuzb3ohaYePd3Mt2V2ufHok/edit"",""25!d2:d25""))"),20.0)</f>
        <v>20</v>
      </c>
      <c r="F665" s="45">
        <f>IFERROR(__xludf.DUMMYFUNCTION("SUM(IMPORTRANGE(""https://docs.google.com/spreadsheets/d/1oYscvfOJW7GMkxt8QcupWuzb3ohaYePd3Mt2V2ufHok/edit"",""25!Q2:Q25""))"),3993.1960000000017)</f>
        <v>3993.196</v>
      </c>
      <c r="G665" s="40">
        <f>IFERROR(__xludf.DUMMYFUNCTION("IMPORTRANGE(""https://docs.google.com/spreadsheets/d/1oYscvfOJW7GMkxt8QcupWuzb3ohaYePd3Mt2V2ufHok/edit"",""25!e32"")"),880.0)</f>
        <v>880</v>
      </c>
      <c r="H665" s="40">
        <f>IFERROR(__xludf.DUMMYFUNCTION("IMPORTRANGE(""https://docs.google.com/spreadsheets/d/1oYscvfOJW7GMkxt8QcupWuzb3ohaYePd3Mt2V2ufHok/edit"",""25!e33"")"),0.0)</f>
        <v>0</v>
      </c>
      <c r="I665" s="40">
        <f t="shared" si="1815"/>
        <v>880</v>
      </c>
      <c r="J665" s="40">
        <f>IFERROR(__xludf.DUMMYFUNCTION("IMPORTRANGE(""https://docs.google.com/spreadsheets/d/1oYscvfOJW7GMkxt8QcupWuzb3ohaYePd3Mt2V2ufHok/edit"",""25!e36"")"),1402.0)</f>
        <v>1402</v>
      </c>
      <c r="K665" s="40">
        <f>IFERROR(__xludf.DUMMYFUNCTION("IMPORTRANGE(""https://docs.google.com/spreadsheets/d/1oYscvfOJW7GMkxt8QcupWuzb3ohaYePd3Mt2V2ufHok/edit"",""25!e37"")"),0.0)</f>
        <v>0</v>
      </c>
      <c r="L665" s="40">
        <f t="shared" si="1845"/>
        <v>1402</v>
      </c>
      <c r="M665" s="40">
        <f t="shared" si="1817"/>
        <v>2282</v>
      </c>
      <c r="N665" s="41">
        <f t="shared" si="1818"/>
        <v>199.6598</v>
      </c>
      <c r="O665" s="38">
        <v>3801.0</v>
      </c>
      <c r="P665" s="42">
        <f t="shared" si="1819"/>
        <v>0.6003683241</v>
      </c>
      <c r="Q665" s="43">
        <v>1.5</v>
      </c>
      <c r="R665" s="42">
        <f t="shared" si="1820"/>
        <v>0.3809813827</v>
      </c>
      <c r="S665" s="44">
        <f t="shared" si="1821"/>
        <v>0.571472074</v>
      </c>
      <c r="T665" s="43">
        <f>F665/29.628</f>
        <v>134.7777778</v>
      </c>
      <c r="U665" s="43">
        <f t="shared" si="1822"/>
        <v>6.738888889</v>
      </c>
      <c r="V665" s="40">
        <f t="shared" si="1823"/>
        <v>114.1</v>
      </c>
      <c r="X665" s="22">
        <v>6.0</v>
      </c>
      <c r="Y665" s="22" t="s">
        <v>42</v>
      </c>
      <c r="Z665" s="22">
        <f t="shared" ref="Z665:AI665" si="1850">SUM(D669)</f>
        <v>26</v>
      </c>
      <c r="AA665" s="23">
        <f t="shared" si="1850"/>
        <v>25</v>
      </c>
      <c r="AB665" s="24">
        <f t="shared" si="1850"/>
        <v>5114.073</v>
      </c>
      <c r="AC665" s="23">
        <f t="shared" si="1850"/>
        <v>2212</v>
      </c>
      <c r="AD665" s="23">
        <f t="shared" si="1850"/>
        <v>0</v>
      </c>
      <c r="AE665" s="23">
        <f t="shared" si="1850"/>
        <v>2212</v>
      </c>
      <c r="AF665" s="23">
        <f t="shared" si="1850"/>
        <v>3333</v>
      </c>
      <c r="AG665" s="23">
        <f t="shared" si="1850"/>
        <v>0</v>
      </c>
      <c r="AH665" s="23">
        <f t="shared" si="1850"/>
        <v>3333</v>
      </c>
      <c r="AI665" s="23">
        <f t="shared" si="1850"/>
        <v>5545</v>
      </c>
      <c r="AJ665" s="25">
        <f t="shared" si="1835"/>
        <v>204.56292</v>
      </c>
      <c r="AK665" s="22">
        <f t="shared" si="1851"/>
        <v>9877</v>
      </c>
      <c r="AL665" s="26">
        <f t="shared" si="1837"/>
        <v>0.561405285</v>
      </c>
      <c r="AM665" s="27">
        <f t="shared" si="1852"/>
        <v>1.5</v>
      </c>
      <c r="AN665" s="26">
        <f t="shared" si="1839"/>
        <v>0.7228419826</v>
      </c>
      <c r="AO665" s="28">
        <f t="shared" si="1840"/>
        <v>1.084262974</v>
      </c>
      <c r="AP665" s="27">
        <f t="shared" ref="AP665:AQ665" si="1853">SUM(T669)</f>
        <v>195.529459</v>
      </c>
      <c r="AQ665" s="27">
        <f t="shared" si="1853"/>
        <v>7.82117836</v>
      </c>
      <c r="AR665" s="23">
        <f t="shared" si="1842"/>
        <v>221.8</v>
      </c>
    </row>
    <row r="666" ht="15.75" customHeight="1">
      <c r="A666" s="21"/>
      <c r="B666" s="38">
        <v>13.0</v>
      </c>
      <c r="C666" s="38" t="s">
        <v>43</v>
      </c>
      <c r="D666" s="39">
        <v>24.0</v>
      </c>
      <c r="E666" s="40">
        <f>IFERROR(__xludf.DUMMYFUNCTION("COUNT(IMPORTRANGE(""https://docs.google.com/spreadsheets/d/1AxBmuQEdOYAeRnZ4C8vO6kuTNp7X_SGhpLXuY0n4ln4/edit"",""25!d2:d31""))"),24.0)</f>
        <v>24</v>
      </c>
      <c r="F666" s="45">
        <f>IFERROR(__xludf.DUMMYFUNCTION("SUM(IMPORTRANGE(""https://docs.google.com/spreadsheets/d/1AxBmuQEdOYAeRnZ4C8vO6kuTNp7X_SGhpLXuY0n4ln4/edit"",""25!Q2:Q31""))"),4738.575)</f>
        <v>4738.575</v>
      </c>
      <c r="G666" s="40">
        <f>IFERROR(__xludf.DUMMYFUNCTION("IMPORTRANGE(""https://docs.google.com/spreadsheets/d/1AxBmuQEdOYAeRnZ4C8vO6kuTNp7X_SGhpLXuY0n4ln4/edit"",""25!e38"")"),1509.0)</f>
        <v>1509</v>
      </c>
      <c r="H666" s="40">
        <f>IFERROR(__xludf.DUMMYFUNCTION("IMPORTRANGE(""https://docs.google.com/spreadsheets/d/1AxBmuQEdOYAeRnZ4C8vO6kuTNp7X_SGhpLXuY0n4ln4/edit"",""25!e39"")"),0.0)</f>
        <v>0</v>
      </c>
      <c r="I666" s="40">
        <f t="shared" si="1815"/>
        <v>1509</v>
      </c>
      <c r="J666" s="40">
        <f>IFERROR(__xludf.DUMMYFUNCTION("IMPORTRANGE(""https://docs.google.com/spreadsheets/d/1AxBmuQEdOYAeRnZ4C8vO6kuTNp7X_SGhpLXuY0n4ln4/edit"",""25!e42"")"),2201.0)</f>
        <v>2201</v>
      </c>
      <c r="K666" s="40">
        <f>IFERROR(__xludf.DUMMYFUNCTION("IMPORTRANGE(""https://docs.google.com/spreadsheets/d/1AxBmuQEdOYAeRnZ4C8vO6kuTNp7X_SGhpLXuY0n4ln4/edit"",""25!e43"")"),212.0)</f>
        <v>212</v>
      </c>
      <c r="L666" s="40">
        <f t="shared" si="1845"/>
        <v>2413</v>
      </c>
      <c r="M666" s="40">
        <f t="shared" si="1817"/>
        <v>3922</v>
      </c>
      <c r="N666" s="41">
        <f t="shared" si="1818"/>
        <v>197.440625</v>
      </c>
      <c r="O666" s="38">
        <v>8345.0</v>
      </c>
      <c r="P666" s="42">
        <f t="shared" si="1819"/>
        <v>0.4699820252</v>
      </c>
      <c r="Q666" s="43">
        <v>1.5</v>
      </c>
      <c r="R666" s="42">
        <f t="shared" si="1820"/>
        <v>0.5517833245</v>
      </c>
      <c r="S666" s="44">
        <f t="shared" si="1821"/>
        <v>0.8276749867</v>
      </c>
      <c r="T666" s="43">
        <f>F666/41.205</f>
        <v>115</v>
      </c>
      <c r="U666" s="43">
        <f t="shared" si="1822"/>
        <v>4.791666667</v>
      </c>
      <c r="V666" s="40">
        <f t="shared" si="1823"/>
        <v>163.4166667</v>
      </c>
      <c r="X666" s="46" t="s">
        <v>33</v>
      </c>
      <c r="Y666" s="46">
        <v>6.0</v>
      </c>
      <c r="Z666" s="46">
        <f t="shared" ref="Z666:AI666" si="1854">SUM(Z660:Z665)</f>
        <v>180</v>
      </c>
      <c r="AA666" s="47">
        <f t="shared" si="1854"/>
        <v>177</v>
      </c>
      <c r="AB666" s="49">
        <f t="shared" si="1854"/>
        <v>34489.461</v>
      </c>
      <c r="AC666" s="47">
        <f t="shared" si="1854"/>
        <v>12735</v>
      </c>
      <c r="AD666" s="47">
        <f t="shared" si="1854"/>
        <v>218</v>
      </c>
      <c r="AE666" s="47">
        <f t="shared" si="1854"/>
        <v>12953</v>
      </c>
      <c r="AF666" s="47">
        <f t="shared" si="1854"/>
        <v>17189</v>
      </c>
      <c r="AG666" s="47">
        <f t="shared" si="1854"/>
        <v>374</v>
      </c>
      <c r="AH666" s="47">
        <f t="shared" si="1854"/>
        <v>17563</v>
      </c>
      <c r="AI666" s="47">
        <f t="shared" si="1854"/>
        <v>30516</v>
      </c>
      <c r="AJ666" s="49">
        <f t="shared" si="1835"/>
        <v>194.8557119</v>
      </c>
      <c r="AK666" s="46">
        <f>SUM(AK660:AK665)</f>
        <v>53273</v>
      </c>
      <c r="AL666" s="50">
        <f t="shared" si="1837"/>
        <v>0.572823006</v>
      </c>
      <c r="AM666" s="51">
        <v>1.5</v>
      </c>
      <c r="AN666" s="50">
        <f t="shared" si="1839"/>
        <v>0.5898613492</v>
      </c>
      <c r="AO666" s="52">
        <f t="shared" si="1840"/>
        <v>0.8847920239</v>
      </c>
      <c r="AP666" s="51">
        <f>SUM(AP660:AP665)</f>
        <v>1134.856586</v>
      </c>
      <c r="AQ666" s="51">
        <f>AP666/AA666</f>
        <v>6.411619129</v>
      </c>
      <c r="AR666" s="47">
        <f t="shared" si="1842"/>
        <v>172.4067797</v>
      </c>
    </row>
    <row r="667" ht="15.75" customHeight="1">
      <c r="A667" s="21"/>
      <c r="B667" s="38">
        <v>14.0</v>
      </c>
      <c r="C667" s="38" t="s">
        <v>27</v>
      </c>
      <c r="D667" s="39">
        <v>24.0</v>
      </c>
      <c r="E667" s="40">
        <f>IFERROR(__xludf.DUMMYFUNCTION("COUNT(IMPORTRANGE(""https://docs.google.com/spreadsheets/d/1LsL4JuXvBtfJ-TVi4NFml9lV_pmd61b789A_nbO-QrA/edit"",""25!d2:d31""))"),21.0)</f>
        <v>21</v>
      </c>
      <c r="F667" s="45">
        <f>IFERROR(__xludf.DUMMYFUNCTION("SUM(IMPORTRANGE(""https://docs.google.com/spreadsheets/d/1LsL4JuXvBtfJ-TVi4NFml9lV_pmd61b789A_nbO-QrA/edit"",""25!Q2:Q31""))"),4052.8479999999995)</f>
        <v>4052.848</v>
      </c>
      <c r="G667" s="40">
        <f>IFERROR(__xludf.DUMMYFUNCTION("IMPORTRANGE(""https://docs.google.com/spreadsheets/d/1LsL4JuXvBtfJ-TVi4NFml9lV_pmd61b789A_nbO-QrA/edit"",""25!e38"")"),1867.0)</f>
        <v>1867</v>
      </c>
      <c r="H667" s="40">
        <f>IFERROR(__xludf.DUMMYFUNCTION("IMPORTRANGE(""https://docs.google.com/spreadsheets/d/1LsL4JuXvBtfJ-TVi4NFml9lV_pmd61b789A_nbO-QrA/edit"",""25!e39"")"),0.0)</f>
        <v>0</v>
      </c>
      <c r="I667" s="40">
        <f t="shared" si="1815"/>
        <v>1867</v>
      </c>
      <c r="J667" s="40">
        <f>IFERROR(__xludf.DUMMYFUNCTION("IMPORTRANGE(""https://docs.google.com/spreadsheets/d/1LsL4JuXvBtfJ-TVi4NFml9lV_pmd61b789A_nbO-QrA/edit"",""25!e42"")"),2341.0)</f>
        <v>2341</v>
      </c>
      <c r="K667" s="40">
        <f>IFERROR(__xludf.DUMMYFUNCTION("IMPORTRANGE(""https://docs.google.com/spreadsheets/d/1LsL4JuXvBtfJ-TVi4NFml9lV_pmd61b789A_nbO-QrA/edit"",""25!e43"")"),20.0)</f>
        <v>20</v>
      </c>
      <c r="L667" s="40">
        <f t="shared" si="1845"/>
        <v>2361</v>
      </c>
      <c r="M667" s="40">
        <f t="shared" si="1817"/>
        <v>4228</v>
      </c>
      <c r="N667" s="41">
        <f t="shared" si="1818"/>
        <v>192.9927619</v>
      </c>
      <c r="O667" s="38">
        <v>8101.0</v>
      </c>
      <c r="P667" s="42">
        <f t="shared" si="1819"/>
        <v>0.5219108752</v>
      </c>
      <c r="Q667" s="43">
        <v>1.5</v>
      </c>
      <c r="R667" s="42">
        <f t="shared" si="1820"/>
        <v>0.6954780112</v>
      </c>
      <c r="S667" s="44">
        <f t="shared" si="1821"/>
        <v>1.043217017</v>
      </c>
      <c r="T667" s="43">
        <f>F667/19.985</f>
        <v>202.7944959</v>
      </c>
      <c r="U667" s="43">
        <f t="shared" si="1822"/>
        <v>9.656880756</v>
      </c>
      <c r="V667" s="40">
        <f t="shared" si="1823"/>
        <v>201.3333333</v>
      </c>
      <c r="X667" s="59" t="s">
        <v>44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6"/>
    </row>
    <row r="668" ht="15.75" customHeight="1">
      <c r="A668" s="21"/>
      <c r="B668" s="38">
        <v>15.0</v>
      </c>
      <c r="C668" s="38" t="s">
        <v>40</v>
      </c>
      <c r="D668" s="39">
        <v>24.0</v>
      </c>
      <c r="E668" s="40">
        <f>IFERROR(__xludf.DUMMYFUNCTION("COUNT(IMPORTRANGE(""https://docs.google.com/spreadsheets/d/1Krav0MVlY0vbUNsFRDnb_kR72_tyuGnWBYbGjNZrl18/edit"",""25!d2:d31""))"),24.0)</f>
        <v>24</v>
      </c>
      <c r="F668" s="45">
        <f>IFERROR(__xludf.DUMMYFUNCTION("SUM(IMPORTRANGE(""https://docs.google.com/spreadsheets/d/1Krav0MVlY0vbUNsFRDnb_kR72_tyuGnWBYbGjNZrl18/edit"",""25!Q2:Q31""))"),4693.095000000001)</f>
        <v>4693.095</v>
      </c>
      <c r="G668" s="40">
        <f>IFERROR(__xludf.DUMMYFUNCTION("IMPORTRANGE(""https://docs.google.com/spreadsheets/d/1Krav0MVlY0vbUNsFRDnb_kR72_tyuGnWBYbGjNZrl18/edit"",""25!e38"")"),2667.0)</f>
        <v>2667</v>
      </c>
      <c r="H668" s="40">
        <f>IFERROR(__xludf.DUMMYFUNCTION("IMPORTRANGE(""https://docs.google.com/spreadsheets/d/1Krav0MVlY0vbUNsFRDnb_kR72_tyuGnWBYbGjNZrl18/edit"",""25!e39"")"),0.0)</f>
        <v>0</v>
      </c>
      <c r="I668" s="40">
        <f t="shared" si="1815"/>
        <v>2667</v>
      </c>
      <c r="J668" s="40">
        <f>IFERROR(__xludf.DUMMYFUNCTION("IMPORTRANGE(""https://docs.google.com/spreadsheets/d/1Krav0MVlY0vbUNsFRDnb_kR72_tyuGnWBYbGjNZrl18/edit"",""25!e42"")"),3267.0)</f>
        <v>3267</v>
      </c>
      <c r="K668" s="40">
        <f>IFERROR(__xludf.DUMMYFUNCTION("IMPORTRANGE(""https://docs.google.com/spreadsheets/d/1Krav0MVlY0vbUNsFRDnb_kR72_tyuGnWBYbGjNZrl18/edit"",""25!e43"")"),0.0)</f>
        <v>0</v>
      </c>
      <c r="L668" s="40">
        <f t="shared" si="1845"/>
        <v>3267</v>
      </c>
      <c r="M668" s="40">
        <f t="shared" si="1817"/>
        <v>5934</v>
      </c>
      <c r="N668" s="41">
        <f t="shared" si="1818"/>
        <v>195.545625</v>
      </c>
      <c r="O668" s="38">
        <v>8239.0</v>
      </c>
      <c r="P668" s="42">
        <f t="shared" si="1819"/>
        <v>0.720233038</v>
      </c>
      <c r="Q668" s="43">
        <v>1.5</v>
      </c>
      <c r="R668" s="42">
        <f t="shared" si="1820"/>
        <v>0.8429405328</v>
      </c>
      <c r="S668" s="44">
        <f t="shared" si="1821"/>
        <v>1.264410799</v>
      </c>
      <c r="T668" s="43">
        <f>F668/28.443</f>
        <v>165</v>
      </c>
      <c r="U668" s="43">
        <f t="shared" si="1822"/>
        <v>6.875</v>
      </c>
      <c r="V668" s="40">
        <f t="shared" si="1823"/>
        <v>247.25</v>
      </c>
      <c r="X668" s="14" t="s">
        <v>2</v>
      </c>
      <c r="Y668" s="14" t="s">
        <v>3</v>
      </c>
      <c r="Z668" s="14" t="s">
        <v>4</v>
      </c>
      <c r="AA668" s="14" t="s">
        <v>5</v>
      </c>
      <c r="AB668" s="15" t="s">
        <v>6</v>
      </c>
      <c r="AC668" s="14" t="s">
        <v>7</v>
      </c>
      <c r="AD668" s="14" t="s">
        <v>8</v>
      </c>
      <c r="AE668" s="14" t="s">
        <v>9</v>
      </c>
      <c r="AF668" s="14" t="s">
        <v>10</v>
      </c>
      <c r="AG668" s="14" t="s">
        <v>11</v>
      </c>
      <c r="AH668" s="14" t="s">
        <v>12</v>
      </c>
      <c r="AI668" s="14" t="s">
        <v>13</v>
      </c>
      <c r="AJ668" s="15" t="s">
        <v>14</v>
      </c>
      <c r="AK668" s="14" t="s">
        <v>15</v>
      </c>
      <c r="AL668" s="14" t="s">
        <v>16</v>
      </c>
      <c r="AM668" s="16" t="s">
        <v>17</v>
      </c>
      <c r="AN668" s="17" t="s">
        <v>18</v>
      </c>
      <c r="AO668" s="18" t="s">
        <v>19</v>
      </c>
      <c r="AP668" s="19" t="s">
        <v>20</v>
      </c>
      <c r="AQ668" s="19" t="s">
        <v>21</v>
      </c>
      <c r="AR668" s="20" t="s">
        <v>22</v>
      </c>
    </row>
    <row r="669" ht="15.75" customHeight="1">
      <c r="A669" s="21"/>
      <c r="B669" s="38">
        <v>16.0</v>
      </c>
      <c r="C669" s="38" t="s">
        <v>42</v>
      </c>
      <c r="D669" s="39">
        <v>26.0</v>
      </c>
      <c r="E669" s="40">
        <f>IFERROR(__xludf.DUMMYFUNCTION("COUNT(IMPORTRANGE(""https://docs.google.com/spreadsheets/d/1uXtm-E8PG0CetlFmSpTX3RK0LNEMnpR-mxbET9AGD6w/edit"",""25!d2:d34""))"),25.0)</f>
        <v>25</v>
      </c>
      <c r="F669" s="45">
        <f>IFERROR(__xludf.DUMMYFUNCTION("SUM(IMPORTRANGE(""https://docs.google.com/spreadsheets/d/1uXtm-E8PG0CetlFmSpTX3RK0LNEMnpR-mxbET9AGD6w/edit"",""25!Q2:Q34""))"),5114.0729999999985)</f>
        <v>5114.073</v>
      </c>
      <c r="G669" s="40">
        <f>IFERROR(__xludf.DUMMYFUNCTION("IMPORTRANGE(""https://docs.google.com/spreadsheets/d/1uXtm-E8PG0CetlFmSpTX3RK0LNEMnpR-mxbET9AGD6w/edit"",""25!e41"")"),2212.0)</f>
        <v>2212</v>
      </c>
      <c r="H669" s="40">
        <f>IFERROR(__xludf.DUMMYFUNCTION("IMPORTRANGE(""https://docs.google.com/spreadsheets/d/1uXtm-E8PG0CetlFmSpTX3RK0LNEMnpR-mxbET9AGD6w/edit"",""25!e42"")"),0.0)</f>
        <v>0</v>
      </c>
      <c r="I669" s="40">
        <f t="shared" si="1815"/>
        <v>2212</v>
      </c>
      <c r="J669" s="40">
        <f>IFERROR(__xludf.DUMMYFUNCTION("IMPORTRANGE(""https://docs.google.com/spreadsheets/d/1uXtm-E8PG0CetlFmSpTX3RK0LNEMnpR-mxbET9AGD6w/edit"",""25!e45"")"),3333.0)</f>
        <v>3333</v>
      </c>
      <c r="K669" s="40">
        <f>IFERROR(__xludf.DUMMYFUNCTION("IMPORTRANGE(""https://docs.google.com/spreadsheets/d/1uXtm-E8PG0CetlFmSpTX3RK0LNEMnpR-mxbET9AGD6w/edit"",""25!e46"")"),0.0)</f>
        <v>0</v>
      </c>
      <c r="L669" s="40">
        <f t="shared" si="1845"/>
        <v>3333</v>
      </c>
      <c r="M669" s="40">
        <f t="shared" si="1817"/>
        <v>5545</v>
      </c>
      <c r="N669" s="41">
        <f t="shared" si="1818"/>
        <v>204.56292</v>
      </c>
      <c r="O669" s="38">
        <v>9877.0</v>
      </c>
      <c r="P669" s="42">
        <f t="shared" si="1819"/>
        <v>0.561405285</v>
      </c>
      <c r="Q669" s="43">
        <v>1.5</v>
      </c>
      <c r="R669" s="42">
        <f t="shared" si="1820"/>
        <v>0.7228419826</v>
      </c>
      <c r="S669" s="44">
        <f t="shared" si="1821"/>
        <v>1.084262974</v>
      </c>
      <c r="T669" s="43">
        <f>F669/26.155</f>
        <v>195.529459</v>
      </c>
      <c r="U669" s="43">
        <f t="shared" si="1822"/>
        <v>7.82117836</v>
      </c>
      <c r="V669" s="40">
        <f t="shared" si="1823"/>
        <v>221.8</v>
      </c>
      <c r="X669" s="31">
        <v>1.0</v>
      </c>
      <c r="Y669" s="31" t="s">
        <v>26</v>
      </c>
      <c r="Z669" s="31">
        <f t="shared" ref="Z669:AI669" si="1855">SUM(D654)</f>
        <v>16</v>
      </c>
      <c r="AA669" s="32">
        <f t="shared" si="1855"/>
        <v>16</v>
      </c>
      <c r="AB669" s="34">
        <f t="shared" si="1855"/>
        <v>2948.403</v>
      </c>
      <c r="AC669" s="32">
        <f t="shared" si="1855"/>
        <v>1866</v>
      </c>
      <c r="AD669" s="32">
        <f t="shared" si="1855"/>
        <v>0</v>
      </c>
      <c r="AE669" s="32">
        <f t="shared" si="1855"/>
        <v>1866</v>
      </c>
      <c r="AF669" s="32">
        <f t="shared" si="1855"/>
        <v>1918</v>
      </c>
      <c r="AG669" s="32">
        <f t="shared" si="1855"/>
        <v>0</v>
      </c>
      <c r="AH669" s="32">
        <f t="shared" si="1855"/>
        <v>1918</v>
      </c>
      <c r="AI669" s="32">
        <f t="shared" si="1855"/>
        <v>3784</v>
      </c>
      <c r="AJ669" s="34">
        <f t="shared" ref="AJ669:AJ675" si="1858">AB669/AA669</f>
        <v>184.2751875</v>
      </c>
      <c r="AK669" s="31">
        <f>SUM(O654)</f>
        <v>5161</v>
      </c>
      <c r="AL669" s="35">
        <f t="shared" ref="AL669:AL675" si="1859">AI669/AK669</f>
        <v>0.733191242</v>
      </c>
      <c r="AM669" s="36">
        <f>SUM(Q654)</f>
        <v>1.5</v>
      </c>
      <c r="AN669" s="35">
        <f t="shared" ref="AN669:AN675" si="1860">AO669/AM669</f>
        <v>0.8556044295</v>
      </c>
      <c r="AO669" s="37">
        <f t="shared" ref="AO669:AO675" si="1861">AI669/AB669</f>
        <v>1.283406644</v>
      </c>
      <c r="AP669" s="36">
        <f t="shared" ref="AP669:AQ669" si="1856">SUM(T654)</f>
        <v>204.5371488</v>
      </c>
      <c r="AQ669" s="36">
        <f t="shared" si="1856"/>
        <v>12.7835718</v>
      </c>
      <c r="AR669" s="32">
        <f t="shared" ref="AR669:AR675" si="1863">AI669/AA669</f>
        <v>236.5</v>
      </c>
    </row>
    <row r="670" ht="15.75" customHeight="1">
      <c r="A670" s="21"/>
      <c r="B670" s="38">
        <v>17.0</v>
      </c>
      <c r="C670" s="38" t="s">
        <v>29</v>
      </c>
      <c r="D670" s="39">
        <v>24.0</v>
      </c>
      <c r="E670" s="40">
        <f>IFERROR(__xludf.DUMMYFUNCTION("COUNT(IMPORTRANGE(""https://docs.google.com/spreadsheets/d/12xcKI0lSnAsjEsxfm9K8Qx0B_89Gzsh816mowItkQao/edit"",""25!d2:d31""))"),24.0)</f>
        <v>24</v>
      </c>
      <c r="F670" s="45">
        <f>IFERROR(__xludf.DUMMYFUNCTION("SUM(IMPORTRANGE(""https://docs.google.com/spreadsheets/d/12xcKI0lSnAsjEsxfm9K8Qx0B_89Gzsh816mowItkQao/edit"",""25!Q2:Q31""))"),4790.992000000001)</f>
        <v>4790.992</v>
      </c>
      <c r="G670" s="40">
        <f>IFERROR(__xludf.DUMMYFUNCTION("IMPORTRANGE(""https://docs.google.com/spreadsheets/d/12xcKI0lSnAsjEsxfm9K8Qx0B_89Gzsh816mowItkQao/edit"",""25!e38"")"),2115.0)</f>
        <v>2115</v>
      </c>
      <c r="H670" s="40">
        <f>IFERROR(__xludf.DUMMYFUNCTION("IMPORTRANGE(""https://docs.google.com/spreadsheets/d/12xcKI0lSnAsjEsxfm9K8Qx0B_89Gzsh816mowItkQao/edit"",""25!e39"")"),0.0)</f>
        <v>0</v>
      </c>
      <c r="I670" s="40">
        <f t="shared" si="1815"/>
        <v>2115</v>
      </c>
      <c r="J670" s="40">
        <f>IFERROR(__xludf.DUMMYFUNCTION("IMPORTRANGE(""https://docs.google.com/spreadsheets/d/12xcKI0lSnAsjEsxfm9K8Qx0B_89Gzsh816mowItkQao/edit"",""25!e42"")"),2967.0)</f>
        <v>2967</v>
      </c>
      <c r="K670" s="40">
        <f>IFERROR(__xludf.DUMMYFUNCTION("IMPORTRANGE(""https://docs.google.com/spreadsheets/d/12xcKI0lSnAsjEsxfm9K8Qx0B_89Gzsh816mowItkQao/edit"",""25!e43"")"),116.0)</f>
        <v>116</v>
      </c>
      <c r="L670" s="40">
        <f t="shared" si="1845"/>
        <v>3083</v>
      </c>
      <c r="M670" s="40">
        <f t="shared" si="1817"/>
        <v>5198</v>
      </c>
      <c r="N670" s="41">
        <f t="shared" si="1818"/>
        <v>199.6246667</v>
      </c>
      <c r="O670" s="38">
        <v>9201.0</v>
      </c>
      <c r="P670" s="42">
        <f t="shared" si="1819"/>
        <v>0.5649385936</v>
      </c>
      <c r="Q670" s="43">
        <v>1.5</v>
      </c>
      <c r="R670" s="42">
        <f t="shared" si="1820"/>
        <v>0.7233018409</v>
      </c>
      <c r="S670" s="44">
        <f t="shared" si="1821"/>
        <v>1.084952761</v>
      </c>
      <c r="T670" s="43">
        <f>F670/26.038</f>
        <v>184</v>
      </c>
      <c r="U670" s="43">
        <f t="shared" si="1822"/>
        <v>7.666666667</v>
      </c>
      <c r="V670" s="40">
        <f t="shared" si="1823"/>
        <v>216.5833333</v>
      </c>
      <c r="X670" s="31">
        <v>2.0</v>
      </c>
      <c r="Y670" s="31" t="s">
        <v>32</v>
      </c>
      <c r="Z670" s="31">
        <f t="shared" ref="Z670:AI670" si="1857">SUM(D657)</f>
        <v>33</v>
      </c>
      <c r="AA670" s="32">
        <f t="shared" si="1857"/>
        <v>33</v>
      </c>
      <c r="AB670" s="33">
        <f t="shared" si="1857"/>
        <v>6447.873</v>
      </c>
      <c r="AC670" s="31">
        <f t="shared" si="1857"/>
        <v>3761</v>
      </c>
      <c r="AD670" s="31">
        <f t="shared" si="1857"/>
        <v>101</v>
      </c>
      <c r="AE670" s="32">
        <f t="shared" si="1857"/>
        <v>3862</v>
      </c>
      <c r="AF670" s="31">
        <f t="shared" si="1857"/>
        <v>4134</v>
      </c>
      <c r="AG670" s="31">
        <f t="shared" si="1857"/>
        <v>0</v>
      </c>
      <c r="AH670" s="32">
        <f t="shared" si="1857"/>
        <v>4134</v>
      </c>
      <c r="AI670" s="32">
        <f t="shared" si="1857"/>
        <v>7996</v>
      </c>
      <c r="AJ670" s="34">
        <f t="shared" si="1858"/>
        <v>195.3900909</v>
      </c>
      <c r="AK670" s="31">
        <f>SUM(O657)</f>
        <v>13817</v>
      </c>
      <c r="AL670" s="35">
        <f t="shared" si="1859"/>
        <v>0.5787073894</v>
      </c>
      <c r="AM670" s="36">
        <f>SUM(Q657)</f>
        <v>1.5</v>
      </c>
      <c r="AN670" s="35">
        <f t="shared" si="1860"/>
        <v>0.8267325778</v>
      </c>
      <c r="AO670" s="37">
        <f t="shared" si="1861"/>
        <v>1.240098867</v>
      </c>
      <c r="AP670" s="36">
        <f t="shared" ref="AP670:AQ670" si="1862">SUM(T657)</f>
        <v>257</v>
      </c>
      <c r="AQ670" s="36">
        <f t="shared" si="1862"/>
        <v>7.787878788</v>
      </c>
      <c r="AR670" s="32">
        <f t="shared" si="1863"/>
        <v>242.3030303</v>
      </c>
    </row>
    <row r="671" ht="15.75" customHeight="1">
      <c r="A671" s="21"/>
      <c r="B671" s="38">
        <v>18.0</v>
      </c>
      <c r="C671" s="38" t="s">
        <v>31</v>
      </c>
      <c r="D671" s="39">
        <v>12.0</v>
      </c>
      <c r="E671" s="40">
        <f>IFERROR(__xludf.DUMMYFUNCTION("COUNT(IMPORTRANGE(""https://docs.google.com/spreadsheets/d/1fgCFOFzOla4Qim6_-zG-lbYhLCItqv_kZiAHoErRgcM/edit"",""25!d2:d16""))"),10.0)</f>
        <v>10</v>
      </c>
      <c r="F671" s="41">
        <f>IFERROR(__xludf.DUMMYFUNCTION("SUM(IMPORTRANGE(""https://docs.google.com/spreadsheets/d/1fgCFOFzOla4Qim6_-zG-lbYhLCItqv_kZiAHoErRgcM/edit"",""25!Q2:Q16""))"),1955.925)</f>
        <v>1955.925</v>
      </c>
      <c r="G671" s="40">
        <f>IFERROR(__xludf.DUMMYFUNCTION("IMPORTRANGE(""https://docs.google.com/spreadsheets/d/1fgCFOFzOla4Qim6_-zG-lbYhLCItqv_kZiAHoErRgcM/edit"",""25!e23"")"),626.0)</f>
        <v>626</v>
      </c>
      <c r="H671" s="40">
        <f>IFERROR(__xludf.DUMMYFUNCTION("IMPORTRANGE(""https://docs.google.com/spreadsheets/d/1fgCFOFzOla4Qim6_-zG-lbYhLCItqv_kZiAHoErRgcM/edit"",""25!e24"")"),8.0)</f>
        <v>8</v>
      </c>
      <c r="I671" s="40">
        <f t="shared" si="1815"/>
        <v>634</v>
      </c>
      <c r="J671" s="40">
        <f>IFERROR(__xludf.DUMMYFUNCTION("IMPORTRANGE(""https://docs.google.com/spreadsheets/d/1fgCFOFzOla4Qim6_-zG-lbYhLCItqv_kZiAHoErRgcM/edit"",""25!e27"")"),639.0)</f>
        <v>639</v>
      </c>
      <c r="K671" s="40">
        <f>IFERROR(__xludf.DUMMYFUNCTION("IMPORTRANGE(""https://docs.google.com/spreadsheets/d/1fgCFOFzOla4Qim6_-zG-lbYhLCItqv_kZiAHoErRgcM/edit"",""25!e28"")"),0.0)</f>
        <v>0</v>
      </c>
      <c r="L671" s="40">
        <f t="shared" si="1845"/>
        <v>639</v>
      </c>
      <c r="M671" s="40">
        <f t="shared" si="1817"/>
        <v>1273</v>
      </c>
      <c r="N671" s="41">
        <f t="shared" si="1818"/>
        <v>195.5925</v>
      </c>
      <c r="O671" s="38">
        <v>2717.0</v>
      </c>
      <c r="P671" s="42">
        <f t="shared" si="1819"/>
        <v>0.4685314685</v>
      </c>
      <c r="Q671" s="43">
        <v>1.5</v>
      </c>
      <c r="R671" s="42">
        <f t="shared" si="1820"/>
        <v>0.433895301</v>
      </c>
      <c r="S671" s="44">
        <f t="shared" si="1821"/>
        <v>0.6508429515</v>
      </c>
      <c r="T671" s="43">
        <f>F671/43.465</f>
        <v>45</v>
      </c>
      <c r="U671" s="43">
        <f t="shared" si="1822"/>
        <v>4.5</v>
      </c>
      <c r="V671" s="40">
        <f t="shared" si="1823"/>
        <v>127.3</v>
      </c>
      <c r="X671" s="31">
        <v>3.0</v>
      </c>
      <c r="Y671" s="31" t="s">
        <v>36</v>
      </c>
      <c r="Z671" s="31">
        <f t="shared" ref="Z671:AI671" si="1864">SUM(D662)</f>
        <v>23</v>
      </c>
      <c r="AA671" s="32">
        <f t="shared" si="1864"/>
        <v>23</v>
      </c>
      <c r="AB671" s="33">
        <f t="shared" si="1864"/>
        <v>4484.892</v>
      </c>
      <c r="AC671" s="32">
        <f t="shared" si="1864"/>
        <v>1114</v>
      </c>
      <c r="AD671" s="32">
        <f t="shared" si="1864"/>
        <v>0</v>
      </c>
      <c r="AE671" s="32">
        <f t="shared" si="1864"/>
        <v>1114</v>
      </c>
      <c r="AF671" s="32">
        <f t="shared" si="1864"/>
        <v>1625</v>
      </c>
      <c r="AG671" s="32">
        <f t="shared" si="1864"/>
        <v>0</v>
      </c>
      <c r="AH671" s="32">
        <f t="shared" si="1864"/>
        <v>1625</v>
      </c>
      <c r="AI671" s="32">
        <f t="shared" si="1864"/>
        <v>2739</v>
      </c>
      <c r="AJ671" s="34">
        <f t="shared" si="1858"/>
        <v>194.9953043</v>
      </c>
      <c r="AK671" s="31">
        <f t="shared" ref="AK671:AK674" si="1868">SUM(O662)</f>
        <v>4796</v>
      </c>
      <c r="AL671" s="35">
        <f t="shared" si="1859"/>
        <v>0.5711009174</v>
      </c>
      <c r="AM671" s="36">
        <f t="shared" ref="AM671:AM674" si="1869">SUM(Q662)</f>
        <v>1.5</v>
      </c>
      <c r="AN671" s="35">
        <f t="shared" si="1860"/>
        <v>0.4071446982</v>
      </c>
      <c r="AO671" s="37">
        <f t="shared" si="1861"/>
        <v>0.6107170474</v>
      </c>
      <c r="AP671" s="36">
        <f t="shared" ref="AP671:AQ671" si="1865">SUM(T662)</f>
        <v>119.8720265</v>
      </c>
      <c r="AQ671" s="36">
        <f t="shared" si="1865"/>
        <v>5.21182724</v>
      </c>
      <c r="AR671" s="32">
        <f t="shared" si="1863"/>
        <v>119.0869565</v>
      </c>
    </row>
    <row r="672" ht="15.75" customHeight="1">
      <c r="A672" s="21"/>
      <c r="B672" s="60" t="s">
        <v>33</v>
      </c>
      <c r="C672" s="60">
        <v>18.0</v>
      </c>
      <c r="D672" s="60">
        <f t="shared" ref="D672:M672" si="1866">SUM(D654:D671)</f>
        <v>470</v>
      </c>
      <c r="E672" s="61">
        <f t="shared" si="1866"/>
        <v>459</v>
      </c>
      <c r="F672" s="62">
        <f t="shared" si="1866"/>
        <v>89240.597</v>
      </c>
      <c r="G672" s="61">
        <f t="shared" si="1866"/>
        <v>31281</v>
      </c>
      <c r="H672" s="61">
        <f t="shared" si="1866"/>
        <v>800</v>
      </c>
      <c r="I672" s="61">
        <f t="shared" si="1866"/>
        <v>32081</v>
      </c>
      <c r="J672" s="61">
        <f t="shared" si="1866"/>
        <v>42256</v>
      </c>
      <c r="K672" s="61">
        <f t="shared" si="1866"/>
        <v>835</v>
      </c>
      <c r="L672" s="61">
        <f t="shared" si="1866"/>
        <v>43091</v>
      </c>
      <c r="M672" s="61">
        <f t="shared" si="1866"/>
        <v>75172</v>
      </c>
      <c r="N672" s="62">
        <f t="shared" si="1818"/>
        <v>194.4239586</v>
      </c>
      <c r="O672" s="60">
        <f>SUM(O654:O671)</f>
        <v>126399</v>
      </c>
      <c r="P672" s="63">
        <f t="shared" si="1819"/>
        <v>0.5947198949</v>
      </c>
      <c r="Q672" s="64">
        <v>1.5</v>
      </c>
      <c r="R672" s="63">
        <f t="shared" si="1820"/>
        <v>0.5615680346</v>
      </c>
      <c r="S672" s="65">
        <f t="shared" si="1821"/>
        <v>0.8423520519</v>
      </c>
      <c r="T672" s="64">
        <f>SUM(T654:T671)</f>
        <v>3290.541559</v>
      </c>
      <c r="U672" s="64">
        <f t="shared" si="1822"/>
        <v>7.168935859</v>
      </c>
      <c r="V672" s="61">
        <f t="shared" si="1823"/>
        <v>163.7734205</v>
      </c>
      <c r="X672" s="31">
        <v>4.0</v>
      </c>
      <c r="Y672" s="31" t="s">
        <v>37</v>
      </c>
      <c r="Z672" s="31">
        <f t="shared" ref="Z672:AI672" si="1867">SUM(D663)</f>
        <v>24</v>
      </c>
      <c r="AA672" s="32">
        <f t="shared" si="1867"/>
        <v>23</v>
      </c>
      <c r="AB672" s="33">
        <f t="shared" si="1867"/>
        <v>4349.46</v>
      </c>
      <c r="AC672" s="32">
        <f t="shared" si="1867"/>
        <v>1279</v>
      </c>
      <c r="AD672" s="32">
        <f t="shared" si="1867"/>
        <v>0</v>
      </c>
      <c r="AE672" s="32">
        <f t="shared" si="1867"/>
        <v>1279</v>
      </c>
      <c r="AF672" s="32">
        <f t="shared" si="1867"/>
        <v>2475</v>
      </c>
      <c r="AG672" s="32">
        <f t="shared" si="1867"/>
        <v>0</v>
      </c>
      <c r="AH672" s="32">
        <f t="shared" si="1867"/>
        <v>2475</v>
      </c>
      <c r="AI672" s="32">
        <f t="shared" si="1867"/>
        <v>3754</v>
      </c>
      <c r="AJ672" s="34">
        <f t="shared" si="1858"/>
        <v>189.1069565</v>
      </c>
      <c r="AK672" s="31">
        <f t="shared" si="1868"/>
        <v>5887</v>
      </c>
      <c r="AL672" s="35">
        <f t="shared" si="1859"/>
        <v>0.6376762358</v>
      </c>
      <c r="AM672" s="36">
        <f t="shared" si="1869"/>
        <v>1.5</v>
      </c>
      <c r="AN672" s="35">
        <f t="shared" si="1860"/>
        <v>0.5753970991</v>
      </c>
      <c r="AO672" s="37">
        <f t="shared" si="1861"/>
        <v>0.8630956487</v>
      </c>
      <c r="AP672" s="36">
        <f t="shared" ref="AP672:AQ672" si="1870">SUM(T663)</f>
        <v>175.4380445</v>
      </c>
      <c r="AQ672" s="36">
        <f t="shared" si="1870"/>
        <v>7.627741067</v>
      </c>
      <c r="AR672" s="32">
        <f t="shared" si="1863"/>
        <v>163.2173913</v>
      </c>
    </row>
    <row r="673" ht="15.7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X673" s="31">
        <v>5.0</v>
      </c>
      <c r="Y673" s="31" t="s">
        <v>39</v>
      </c>
      <c r="Z673" s="31">
        <f t="shared" ref="Z673:AI673" si="1871">SUM(D664)</f>
        <v>22</v>
      </c>
      <c r="AA673" s="32">
        <f t="shared" si="1871"/>
        <v>21</v>
      </c>
      <c r="AB673" s="33">
        <f t="shared" si="1871"/>
        <v>4083.427</v>
      </c>
      <c r="AC673" s="32">
        <f t="shared" si="1871"/>
        <v>899</v>
      </c>
      <c r="AD673" s="32">
        <f t="shared" si="1871"/>
        <v>0</v>
      </c>
      <c r="AE673" s="32">
        <f t="shared" si="1871"/>
        <v>899</v>
      </c>
      <c r="AF673" s="32">
        <f t="shared" si="1871"/>
        <v>1841</v>
      </c>
      <c r="AG673" s="32">
        <f t="shared" si="1871"/>
        <v>0</v>
      </c>
      <c r="AH673" s="32">
        <f t="shared" si="1871"/>
        <v>1841</v>
      </c>
      <c r="AI673" s="32">
        <f t="shared" si="1871"/>
        <v>2740</v>
      </c>
      <c r="AJ673" s="34">
        <f t="shared" si="1858"/>
        <v>194.4489048</v>
      </c>
      <c r="AK673" s="31">
        <f t="shared" si="1868"/>
        <v>3569</v>
      </c>
      <c r="AL673" s="35">
        <f t="shared" si="1859"/>
        <v>0.767722051</v>
      </c>
      <c r="AM673" s="36">
        <f t="shared" si="1869"/>
        <v>1.5</v>
      </c>
      <c r="AN673" s="35">
        <f t="shared" si="1860"/>
        <v>0.4473366774</v>
      </c>
      <c r="AO673" s="37">
        <f t="shared" si="1861"/>
        <v>0.6710050161</v>
      </c>
      <c r="AP673" s="36">
        <f t="shared" ref="AP673:AQ673" si="1872">SUM(T664)</f>
        <v>190.2542515</v>
      </c>
      <c r="AQ673" s="36">
        <f t="shared" si="1872"/>
        <v>9.059726262</v>
      </c>
      <c r="AR673" s="32">
        <f t="shared" si="1863"/>
        <v>130.4761905</v>
      </c>
    </row>
    <row r="674" ht="15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X674" s="31">
        <v>6.0</v>
      </c>
      <c r="Y674" s="31" t="s">
        <v>41</v>
      </c>
      <c r="Z674" s="31">
        <f t="shared" ref="Z674:AI674" si="1873">SUM(D665)</f>
        <v>20</v>
      </c>
      <c r="AA674" s="32">
        <f t="shared" si="1873"/>
        <v>20</v>
      </c>
      <c r="AB674" s="33">
        <f t="shared" si="1873"/>
        <v>3993.196</v>
      </c>
      <c r="AC674" s="32">
        <f t="shared" si="1873"/>
        <v>880</v>
      </c>
      <c r="AD674" s="32">
        <f t="shared" si="1873"/>
        <v>0</v>
      </c>
      <c r="AE674" s="32">
        <f t="shared" si="1873"/>
        <v>880</v>
      </c>
      <c r="AF674" s="32">
        <f t="shared" si="1873"/>
        <v>1402</v>
      </c>
      <c r="AG674" s="32">
        <f t="shared" si="1873"/>
        <v>0</v>
      </c>
      <c r="AH674" s="32">
        <f t="shared" si="1873"/>
        <v>1402</v>
      </c>
      <c r="AI674" s="32">
        <f t="shared" si="1873"/>
        <v>2282</v>
      </c>
      <c r="AJ674" s="34">
        <f t="shared" si="1858"/>
        <v>199.6598</v>
      </c>
      <c r="AK674" s="31">
        <f t="shared" si="1868"/>
        <v>3801</v>
      </c>
      <c r="AL674" s="35">
        <f t="shared" si="1859"/>
        <v>0.6003683241</v>
      </c>
      <c r="AM674" s="36">
        <f t="shared" si="1869"/>
        <v>1.5</v>
      </c>
      <c r="AN674" s="35">
        <f t="shared" si="1860"/>
        <v>0.3809813827</v>
      </c>
      <c r="AO674" s="37">
        <f t="shared" si="1861"/>
        <v>0.571472074</v>
      </c>
      <c r="AP674" s="36">
        <f t="shared" ref="AP674:AQ674" si="1874">SUM(T665)</f>
        <v>134.7777778</v>
      </c>
      <c r="AQ674" s="36">
        <f t="shared" si="1874"/>
        <v>6.738888889</v>
      </c>
      <c r="AR674" s="32">
        <f t="shared" si="1863"/>
        <v>114.1</v>
      </c>
    </row>
    <row r="675" ht="15.75" customHeight="1">
      <c r="A675" s="1" t="s">
        <v>45</v>
      </c>
      <c r="D675" s="2"/>
      <c r="X675" s="46" t="s">
        <v>33</v>
      </c>
      <c r="Y675" s="46">
        <v>6.0</v>
      </c>
      <c r="Z675" s="46">
        <f t="shared" ref="Z675:AI675" si="1875">SUM(Z669:Z674)</f>
        <v>138</v>
      </c>
      <c r="AA675" s="47">
        <f t="shared" si="1875"/>
        <v>136</v>
      </c>
      <c r="AB675" s="49">
        <f t="shared" si="1875"/>
        <v>26307.251</v>
      </c>
      <c r="AC675" s="47">
        <f t="shared" si="1875"/>
        <v>9799</v>
      </c>
      <c r="AD675" s="47">
        <f t="shared" si="1875"/>
        <v>101</v>
      </c>
      <c r="AE675" s="47">
        <f t="shared" si="1875"/>
        <v>9900</v>
      </c>
      <c r="AF675" s="47">
        <f t="shared" si="1875"/>
        <v>13395</v>
      </c>
      <c r="AG675" s="47">
        <f t="shared" si="1875"/>
        <v>0</v>
      </c>
      <c r="AH675" s="47">
        <f t="shared" si="1875"/>
        <v>13395</v>
      </c>
      <c r="AI675" s="47">
        <f t="shared" si="1875"/>
        <v>23295</v>
      </c>
      <c r="AJ675" s="49">
        <f t="shared" si="1858"/>
        <v>193.4356691</v>
      </c>
      <c r="AK675" s="46">
        <f>SUM(AK669:AK674)</f>
        <v>37031</v>
      </c>
      <c r="AL675" s="50">
        <f t="shared" si="1859"/>
        <v>0.629067538</v>
      </c>
      <c r="AM675" s="51">
        <v>1.5</v>
      </c>
      <c r="AN675" s="50">
        <f t="shared" si="1860"/>
        <v>0.5903315402</v>
      </c>
      <c r="AO675" s="52">
        <f t="shared" si="1861"/>
        <v>0.8854973102</v>
      </c>
      <c r="AP675" s="51">
        <f>SUM(AP669:AP674)</f>
        <v>1081.879249</v>
      </c>
      <c r="AQ675" s="51">
        <f>AP675/AA675</f>
        <v>7.954994479</v>
      </c>
      <c r="AR675" s="47">
        <f t="shared" si="1863"/>
        <v>171.2867647</v>
      </c>
    </row>
    <row r="676" ht="15.75" customHeight="1">
      <c r="A676" s="1" t="s">
        <v>45</v>
      </c>
      <c r="D676" s="2"/>
      <c r="X676" s="66" t="s">
        <v>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6"/>
    </row>
    <row r="677" ht="15.75" customHeight="1">
      <c r="A677" s="10">
        <v>46229.0</v>
      </c>
      <c r="B677" s="8" t="s">
        <v>2</v>
      </c>
      <c r="C677" s="8" t="s">
        <v>3</v>
      </c>
      <c r="D677" s="8" t="s">
        <v>4</v>
      </c>
      <c r="E677" s="8" t="s">
        <v>5</v>
      </c>
      <c r="F677" s="9" t="s">
        <v>6</v>
      </c>
      <c r="G677" s="8" t="s">
        <v>7</v>
      </c>
      <c r="H677" s="8" t="s">
        <v>8</v>
      </c>
      <c r="I677" s="8" t="s">
        <v>9</v>
      </c>
      <c r="J677" s="8" t="s">
        <v>10</v>
      </c>
      <c r="K677" s="8" t="s">
        <v>11</v>
      </c>
      <c r="L677" s="8" t="s">
        <v>12</v>
      </c>
      <c r="M677" s="8" t="s">
        <v>13</v>
      </c>
      <c r="N677" s="9" t="s">
        <v>14</v>
      </c>
      <c r="O677" s="8" t="s">
        <v>15</v>
      </c>
      <c r="P677" s="8" t="s">
        <v>16</v>
      </c>
      <c r="Q677" s="8" t="s">
        <v>17</v>
      </c>
      <c r="R677" s="8" t="s">
        <v>18</v>
      </c>
      <c r="S677" s="11" t="s">
        <v>19</v>
      </c>
      <c r="T677" s="12" t="s">
        <v>20</v>
      </c>
      <c r="U677" s="12" t="s">
        <v>21</v>
      </c>
      <c r="V677" s="13" t="s">
        <v>22</v>
      </c>
      <c r="X677" s="14" t="s">
        <v>2</v>
      </c>
      <c r="Y677" s="14" t="s">
        <v>3</v>
      </c>
      <c r="Z677" s="14" t="s">
        <v>4</v>
      </c>
      <c r="AA677" s="14" t="s">
        <v>5</v>
      </c>
      <c r="AB677" s="15" t="s">
        <v>6</v>
      </c>
      <c r="AC677" s="14" t="s">
        <v>7</v>
      </c>
      <c r="AD677" s="14" t="s">
        <v>8</v>
      </c>
      <c r="AE677" s="14" t="s">
        <v>9</v>
      </c>
      <c r="AF677" s="14" t="s">
        <v>10</v>
      </c>
      <c r="AG677" s="14" t="s">
        <v>11</v>
      </c>
      <c r="AH677" s="14" t="s">
        <v>12</v>
      </c>
      <c r="AI677" s="14" t="s">
        <v>13</v>
      </c>
      <c r="AJ677" s="15" t="s">
        <v>14</v>
      </c>
      <c r="AK677" s="14" t="s">
        <v>15</v>
      </c>
      <c r="AL677" s="14" t="s">
        <v>16</v>
      </c>
      <c r="AM677" s="16" t="s">
        <v>17</v>
      </c>
      <c r="AN677" s="17" t="s">
        <v>18</v>
      </c>
      <c r="AO677" s="18" t="s">
        <v>19</v>
      </c>
      <c r="AP677" s="19" t="s">
        <v>20</v>
      </c>
      <c r="AQ677" s="19" t="s">
        <v>21</v>
      </c>
      <c r="AR677" s="20" t="s">
        <v>22</v>
      </c>
    </row>
    <row r="678" ht="15.7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X678" s="22">
        <v>1.0</v>
      </c>
      <c r="Y678" s="22" t="s">
        <v>23</v>
      </c>
      <c r="Z678" s="22">
        <f t="shared" ref="Z678:AI678" si="1876">SUM(D686)</f>
        <v>26</v>
      </c>
      <c r="AA678" s="23">
        <f t="shared" si="1876"/>
        <v>26</v>
      </c>
      <c r="AB678" s="24">
        <f t="shared" si="1876"/>
        <v>5061</v>
      </c>
      <c r="AC678" s="23">
        <f t="shared" si="1876"/>
        <v>954</v>
      </c>
      <c r="AD678" s="23">
        <f t="shared" si="1876"/>
        <v>0</v>
      </c>
      <c r="AE678" s="23">
        <f t="shared" si="1876"/>
        <v>954</v>
      </c>
      <c r="AF678" s="23">
        <f t="shared" si="1876"/>
        <v>2241</v>
      </c>
      <c r="AG678" s="23">
        <f t="shared" si="1876"/>
        <v>85</v>
      </c>
      <c r="AH678" s="23">
        <f t="shared" si="1876"/>
        <v>2326</v>
      </c>
      <c r="AI678" s="23">
        <f t="shared" si="1876"/>
        <v>3280</v>
      </c>
      <c r="AJ678" s="25">
        <f t="shared" ref="AJ678:AJ680" si="1879">AB678/AA678</f>
        <v>194.6538462</v>
      </c>
      <c r="AK678" s="22">
        <f>SUM(O686)</f>
        <v>6853</v>
      </c>
      <c r="AL678" s="26">
        <f t="shared" ref="AL678:AL684" si="1880">AI678/AK678</f>
        <v>0.4786225011</v>
      </c>
      <c r="AM678" s="27">
        <f t="shared" ref="AM678:AM680" si="1881">SUM(Q686)</f>
        <v>1.5</v>
      </c>
      <c r="AN678" s="26">
        <f t="shared" ref="AN678:AN684" si="1882">AO678/AM678</f>
        <v>0.4320621748</v>
      </c>
      <c r="AO678" s="28">
        <f t="shared" ref="AO678:AO684" si="1883">AI678/AB678</f>
        <v>0.6480932622</v>
      </c>
      <c r="AP678" s="27">
        <f t="shared" ref="AP678:AQ678" si="1877">SUM(T686)</f>
        <v>150</v>
      </c>
      <c r="AQ678" s="27">
        <f t="shared" si="1877"/>
        <v>5.769230769</v>
      </c>
      <c r="AR678" s="23">
        <f t="shared" ref="AR678:AR684" si="1885">AI678/AA678</f>
        <v>126.1538462</v>
      </c>
    </row>
    <row r="679" ht="15.7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X679" s="22">
        <v>2.0</v>
      </c>
      <c r="Y679" s="22" t="s">
        <v>24</v>
      </c>
      <c r="Z679" s="22">
        <f t="shared" ref="Z679:AI679" si="1878">SUM(D687)</f>
        <v>35</v>
      </c>
      <c r="AA679" s="23">
        <f t="shared" si="1878"/>
        <v>35</v>
      </c>
      <c r="AB679" s="24">
        <f t="shared" si="1878"/>
        <v>6748.165</v>
      </c>
      <c r="AC679" s="23">
        <f t="shared" si="1878"/>
        <v>645</v>
      </c>
      <c r="AD679" s="23">
        <f t="shared" si="1878"/>
        <v>0</v>
      </c>
      <c r="AE679" s="23">
        <f t="shared" si="1878"/>
        <v>645</v>
      </c>
      <c r="AF679" s="23">
        <f t="shared" si="1878"/>
        <v>865</v>
      </c>
      <c r="AG679" s="23">
        <f t="shared" si="1878"/>
        <v>17</v>
      </c>
      <c r="AH679" s="23">
        <f t="shared" si="1878"/>
        <v>882</v>
      </c>
      <c r="AI679" s="23">
        <f t="shared" si="1878"/>
        <v>1527</v>
      </c>
      <c r="AJ679" s="25">
        <f t="shared" si="1879"/>
        <v>192.8047143</v>
      </c>
      <c r="AK679" s="22">
        <v>1580.0</v>
      </c>
      <c r="AL679" s="26">
        <f t="shared" si="1880"/>
        <v>0.9664556962</v>
      </c>
      <c r="AM679" s="27">
        <f t="shared" si="1881"/>
        <v>1.5</v>
      </c>
      <c r="AN679" s="26">
        <f t="shared" si="1882"/>
        <v>0.1508558253</v>
      </c>
      <c r="AO679" s="28">
        <f t="shared" si="1883"/>
        <v>0.2262837379</v>
      </c>
      <c r="AP679" s="27">
        <f t="shared" ref="AP679:AQ679" si="1884">SUM(T687)</f>
        <v>251.7502332</v>
      </c>
      <c r="AQ679" s="27">
        <f t="shared" si="1884"/>
        <v>7.192863805</v>
      </c>
      <c r="AR679" s="23">
        <f t="shared" si="1885"/>
        <v>43.62857143</v>
      </c>
    </row>
    <row r="680" ht="15.75" customHeight="1">
      <c r="A680" s="21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X680" s="31">
        <v>3.0</v>
      </c>
      <c r="Y680" s="31" t="s">
        <v>25</v>
      </c>
      <c r="Z680" s="31">
        <f t="shared" ref="Z680:AI680" si="1886">SUM(D688)</f>
        <v>26</v>
      </c>
      <c r="AA680" s="32">
        <f t="shared" si="1886"/>
        <v>25</v>
      </c>
      <c r="AB680" s="33">
        <f t="shared" si="1886"/>
        <v>4486.796</v>
      </c>
      <c r="AC680" s="32">
        <f t="shared" si="1886"/>
        <v>1466</v>
      </c>
      <c r="AD680" s="32">
        <f t="shared" si="1886"/>
        <v>335</v>
      </c>
      <c r="AE680" s="32">
        <f t="shared" si="1886"/>
        <v>1801</v>
      </c>
      <c r="AF680" s="32">
        <f t="shared" si="1886"/>
        <v>2194</v>
      </c>
      <c r="AG680" s="32">
        <f t="shared" si="1886"/>
        <v>211</v>
      </c>
      <c r="AH680" s="32">
        <f t="shared" si="1886"/>
        <v>2405</v>
      </c>
      <c r="AI680" s="32">
        <f t="shared" si="1886"/>
        <v>4206</v>
      </c>
      <c r="AJ680" s="34">
        <f t="shared" si="1879"/>
        <v>179.47184</v>
      </c>
      <c r="AK680" s="31">
        <f>SUM(O688)</f>
        <v>6622</v>
      </c>
      <c r="AL680" s="35">
        <f t="shared" si="1880"/>
        <v>0.6351555421</v>
      </c>
      <c r="AM680" s="36">
        <f t="shared" si="1881"/>
        <v>1.5</v>
      </c>
      <c r="AN680" s="35">
        <f t="shared" si="1882"/>
        <v>0.6249448381</v>
      </c>
      <c r="AO680" s="37">
        <f t="shared" si="1883"/>
        <v>0.9374172572</v>
      </c>
      <c r="AP680" s="36">
        <f t="shared" ref="AP680:AQ680" si="1887">SUM(T688)</f>
        <v>188.2045302</v>
      </c>
      <c r="AQ680" s="36">
        <f t="shared" si="1887"/>
        <v>7.528181208</v>
      </c>
      <c r="AR680" s="32">
        <f t="shared" si="1885"/>
        <v>168.24</v>
      </c>
    </row>
    <row r="681" ht="15.75" customHeight="1">
      <c r="A681" s="21"/>
      <c r="B681" s="38">
        <v>1.0</v>
      </c>
      <c r="C681" s="38" t="s">
        <v>26</v>
      </c>
      <c r="D681" s="39">
        <v>15.0</v>
      </c>
      <c r="E681" s="40">
        <f>IFERROR(__xludf.DUMMYFUNCTION("COUNT(IMPORTRANGE(""https://docs.google.com/spreadsheets/d/1z0o91thOT38lgejTE_Bd2p3v_9VCDdQRkUsMIVqpQCk/edit"",""26!d2:d21""))"),14.0)</f>
        <v>14</v>
      </c>
      <c r="F681" s="41">
        <f>IFERROR(__xludf.DUMMYFUNCTION("SUM(IMPORTRANGE(""https://docs.google.com/spreadsheets/d/1z0o91thOT38lgejTE_Bd2p3v_9VCDdQRkUsMIVqpQCk/edit"",""26!Q2:Q21""))"),2645.535)</f>
        <v>2645.535</v>
      </c>
      <c r="G681" s="40">
        <f>IFERROR(__xludf.DUMMYFUNCTION("IMPORTRANGE(""https://docs.google.com/spreadsheets/d/1z0o91thOT38lgejTE_Bd2p3v_9VCDdQRkUsMIVqpQCk/edit"",""26!e28"")"),1298.0)</f>
        <v>1298</v>
      </c>
      <c r="H681" s="40">
        <f>IFERROR(__xludf.DUMMYFUNCTION("IMPORTRANGE(""https://docs.google.com/spreadsheets/d/1z0o91thOT38lgejTE_Bd2p3v_9VCDdQRkUsMIVqpQCk/edit"",""26!e29"")"),0.0)</f>
        <v>0</v>
      </c>
      <c r="I681" s="40">
        <f t="shared" ref="I681:I698" si="1890">SUM(G681:H681)</f>
        <v>1298</v>
      </c>
      <c r="J681" s="40">
        <f>IFERROR(__xludf.DUMMYFUNCTION("IMPORTRANGE(""https://docs.google.com/spreadsheets/d/1z0o91thOT38lgejTE_Bd2p3v_9VCDdQRkUsMIVqpQCk/edit"",""26!e32"")"),1805.0)</f>
        <v>1805</v>
      </c>
      <c r="K681" s="40">
        <f>IFERROR(__xludf.DUMMYFUNCTION("IMPORTRANGE(""https://docs.google.com/spreadsheets/d/1z0o91thOT38lgejTE_Bd2p3v_9VCDdQRkUsMIVqpQCk/edit"",""26!e33"")"),0.0)</f>
        <v>0</v>
      </c>
      <c r="L681" s="40">
        <f t="shared" ref="L681:L687" si="1891">SUM(J681:K681)</f>
        <v>1805</v>
      </c>
      <c r="M681" s="40">
        <f t="shared" ref="M681:M698" si="1892">SUM(I681+L681)</f>
        <v>3103</v>
      </c>
      <c r="N681" s="41">
        <f t="shared" ref="N681:N699" si="1893">F681/E681</f>
        <v>188.9667857</v>
      </c>
      <c r="O681" s="38">
        <v>5161.0</v>
      </c>
      <c r="P681" s="42">
        <f t="shared" ref="P681:P699" si="1894">M681/O681</f>
        <v>0.6012400698</v>
      </c>
      <c r="Q681" s="43">
        <v>1.5</v>
      </c>
      <c r="R681" s="42">
        <f t="shared" ref="R681:R699" si="1895">S681/Q681</f>
        <v>0.7819464368</v>
      </c>
      <c r="S681" s="44">
        <f t="shared" ref="S681:S699" si="1896">M681/F681</f>
        <v>1.172919655</v>
      </c>
      <c r="T681" s="43">
        <f>F681/14.415</f>
        <v>183.5265349</v>
      </c>
      <c r="U681" s="43">
        <f t="shared" ref="U681:U699" si="1897">T681/E681</f>
        <v>13.1090382</v>
      </c>
      <c r="V681" s="40">
        <f t="shared" ref="V681:V699" si="1898">M681/E681</f>
        <v>221.6428571</v>
      </c>
      <c r="X681" s="22">
        <v>4.0</v>
      </c>
      <c r="Y681" s="22" t="s">
        <v>27</v>
      </c>
      <c r="Z681" s="22">
        <f t="shared" ref="Z681:AK681" si="1888">SUM(D694)</f>
        <v>23</v>
      </c>
      <c r="AA681" s="23">
        <f t="shared" si="1888"/>
        <v>21</v>
      </c>
      <c r="AB681" s="24">
        <f t="shared" si="1888"/>
        <v>4206.705</v>
      </c>
      <c r="AC681" s="23">
        <f t="shared" si="1888"/>
        <v>1847</v>
      </c>
      <c r="AD681" s="23">
        <f t="shared" si="1888"/>
        <v>0</v>
      </c>
      <c r="AE681" s="23">
        <f t="shared" si="1888"/>
        <v>1847</v>
      </c>
      <c r="AF681" s="23">
        <f t="shared" si="1888"/>
        <v>2082</v>
      </c>
      <c r="AG681" s="23">
        <f t="shared" si="1888"/>
        <v>0</v>
      </c>
      <c r="AH681" s="23">
        <f t="shared" si="1888"/>
        <v>2082</v>
      </c>
      <c r="AI681" s="23">
        <f t="shared" si="1888"/>
        <v>3929</v>
      </c>
      <c r="AJ681" s="25">
        <f t="shared" si="1888"/>
        <v>200.3192857</v>
      </c>
      <c r="AK681" s="22">
        <f t="shared" si="1888"/>
        <v>8101</v>
      </c>
      <c r="AL681" s="26">
        <f t="shared" si="1880"/>
        <v>0.4850018516</v>
      </c>
      <c r="AM681" s="27">
        <f>SUM(Q694)</f>
        <v>1.5</v>
      </c>
      <c r="AN681" s="26">
        <f t="shared" si="1882"/>
        <v>0.6226567666</v>
      </c>
      <c r="AO681" s="28">
        <f t="shared" si="1883"/>
        <v>0.9339851499</v>
      </c>
      <c r="AP681" s="27">
        <f t="shared" ref="AP681:AQ681" si="1889">SUM(T694)</f>
        <v>210.4931198</v>
      </c>
      <c r="AQ681" s="27">
        <f t="shared" si="1889"/>
        <v>10.0234819</v>
      </c>
      <c r="AR681" s="23">
        <f t="shared" si="1885"/>
        <v>187.0952381</v>
      </c>
    </row>
    <row r="682" ht="15.75" customHeight="1">
      <c r="A682" s="21"/>
      <c r="B682" s="38">
        <v>2.0</v>
      </c>
      <c r="C682" s="38" t="s">
        <v>28</v>
      </c>
      <c r="D682" s="39">
        <v>24.0</v>
      </c>
      <c r="E682" s="40">
        <f>IFERROR(__xludf.DUMMYFUNCTION("COUNT(IMPORTRANGE(""https://docs.google.com/spreadsheets/d/10a85iNN0y9GF6ngQfF1JXGAzFk-T7ywH4-TZtQcOTaE/edit"",""26!d2:d34""))"),23.0)</f>
        <v>23</v>
      </c>
      <c r="F682" s="41">
        <f>IFERROR(__xludf.DUMMYFUNCTION("SUM(IMPORTRANGE(""https://docs.google.com/spreadsheets/d/10a85iNN0y9GF6ngQfF1JXGAzFk-T7ywH4-TZtQcOTaE/edit"",""26!Q2:Q34""))"),4520.528)</f>
        <v>4520.528</v>
      </c>
      <c r="G682" s="40">
        <f>IFERROR(__xludf.DUMMYFUNCTION("IMPORTRANGE(""https://docs.google.com/spreadsheets/d/10a85iNN0y9GF6ngQfF1JXGAzFk-T7ywH4-TZtQcOTaE/edit"",""26!e41"")"),1477.0)</f>
        <v>1477</v>
      </c>
      <c r="H682" s="40">
        <f>IFERROR(__xludf.DUMMYFUNCTION("IMPORTRANGE(""https://docs.google.com/spreadsheets/d/10a85iNN0y9GF6ngQfF1JXGAzFk-T7ywH4-TZtQcOTaE/edit"",""26!e42"")"),125.0)</f>
        <v>125</v>
      </c>
      <c r="I682" s="40">
        <f t="shared" si="1890"/>
        <v>1602</v>
      </c>
      <c r="J682" s="40">
        <f>IFERROR(__xludf.DUMMYFUNCTION("IMPORTRANGE(""https://docs.google.com/spreadsheets/d/10a85iNN0y9GF6ngQfF1JXGAzFk-T7ywH4-TZtQcOTaE/edit"",""26!e45"")"),1968.0)</f>
        <v>1968</v>
      </c>
      <c r="K682" s="40">
        <f>IFERROR(__xludf.DUMMYFUNCTION("IMPORTRANGE(""https://docs.google.com/spreadsheets/d/10a85iNN0y9GF6ngQfF1JXGAzFk-T7ywH4-TZtQcOTaE/edit"",""26!e46"")"),63.0)</f>
        <v>63</v>
      </c>
      <c r="L682" s="40">
        <f t="shared" si="1891"/>
        <v>2031</v>
      </c>
      <c r="M682" s="40">
        <f t="shared" si="1892"/>
        <v>3633</v>
      </c>
      <c r="N682" s="41">
        <f t="shared" si="1893"/>
        <v>196.5446957</v>
      </c>
      <c r="O682" s="38">
        <v>7315.0</v>
      </c>
      <c r="P682" s="42">
        <f t="shared" si="1894"/>
        <v>0.4966507177</v>
      </c>
      <c r="Q682" s="43">
        <v>1.5</v>
      </c>
      <c r="R682" s="42">
        <f t="shared" si="1895"/>
        <v>0.5357781215</v>
      </c>
      <c r="S682" s="44">
        <f t="shared" si="1896"/>
        <v>0.8036671822</v>
      </c>
      <c r="T682" s="43">
        <f>F682/30.897</f>
        <v>146.3096093</v>
      </c>
      <c r="U682" s="43">
        <f t="shared" si="1897"/>
        <v>6.361287363</v>
      </c>
      <c r="V682" s="40">
        <f t="shared" si="1898"/>
        <v>157.9565217</v>
      </c>
      <c r="X682" s="22">
        <v>5.0</v>
      </c>
      <c r="Y682" s="22" t="s">
        <v>29</v>
      </c>
      <c r="Z682" s="22">
        <f t="shared" ref="Z682:AI682" si="1899">SUM(D697)</f>
        <v>23</v>
      </c>
      <c r="AA682" s="23">
        <f t="shared" si="1899"/>
        <v>23</v>
      </c>
      <c r="AB682" s="24">
        <f t="shared" si="1899"/>
        <v>4556.65</v>
      </c>
      <c r="AC682" s="23">
        <f t="shared" si="1899"/>
        <v>1665</v>
      </c>
      <c r="AD682" s="23">
        <f t="shared" si="1899"/>
        <v>66</v>
      </c>
      <c r="AE682" s="23">
        <f t="shared" si="1899"/>
        <v>1731</v>
      </c>
      <c r="AF682" s="23">
        <f t="shared" si="1899"/>
        <v>2414</v>
      </c>
      <c r="AG682" s="23">
        <f t="shared" si="1899"/>
        <v>20</v>
      </c>
      <c r="AH682" s="23">
        <f t="shared" si="1899"/>
        <v>2434</v>
      </c>
      <c r="AI682" s="23">
        <f t="shared" si="1899"/>
        <v>4165</v>
      </c>
      <c r="AJ682" s="25">
        <f t="shared" ref="AJ682:AJ684" si="1902">AB682/AA682</f>
        <v>198.1152174</v>
      </c>
      <c r="AK682" s="22">
        <f t="shared" ref="AK682:AK683" si="1903">SUM(O697)</f>
        <v>9201</v>
      </c>
      <c r="AL682" s="26">
        <f t="shared" si="1880"/>
        <v>0.4526681882</v>
      </c>
      <c r="AM682" s="27">
        <f t="shared" ref="AM682:AM683" si="1904">SUM(Q697)</f>
        <v>1.5</v>
      </c>
      <c r="AN682" s="26">
        <f t="shared" si="1882"/>
        <v>0.6093657987</v>
      </c>
      <c r="AO682" s="28">
        <f t="shared" si="1883"/>
        <v>0.9140486981</v>
      </c>
      <c r="AP682" s="27">
        <f t="shared" ref="AP682:AQ682" si="1900">SUM(T697)</f>
        <v>175</v>
      </c>
      <c r="AQ682" s="27">
        <f t="shared" si="1900"/>
        <v>7.608695652</v>
      </c>
      <c r="AR682" s="23">
        <f t="shared" si="1885"/>
        <v>181.0869565</v>
      </c>
    </row>
    <row r="683" ht="15.75" customHeight="1">
      <c r="A683" s="21"/>
      <c r="B683" s="38">
        <v>3.0</v>
      </c>
      <c r="C683" s="38" t="s">
        <v>30</v>
      </c>
      <c r="D683" s="39">
        <v>45.0</v>
      </c>
      <c r="E683" s="40">
        <f>IFERROR(__xludf.DUMMYFUNCTION("COUNT(IMPORTRANGE(""https://docs.google.com/spreadsheets/d/1WojVzHhpzodJL1e5UDHeu3A3u5MTSZwvxHu0BrwvL9w/edit"",""26!d2:d61""))"),40.0)</f>
        <v>40</v>
      </c>
      <c r="F683" s="45">
        <f>IFERROR(__xludf.DUMMYFUNCTION("SUM(IMPORTRANGE(""https://docs.google.com/spreadsheets/d/1WojVzHhpzodJL1e5UDHeu3A3u5MTSZwvxHu0BrwvL9w/edit"",""26!Q2:Q61""))"),7815.191999999994)</f>
        <v>7815.192</v>
      </c>
      <c r="G683" s="40">
        <f>IFERROR(__xludf.DUMMYFUNCTION("IMPORTRANGE(""https://docs.google.com/spreadsheets/d/1WojVzHhpzodJL1e5UDHeu3A3u5MTSZwvxHu0BrwvL9w/edit"",""26!e68"")"),1942.0)</f>
        <v>1942</v>
      </c>
      <c r="H683" s="40">
        <f>IFERROR(__xludf.DUMMYFUNCTION("IMPORTRANGE(""https://docs.google.com/spreadsheets/d/1WojVzHhpzodJL1e5UDHeu3A3u5MTSZwvxHu0BrwvL9w/edit"",""26!e69"")"),0.0)</f>
        <v>0</v>
      </c>
      <c r="I683" s="40">
        <f t="shared" si="1890"/>
        <v>1942</v>
      </c>
      <c r="J683" s="40">
        <f>IFERROR(__xludf.DUMMYFUNCTION("IMPORTRANGE(""https://docs.google.com/spreadsheets/d/1WojVzHhpzodJL1e5UDHeu3A3u5MTSZwvxHu0BrwvL9w/edit"",""26!e72"")"),3619.0)</f>
        <v>3619</v>
      </c>
      <c r="K683" s="40">
        <f>IFERROR(__xludf.DUMMYFUNCTION("IMPORTRANGE(""https://docs.google.com/spreadsheets/d/1WojVzHhpzodJL1e5UDHeu3A3u5MTSZwvxHu0BrwvL9w/edit"",""26!e73"")"),0.0)</f>
        <v>0</v>
      </c>
      <c r="L683" s="40">
        <f t="shared" si="1891"/>
        <v>3619</v>
      </c>
      <c r="M683" s="40">
        <f t="shared" si="1892"/>
        <v>5561</v>
      </c>
      <c r="N683" s="41">
        <f t="shared" si="1893"/>
        <v>195.3798</v>
      </c>
      <c r="O683" s="38">
        <v>11164.0</v>
      </c>
      <c r="P683" s="42">
        <f t="shared" si="1894"/>
        <v>0.4981189538</v>
      </c>
      <c r="Q683" s="43">
        <v>1.5</v>
      </c>
      <c r="R683" s="42">
        <f t="shared" si="1895"/>
        <v>0.4743752084</v>
      </c>
      <c r="S683" s="44">
        <f t="shared" si="1896"/>
        <v>0.7115628125</v>
      </c>
      <c r="T683" s="43">
        <f>F683/29.603</f>
        <v>264</v>
      </c>
      <c r="U683" s="43">
        <f t="shared" si="1897"/>
        <v>6.6</v>
      </c>
      <c r="V683" s="40">
        <f t="shared" si="1898"/>
        <v>139.025</v>
      </c>
      <c r="X683" s="22">
        <v>6.0</v>
      </c>
      <c r="Y683" s="22" t="s">
        <v>31</v>
      </c>
      <c r="Z683" s="22">
        <f t="shared" ref="Z683:AI683" si="1901">SUM(D698)</f>
        <v>11</v>
      </c>
      <c r="AA683" s="23">
        <f t="shared" si="1901"/>
        <v>9</v>
      </c>
      <c r="AB683" s="25">
        <f t="shared" si="1901"/>
        <v>1738.6</v>
      </c>
      <c r="AC683" s="23">
        <f t="shared" si="1901"/>
        <v>414</v>
      </c>
      <c r="AD683" s="23">
        <f t="shared" si="1901"/>
        <v>9</v>
      </c>
      <c r="AE683" s="23">
        <f t="shared" si="1901"/>
        <v>423</v>
      </c>
      <c r="AF683" s="23">
        <f t="shared" si="1901"/>
        <v>546</v>
      </c>
      <c r="AG683" s="23">
        <f t="shared" si="1901"/>
        <v>0</v>
      </c>
      <c r="AH683" s="23">
        <f t="shared" si="1901"/>
        <v>546</v>
      </c>
      <c r="AI683" s="23">
        <f t="shared" si="1901"/>
        <v>969</v>
      </c>
      <c r="AJ683" s="25">
        <f t="shared" si="1902"/>
        <v>193.1777778</v>
      </c>
      <c r="AK683" s="22">
        <f t="shared" si="1903"/>
        <v>2717</v>
      </c>
      <c r="AL683" s="26">
        <f t="shared" si="1880"/>
        <v>0.3566433566</v>
      </c>
      <c r="AM683" s="27">
        <f t="shared" si="1904"/>
        <v>1.5</v>
      </c>
      <c r="AN683" s="26">
        <f t="shared" si="1882"/>
        <v>0.3715633268</v>
      </c>
      <c r="AO683" s="28">
        <f t="shared" si="1883"/>
        <v>0.5573449902</v>
      </c>
      <c r="AP683" s="27">
        <f t="shared" ref="AP683:AQ683" si="1905">SUM(T698)</f>
        <v>40</v>
      </c>
      <c r="AQ683" s="27">
        <f t="shared" si="1905"/>
        <v>4.444444444</v>
      </c>
      <c r="AR683" s="23">
        <f t="shared" si="1885"/>
        <v>107.6666667</v>
      </c>
    </row>
    <row r="684" ht="15.75" customHeight="1">
      <c r="A684" s="21"/>
      <c r="B684" s="38">
        <v>4.0</v>
      </c>
      <c r="C684" s="38" t="s">
        <v>32</v>
      </c>
      <c r="D684" s="39">
        <v>32.0</v>
      </c>
      <c r="E684" s="40">
        <f>IFERROR(__xludf.DUMMYFUNCTION("COUNT(IMPORTRANGE(""https://docs.google.com/spreadsheets/d/1vmCj5YcMSPHj1m64syDndQ6cqVL3yolcU03Y8KHmvdc/edit"",""26!d2:d43""))"),30.0)</f>
        <v>30</v>
      </c>
      <c r="F684" s="45">
        <f>IFERROR(__xludf.DUMMYFUNCTION("SUM(IMPORTRANGE(""https://docs.google.com/spreadsheets/d/1vmCj5YcMSPHj1m64syDndQ6cqVL3yolcU03Y8KHmvdc/edit"",""26!Q2:Q43""))"),5984.800999999996)</f>
        <v>5984.801</v>
      </c>
      <c r="G684" s="38">
        <f>IFERROR(__xludf.DUMMYFUNCTION("IMPORTRANGE(""https://docs.google.com/spreadsheets/d/1vmCj5YcMSPHj1m64syDndQ6cqVL3yolcU03Y8KHmvdc/edit"",""26!e50"")"),2854.0)</f>
        <v>2854</v>
      </c>
      <c r="H684" s="38">
        <f>IFERROR(__xludf.DUMMYFUNCTION("IMPORTRANGE(""https://docs.google.com/spreadsheets/d/1vmCj5YcMSPHj1m64syDndQ6cqVL3yolcU03Y8KHmvdc/edit"",""26!e51"")"),80.0)</f>
        <v>80</v>
      </c>
      <c r="I684" s="40">
        <f t="shared" si="1890"/>
        <v>2934</v>
      </c>
      <c r="J684" s="38">
        <f>IFERROR(__xludf.DUMMYFUNCTION("IMPORTRANGE(""https://docs.google.com/spreadsheets/d/1vmCj5YcMSPHj1m64syDndQ6cqVL3yolcU03Y8KHmvdc/edit"",""26!e54"")"),3617.0)</f>
        <v>3617</v>
      </c>
      <c r="K684" s="38">
        <f>IFERROR(__xludf.DUMMYFUNCTION("IMPORTRANGE(""https://docs.google.com/spreadsheets/d/1vmCj5YcMSPHj1m64syDndQ6cqVL3yolcU03Y8KHmvdc/edit"",""26!e55"")"),0.0)</f>
        <v>0</v>
      </c>
      <c r="L684" s="40">
        <f t="shared" si="1891"/>
        <v>3617</v>
      </c>
      <c r="M684" s="40">
        <f t="shared" si="1892"/>
        <v>6551</v>
      </c>
      <c r="N684" s="41">
        <f t="shared" si="1893"/>
        <v>199.4933667</v>
      </c>
      <c r="O684" s="38">
        <v>13817.0</v>
      </c>
      <c r="P684" s="42">
        <f t="shared" si="1894"/>
        <v>0.4741260766</v>
      </c>
      <c r="Q684" s="43">
        <v>1.5</v>
      </c>
      <c r="R684" s="42">
        <f t="shared" si="1895"/>
        <v>0.7297374354</v>
      </c>
      <c r="S684" s="44">
        <f t="shared" si="1896"/>
        <v>1.094606153</v>
      </c>
      <c r="T684" s="43">
        <f>F684/25.089</f>
        <v>238.5428275</v>
      </c>
      <c r="U684" s="43">
        <f t="shared" si="1897"/>
        <v>7.951427584</v>
      </c>
      <c r="V684" s="40">
        <f t="shared" si="1898"/>
        <v>218.3666667</v>
      </c>
      <c r="X684" s="46" t="s">
        <v>33</v>
      </c>
      <c r="Y684" s="46">
        <v>6.0</v>
      </c>
      <c r="Z684" s="46">
        <f t="shared" ref="Z684:AI684" si="1906">SUM(Z678:Z683)</f>
        <v>144</v>
      </c>
      <c r="AA684" s="47">
        <f t="shared" si="1906"/>
        <v>139</v>
      </c>
      <c r="AB684" s="48">
        <f t="shared" si="1906"/>
        <v>26797.916</v>
      </c>
      <c r="AC684" s="47">
        <f t="shared" si="1906"/>
        <v>6991</v>
      </c>
      <c r="AD684" s="47">
        <f t="shared" si="1906"/>
        <v>410</v>
      </c>
      <c r="AE684" s="47">
        <f t="shared" si="1906"/>
        <v>7401</v>
      </c>
      <c r="AF684" s="47">
        <f t="shared" si="1906"/>
        <v>10342</v>
      </c>
      <c r="AG684" s="47">
        <f t="shared" si="1906"/>
        <v>333</v>
      </c>
      <c r="AH684" s="47">
        <f t="shared" si="1906"/>
        <v>10675</v>
      </c>
      <c r="AI684" s="47">
        <f t="shared" si="1906"/>
        <v>18076</v>
      </c>
      <c r="AJ684" s="49">
        <f t="shared" si="1902"/>
        <v>192.7907626</v>
      </c>
      <c r="AK684" s="46">
        <f>SUM(AK678:AK683)</f>
        <v>35074</v>
      </c>
      <c r="AL684" s="50">
        <f t="shared" si="1880"/>
        <v>0.5153675087</v>
      </c>
      <c r="AM684" s="51">
        <v>1.5</v>
      </c>
      <c r="AN684" s="50">
        <f t="shared" si="1882"/>
        <v>0.4496867095</v>
      </c>
      <c r="AO684" s="52">
        <f t="shared" si="1883"/>
        <v>0.6745300642</v>
      </c>
      <c r="AP684" s="51">
        <f>SUM(AP678:AP683)</f>
        <v>1015.447883</v>
      </c>
      <c r="AQ684" s="51">
        <f>AP684/AA684</f>
        <v>7.305380455</v>
      </c>
      <c r="AR684" s="47">
        <f t="shared" si="1885"/>
        <v>130.0431655</v>
      </c>
    </row>
    <row r="685" ht="15.75" customHeight="1">
      <c r="A685" s="21"/>
      <c r="B685" s="38">
        <v>5.0</v>
      </c>
      <c r="C685" s="38" t="s">
        <v>34</v>
      </c>
      <c r="D685" s="39">
        <v>30.0</v>
      </c>
      <c r="E685" s="40">
        <f>IFERROR(__xludf.DUMMYFUNCTION("COUNT(IMPORTRANGE(""https://docs.google.com/spreadsheets/d/14_Y-fpuq1wcec3DlT_1PBYekOC0YblQMrWVfO12YO3k/edit"",""26!d2:d41""))"),30.0)</f>
        <v>30</v>
      </c>
      <c r="F685" s="45">
        <f>IFERROR(__xludf.DUMMYFUNCTION("SUM(IMPORTRANGE(""https://docs.google.com/spreadsheets/d/14_Y-fpuq1wcec3DlT_1PBYekOC0YblQMrWVfO12YO3k/edit"",""26!Q2:Q41""))"),5839.482000000002)</f>
        <v>5839.482</v>
      </c>
      <c r="G685" s="40">
        <f>IFERROR(__xludf.DUMMYFUNCTION("IMPORTRANGE(""https://docs.google.com/spreadsheets/d/14_Y-fpuq1wcec3DlT_1PBYekOC0YblQMrWVfO12YO3k/edit"",""26!e48"")"),1764.0)</f>
        <v>1764</v>
      </c>
      <c r="H685" s="40">
        <f>IFERROR(__xludf.DUMMYFUNCTION("IMPORTRANGE(""https://docs.google.com/spreadsheets/d/14_Y-fpuq1wcec3DlT_1PBYekOC0YblQMrWVfO12YO3k/edit"",""26!e49"")"),0.0)</f>
        <v>0</v>
      </c>
      <c r="I685" s="40">
        <f t="shared" si="1890"/>
        <v>1764</v>
      </c>
      <c r="J685" s="40">
        <f>IFERROR(__xludf.DUMMYFUNCTION("IMPORTRANGE(""https://docs.google.com/spreadsheets/d/14_Y-fpuq1wcec3DlT_1PBYekOC0YblQMrWVfO12YO3k/edit"",""26!e52"")"),2209.0)</f>
        <v>2209</v>
      </c>
      <c r="K685" s="40">
        <f>IFERROR(__xludf.DUMMYFUNCTION("IMPORTRANGE(""https://docs.google.com/spreadsheets/d/14_Y-fpuq1wcec3DlT_1PBYekOC0YblQMrWVfO12YO3k/edit"",""26!e53"")"),0.0)</f>
        <v>0</v>
      </c>
      <c r="L685" s="40">
        <f t="shared" si="1891"/>
        <v>2209</v>
      </c>
      <c r="M685" s="40">
        <f t="shared" si="1892"/>
        <v>3973</v>
      </c>
      <c r="N685" s="41">
        <f t="shared" si="1893"/>
        <v>194.6494</v>
      </c>
      <c r="O685" s="38">
        <v>9354.0</v>
      </c>
      <c r="P685" s="42">
        <f t="shared" si="1894"/>
        <v>0.42473808</v>
      </c>
      <c r="Q685" s="43">
        <v>1.5</v>
      </c>
      <c r="R685" s="42">
        <f t="shared" si="1895"/>
        <v>0.4535790446</v>
      </c>
      <c r="S685" s="44">
        <f t="shared" si="1896"/>
        <v>0.6803685669</v>
      </c>
      <c r="T685" s="43">
        <f>F685/30.713</f>
        <v>190.1306287</v>
      </c>
      <c r="U685" s="43">
        <f t="shared" si="1897"/>
        <v>6.337687624</v>
      </c>
      <c r="V685" s="40">
        <f t="shared" si="1898"/>
        <v>132.4333333</v>
      </c>
      <c r="X685" s="53" t="s">
        <v>35</v>
      </c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6"/>
    </row>
    <row r="686" ht="15.75" customHeight="1">
      <c r="A686" s="21"/>
      <c r="B686" s="38">
        <v>6.0</v>
      </c>
      <c r="C686" s="38" t="s">
        <v>23</v>
      </c>
      <c r="D686" s="39">
        <v>26.0</v>
      </c>
      <c r="E686" s="40">
        <f>IFERROR(__xludf.DUMMYFUNCTION("COUNT(IMPORTRANGE(""https://docs.google.com/spreadsheets/d/1lJqjdj05V4LOXuBOiTdE65GV4ZITyx1cMLcDdcuoUnE/edit"",""26!d2:d36""))"),26.0)</f>
        <v>26</v>
      </c>
      <c r="F686" s="45">
        <f>IFERROR(__xludf.DUMMYFUNCTION("SUM(IMPORTRANGE(""https://docs.google.com/spreadsheets/d/1lJqjdj05V4LOXuBOiTdE65GV4ZITyx1cMLcDdcuoUnE/edit"",""26!Q2:Q36""))"),5060.999999999999)</f>
        <v>5061</v>
      </c>
      <c r="G686" s="40">
        <f>IFERROR(__xludf.DUMMYFUNCTION("IMPORTRANGE(""https://docs.google.com/spreadsheets/d/1lJqjdj05V4LOXuBOiTdE65GV4ZITyx1cMLcDdcuoUnE/edit"",""26!e43"")"),954.0)</f>
        <v>954</v>
      </c>
      <c r="H686" s="40">
        <f>IFERROR(__xludf.DUMMYFUNCTION("IMPORTRANGE(""https://docs.google.com/spreadsheets/d/1lJqjdj05V4LOXuBOiTdE65GV4ZITyx1cMLcDdcuoUnE/edit"",""26!e44"")"),0.0)</f>
        <v>0</v>
      </c>
      <c r="I686" s="40">
        <f t="shared" si="1890"/>
        <v>954</v>
      </c>
      <c r="J686" s="40">
        <f>IFERROR(__xludf.DUMMYFUNCTION("IMPORTRANGE(""https://docs.google.com/spreadsheets/d/1lJqjdj05V4LOXuBOiTdE65GV4ZITyx1cMLcDdcuoUnE/edit"",""26!e47"")"),2241.0)</f>
        <v>2241</v>
      </c>
      <c r="K686" s="40">
        <f>IFERROR(__xludf.DUMMYFUNCTION("IMPORTRANGE(""https://docs.google.com/spreadsheets/d/1lJqjdj05V4LOXuBOiTdE65GV4ZITyx1cMLcDdcuoUnE/edit"",""26!e48"")"),85.0)</f>
        <v>85</v>
      </c>
      <c r="L686" s="40">
        <f t="shared" si="1891"/>
        <v>2326</v>
      </c>
      <c r="M686" s="40">
        <f t="shared" si="1892"/>
        <v>3280</v>
      </c>
      <c r="N686" s="41">
        <f t="shared" si="1893"/>
        <v>194.6538462</v>
      </c>
      <c r="O686" s="38">
        <v>6853.0</v>
      </c>
      <c r="P686" s="42">
        <f t="shared" si="1894"/>
        <v>0.4786225011</v>
      </c>
      <c r="Q686" s="43">
        <v>1.5</v>
      </c>
      <c r="R686" s="42">
        <f t="shared" si="1895"/>
        <v>0.4320621748</v>
      </c>
      <c r="S686" s="44">
        <f t="shared" si="1896"/>
        <v>0.6480932622</v>
      </c>
      <c r="T686" s="43">
        <f>F686/33.74</f>
        <v>150</v>
      </c>
      <c r="U686" s="43">
        <f t="shared" si="1897"/>
        <v>5.769230769</v>
      </c>
      <c r="V686" s="40">
        <f t="shared" si="1898"/>
        <v>126.1538462</v>
      </c>
      <c r="X686" s="14" t="s">
        <v>2</v>
      </c>
      <c r="Y686" s="14" t="s">
        <v>3</v>
      </c>
      <c r="Z686" s="14" t="s">
        <v>4</v>
      </c>
      <c r="AA686" s="14" t="s">
        <v>5</v>
      </c>
      <c r="AB686" s="15" t="s">
        <v>6</v>
      </c>
      <c r="AC686" s="14" t="s">
        <v>7</v>
      </c>
      <c r="AD686" s="14" t="s">
        <v>8</v>
      </c>
      <c r="AE686" s="14" t="s">
        <v>9</v>
      </c>
      <c r="AF686" s="14" t="s">
        <v>10</v>
      </c>
      <c r="AG686" s="14" t="s">
        <v>11</v>
      </c>
      <c r="AH686" s="14" t="s">
        <v>12</v>
      </c>
      <c r="AI686" s="14" t="s">
        <v>13</v>
      </c>
      <c r="AJ686" s="15" t="s">
        <v>14</v>
      </c>
      <c r="AK686" s="14" t="s">
        <v>15</v>
      </c>
      <c r="AL686" s="14" t="s">
        <v>16</v>
      </c>
      <c r="AM686" s="16" t="s">
        <v>17</v>
      </c>
      <c r="AN686" s="17" t="s">
        <v>18</v>
      </c>
      <c r="AO686" s="18" t="s">
        <v>19</v>
      </c>
      <c r="AP686" s="19" t="s">
        <v>20</v>
      </c>
      <c r="AQ686" s="19" t="s">
        <v>21</v>
      </c>
      <c r="AR686" s="20" t="s">
        <v>22</v>
      </c>
    </row>
    <row r="687" ht="15.75" customHeight="1">
      <c r="A687" s="21"/>
      <c r="B687" s="38">
        <v>7.0</v>
      </c>
      <c r="C687" s="38" t="s">
        <v>24</v>
      </c>
      <c r="D687" s="39">
        <v>35.0</v>
      </c>
      <c r="E687" s="54">
        <f>IFERROR(__xludf.DUMMYFUNCTION("COUNT(IMPORTRANGE(""https://docs.google.com/spreadsheets/d/1_7EEO26q9Yq-XhNFiy7I6Zh4Yg6uGjTs9y0UqNvPKcQ/edit"",""26!d2:d45""))"),35.0)</f>
        <v>35</v>
      </c>
      <c r="F687" s="55">
        <f>IFERROR(__xludf.DUMMYFUNCTION("SUM(IMPORTRANGE(""https://docs.google.com/spreadsheets/d/1_7EEO26q9Yq-XhNFiy7I6Zh4Yg6uGjTs9y0UqNvPKcQ/edit"",""26!Q2:Q45""))"),6748.164999999995)</f>
        <v>6748.165</v>
      </c>
      <c r="G687" s="54">
        <f>IFERROR(__xludf.DUMMYFUNCTION("IMPORTRANGE(""https://docs.google.com/spreadsheets/d/1_7EEO26q9Yq-XhNFiy7I6Zh4Yg6uGjTs9y0UqNvPKcQ/edit"",""26!e53"")"),645.0)</f>
        <v>645</v>
      </c>
      <c r="H687" s="54">
        <f>IFERROR(__xludf.DUMMYFUNCTION("IMPORTRANGE(""https://docs.google.com/spreadsheets/d/1_7EEO26q9Yq-XhNFiy7I6Zh4Yg6uGjTs9y0UqNvPKcQ/edit"",""26!e54"")"),0.0)</f>
        <v>0</v>
      </c>
      <c r="I687" s="54">
        <f t="shared" si="1890"/>
        <v>645</v>
      </c>
      <c r="J687" s="54">
        <f>IFERROR(__xludf.DUMMYFUNCTION("IMPORTRANGE(""https://docs.google.com/spreadsheets/d/1_7EEO26q9Yq-XhNFiy7I6Zh4Yg6uGjTs9y0UqNvPKcQ/edit"",""26!e57"")"),865.0)</f>
        <v>865</v>
      </c>
      <c r="K687" s="54">
        <f>IFERROR(__xludf.DUMMYFUNCTION("IMPORTRANGE(""https://docs.google.com/spreadsheets/d/1_7EEO26q9Yq-XhNFiy7I6Zh4Yg6uGjTs9y0UqNvPKcQ/edit"",""26!e58"")"),17.0)</f>
        <v>17</v>
      </c>
      <c r="L687" s="40">
        <f t="shared" si="1891"/>
        <v>882</v>
      </c>
      <c r="M687" s="40">
        <f t="shared" si="1892"/>
        <v>1527</v>
      </c>
      <c r="N687" s="41">
        <f t="shared" si="1893"/>
        <v>192.8047143</v>
      </c>
      <c r="O687" s="38">
        <v>1580.0</v>
      </c>
      <c r="P687" s="42">
        <f t="shared" si="1894"/>
        <v>0.9664556962</v>
      </c>
      <c r="Q687" s="43">
        <v>1.5</v>
      </c>
      <c r="R687" s="42">
        <f t="shared" si="1895"/>
        <v>0.1508558253</v>
      </c>
      <c r="S687" s="44">
        <f t="shared" si="1896"/>
        <v>0.2262837379</v>
      </c>
      <c r="T687" s="43">
        <f>F687/26.805</f>
        <v>251.7502332</v>
      </c>
      <c r="U687" s="43">
        <f t="shared" si="1897"/>
        <v>7.192863805</v>
      </c>
      <c r="V687" s="40">
        <f t="shared" si="1898"/>
        <v>43.62857143</v>
      </c>
      <c r="X687" s="22">
        <v>1.0</v>
      </c>
      <c r="Y687" s="22" t="s">
        <v>28</v>
      </c>
      <c r="Z687" s="22">
        <f t="shared" ref="Z687:AI687" si="1907">SUM(D682)</f>
        <v>24</v>
      </c>
      <c r="AA687" s="23">
        <f t="shared" si="1907"/>
        <v>23</v>
      </c>
      <c r="AB687" s="25">
        <f t="shared" si="1907"/>
        <v>4520.528</v>
      </c>
      <c r="AC687" s="23">
        <f t="shared" si="1907"/>
        <v>1477</v>
      </c>
      <c r="AD687" s="23">
        <f t="shared" si="1907"/>
        <v>125</v>
      </c>
      <c r="AE687" s="23">
        <f t="shared" si="1907"/>
        <v>1602</v>
      </c>
      <c r="AF687" s="23">
        <f t="shared" si="1907"/>
        <v>1968</v>
      </c>
      <c r="AG687" s="23">
        <f t="shared" si="1907"/>
        <v>63</v>
      </c>
      <c r="AH687" s="23">
        <f t="shared" si="1907"/>
        <v>2031</v>
      </c>
      <c r="AI687" s="23">
        <f t="shared" si="1907"/>
        <v>3633</v>
      </c>
      <c r="AJ687" s="25">
        <f t="shared" ref="AJ687:AJ693" si="1910">AB687/AA687</f>
        <v>196.5446957</v>
      </c>
      <c r="AK687" s="22">
        <f t="shared" ref="AK687:AK688" si="1911">SUM(O682)</f>
        <v>7315</v>
      </c>
      <c r="AL687" s="26">
        <f t="shared" ref="AL687:AL693" si="1912">AI687/AK687</f>
        <v>0.4966507177</v>
      </c>
      <c r="AM687" s="27">
        <f t="shared" ref="AM687:AM688" si="1913">SUM(Q682)</f>
        <v>1.5</v>
      </c>
      <c r="AN687" s="26">
        <f t="shared" ref="AN687:AN693" si="1914">AO687/AM687</f>
        <v>0.5357781215</v>
      </c>
      <c r="AO687" s="28">
        <f t="shared" ref="AO687:AO693" si="1915">AI687/AB687</f>
        <v>0.8036671822</v>
      </c>
      <c r="AP687" s="27">
        <f t="shared" ref="AP687:AQ687" si="1908">SUM(T682)</f>
        <v>146.3096093</v>
      </c>
      <c r="AQ687" s="27">
        <f t="shared" si="1908"/>
        <v>6.361287363</v>
      </c>
      <c r="AR687" s="23">
        <f t="shared" ref="AR687:AR693" si="1917">AI687/AA687</f>
        <v>157.9565217</v>
      </c>
    </row>
    <row r="688" ht="15.75" customHeight="1">
      <c r="A688" s="21"/>
      <c r="B688" s="38">
        <v>8.0</v>
      </c>
      <c r="C688" s="38" t="s">
        <v>25</v>
      </c>
      <c r="D688" s="57">
        <v>26.0</v>
      </c>
      <c r="E688" s="40">
        <f>IFERROR(__xludf.DUMMYFUNCTION("COUNT(IMPORTRANGE(""https://docs.google.com/spreadsheets/d/1vLOLpiE-XsbnCnwWPcoi87PlUSXfqIAAQn3kvqHfO6s/edit"",""26!d2:D33""))"),25.0)</f>
        <v>25</v>
      </c>
      <c r="F688" s="45">
        <f>IFERROR(__xludf.DUMMYFUNCTION("SUM(IMPORTRANGE(""https://docs.google.com/spreadsheets/d/1vLOLpiE-XsbnCnwWPcoi87PlUSXfqIAAQn3kvqHfO6s/edit"",""26!Q2:Q33""))"),4486.795999999999)</f>
        <v>4486.796</v>
      </c>
      <c r="G688" s="40">
        <f>IFERROR(__xludf.DUMMYFUNCTION("IMPORTRANGE(""https://docs.google.com/spreadsheets/d/1vLOLpiE-XsbnCnwWPcoi87PlUSXfqIAAQn3kvqHfO6s/edit"",""26!e40"")"),1466.0)</f>
        <v>1466</v>
      </c>
      <c r="H688" s="40">
        <f>IFERROR(__xludf.DUMMYFUNCTION("IMPORTRANGE(""https://docs.google.com/spreadsheets/d/1vLOLpiE-XsbnCnwWPcoi87PlUSXfqIAAQn3kvqHfO6s/edit"",""26!e41"")"),335.0)</f>
        <v>335</v>
      </c>
      <c r="I688" s="40">
        <f t="shared" si="1890"/>
        <v>1801</v>
      </c>
      <c r="J688" s="40">
        <f>IFERROR(__xludf.DUMMYFUNCTION("IMPORTRANGE(""https://docs.google.com/spreadsheets/d/1vLOLpiE-XsbnCnwWPcoi87PlUSXfqIAAQn3kvqHfO6s/edit"",""26!e44"")"),2194.0)</f>
        <v>2194</v>
      </c>
      <c r="K688" s="40">
        <f>IFERROR(__xludf.DUMMYFUNCTION("IMPORTRANGE(""https://docs.google.com/spreadsheets/d/1vLOLpiE-XsbnCnwWPcoi87PlUSXfqIAAQn3kvqHfO6s/edit"",""26!e45"")"),211.0)</f>
        <v>211</v>
      </c>
      <c r="L688" s="40">
        <f>J688+K688</f>
        <v>2405</v>
      </c>
      <c r="M688" s="40">
        <f t="shared" si="1892"/>
        <v>4206</v>
      </c>
      <c r="N688" s="41">
        <f t="shared" si="1893"/>
        <v>179.47184</v>
      </c>
      <c r="O688" s="38">
        <v>6622.0</v>
      </c>
      <c r="P688" s="42">
        <f t="shared" si="1894"/>
        <v>0.6351555421</v>
      </c>
      <c r="Q688" s="43">
        <v>1.5</v>
      </c>
      <c r="R688" s="42">
        <f t="shared" si="1895"/>
        <v>0.6249448381</v>
      </c>
      <c r="S688" s="44">
        <f t="shared" si="1896"/>
        <v>0.9374172572</v>
      </c>
      <c r="T688" s="43">
        <f>F688/23.84</f>
        <v>188.2045302</v>
      </c>
      <c r="U688" s="43">
        <f t="shared" si="1897"/>
        <v>7.528181208</v>
      </c>
      <c r="V688" s="40">
        <f t="shared" si="1898"/>
        <v>168.24</v>
      </c>
      <c r="X688" s="31">
        <v>2.0</v>
      </c>
      <c r="Y688" s="31" t="s">
        <v>30</v>
      </c>
      <c r="Z688" s="31">
        <f t="shared" ref="Z688:AI688" si="1909">SUM(D683)</f>
        <v>45</v>
      </c>
      <c r="AA688" s="32">
        <f t="shared" si="1909"/>
        <v>40</v>
      </c>
      <c r="AB688" s="33">
        <f t="shared" si="1909"/>
        <v>7815.192</v>
      </c>
      <c r="AC688" s="32">
        <f t="shared" si="1909"/>
        <v>1942</v>
      </c>
      <c r="AD688" s="32">
        <f t="shared" si="1909"/>
        <v>0</v>
      </c>
      <c r="AE688" s="32">
        <f t="shared" si="1909"/>
        <v>1942</v>
      </c>
      <c r="AF688" s="32">
        <f t="shared" si="1909"/>
        <v>3619</v>
      </c>
      <c r="AG688" s="32">
        <f t="shared" si="1909"/>
        <v>0</v>
      </c>
      <c r="AH688" s="32">
        <f t="shared" si="1909"/>
        <v>3619</v>
      </c>
      <c r="AI688" s="32">
        <f t="shared" si="1909"/>
        <v>5561</v>
      </c>
      <c r="AJ688" s="34">
        <f t="shared" si="1910"/>
        <v>195.3798</v>
      </c>
      <c r="AK688" s="31">
        <f t="shared" si="1911"/>
        <v>11164</v>
      </c>
      <c r="AL688" s="35">
        <f t="shared" si="1912"/>
        <v>0.4981189538</v>
      </c>
      <c r="AM688" s="36">
        <f t="shared" si="1913"/>
        <v>1.5</v>
      </c>
      <c r="AN688" s="35">
        <f t="shared" si="1914"/>
        <v>0.4743752084</v>
      </c>
      <c r="AO688" s="37">
        <f t="shared" si="1915"/>
        <v>0.7115628125</v>
      </c>
      <c r="AP688" s="36">
        <f t="shared" ref="AP688:AQ688" si="1916">SUM(T683)</f>
        <v>264</v>
      </c>
      <c r="AQ688" s="36">
        <f t="shared" si="1916"/>
        <v>6.6</v>
      </c>
      <c r="AR688" s="32">
        <f t="shared" si="1917"/>
        <v>139.025</v>
      </c>
    </row>
    <row r="689" ht="15.75" customHeight="1">
      <c r="A689" s="21"/>
      <c r="B689" s="38">
        <v>9.0</v>
      </c>
      <c r="C689" s="38" t="s">
        <v>36</v>
      </c>
      <c r="D689" s="58">
        <v>22.0</v>
      </c>
      <c r="E689" s="40">
        <f>IFERROR(__xludf.DUMMYFUNCTION("COUNT(IMPORTRANGE(""https://docs.google.com/spreadsheets/d/1WJJVq25XDtGjt-J2JPxeKs3jIvDZtkIREC0lFPXwf74/edit"",""26!d2:d31""))"),22.0)</f>
        <v>22</v>
      </c>
      <c r="F689" s="45">
        <f>IFERROR(__xludf.DUMMYFUNCTION("SUM(IMPORTRANGE(""https://docs.google.com/spreadsheets/d/1WJJVq25XDtGjt-J2JPxeKs3jIvDZtkIREC0lFPXwf74/edit"",""26!Q2:Q31""))"),4335.235999999998)</f>
        <v>4335.236</v>
      </c>
      <c r="G689" s="40">
        <f>IFERROR(__xludf.DUMMYFUNCTION("IMPORTRANGE(""https://docs.google.com/spreadsheets/d/1WJJVq25XDtGjt-J2JPxeKs3jIvDZtkIREC0lFPXwf74/edit"",""26!e38"")"),842.0)</f>
        <v>842</v>
      </c>
      <c r="H689" s="40">
        <f>IFERROR(__xludf.DUMMYFUNCTION("IMPORTRANGE(""https://docs.google.com/spreadsheets/d/1WJJVq25XDtGjt-J2JPxeKs3jIvDZtkIREC0lFPXwf74/edit"",""26!e39"")"),0.0)</f>
        <v>0</v>
      </c>
      <c r="I689" s="40">
        <f t="shared" si="1890"/>
        <v>842</v>
      </c>
      <c r="J689" s="40">
        <f>IFERROR(__xludf.DUMMYFUNCTION("IMPORTRANGE(""https://docs.google.com/spreadsheets/d/1WJJVq25XDtGjt-J2JPxeKs3jIvDZtkIREC0lFPXwf74/edit"",""26!e42"")"),1425.0)</f>
        <v>1425</v>
      </c>
      <c r="K689" s="40">
        <f>IFERROR(__xludf.DUMMYFUNCTION("IMPORTRANGE(""https://docs.google.com/spreadsheets/d/1WJJVq25XDtGjt-J2JPxeKs3jIvDZtkIREC0lFPXwf74/edit"",""26!e43"")"),0.0)</f>
        <v>0</v>
      </c>
      <c r="L689" s="40">
        <f t="shared" ref="L689:L698" si="1920">SUM(J689:K689)</f>
        <v>1425</v>
      </c>
      <c r="M689" s="40">
        <f t="shared" si="1892"/>
        <v>2267</v>
      </c>
      <c r="N689" s="41">
        <f t="shared" si="1893"/>
        <v>197.0561818</v>
      </c>
      <c r="O689" s="38">
        <v>4796.0</v>
      </c>
      <c r="P689" s="42">
        <f t="shared" si="1894"/>
        <v>0.4726855713</v>
      </c>
      <c r="Q689" s="43">
        <v>1.5</v>
      </c>
      <c r="R689" s="42">
        <f t="shared" si="1895"/>
        <v>0.3486161615</v>
      </c>
      <c r="S689" s="44">
        <f t="shared" si="1896"/>
        <v>0.5229242422</v>
      </c>
      <c r="T689" s="43">
        <f>F689/37.414</f>
        <v>115.8720265</v>
      </c>
      <c r="U689" s="43">
        <f t="shared" si="1897"/>
        <v>5.266910296</v>
      </c>
      <c r="V689" s="40">
        <f t="shared" si="1898"/>
        <v>103.0454545</v>
      </c>
      <c r="X689" s="22">
        <v>3.0</v>
      </c>
      <c r="Y689" s="22" t="s">
        <v>34</v>
      </c>
      <c r="Z689" s="22">
        <f t="shared" ref="Z689:AI689" si="1918">SUM(D685)</f>
        <v>30</v>
      </c>
      <c r="AA689" s="23">
        <f t="shared" si="1918"/>
        <v>30</v>
      </c>
      <c r="AB689" s="24">
        <f t="shared" si="1918"/>
        <v>5839.482</v>
      </c>
      <c r="AC689" s="23">
        <f t="shared" si="1918"/>
        <v>1764</v>
      </c>
      <c r="AD689" s="23">
        <f t="shared" si="1918"/>
        <v>0</v>
      </c>
      <c r="AE689" s="23">
        <f t="shared" si="1918"/>
        <v>1764</v>
      </c>
      <c r="AF689" s="23">
        <f t="shared" si="1918"/>
        <v>2209</v>
      </c>
      <c r="AG689" s="23">
        <f t="shared" si="1918"/>
        <v>0</v>
      </c>
      <c r="AH689" s="23">
        <f t="shared" si="1918"/>
        <v>2209</v>
      </c>
      <c r="AI689" s="23">
        <f t="shared" si="1918"/>
        <v>3973</v>
      </c>
      <c r="AJ689" s="25">
        <f t="shared" si="1910"/>
        <v>194.6494</v>
      </c>
      <c r="AK689" s="22">
        <f>SUM(O685)</f>
        <v>9354</v>
      </c>
      <c r="AL689" s="26">
        <f t="shared" si="1912"/>
        <v>0.42473808</v>
      </c>
      <c r="AM689" s="27">
        <f>SUM(Q685)</f>
        <v>1.5</v>
      </c>
      <c r="AN689" s="26">
        <f t="shared" si="1914"/>
        <v>0.4535790446</v>
      </c>
      <c r="AO689" s="28">
        <f t="shared" si="1915"/>
        <v>0.6803685669</v>
      </c>
      <c r="AP689" s="27">
        <f t="shared" ref="AP689:AQ689" si="1919">SUM(T685)</f>
        <v>190.1306287</v>
      </c>
      <c r="AQ689" s="27">
        <f t="shared" si="1919"/>
        <v>6.337687624</v>
      </c>
      <c r="AR689" s="23">
        <f t="shared" si="1917"/>
        <v>132.4333333</v>
      </c>
    </row>
    <row r="690" ht="15.75" customHeight="1">
      <c r="A690" s="21"/>
      <c r="B690" s="38">
        <v>10.0</v>
      </c>
      <c r="C690" s="38" t="s">
        <v>37</v>
      </c>
      <c r="D690" s="39">
        <v>23.0</v>
      </c>
      <c r="E690" s="40">
        <f>IFERROR(__xludf.DUMMYFUNCTION("COUNT(IMPORTRANGE(""https://docs.google.com/spreadsheets/d/1rJyYfywRpWJW0zvDJHLOJtqUQqffoCGaqTVxxTDgV0k/edit"",""26!d2:d31""))"),23.0)</f>
        <v>23</v>
      </c>
      <c r="F690" s="45">
        <f>IFERROR(__xludf.DUMMYFUNCTION("SUM(IMPORTRANGE(""https://docs.google.com/spreadsheets/d/1rJyYfywRpWJW0zvDJHLOJtqUQqffoCGaqTVxxTDgV0k/edit"",""26!Q2:Q31""))"),4523.004000000001)</f>
        <v>4523.004</v>
      </c>
      <c r="G690" s="40">
        <f>IFERROR(__xludf.DUMMYFUNCTION("(IMPORTRANGE(""https://docs.google.com/spreadsheets/d/1rJyYfywRpWJW0zvDJHLOJtqUQqffoCGaqTVxxTDgV0k/edit"",""26!e38""))"),939.0)</f>
        <v>939</v>
      </c>
      <c r="H690" s="40">
        <f>IFERROR(__xludf.DUMMYFUNCTION("(IMPORTRANGE(""https://docs.google.com/spreadsheets/d/1rJyYfywRpWJW0zvDJHLOJtqUQqffoCGaqTVxxTDgV0k/edit"",""26!e39""))"),0.0)</f>
        <v>0</v>
      </c>
      <c r="I690" s="40">
        <f t="shared" si="1890"/>
        <v>939</v>
      </c>
      <c r="J690" s="40">
        <f>IFERROR(__xludf.DUMMYFUNCTION("(IMPORTRANGE(""https://docs.google.com/spreadsheets/d/1rJyYfywRpWJW0zvDJHLOJtqUQqffoCGaqTVxxTDgV0k/edit"",""26!e42""))"),1838.0)</f>
        <v>1838</v>
      </c>
      <c r="K690" s="40">
        <f>IFERROR(__xludf.DUMMYFUNCTION("(IMPORTRANGE(""https://docs.google.com/spreadsheets/d/1rJyYfywRpWJW0zvDJHLOJtqUQqffoCGaqTVxxTDgV0k/edit"",""26!e43""))"),0.0)</f>
        <v>0</v>
      </c>
      <c r="L690" s="40">
        <f t="shared" si="1920"/>
        <v>1838</v>
      </c>
      <c r="M690" s="40">
        <f t="shared" si="1892"/>
        <v>2777</v>
      </c>
      <c r="N690" s="41">
        <f t="shared" si="1893"/>
        <v>196.6523478</v>
      </c>
      <c r="O690" s="38">
        <v>5887.0</v>
      </c>
      <c r="P690" s="42">
        <f t="shared" si="1894"/>
        <v>0.4717173433</v>
      </c>
      <c r="Q690" s="43">
        <v>1.5</v>
      </c>
      <c r="R690" s="42">
        <f t="shared" si="1895"/>
        <v>0.4093149892</v>
      </c>
      <c r="S690" s="44">
        <f t="shared" si="1896"/>
        <v>0.6139724838</v>
      </c>
      <c r="T690" s="43">
        <f>F690/24.792</f>
        <v>182.4380445</v>
      </c>
      <c r="U690" s="43">
        <f t="shared" si="1897"/>
        <v>7.932088893</v>
      </c>
      <c r="V690" s="40">
        <f t="shared" si="1898"/>
        <v>120.7391304</v>
      </c>
      <c r="X690" s="31">
        <v>4.0</v>
      </c>
      <c r="Y690" s="31" t="s">
        <v>38</v>
      </c>
      <c r="Z690" s="31">
        <f t="shared" ref="Z690:AI690" si="1921">SUM(D693)</f>
        <v>23</v>
      </c>
      <c r="AA690" s="32">
        <f t="shared" si="1921"/>
        <v>23</v>
      </c>
      <c r="AB690" s="33">
        <f t="shared" si="1921"/>
        <v>4532.55</v>
      </c>
      <c r="AC690" s="32">
        <f t="shared" si="1921"/>
        <v>1063</v>
      </c>
      <c r="AD690" s="32">
        <f t="shared" si="1921"/>
        <v>0</v>
      </c>
      <c r="AE690" s="32">
        <f t="shared" si="1921"/>
        <v>1063</v>
      </c>
      <c r="AF690" s="32">
        <f t="shared" si="1921"/>
        <v>2286</v>
      </c>
      <c r="AG690" s="32">
        <f t="shared" si="1921"/>
        <v>95</v>
      </c>
      <c r="AH690" s="32">
        <f t="shared" si="1921"/>
        <v>2381</v>
      </c>
      <c r="AI690" s="32">
        <f t="shared" si="1921"/>
        <v>3444</v>
      </c>
      <c r="AJ690" s="34">
        <f t="shared" si="1910"/>
        <v>197.0673913</v>
      </c>
      <c r="AK690" s="31">
        <v>7324.0</v>
      </c>
      <c r="AL690" s="35">
        <f t="shared" si="1912"/>
        <v>0.4702348443</v>
      </c>
      <c r="AM690" s="36">
        <f>SUM(Q693)</f>
        <v>1.5</v>
      </c>
      <c r="AN690" s="35">
        <f t="shared" si="1914"/>
        <v>0.5065581185</v>
      </c>
      <c r="AO690" s="37">
        <f t="shared" si="1915"/>
        <v>0.7598371777</v>
      </c>
      <c r="AP690" s="36">
        <f t="shared" ref="AP690:AQ690" si="1922">SUM(T693)</f>
        <v>110</v>
      </c>
      <c r="AQ690" s="36">
        <f t="shared" si="1922"/>
        <v>4.782608696</v>
      </c>
      <c r="AR690" s="32">
        <f t="shared" si="1917"/>
        <v>149.7391304</v>
      </c>
    </row>
    <row r="691" ht="15.75" customHeight="1">
      <c r="A691" s="21"/>
      <c r="B691" s="38">
        <v>12.0</v>
      </c>
      <c r="C691" s="38" t="s">
        <v>39</v>
      </c>
      <c r="D691" s="39">
        <v>21.0</v>
      </c>
      <c r="E691" s="40">
        <f>IFERROR(__xludf.DUMMYFUNCTION("COUNT(IMPORTRANGE(""https://docs.google.com/spreadsheets/d/1uaTn2DZCfr7O1PvovOd0wElzVz8kpl_iPfnrkNPp0Is/edit"",""26!d2:d29""))"),20.0)</f>
        <v>20</v>
      </c>
      <c r="F691" s="45">
        <f>IFERROR(__xludf.DUMMYFUNCTION("SUM(IMPORTRANGE(""https://docs.google.com/spreadsheets/d/1uaTn2DZCfr7O1PvovOd0wElzVz8kpl_iPfnrkNPp0Is/edit"",""26!Q2:Q29""))"),3824.0519999999997)</f>
        <v>3824.052</v>
      </c>
      <c r="G691" s="40">
        <f>IFERROR(__xludf.DUMMYFUNCTION("IMPORTRANGE(""https://docs.google.com/spreadsheets/d/1uaTn2DZCfr7O1PvovOd0wElzVz8kpl_iPfnrkNPp0Is/edit"",""26!e36"")"),712.0)</f>
        <v>712</v>
      </c>
      <c r="H691" s="40">
        <f>IFERROR(__xludf.DUMMYFUNCTION("(IMPORTRANGE(""https://docs.google.com/spreadsheets/d/1uaTn2DZCfr7O1PvovOd0wElzVz8kpl_iPfnrkNPp0Is/edit"",""26!e37""))"),0.0)</f>
        <v>0</v>
      </c>
      <c r="I691" s="40">
        <f t="shared" si="1890"/>
        <v>712</v>
      </c>
      <c r="J691" s="40">
        <f>IFERROR(__xludf.DUMMYFUNCTION("IMPORTRANGE(""https://docs.google.com/spreadsheets/d/1uaTn2DZCfr7O1PvovOd0wElzVz8kpl_iPfnrkNPp0Is/edit"",""26!e40"")"),1522.0)</f>
        <v>1522</v>
      </c>
      <c r="K691" s="40">
        <f>IFERROR(__xludf.DUMMYFUNCTION("IMPORTRANGE(""https://docs.google.com/spreadsheets/d/1uaTn2DZCfr7O1PvovOd0wElzVz8kpl_iPfnrkNPp0Is/edit"",""26!e41"")"),0.0)</f>
        <v>0</v>
      </c>
      <c r="L691" s="40">
        <f t="shared" si="1920"/>
        <v>1522</v>
      </c>
      <c r="M691" s="40">
        <f t="shared" si="1892"/>
        <v>2234</v>
      </c>
      <c r="N691" s="41">
        <f t="shared" si="1893"/>
        <v>191.2026</v>
      </c>
      <c r="O691" s="38">
        <v>3569.0</v>
      </c>
      <c r="P691" s="42">
        <f t="shared" si="1894"/>
        <v>0.625945643</v>
      </c>
      <c r="Q691" s="43">
        <v>1.5</v>
      </c>
      <c r="R691" s="42">
        <f t="shared" si="1895"/>
        <v>0.3894647179</v>
      </c>
      <c r="S691" s="44">
        <f t="shared" si="1896"/>
        <v>0.5841970768</v>
      </c>
      <c r="T691" s="43">
        <f>F691/21.463</f>
        <v>178.169501</v>
      </c>
      <c r="U691" s="43">
        <f t="shared" si="1897"/>
        <v>8.90847505</v>
      </c>
      <c r="V691" s="40">
        <f t="shared" si="1898"/>
        <v>111.7</v>
      </c>
      <c r="X691" s="31">
        <v>5.0</v>
      </c>
      <c r="Y691" s="31" t="s">
        <v>40</v>
      </c>
      <c r="Z691" s="31">
        <f t="shared" ref="Z691:AI691" si="1923">SUM(D695)</f>
        <v>23</v>
      </c>
      <c r="AA691" s="32">
        <f t="shared" si="1923"/>
        <v>23</v>
      </c>
      <c r="AB691" s="33">
        <f t="shared" si="1923"/>
        <v>4579.323</v>
      </c>
      <c r="AC691" s="32">
        <f t="shared" si="1923"/>
        <v>2366</v>
      </c>
      <c r="AD691" s="32">
        <f t="shared" si="1923"/>
        <v>0</v>
      </c>
      <c r="AE691" s="32">
        <f t="shared" si="1923"/>
        <v>2366</v>
      </c>
      <c r="AF691" s="32">
        <f t="shared" si="1923"/>
        <v>2767</v>
      </c>
      <c r="AG691" s="32">
        <f t="shared" si="1923"/>
        <v>30</v>
      </c>
      <c r="AH691" s="32">
        <f t="shared" si="1923"/>
        <v>2797</v>
      </c>
      <c r="AI691" s="32">
        <f t="shared" si="1923"/>
        <v>5163</v>
      </c>
      <c r="AJ691" s="34">
        <f t="shared" si="1910"/>
        <v>199.101</v>
      </c>
      <c r="AK691" s="31">
        <f t="shared" ref="AK691:AK692" si="1926">SUM(O695)</f>
        <v>8239</v>
      </c>
      <c r="AL691" s="35">
        <f t="shared" si="1912"/>
        <v>0.6266537201</v>
      </c>
      <c r="AM691" s="36">
        <f t="shared" ref="AM691:AM692" si="1927">SUM(Q695)</f>
        <v>1.5</v>
      </c>
      <c r="AN691" s="35">
        <f t="shared" si="1914"/>
        <v>0.7516394891</v>
      </c>
      <c r="AO691" s="37">
        <f t="shared" si="1915"/>
        <v>1.127459234</v>
      </c>
      <c r="AP691" s="36">
        <f t="shared" ref="AP691:AQ691" si="1924">SUM(T695)</f>
        <v>161</v>
      </c>
      <c r="AQ691" s="36">
        <f t="shared" si="1924"/>
        <v>7</v>
      </c>
      <c r="AR691" s="32">
        <f t="shared" si="1917"/>
        <v>224.4782609</v>
      </c>
    </row>
    <row r="692" ht="15.75" customHeight="1">
      <c r="A692" s="21"/>
      <c r="B692" s="38">
        <v>12.0</v>
      </c>
      <c r="C692" s="38" t="s">
        <v>41</v>
      </c>
      <c r="D692" s="39">
        <v>19.0</v>
      </c>
      <c r="E692" s="40">
        <f>IFERROR(__xludf.DUMMYFUNCTION("COUNT(IMPORTRANGE(""https://docs.google.com/spreadsheets/d/1oYscvfOJW7GMkxt8QcupWuzb3ohaYePd3Mt2V2ufHok/edit"",""26!d2:d25""))"),19.0)</f>
        <v>19</v>
      </c>
      <c r="F692" s="45">
        <f>IFERROR(__xludf.DUMMYFUNCTION("SUM(IMPORTRANGE(""https://docs.google.com/spreadsheets/d/1oYscvfOJW7GMkxt8QcupWuzb3ohaYePd3Mt2V2ufHok/edit"",""26!Q2:Q25""))"),3802.2600000000016)</f>
        <v>3802.26</v>
      </c>
      <c r="G692" s="40">
        <f>IFERROR(__xludf.DUMMYFUNCTION("IMPORTRANGE(""https://docs.google.com/spreadsheets/d/1oYscvfOJW7GMkxt8QcupWuzb3ohaYePd3Mt2V2ufHok/edit"",""26!e32"")"),795.0)</f>
        <v>795</v>
      </c>
      <c r="H692" s="40">
        <f>IFERROR(__xludf.DUMMYFUNCTION("IMPORTRANGE(""https://docs.google.com/spreadsheets/d/1oYscvfOJW7GMkxt8QcupWuzb3ohaYePd3Mt2V2ufHok/edit"",""26!e33"")"),0.0)</f>
        <v>0</v>
      </c>
      <c r="I692" s="40">
        <f t="shared" si="1890"/>
        <v>795</v>
      </c>
      <c r="J692" s="40">
        <f>IFERROR(__xludf.DUMMYFUNCTION("IMPORTRANGE(""https://docs.google.com/spreadsheets/d/1oYscvfOJW7GMkxt8QcupWuzb3ohaYePd3Mt2V2ufHok/edit"",""26!e36"")"),1124.0)</f>
        <v>1124</v>
      </c>
      <c r="K692" s="40">
        <f>IFERROR(__xludf.DUMMYFUNCTION("IMPORTRANGE(""https://docs.google.com/spreadsheets/d/1oYscvfOJW7GMkxt8QcupWuzb3ohaYePd3Mt2V2ufHok/edit"",""26!e37"")"),0.0)</f>
        <v>0</v>
      </c>
      <c r="L692" s="40">
        <f t="shared" si="1920"/>
        <v>1124</v>
      </c>
      <c r="M692" s="40">
        <f t="shared" si="1892"/>
        <v>1919</v>
      </c>
      <c r="N692" s="41">
        <f t="shared" si="1893"/>
        <v>200.1189474</v>
      </c>
      <c r="O692" s="38">
        <v>3801.0</v>
      </c>
      <c r="P692" s="42">
        <f t="shared" si="1894"/>
        <v>0.5048671402</v>
      </c>
      <c r="Q692" s="43">
        <v>1.5</v>
      </c>
      <c r="R692" s="42">
        <f t="shared" si="1895"/>
        <v>0.3364665576</v>
      </c>
      <c r="S692" s="44">
        <f t="shared" si="1896"/>
        <v>0.5046998364</v>
      </c>
      <c r="T692" s="43">
        <f>F692/29.628</f>
        <v>128.3333333</v>
      </c>
      <c r="U692" s="43">
        <f t="shared" si="1897"/>
        <v>6.754385965</v>
      </c>
      <c r="V692" s="40">
        <f t="shared" si="1898"/>
        <v>101</v>
      </c>
      <c r="X692" s="22">
        <v>6.0</v>
      </c>
      <c r="Y692" s="22" t="s">
        <v>42</v>
      </c>
      <c r="Z692" s="22">
        <f t="shared" ref="Z692:AI692" si="1925">SUM(D696)</f>
        <v>24</v>
      </c>
      <c r="AA692" s="23">
        <f t="shared" si="1925"/>
        <v>24</v>
      </c>
      <c r="AB692" s="24">
        <f t="shared" si="1925"/>
        <v>4698.669</v>
      </c>
      <c r="AC692" s="23">
        <f t="shared" si="1925"/>
        <v>2418</v>
      </c>
      <c r="AD692" s="23">
        <f t="shared" si="1925"/>
        <v>0</v>
      </c>
      <c r="AE692" s="23">
        <f t="shared" si="1925"/>
        <v>2418</v>
      </c>
      <c r="AF692" s="23">
        <f t="shared" si="1925"/>
        <v>2636</v>
      </c>
      <c r="AG692" s="23">
        <f t="shared" si="1925"/>
        <v>115</v>
      </c>
      <c r="AH692" s="23">
        <f t="shared" si="1925"/>
        <v>2751</v>
      </c>
      <c r="AI692" s="23">
        <f t="shared" si="1925"/>
        <v>5169</v>
      </c>
      <c r="AJ692" s="25">
        <f t="shared" si="1910"/>
        <v>195.777875</v>
      </c>
      <c r="AK692" s="22">
        <f t="shared" si="1926"/>
        <v>9877</v>
      </c>
      <c r="AL692" s="26">
        <f t="shared" si="1912"/>
        <v>0.5233370457</v>
      </c>
      <c r="AM692" s="27">
        <f t="shared" si="1927"/>
        <v>1.5</v>
      </c>
      <c r="AN692" s="26">
        <f t="shared" si="1914"/>
        <v>0.7333991818</v>
      </c>
      <c r="AO692" s="28">
        <f t="shared" si="1915"/>
        <v>1.100098773</v>
      </c>
      <c r="AP692" s="27">
        <f t="shared" ref="AP692:AQ692" si="1928">SUM(T696)</f>
        <v>179.6470656</v>
      </c>
      <c r="AQ692" s="27">
        <f t="shared" si="1928"/>
        <v>7.485294399</v>
      </c>
      <c r="AR692" s="23">
        <f t="shared" si="1917"/>
        <v>215.375</v>
      </c>
    </row>
    <row r="693" ht="15.75" customHeight="1">
      <c r="A693" s="21"/>
      <c r="B693" s="38">
        <v>13.0</v>
      </c>
      <c r="C693" s="38" t="s">
        <v>43</v>
      </c>
      <c r="D693" s="39">
        <v>23.0</v>
      </c>
      <c r="E693" s="40">
        <f>IFERROR(__xludf.DUMMYFUNCTION("COUNT(IMPORTRANGE(""https://docs.google.com/spreadsheets/d/1AxBmuQEdOYAeRnZ4C8vO6kuTNp7X_SGhpLXuY0n4ln4/edit"",""26!d2:d31""))"),23.0)</f>
        <v>23</v>
      </c>
      <c r="F693" s="45">
        <f>IFERROR(__xludf.DUMMYFUNCTION("SUM(IMPORTRANGE(""https://docs.google.com/spreadsheets/d/1AxBmuQEdOYAeRnZ4C8vO6kuTNp7X_SGhpLXuY0n4ln4/edit"",""26!Q2:Q31""))"),4532.55)</f>
        <v>4532.55</v>
      </c>
      <c r="G693" s="40">
        <f>IFERROR(__xludf.DUMMYFUNCTION("IMPORTRANGE(""https://docs.google.com/spreadsheets/d/1AxBmuQEdOYAeRnZ4C8vO6kuTNp7X_SGhpLXuY0n4ln4/edit"",""26!e38"")"),1063.0)</f>
        <v>1063</v>
      </c>
      <c r="H693" s="40">
        <f>IFERROR(__xludf.DUMMYFUNCTION("IMPORTRANGE(""https://docs.google.com/spreadsheets/d/1AxBmuQEdOYAeRnZ4C8vO6kuTNp7X_SGhpLXuY0n4ln4/edit"",""26!e39"")"),0.0)</f>
        <v>0</v>
      </c>
      <c r="I693" s="40">
        <f t="shared" si="1890"/>
        <v>1063</v>
      </c>
      <c r="J693" s="40">
        <f>IFERROR(__xludf.DUMMYFUNCTION("IMPORTRANGE(""https://docs.google.com/spreadsheets/d/1AxBmuQEdOYAeRnZ4C8vO6kuTNp7X_SGhpLXuY0n4ln4/edit"",""26!e42"")"),2286.0)</f>
        <v>2286</v>
      </c>
      <c r="K693" s="40">
        <f>IFERROR(__xludf.DUMMYFUNCTION("IMPORTRANGE(""https://docs.google.com/spreadsheets/d/1AxBmuQEdOYAeRnZ4C8vO6kuTNp7X_SGhpLXuY0n4ln4/edit"",""26!e43"")"),95.0)</f>
        <v>95</v>
      </c>
      <c r="L693" s="40">
        <f t="shared" si="1920"/>
        <v>2381</v>
      </c>
      <c r="M693" s="40">
        <f t="shared" si="1892"/>
        <v>3444</v>
      </c>
      <c r="N693" s="41">
        <f t="shared" si="1893"/>
        <v>197.0673913</v>
      </c>
      <c r="O693" s="38">
        <v>8345.0</v>
      </c>
      <c r="P693" s="42">
        <f t="shared" si="1894"/>
        <v>0.4127022169</v>
      </c>
      <c r="Q693" s="43">
        <v>1.5</v>
      </c>
      <c r="R693" s="42">
        <f t="shared" si="1895"/>
        <v>0.5065581185</v>
      </c>
      <c r="S693" s="44">
        <f t="shared" si="1896"/>
        <v>0.7598371777</v>
      </c>
      <c r="T693" s="43">
        <f>F693/41.205</f>
        <v>110</v>
      </c>
      <c r="U693" s="43">
        <f t="shared" si="1897"/>
        <v>4.782608696</v>
      </c>
      <c r="V693" s="40">
        <f t="shared" si="1898"/>
        <v>149.7391304</v>
      </c>
      <c r="X693" s="46" t="s">
        <v>33</v>
      </c>
      <c r="Y693" s="46">
        <v>6.0</v>
      </c>
      <c r="Z693" s="46">
        <f t="shared" ref="Z693:AI693" si="1929">SUM(Z687:Z692)</f>
        <v>169</v>
      </c>
      <c r="AA693" s="47">
        <f t="shared" si="1929"/>
        <v>163</v>
      </c>
      <c r="AB693" s="49">
        <f t="shared" si="1929"/>
        <v>31985.744</v>
      </c>
      <c r="AC693" s="47">
        <f t="shared" si="1929"/>
        <v>11030</v>
      </c>
      <c r="AD693" s="47">
        <f t="shared" si="1929"/>
        <v>125</v>
      </c>
      <c r="AE693" s="47">
        <f t="shared" si="1929"/>
        <v>11155</v>
      </c>
      <c r="AF693" s="47">
        <f t="shared" si="1929"/>
        <v>15485</v>
      </c>
      <c r="AG693" s="47">
        <f t="shared" si="1929"/>
        <v>303</v>
      </c>
      <c r="AH693" s="47">
        <f t="shared" si="1929"/>
        <v>15788</v>
      </c>
      <c r="AI693" s="47">
        <f t="shared" si="1929"/>
        <v>26943</v>
      </c>
      <c r="AJ693" s="49">
        <f t="shared" si="1910"/>
        <v>196.2315583</v>
      </c>
      <c r="AK693" s="46">
        <f>SUM(AK687:AK692)</f>
        <v>53273</v>
      </c>
      <c r="AL693" s="50">
        <f t="shared" si="1912"/>
        <v>0.5057533835</v>
      </c>
      <c r="AM693" s="51">
        <v>1.5</v>
      </c>
      <c r="AN693" s="50">
        <f t="shared" si="1914"/>
        <v>0.5615626762</v>
      </c>
      <c r="AO693" s="52">
        <f t="shared" si="1915"/>
        <v>0.8423440143</v>
      </c>
      <c r="AP693" s="51">
        <f>SUM(AP687:AP692)</f>
        <v>1051.087304</v>
      </c>
      <c r="AQ693" s="51">
        <f>AP693/AA693</f>
        <v>6.448388366</v>
      </c>
      <c r="AR693" s="47">
        <f t="shared" si="1917"/>
        <v>165.2944785</v>
      </c>
    </row>
    <row r="694" ht="15.75" customHeight="1">
      <c r="A694" s="21"/>
      <c r="B694" s="38">
        <v>14.0</v>
      </c>
      <c r="C694" s="38" t="s">
        <v>27</v>
      </c>
      <c r="D694" s="39">
        <v>23.0</v>
      </c>
      <c r="E694" s="40">
        <f>IFERROR(__xludf.DUMMYFUNCTION("COUNT(IMPORTRANGE(""https://docs.google.com/spreadsheets/d/1LsL4JuXvBtfJ-TVi4NFml9lV_pmd61b789A_nbO-QrA/edit"",""26!d2:d31""))"),21.0)</f>
        <v>21</v>
      </c>
      <c r="F694" s="45">
        <f>IFERROR(__xludf.DUMMYFUNCTION("SUM(IMPORTRANGE(""https://docs.google.com/spreadsheets/d/1LsL4JuXvBtfJ-TVi4NFml9lV_pmd61b789A_nbO-QrA/edit"",""26!Q2:Q31""))"),4206.704999999999)</f>
        <v>4206.705</v>
      </c>
      <c r="G694" s="40">
        <f>IFERROR(__xludf.DUMMYFUNCTION("IMPORTRANGE(""https://docs.google.com/spreadsheets/d/1LsL4JuXvBtfJ-TVi4NFml9lV_pmd61b789A_nbO-QrA/edit"",""26!e38"")"),1847.0)</f>
        <v>1847</v>
      </c>
      <c r="H694" s="40">
        <f>IFERROR(__xludf.DUMMYFUNCTION("IMPORTRANGE(""https://docs.google.com/spreadsheets/d/1LsL4JuXvBtfJ-TVi4NFml9lV_pmd61b789A_nbO-QrA/edit"",""26!e39"")"),0.0)</f>
        <v>0</v>
      </c>
      <c r="I694" s="40">
        <f t="shared" si="1890"/>
        <v>1847</v>
      </c>
      <c r="J694" s="40">
        <f>IFERROR(__xludf.DUMMYFUNCTION("IMPORTRANGE(""https://docs.google.com/spreadsheets/d/1LsL4JuXvBtfJ-TVi4NFml9lV_pmd61b789A_nbO-QrA/edit"",""26!e42"")"),2082.0)</f>
        <v>2082</v>
      </c>
      <c r="K694" s="40">
        <f>IFERROR(__xludf.DUMMYFUNCTION("IMPORTRANGE(""https://docs.google.com/spreadsheets/d/1LsL4JuXvBtfJ-TVi4NFml9lV_pmd61b789A_nbO-QrA/edit"",""26!e43"")"),0.0)</f>
        <v>0</v>
      </c>
      <c r="L694" s="40">
        <f t="shared" si="1920"/>
        <v>2082</v>
      </c>
      <c r="M694" s="40">
        <f t="shared" si="1892"/>
        <v>3929</v>
      </c>
      <c r="N694" s="41">
        <f t="shared" si="1893"/>
        <v>200.3192857</v>
      </c>
      <c r="O694" s="38">
        <v>8101.0</v>
      </c>
      <c r="P694" s="42">
        <f t="shared" si="1894"/>
        <v>0.4850018516</v>
      </c>
      <c r="Q694" s="43">
        <v>1.5</v>
      </c>
      <c r="R694" s="42">
        <f t="shared" si="1895"/>
        <v>0.6226567666</v>
      </c>
      <c r="S694" s="44">
        <f t="shared" si="1896"/>
        <v>0.9339851499</v>
      </c>
      <c r="T694" s="43">
        <f>F694/19.985</f>
        <v>210.4931198</v>
      </c>
      <c r="U694" s="43">
        <f t="shared" si="1897"/>
        <v>10.0234819</v>
      </c>
      <c r="V694" s="40">
        <f t="shared" si="1898"/>
        <v>187.0952381</v>
      </c>
      <c r="X694" s="59" t="s">
        <v>44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6"/>
    </row>
    <row r="695" ht="15.75" customHeight="1">
      <c r="A695" s="21"/>
      <c r="B695" s="38">
        <v>15.0</v>
      </c>
      <c r="C695" s="38" t="s">
        <v>40</v>
      </c>
      <c r="D695" s="39">
        <v>23.0</v>
      </c>
      <c r="E695" s="40">
        <f>IFERROR(__xludf.DUMMYFUNCTION("COUNT(IMPORTRANGE(""https://docs.google.com/spreadsheets/d/1Krav0MVlY0vbUNsFRDnb_kR72_tyuGnWBYbGjNZrl18/edit"",""26!d2:d31""))"),23.0)</f>
        <v>23</v>
      </c>
      <c r="F695" s="45">
        <f>IFERROR(__xludf.DUMMYFUNCTION("SUM(IMPORTRANGE(""https://docs.google.com/spreadsheets/d/1Krav0MVlY0vbUNsFRDnb_kR72_tyuGnWBYbGjNZrl18/edit"",""26!Q2:Q31""))"),4579.323)</f>
        <v>4579.323</v>
      </c>
      <c r="G695" s="40">
        <f>IFERROR(__xludf.DUMMYFUNCTION("IMPORTRANGE(""https://docs.google.com/spreadsheets/d/1Krav0MVlY0vbUNsFRDnb_kR72_tyuGnWBYbGjNZrl18/edit"",""26!e38"")"),2366.0)</f>
        <v>2366</v>
      </c>
      <c r="H695" s="40">
        <f>IFERROR(__xludf.DUMMYFUNCTION("IMPORTRANGE(""https://docs.google.com/spreadsheets/d/1Krav0MVlY0vbUNsFRDnb_kR72_tyuGnWBYbGjNZrl18/edit"",""26!e39"")"),0.0)</f>
        <v>0</v>
      </c>
      <c r="I695" s="40">
        <f t="shared" si="1890"/>
        <v>2366</v>
      </c>
      <c r="J695" s="40">
        <f>IFERROR(__xludf.DUMMYFUNCTION("IMPORTRANGE(""https://docs.google.com/spreadsheets/d/1Krav0MVlY0vbUNsFRDnb_kR72_tyuGnWBYbGjNZrl18/edit"",""26!e42"")"),2767.0)</f>
        <v>2767</v>
      </c>
      <c r="K695" s="40">
        <f>IFERROR(__xludf.DUMMYFUNCTION("IMPORTRANGE(""https://docs.google.com/spreadsheets/d/1Krav0MVlY0vbUNsFRDnb_kR72_tyuGnWBYbGjNZrl18/edit"",""26!e43"")"),30.0)</f>
        <v>30</v>
      </c>
      <c r="L695" s="40">
        <f t="shared" si="1920"/>
        <v>2797</v>
      </c>
      <c r="M695" s="40">
        <f t="shared" si="1892"/>
        <v>5163</v>
      </c>
      <c r="N695" s="41">
        <f t="shared" si="1893"/>
        <v>199.101</v>
      </c>
      <c r="O695" s="38">
        <v>8239.0</v>
      </c>
      <c r="P695" s="42">
        <f t="shared" si="1894"/>
        <v>0.6266537201</v>
      </c>
      <c r="Q695" s="43">
        <v>1.5</v>
      </c>
      <c r="R695" s="42">
        <f t="shared" si="1895"/>
        <v>0.7516394891</v>
      </c>
      <c r="S695" s="44">
        <f t="shared" si="1896"/>
        <v>1.127459234</v>
      </c>
      <c r="T695" s="43">
        <f>F695/28.443</f>
        <v>161</v>
      </c>
      <c r="U695" s="43">
        <f t="shared" si="1897"/>
        <v>7</v>
      </c>
      <c r="V695" s="40">
        <f t="shared" si="1898"/>
        <v>224.4782609</v>
      </c>
      <c r="X695" s="14" t="s">
        <v>2</v>
      </c>
      <c r="Y695" s="14" t="s">
        <v>3</v>
      </c>
      <c r="Z695" s="14" t="s">
        <v>4</v>
      </c>
      <c r="AA695" s="14" t="s">
        <v>5</v>
      </c>
      <c r="AB695" s="15" t="s">
        <v>6</v>
      </c>
      <c r="AC695" s="14" t="s">
        <v>7</v>
      </c>
      <c r="AD695" s="14" t="s">
        <v>8</v>
      </c>
      <c r="AE695" s="14" t="s">
        <v>9</v>
      </c>
      <c r="AF695" s="14" t="s">
        <v>10</v>
      </c>
      <c r="AG695" s="14" t="s">
        <v>11</v>
      </c>
      <c r="AH695" s="14" t="s">
        <v>12</v>
      </c>
      <c r="AI695" s="14" t="s">
        <v>13</v>
      </c>
      <c r="AJ695" s="15" t="s">
        <v>14</v>
      </c>
      <c r="AK695" s="14" t="s">
        <v>15</v>
      </c>
      <c r="AL695" s="14" t="s">
        <v>16</v>
      </c>
      <c r="AM695" s="16" t="s">
        <v>17</v>
      </c>
      <c r="AN695" s="17" t="s">
        <v>18</v>
      </c>
      <c r="AO695" s="18" t="s">
        <v>19</v>
      </c>
      <c r="AP695" s="19" t="s">
        <v>20</v>
      </c>
      <c r="AQ695" s="19" t="s">
        <v>21</v>
      </c>
      <c r="AR695" s="20" t="s">
        <v>22</v>
      </c>
    </row>
    <row r="696" ht="15.75" customHeight="1">
      <c r="A696" s="21"/>
      <c r="B696" s="38">
        <v>16.0</v>
      </c>
      <c r="C696" s="38" t="s">
        <v>42</v>
      </c>
      <c r="D696" s="39">
        <v>24.0</v>
      </c>
      <c r="E696" s="40">
        <f>IFERROR(__xludf.DUMMYFUNCTION("COUNT(IMPORTRANGE(""https://docs.google.com/spreadsheets/d/1uXtm-E8PG0CetlFmSpTX3RK0LNEMnpR-mxbET9AGD6w/edit"",""26!d2:d34""))"),24.0)</f>
        <v>24</v>
      </c>
      <c r="F696" s="45">
        <f>IFERROR(__xludf.DUMMYFUNCTION("SUM(IMPORTRANGE(""https://docs.google.com/spreadsheets/d/1uXtm-E8PG0CetlFmSpTX3RK0LNEMnpR-mxbET9AGD6w/edit"",""26!Q2:Q34""))"),4698.668999999998)</f>
        <v>4698.669</v>
      </c>
      <c r="G696" s="40">
        <f>IFERROR(__xludf.DUMMYFUNCTION("IMPORTRANGE(""https://docs.google.com/spreadsheets/d/1uXtm-E8PG0CetlFmSpTX3RK0LNEMnpR-mxbET9AGD6w/edit"",""26!e41"")"),2418.0)</f>
        <v>2418</v>
      </c>
      <c r="H696" s="40">
        <f>IFERROR(__xludf.DUMMYFUNCTION("IMPORTRANGE(""https://docs.google.com/spreadsheets/d/1uXtm-E8PG0CetlFmSpTX3RK0LNEMnpR-mxbET9AGD6w/edit"",""26!e42"")"),0.0)</f>
        <v>0</v>
      </c>
      <c r="I696" s="40">
        <f t="shared" si="1890"/>
        <v>2418</v>
      </c>
      <c r="J696" s="40">
        <f>IFERROR(__xludf.DUMMYFUNCTION("IMPORTRANGE(""https://docs.google.com/spreadsheets/d/1uXtm-E8PG0CetlFmSpTX3RK0LNEMnpR-mxbET9AGD6w/edit"",""26!e45"")"),2636.0)</f>
        <v>2636</v>
      </c>
      <c r="K696" s="40">
        <f>IFERROR(__xludf.DUMMYFUNCTION("IMPORTRANGE(""https://docs.google.com/spreadsheets/d/1uXtm-E8PG0CetlFmSpTX3RK0LNEMnpR-mxbET9AGD6w/edit"",""26!e46"")"),115.0)</f>
        <v>115</v>
      </c>
      <c r="L696" s="40">
        <f t="shared" si="1920"/>
        <v>2751</v>
      </c>
      <c r="M696" s="40">
        <f t="shared" si="1892"/>
        <v>5169</v>
      </c>
      <c r="N696" s="41">
        <f t="shared" si="1893"/>
        <v>195.777875</v>
      </c>
      <c r="O696" s="38">
        <v>9877.0</v>
      </c>
      <c r="P696" s="42">
        <f t="shared" si="1894"/>
        <v>0.5233370457</v>
      </c>
      <c r="Q696" s="43">
        <v>1.5</v>
      </c>
      <c r="R696" s="42">
        <f t="shared" si="1895"/>
        <v>0.7333991818</v>
      </c>
      <c r="S696" s="44">
        <f t="shared" si="1896"/>
        <v>1.100098773</v>
      </c>
      <c r="T696" s="43">
        <f>F696/26.155</f>
        <v>179.6470656</v>
      </c>
      <c r="U696" s="43">
        <f t="shared" si="1897"/>
        <v>7.485294399</v>
      </c>
      <c r="V696" s="40">
        <f t="shared" si="1898"/>
        <v>215.375</v>
      </c>
      <c r="X696" s="31">
        <v>1.0</v>
      </c>
      <c r="Y696" s="31" t="s">
        <v>26</v>
      </c>
      <c r="Z696" s="31">
        <f t="shared" ref="Z696:AI696" si="1930">SUM(D681)</f>
        <v>15</v>
      </c>
      <c r="AA696" s="32">
        <f t="shared" si="1930"/>
        <v>14</v>
      </c>
      <c r="AB696" s="34">
        <f t="shared" si="1930"/>
        <v>2645.535</v>
      </c>
      <c r="AC696" s="32">
        <f t="shared" si="1930"/>
        <v>1298</v>
      </c>
      <c r="AD696" s="32">
        <f t="shared" si="1930"/>
        <v>0</v>
      </c>
      <c r="AE696" s="32">
        <f t="shared" si="1930"/>
        <v>1298</v>
      </c>
      <c r="AF696" s="32">
        <f t="shared" si="1930"/>
        <v>1805</v>
      </c>
      <c r="AG696" s="32">
        <f t="shared" si="1930"/>
        <v>0</v>
      </c>
      <c r="AH696" s="32">
        <f t="shared" si="1930"/>
        <v>1805</v>
      </c>
      <c r="AI696" s="32">
        <f t="shared" si="1930"/>
        <v>3103</v>
      </c>
      <c r="AJ696" s="34">
        <f t="shared" ref="AJ696:AJ702" si="1933">AB696/AA696</f>
        <v>188.9667857</v>
      </c>
      <c r="AK696" s="31">
        <f>SUM(O681)</f>
        <v>5161</v>
      </c>
      <c r="AL696" s="35">
        <f t="shared" ref="AL696:AL702" si="1934">AI696/AK696</f>
        <v>0.6012400698</v>
      </c>
      <c r="AM696" s="36">
        <f>SUM(Q681)</f>
        <v>1.5</v>
      </c>
      <c r="AN696" s="35">
        <f t="shared" ref="AN696:AN702" si="1935">AO696/AM696</f>
        <v>0.7819464368</v>
      </c>
      <c r="AO696" s="37">
        <f t="shared" ref="AO696:AO702" si="1936">AI696/AB696</f>
        <v>1.172919655</v>
      </c>
      <c r="AP696" s="36">
        <f t="shared" ref="AP696:AQ696" si="1931">SUM(T681)</f>
        <v>183.5265349</v>
      </c>
      <c r="AQ696" s="36">
        <f t="shared" si="1931"/>
        <v>13.1090382</v>
      </c>
      <c r="AR696" s="32">
        <f t="shared" ref="AR696:AR702" si="1938">AI696/AA696</f>
        <v>221.6428571</v>
      </c>
    </row>
    <row r="697" ht="15.75" customHeight="1">
      <c r="A697" s="21"/>
      <c r="B697" s="38">
        <v>17.0</v>
      </c>
      <c r="C697" s="38" t="s">
        <v>29</v>
      </c>
      <c r="D697" s="39">
        <v>23.0</v>
      </c>
      <c r="E697" s="40">
        <f>IFERROR(__xludf.DUMMYFUNCTION("COUNT(IMPORTRANGE(""https://docs.google.com/spreadsheets/d/12xcKI0lSnAsjEsxfm9K8Qx0B_89Gzsh816mowItkQao/edit"",""26!d2:d31""))"),23.0)</f>
        <v>23</v>
      </c>
      <c r="F697" s="45">
        <f>IFERROR(__xludf.DUMMYFUNCTION("SUM(IMPORTRANGE(""https://docs.google.com/spreadsheets/d/12xcKI0lSnAsjEsxfm9K8Qx0B_89Gzsh816mowItkQao/edit"",""26!Q2:Q31""))"),4556.650000000001)</f>
        <v>4556.65</v>
      </c>
      <c r="G697" s="40">
        <f>IFERROR(__xludf.DUMMYFUNCTION("IMPORTRANGE(""https://docs.google.com/spreadsheets/d/12xcKI0lSnAsjEsxfm9K8Qx0B_89Gzsh816mowItkQao/edit"",""26!e38"")"),1665.0)</f>
        <v>1665</v>
      </c>
      <c r="H697" s="40">
        <f>IFERROR(__xludf.DUMMYFUNCTION("IMPORTRANGE(""https://docs.google.com/spreadsheets/d/12xcKI0lSnAsjEsxfm9K8Qx0B_89Gzsh816mowItkQao/edit"",""26!e39"")"),66.0)</f>
        <v>66</v>
      </c>
      <c r="I697" s="40">
        <f t="shared" si="1890"/>
        <v>1731</v>
      </c>
      <c r="J697" s="40">
        <f>IFERROR(__xludf.DUMMYFUNCTION("IMPORTRANGE(""https://docs.google.com/spreadsheets/d/12xcKI0lSnAsjEsxfm9K8Qx0B_89Gzsh816mowItkQao/edit"",""26!e42"")"),2414.0)</f>
        <v>2414</v>
      </c>
      <c r="K697" s="40">
        <f>IFERROR(__xludf.DUMMYFUNCTION("IMPORTRANGE(""https://docs.google.com/spreadsheets/d/12xcKI0lSnAsjEsxfm9K8Qx0B_89Gzsh816mowItkQao/edit"",""26!e43"")"),20.0)</f>
        <v>20</v>
      </c>
      <c r="L697" s="40">
        <f t="shared" si="1920"/>
        <v>2434</v>
      </c>
      <c r="M697" s="40">
        <f t="shared" si="1892"/>
        <v>4165</v>
      </c>
      <c r="N697" s="41">
        <f t="shared" si="1893"/>
        <v>198.1152174</v>
      </c>
      <c r="O697" s="38">
        <v>9201.0</v>
      </c>
      <c r="P697" s="42">
        <f t="shared" si="1894"/>
        <v>0.4526681882</v>
      </c>
      <c r="Q697" s="43">
        <v>1.5</v>
      </c>
      <c r="R697" s="42">
        <f t="shared" si="1895"/>
        <v>0.6093657987</v>
      </c>
      <c r="S697" s="44">
        <f t="shared" si="1896"/>
        <v>0.9140486981</v>
      </c>
      <c r="T697" s="43">
        <f>F697/26.038</f>
        <v>175</v>
      </c>
      <c r="U697" s="43">
        <f t="shared" si="1897"/>
        <v>7.608695652</v>
      </c>
      <c r="V697" s="40">
        <f t="shared" si="1898"/>
        <v>181.0869565</v>
      </c>
      <c r="X697" s="31">
        <v>2.0</v>
      </c>
      <c r="Y697" s="31" t="s">
        <v>32</v>
      </c>
      <c r="Z697" s="31">
        <f t="shared" ref="Z697:AI697" si="1932">SUM(D684)</f>
        <v>32</v>
      </c>
      <c r="AA697" s="32">
        <f t="shared" si="1932"/>
        <v>30</v>
      </c>
      <c r="AB697" s="33">
        <f t="shared" si="1932"/>
        <v>5984.801</v>
      </c>
      <c r="AC697" s="31">
        <f t="shared" si="1932"/>
        <v>2854</v>
      </c>
      <c r="AD697" s="31">
        <f t="shared" si="1932"/>
        <v>80</v>
      </c>
      <c r="AE697" s="32">
        <f t="shared" si="1932"/>
        <v>2934</v>
      </c>
      <c r="AF697" s="31">
        <f t="shared" si="1932"/>
        <v>3617</v>
      </c>
      <c r="AG697" s="31">
        <f t="shared" si="1932"/>
        <v>0</v>
      </c>
      <c r="AH697" s="32">
        <f t="shared" si="1932"/>
        <v>3617</v>
      </c>
      <c r="AI697" s="32">
        <f t="shared" si="1932"/>
        <v>6551</v>
      </c>
      <c r="AJ697" s="34">
        <f t="shared" si="1933"/>
        <v>199.4933667</v>
      </c>
      <c r="AK697" s="31">
        <f>SUM(O684)</f>
        <v>13817</v>
      </c>
      <c r="AL697" s="35">
        <f t="shared" si="1934"/>
        <v>0.4741260766</v>
      </c>
      <c r="AM697" s="36">
        <f>SUM(Q684)</f>
        <v>1.5</v>
      </c>
      <c r="AN697" s="35">
        <f t="shared" si="1935"/>
        <v>0.7297374354</v>
      </c>
      <c r="AO697" s="37">
        <f t="shared" si="1936"/>
        <v>1.094606153</v>
      </c>
      <c r="AP697" s="36">
        <f t="shared" ref="AP697:AQ697" si="1937">SUM(T684)</f>
        <v>238.5428275</v>
      </c>
      <c r="AQ697" s="36">
        <f t="shared" si="1937"/>
        <v>7.951427584</v>
      </c>
      <c r="AR697" s="32">
        <f t="shared" si="1938"/>
        <v>218.3666667</v>
      </c>
    </row>
    <row r="698" ht="15.75" customHeight="1">
      <c r="A698" s="21"/>
      <c r="B698" s="38">
        <v>18.0</v>
      </c>
      <c r="C698" s="38" t="s">
        <v>31</v>
      </c>
      <c r="D698" s="39">
        <v>11.0</v>
      </c>
      <c r="E698" s="40">
        <f>IFERROR(__xludf.DUMMYFUNCTION("COUNT(IMPORTRANGE(""https://docs.google.com/spreadsheets/d/1fgCFOFzOla4Qim6_-zG-lbYhLCItqv_kZiAHoErRgcM/edit"",""26!d2:d16""))"),9.0)</f>
        <v>9</v>
      </c>
      <c r="F698" s="41">
        <f>IFERROR(__xludf.DUMMYFUNCTION("SUM(IMPORTRANGE(""https://docs.google.com/spreadsheets/d/1fgCFOFzOla4Qim6_-zG-lbYhLCItqv_kZiAHoErRgcM/edit"",""26!Q2:Q16""))"),1738.6000000000006)</f>
        <v>1738.6</v>
      </c>
      <c r="G698" s="40">
        <f>IFERROR(__xludf.DUMMYFUNCTION("IMPORTRANGE(""https://docs.google.com/spreadsheets/d/1fgCFOFzOla4Qim6_-zG-lbYhLCItqv_kZiAHoErRgcM/edit"",""26!e23"")"),414.0)</f>
        <v>414</v>
      </c>
      <c r="H698" s="40">
        <f>IFERROR(__xludf.DUMMYFUNCTION("IMPORTRANGE(""https://docs.google.com/spreadsheets/d/1fgCFOFzOla4Qim6_-zG-lbYhLCItqv_kZiAHoErRgcM/edit"",""26!e24"")"),9.0)</f>
        <v>9</v>
      </c>
      <c r="I698" s="40">
        <f t="shared" si="1890"/>
        <v>423</v>
      </c>
      <c r="J698" s="40">
        <f>IFERROR(__xludf.DUMMYFUNCTION("IMPORTRANGE(""https://docs.google.com/spreadsheets/d/1fgCFOFzOla4Qim6_-zG-lbYhLCItqv_kZiAHoErRgcM/edit"",""26!e27"")"),546.0)</f>
        <v>546</v>
      </c>
      <c r="K698" s="40">
        <f>IFERROR(__xludf.DUMMYFUNCTION("IMPORTRANGE(""https://docs.google.com/spreadsheets/d/1fgCFOFzOla4Qim6_-zG-lbYhLCItqv_kZiAHoErRgcM/edit"",""26!e28"")"),0.0)</f>
        <v>0</v>
      </c>
      <c r="L698" s="40">
        <f t="shared" si="1920"/>
        <v>546</v>
      </c>
      <c r="M698" s="40">
        <f t="shared" si="1892"/>
        <v>969</v>
      </c>
      <c r="N698" s="41">
        <f t="shared" si="1893"/>
        <v>193.1777778</v>
      </c>
      <c r="O698" s="38">
        <v>2717.0</v>
      </c>
      <c r="P698" s="42">
        <f t="shared" si="1894"/>
        <v>0.3566433566</v>
      </c>
      <c r="Q698" s="43">
        <v>1.5</v>
      </c>
      <c r="R698" s="42">
        <f t="shared" si="1895"/>
        <v>0.3715633268</v>
      </c>
      <c r="S698" s="44">
        <f t="shared" si="1896"/>
        <v>0.5573449902</v>
      </c>
      <c r="T698" s="43">
        <f>F698/43.465</f>
        <v>40</v>
      </c>
      <c r="U698" s="43">
        <f t="shared" si="1897"/>
        <v>4.444444444</v>
      </c>
      <c r="V698" s="40">
        <f t="shared" si="1898"/>
        <v>107.6666667</v>
      </c>
      <c r="X698" s="31">
        <v>3.0</v>
      </c>
      <c r="Y698" s="31" t="s">
        <v>36</v>
      </c>
      <c r="Z698" s="31">
        <f t="shared" ref="Z698:AI698" si="1939">SUM(D689)</f>
        <v>22</v>
      </c>
      <c r="AA698" s="32">
        <f t="shared" si="1939"/>
        <v>22</v>
      </c>
      <c r="AB698" s="33">
        <f t="shared" si="1939"/>
        <v>4335.236</v>
      </c>
      <c r="AC698" s="32">
        <f t="shared" si="1939"/>
        <v>842</v>
      </c>
      <c r="AD698" s="32">
        <f t="shared" si="1939"/>
        <v>0</v>
      </c>
      <c r="AE698" s="32">
        <f t="shared" si="1939"/>
        <v>842</v>
      </c>
      <c r="AF698" s="32">
        <f t="shared" si="1939"/>
        <v>1425</v>
      </c>
      <c r="AG698" s="32">
        <f t="shared" si="1939"/>
        <v>0</v>
      </c>
      <c r="AH698" s="32">
        <f t="shared" si="1939"/>
        <v>1425</v>
      </c>
      <c r="AI698" s="32">
        <f t="shared" si="1939"/>
        <v>2267</v>
      </c>
      <c r="AJ698" s="34">
        <f t="shared" si="1933"/>
        <v>197.0561818</v>
      </c>
      <c r="AK698" s="31">
        <f t="shared" ref="AK698:AK701" si="1943">SUM(O689)</f>
        <v>4796</v>
      </c>
      <c r="AL698" s="35">
        <f t="shared" si="1934"/>
        <v>0.4726855713</v>
      </c>
      <c r="AM698" s="36">
        <f t="shared" ref="AM698:AM701" si="1944">SUM(Q689)</f>
        <v>1.5</v>
      </c>
      <c r="AN698" s="35">
        <f t="shared" si="1935"/>
        <v>0.3486161615</v>
      </c>
      <c r="AO698" s="37">
        <f t="shared" si="1936"/>
        <v>0.5229242422</v>
      </c>
      <c r="AP698" s="36">
        <f t="shared" ref="AP698:AQ698" si="1940">SUM(T689)</f>
        <v>115.8720265</v>
      </c>
      <c r="AQ698" s="36">
        <f t="shared" si="1940"/>
        <v>5.266910296</v>
      </c>
      <c r="AR698" s="32">
        <f t="shared" si="1938"/>
        <v>103.0454545</v>
      </c>
    </row>
    <row r="699" ht="15.75" customHeight="1">
      <c r="A699" s="21"/>
      <c r="B699" s="60" t="s">
        <v>33</v>
      </c>
      <c r="C699" s="60">
        <v>18.0</v>
      </c>
      <c r="D699" s="60">
        <f t="shared" ref="D699:M699" si="1941">SUM(D681:D698)</f>
        <v>445</v>
      </c>
      <c r="E699" s="61">
        <f t="shared" si="1941"/>
        <v>430</v>
      </c>
      <c r="F699" s="62">
        <f t="shared" si="1941"/>
        <v>83898.548</v>
      </c>
      <c r="G699" s="61">
        <f t="shared" si="1941"/>
        <v>25461</v>
      </c>
      <c r="H699" s="61">
        <f t="shared" si="1941"/>
        <v>615</v>
      </c>
      <c r="I699" s="61">
        <f t="shared" si="1941"/>
        <v>26076</v>
      </c>
      <c r="J699" s="61">
        <f t="shared" si="1941"/>
        <v>37158</v>
      </c>
      <c r="K699" s="61">
        <f t="shared" si="1941"/>
        <v>636</v>
      </c>
      <c r="L699" s="61">
        <f t="shared" si="1941"/>
        <v>37794</v>
      </c>
      <c r="M699" s="61">
        <f t="shared" si="1941"/>
        <v>63870</v>
      </c>
      <c r="N699" s="62">
        <f t="shared" si="1893"/>
        <v>195.1129023</v>
      </c>
      <c r="O699" s="60">
        <f>SUM(O681:O698)</f>
        <v>126399</v>
      </c>
      <c r="P699" s="63">
        <f t="shared" si="1894"/>
        <v>0.5053046306</v>
      </c>
      <c r="Q699" s="64">
        <v>1.5</v>
      </c>
      <c r="R699" s="63">
        <f t="shared" si="1895"/>
        <v>0.5075177225</v>
      </c>
      <c r="S699" s="65">
        <f t="shared" si="1896"/>
        <v>0.7612765837</v>
      </c>
      <c r="T699" s="64">
        <f>SUM(T681:T698)</f>
        <v>3093.417455</v>
      </c>
      <c r="U699" s="64">
        <f t="shared" si="1897"/>
        <v>7.193994081</v>
      </c>
      <c r="V699" s="61">
        <f t="shared" si="1898"/>
        <v>148.5348837</v>
      </c>
      <c r="X699" s="31">
        <v>4.0</v>
      </c>
      <c r="Y699" s="31" t="s">
        <v>37</v>
      </c>
      <c r="Z699" s="31">
        <f t="shared" ref="Z699:AI699" si="1942">SUM(D690)</f>
        <v>23</v>
      </c>
      <c r="AA699" s="32">
        <f t="shared" si="1942"/>
        <v>23</v>
      </c>
      <c r="AB699" s="33">
        <f t="shared" si="1942"/>
        <v>4523.004</v>
      </c>
      <c r="AC699" s="32">
        <f t="shared" si="1942"/>
        <v>939</v>
      </c>
      <c r="AD699" s="32">
        <f t="shared" si="1942"/>
        <v>0</v>
      </c>
      <c r="AE699" s="32">
        <f t="shared" si="1942"/>
        <v>939</v>
      </c>
      <c r="AF699" s="32">
        <f t="shared" si="1942"/>
        <v>1838</v>
      </c>
      <c r="AG699" s="32">
        <f t="shared" si="1942"/>
        <v>0</v>
      </c>
      <c r="AH699" s="32">
        <f t="shared" si="1942"/>
        <v>1838</v>
      </c>
      <c r="AI699" s="32">
        <f t="shared" si="1942"/>
        <v>2777</v>
      </c>
      <c r="AJ699" s="34">
        <f t="shared" si="1933"/>
        <v>196.6523478</v>
      </c>
      <c r="AK699" s="31">
        <f t="shared" si="1943"/>
        <v>5887</v>
      </c>
      <c r="AL699" s="35">
        <f t="shared" si="1934"/>
        <v>0.4717173433</v>
      </c>
      <c r="AM699" s="36">
        <f t="shared" si="1944"/>
        <v>1.5</v>
      </c>
      <c r="AN699" s="35">
        <f t="shared" si="1935"/>
        <v>0.4093149892</v>
      </c>
      <c r="AO699" s="37">
        <f t="shared" si="1936"/>
        <v>0.6139724838</v>
      </c>
      <c r="AP699" s="36">
        <f t="shared" ref="AP699:AQ699" si="1945">SUM(T690)</f>
        <v>182.4380445</v>
      </c>
      <c r="AQ699" s="36">
        <f t="shared" si="1945"/>
        <v>7.932088893</v>
      </c>
      <c r="AR699" s="32">
        <f t="shared" si="1938"/>
        <v>120.7391304</v>
      </c>
    </row>
    <row r="700" ht="15.7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X700" s="31">
        <v>5.0</v>
      </c>
      <c r="Y700" s="31" t="s">
        <v>39</v>
      </c>
      <c r="Z700" s="31">
        <f t="shared" ref="Z700:AI700" si="1946">SUM(D691)</f>
        <v>21</v>
      </c>
      <c r="AA700" s="32">
        <f t="shared" si="1946"/>
        <v>20</v>
      </c>
      <c r="AB700" s="33">
        <f t="shared" si="1946"/>
        <v>3824.052</v>
      </c>
      <c r="AC700" s="32">
        <f t="shared" si="1946"/>
        <v>712</v>
      </c>
      <c r="AD700" s="32">
        <f t="shared" si="1946"/>
        <v>0</v>
      </c>
      <c r="AE700" s="32">
        <f t="shared" si="1946"/>
        <v>712</v>
      </c>
      <c r="AF700" s="32">
        <f t="shared" si="1946"/>
        <v>1522</v>
      </c>
      <c r="AG700" s="32">
        <f t="shared" si="1946"/>
        <v>0</v>
      </c>
      <c r="AH700" s="32">
        <f t="shared" si="1946"/>
        <v>1522</v>
      </c>
      <c r="AI700" s="32">
        <f t="shared" si="1946"/>
        <v>2234</v>
      </c>
      <c r="AJ700" s="34">
        <f t="shared" si="1933"/>
        <v>191.2026</v>
      </c>
      <c r="AK700" s="31">
        <f t="shared" si="1943"/>
        <v>3569</v>
      </c>
      <c r="AL700" s="35">
        <f t="shared" si="1934"/>
        <v>0.625945643</v>
      </c>
      <c r="AM700" s="36">
        <f t="shared" si="1944"/>
        <v>1.5</v>
      </c>
      <c r="AN700" s="35">
        <f t="shared" si="1935"/>
        <v>0.3894647179</v>
      </c>
      <c r="AO700" s="37">
        <f t="shared" si="1936"/>
        <v>0.5841970768</v>
      </c>
      <c r="AP700" s="36">
        <f t="shared" ref="AP700:AQ700" si="1947">SUM(T691)</f>
        <v>178.169501</v>
      </c>
      <c r="AQ700" s="36">
        <f t="shared" si="1947"/>
        <v>8.90847505</v>
      </c>
      <c r="AR700" s="32">
        <f t="shared" si="1938"/>
        <v>111.7</v>
      </c>
    </row>
    <row r="701" ht="15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X701" s="31">
        <v>6.0</v>
      </c>
      <c r="Y701" s="31" t="s">
        <v>41</v>
      </c>
      <c r="Z701" s="31">
        <f t="shared" ref="Z701:AI701" si="1948">SUM(D692)</f>
        <v>19</v>
      </c>
      <c r="AA701" s="32">
        <f t="shared" si="1948"/>
        <v>19</v>
      </c>
      <c r="AB701" s="33">
        <f t="shared" si="1948"/>
        <v>3802.26</v>
      </c>
      <c r="AC701" s="32">
        <f t="shared" si="1948"/>
        <v>795</v>
      </c>
      <c r="AD701" s="32">
        <f t="shared" si="1948"/>
        <v>0</v>
      </c>
      <c r="AE701" s="32">
        <f t="shared" si="1948"/>
        <v>795</v>
      </c>
      <c r="AF701" s="32">
        <f t="shared" si="1948"/>
        <v>1124</v>
      </c>
      <c r="AG701" s="32">
        <f t="shared" si="1948"/>
        <v>0</v>
      </c>
      <c r="AH701" s="32">
        <f t="shared" si="1948"/>
        <v>1124</v>
      </c>
      <c r="AI701" s="32">
        <f t="shared" si="1948"/>
        <v>1919</v>
      </c>
      <c r="AJ701" s="34">
        <f t="shared" si="1933"/>
        <v>200.1189474</v>
      </c>
      <c r="AK701" s="31">
        <f t="shared" si="1943"/>
        <v>3801</v>
      </c>
      <c r="AL701" s="35">
        <f t="shared" si="1934"/>
        <v>0.5048671402</v>
      </c>
      <c r="AM701" s="36">
        <f t="shared" si="1944"/>
        <v>1.5</v>
      </c>
      <c r="AN701" s="35">
        <f t="shared" si="1935"/>
        <v>0.3364665576</v>
      </c>
      <c r="AO701" s="37">
        <f t="shared" si="1936"/>
        <v>0.5046998364</v>
      </c>
      <c r="AP701" s="36">
        <f t="shared" ref="AP701:AQ701" si="1949">SUM(T692)</f>
        <v>128.3333333</v>
      </c>
      <c r="AQ701" s="36">
        <f t="shared" si="1949"/>
        <v>6.754385965</v>
      </c>
      <c r="AR701" s="32">
        <f t="shared" si="1938"/>
        <v>101</v>
      </c>
    </row>
    <row r="702" ht="15.75" customHeight="1">
      <c r="A702" s="1" t="s">
        <v>45</v>
      </c>
      <c r="D702" s="2"/>
      <c r="X702" s="46" t="s">
        <v>33</v>
      </c>
      <c r="Y702" s="46">
        <v>6.0</v>
      </c>
      <c r="Z702" s="46">
        <f t="shared" ref="Z702:AI702" si="1950">SUM(Z696:Z701)</f>
        <v>132</v>
      </c>
      <c r="AA702" s="47">
        <f t="shared" si="1950"/>
        <v>128</v>
      </c>
      <c r="AB702" s="49">
        <f t="shared" si="1950"/>
        <v>25114.888</v>
      </c>
      <c r="AC702" s="47">
        <f t="shared" si="1950"/>
        <v>7440</v>
      </c>
      <c r="AD702" s="47">
        <f t="shared" si="1950"/>
        <v>80</v>
      </c>
      <c r="AE702" s="47">
        <f t="shared" si="1950"/>
        <v>7520</v>
      </c>
      <c r="AF702" s="47">
        <f t="shared" si="1950"/>
        <v>11331</v>
      </c>
      <c r="AG702" s="47">
        <f t="shared" si="1950"/>
        <v>0</v>
      </c>
      <c r="AH702" s="47">
        <f t="shared" si="1950"/>
        <v>11331</v>
      </c>
      <c r="AI702" s="47">
        <f t="shared" si="1950"/>
        <v>18851</v>
      </c>
      <c r="AJ702" s="49">
        <f t="shared" si="1933"/>
        <v>196.2100625</v>
      </c>
      <c r="AK702" s="46">
        <f>SUM(AK696:AK701)</f>
        <v>37031</v>
      </c>
      <c r="AL702" s="50">
        <f t="shared" si="1934"/>
        <v>0.5090599768</v>
      </c>
      <c r="AM702" s="51">
        <v>1.5</v>
      </c>
      <c r="AN702" s="50">
        <f t="shared" si="1935"/>
        <v>0.5003937638</v>
      </c>
      <c r="AO702" s="52">
        <f t="shared" si="1936"/>
        <v>0.7505906457</v>
      </c>
      <c r="AP702" s="51">
        <f>SUM(AP696:AP701)</f>
        <v>1026.882268</v>
      </c>
      <c r="AQ702" s="51">
        <f>AP702/AA702</f>
        <v>8.022517717</v>
      </c>
      <c r="AR702" s="47">
        <f t="shared" si="1938"/>
        <v>147.2734375</v>
      </c>
    </row>
    <row r="703" ht="15.75" customHeight="1">
      <c r="A703" s="1" t="s">
        <v>45</v>
      </c>
      <c r="D703" s="2"/>
      <c r="X703" s="66" t="s">
        <v>1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6"/>
    </row>
    <row r="704" ht="15.75" customHeight="1">
      <c r="A704" s="7">
        <v>46230.0</v>
      </c>
      <c r="B704" s="8" t="s">
        <v>2</v>
      </c>
      <c r="C704" s="8" t="s">
        <v>3</v>
      </c>
      <c r="D704" s="8" t="s">
        <v>4</v>
      </c>
      <c r="E704" s="8" t="s">
        <v>5</v>
      </c>
      <c r="F704" s="9" t="s">
        <v>6</v>
      </c>
      <c r="G704" s="8" t="s">
        <v>7</v>
      </c>
      <c r="H704" s="8" t="s">
        <v>8</v>
      </c>
      <c r="I704" s="8" t="s">
        <v>9</v>
      </c>
      <c r="J704" s="8" t="s">
        <v>10</v>
      </c>
      <c r="K704" s="8" t="s">
        <v>11</v>
      </c>
      <c r="L704" s="8" t="s">
        <v>12</v>
      </c>
      <c r="M704" s="8" t="s">
        <v>13</v>
      </c>
      <c r="N704" s="9" t="s">
        <v>14</v>
      </c>
      <c r="O704" s="8" t="s">
        <v>15</v>
      </c>
      <c r="P704" s="8" t="s">
        <v>16</v>
      </c>
      <c r="Q704" s="8" t="s">
        <v>17</v>
      </c>
      <c r="R704" s="8" t="s">
        <v>18</v>
      </c>
      <c r="S704" s="11" t="s">
        <v>19</v>
      </c>
      <c r="T704" s="12" t="s">
        <v>20</v>
      </c>
      <c r="U704" s="12" t="s">
        <v>21</v>
      </c>
      <c r="V704" s="13" t="s">
        <v>22</v>
      </c>
      <c r="X704" s="14" t="s">
        <v>2</v>
      </c>
      <c r="Y704" s="14" t="s">
        <v>3</v>
      </c>
      <c r="Z704" s="14" t="s">
        <v>4</v>
      </c>
      <c r="AA704" s="14" t="s">
        <v>5</v>
      </c>
      <c r="AB704" s="15" t="s">
        <v>6</v>
      </c>
      <c r="AC704" s="14" t="s">
        <v>7</v>
      </c>
      <c r="AD704" s="14" t="s">
        <v>8</v>
      </c>
      <c r="AE704" s="14" t="s">
        <v>9</v>
      </c>
      <c r="AF704" s="14" t="s">
        <v>10</v>
      </c>
      <c r="AG704" s="14" t="s">
        <v>11</v>
      </c>
      <c r="AH704" s="14" t="s">
        <v>12</v>
      </c>
      <c r="AI704" s="14" t="s">
        <v>13</v>
      </c>
      <c r="AJ704" s="15" t="s">
        <v>14</v>
      </c>
      <c r="AK704" s="14" t="s">
        <v>15</v>
      </c>
      <c r="AL704" s="14" t="s">
        <v>16</v>
      </c>
      <c r="AM704" s="16" t="s">
        <v>17</v>
      </c>
      <c r="AN704" s="17" t="s">
        <v>18</v>
      </c>
      <c r="AO704" s="18" t="s">
        <v>19</v>
      </c>
      <c r="AP704" s="19" t="s">
        <v>20</v>
      </c>
      <c r="AQ704" s="19" t="s">
        <v>21</v>
      </c>
      <c r="AR704" s="20" t="s">
        <v>22</v>
      </c>
    </row>
    <row r="705" ht="15.7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X705" s="22">
        <v>1.0</v>
      </c>
      <c r="Y705" s="22" t="s">
        <v>23</v>
      </c>
      <c r="Z705" s="22">
        <f t="shared" ref="Z705:AI705" si="1951">SUM(D713)</f>
        <v>35</v>
      </c>
      <c r="AA705" s="23">
        <f t="shared" si="1951"/>
        <v>34</v>
      </c>
      <c r="AB705" s="24">
        <f t="shared" si="1951"/>
        <v>6714.26</v>
      </c>
      <c r="AC705" s="23">
        <f t="shared" si="1951"/>
        <v>1764</v>
      </c>
      <c r="AD705" s="23">
        <f t="shared" si="1951"/>
        <v>0</v>
      </c>
      <c r="AE705" s="23">
        <f t="shared" si="1951"/>
        <v>1764</v>
      </c>
      <c r="AF705" s="23">
        <f t="shared" si="1951"/>
        <v>3236</v>
      </c>
      <c r="AG705" s="23">
        <f t="shared" si="1951"/>
        <v>0</v>
      </c>
      <c r="AH705" s="23">
        <f t="shared" si="1951"/>
        <v>3236</v>
      </c>
      <c r="AI705" s="23">
        <f t="shared" si="1951"/>
        <v>5000</v>
      </c>
      <c r="AJ705" s="25">
        <f t="shared" ref="AJ705:AJ707" si="1954">AB705/AA705</f>
        <v>197.4782353</v>
      </c>
      <c r="AK705" s="22">
        <f>SUM(O713)</f>
        <v>6853</v>
      </c>
      <c r="AL705" s="26">
        <f t="shared" ref="AL705:AL711" si="1955">AI705/AK705</f>
        <v>0.7296074712</v>
      </c>
      <c r="AM705" s="27">
        <f t="shared" ref="AM705:AM707" si="1956">SUM(Q713)</f>
        <v>1.5</v>
      </c>
      <c r="AN705" s="26">
        <f t="shared" ref="AN705:AN711" si="1957">AO705/AM705</f>
        <v>0.496455802</v>
      </c>
      <c r="AO705" s="28">
        <f t="shared" ref="AO705:AO711" si="1958">AI705/AB705</f>
        <v>0.744683703</v>
      </c>
      <c r="AP705" s="27">
        <f t="shared" ref="AP705:AQ705" si="1952">SUM(T713)</f>
        <v>199</v>
      </c>
      <c r="AQ705" s="27">
        <f t="shared" si="1952"/>
        <v>5.852941176</v>
      </c>
      <c r="AR705" s="23">
        <f t="shared" ref="AR705:AR711" si="1960">AI705/AA705</f>
        <v>147.0588235</v>
      </c>
    </row>
    <row r="706" ht="15.7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X706" s="22">
        <v>2.0</v>
      </c>
      <c r="Y706" s="22" t="s">
        <v>24</v>
      </c>
      <c r="Z706" s="22">
        <f t="shared" ref="Z706:AI706" si="1953">SUM(D714)</f>
        <v>44</v>
      </c>
      <c r="AA706" s="23">
        <f t="shared" si="1953"/>
        <v>42</v>
      </c>
      <c r="AB706" s="24">
        <f t="shared" si="1953"/>
        <v>7962.091</v>
      </c>
      <c r="AC706" s="23">
        <f t="shared" si="1953"/>
        <v>1106</v>
      </c>
      <c r="AD706" s="23">
        <f t="shared" si="1953"/>
        <v>5</v>
      </c>
      <c r="AE706" s="23">
        <f t="shared" si="1953"/>
        <v>1111</v>
      </c>
      <c r="AF706" s="23">
        <f t="shared" si="1953"/>
        <v>1194</v>
      </c>
      <c r="AG706" s="23">
        <f t="shared" si="1953"/>
        <v>32</v>
      </c>
      <c r="AH706" s="23">
        <f t="shared" si="1953"/>
        <v>1226</v>
      </c>
      <c r="AI706" s="23">
        <f t="shared" si="1953"/>
        <v>2337</v>
      </c>
      <c r="AJ706" s="25">
        <f t="shared" si="1954"/>
        <v>189.5735952</v>
      </c>
      <c r="AK706" s="22">
        <v>1580.0</v>
      </c>
      <c r="AL706" s="29">
        <f t="shared" si="1955"/>
        <v>1.479113924</v>
      </c>
      <c r="AM706" s="27">
        <f t="shared" si="1956"/>
        <v>1.5</v>
      </c>
      <c r="AN706" s="26">
        <f t="shared" si="1957"/>
        <v>0.1956772411</v>
      </c>
      <c r="AO706" s="28">
        <f t="shared" si="1958"/>
        <v>0.2935158616</v>
      </c>
      <c r="AP706" s="27">
        <f t="shared" ref="AP706:AQ706" si="1959">SUM(T714)</f>
        <v>297.0375303</v>
      </c>
      <c r="AQ706" s="27">
        <f t="shared" si="1959"/>
        <v>7.07232215</v>
      </c>
      <c r="AR706" s="23">
        <f t="shared" si="1960"/>
        <v>55.64285714</v>
      </c>
    </row>
    <row r="707" ht="15.75" customHeight="1">
      <c r="A707" s="21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X707" s="31">
        <v>3.0</v>
      </c>
      <c r="Y707" s="31" t="s">
        <v>25</v>
      </c>
      <c r="Z707" s="31">
        <f t="shared" ref="Z707:AI707" si="1961">SUM(D715)</f>
        <v>32</v>
      </c>
      <c r="AA707" s="32">
        <f t="shared" si="1961"/>
        <v>32</v>
      </c>
      <c r="AB707" s="33">
        <f t="shared" si="1961"/>
        <v>6341.44</v>
      </c>
      <c r="AC707" s="32">
        <f t="shared" si="1961"/>
        <v>2320</v>
      </c>
      <c r="AD707" s="32">
        <f t="shared" si="1961"/>
        <v>524</v>
      </c>
      <c r="AE707" s="32">
        <f t="shared" si="1961"/>
        <v>2844</v>
      </c>
      <c r="AF707" s="32">
        <f t="shared" si="1961"/>
        <v>3251</v>
      </c>
      <c r="AG707" s="32">
        <f t="shared" si="1961"/>
        <v>342</v>
      </c>
      <c r="AH707" s="32">
        <f t="shared" si="1961"/>
        <v>3593</v>
      </c>
      <c r="AI707" s="32">
        <f t="shared" si="1961"/>
        <v>6437</v>
      </c>
      <c r="AJ707" s="34">
        <f t="shared" si="1954"/>
        <v>198.17</v>
      </c>
      <c r="AK707" s="31">
        <f>SUM(O715)</f>
        <v>6622</v>
      </c>
      <c r="AL707" s="35">
        <f t="shared" si="1955"/>
        <v>0.9720628209</v>
      </c>
      <c r="AM707" s="36">
        <f t="shared" si="1956"/>
        <v>1.5</v>
      </c>
      <c r="AN707" s="35">
        <f t="shared" si="1957"/>
        <v>0.676712755</v>
      </c>
      <c r="AO707" s="37">
        <f t="shared" si="1958"/>
        <v>1.015069133</v>
      </c>
      <c r="AP707" s="36">
        <f t="shared" ref="AP707:AQ707" si="1962">SUM(T715)</f>
        <v>266</v>
      </c>
      <c r="AQ707" s="36">
        <f t="shared" si="1962"/>
        <v>8.3125</v>
      </c>
      <c r="AR707" s="32">
        <f t="shared" si="1960"/>
        <v>201.15625</v>
      </c>
    </row>
    <row r="708" ht="15.75" customHeight="1">
      <c r="A708" s="21"/>
      <c r="B708" s="38">
        <v>1.0</v>
      </c>
      <c r="C708" s="38" t="s">
        <v>26</v>
      </c>
      <c r="D708" s="39">
        <v>20.0</v>
      </c>
      <c r="E708" s="40">
        <f>IFERROR(__xludf.DUMMYFUNCTION("COUNT(IMPORTRANGE(""https://docs.google.com/spreadsheets/d/1z0o91thOT38lgejTE_Bd2p3v_9VCDdQRkUsMIVqpQCk/edit"",""27!d2:d21""))"),20.0)</f>
        <v>20</v>
      </c>
      <c r="F708" s="41">
        <f>IFERROR(__xludf.DUMMYFUNCTION("SUM(IMPORTRANGE(""https://docs.google.com/spreadsheets/d/1z0o91thOT38lgejTE_Bd2p3v_9VCDdQRkUsMIVqpQCk/edit"",""27!Q2:Q21""))"),3892.662)</f>
        <v>3892.662</v>
      </c>
      <c r="G708" s="40">
        <f>IFERROR(__xludf.DUMMYFUNCTION("IMPORTRANGE(""https://docs.google.com/spreadsheets/d/1z0o91thOT38lgejTE_Bd2p3v_9VCDdQRkUsMIVqpQCk/edit"",""27!e28"")"),1908.0)</f>
        <v>1908</v>
      </c>
      <c r="H708" s="40">
        <f>IFERROR(__xludf.DUMMYFUNCTION("IMPORTRANGE(""https://docs.google.com/spreadsheets/d/1z0o91thOT38lgejTE_Bd2p3v_9VCDdQRkUsMIVqpQCk/edit"",""27!e29"")"),0.0)</f>
        <v>0</v>
      </c>
      <c r="I708" s="40">
        <f t="shared" ref="I708:I725" si="1965">SUM(G708:H708)</f>
        <v>1908</v>
      </c>
      <c r="J708" s="40">
        <f>IFERROR(__xludf.DUMMYFUNCTION("IMPORTRANGE(""https://docs.google.com/spreadsheets/d/1z0o91thOT38lgejTE_Bd2p3v_9VCDdQRkUsMIVqpQCk/edit"",""27!e32"")"),3288.0)</f>
        <v>3288</v>
      </c>
      <c r="K708" s="40">
        <f>IFERROR(__xludf.DUMMYFUNCTION("IMPORTRANGE(""https://docs.google.com/spreadsheets/d/1z0o91thOT38lgejTE_Bd2p3v_9VCDdQRkUsMIVqpQCk/edit"",""27!e33"")"),0.0)</f>
        <v>0</v>
      </c>
      <c r="L708" s="40">
        <f t="shared" ref="L708:L714" si="1966">SUM(J708:K708)</f>
        <v>3288</v>
      </c>
      <c r="M708" s="40">
        <f t="shared" ref="M708:M725" si="1967">SUM(I708+L708)</f>
        <v>5196</v>
      </c>
      <c r="N708" s="41">
        <f t="shared" ref="N708:N726" si="1968">F708/E708</f>
        <v>194.6331</v>
      </c>
      <c r="O708" s="38">
        <v>5161.0</v>
      </c>
      <c r="P708" s="56">
        <f t="shared" ref="P708:P726" si="1969">M708/O708</f>
        <v>1.006781631</v>
      </c>
      <c r="Q708" s="43">
        <v>1.5</v>
      </c>
      <c r="R708" s="42">
        <f t="shared" ref="R708:R726" si="1970">S708/Q708</f>
        <v>0.8898794707</v>
      </c>
      <c r="S708" s="44">
        <f t="shared" ref="S708:S726" si="1971">M708/F708</f>
        <v>1.334819206</v>
      </c>
      <c r="T708" s="43">
        <f>F708/14.415</f>
        <v>270.0424558</v>
      </c>
      <c r="U708" s="43">
        <f t="shared" ref="U708:U726" si="1972">T708/E708</f>
        <v>13.50212279</v>
      </c>
      <c r="V708" s="40">
        <f t="shared" ref="V708:V726" si="1973">M708/E708</f>
        <v>259.8</v>
      </c>
      <c r="X708" s="22">
        <v>4.0</v>
      </c>
      <c r="Y708" s="22" t="s">
        <v>27</v>
      </c>
      <c r="Z708" s="22">
        <f t="shared" ref="Z708:AK708" si="1963">SUM(D721)</f>
        <v>30</v>
      </c>
      <c r="AA708" s="23">
        <f t="shared" si="1963"/>
        <v>28</v>
      </c>
      <c r="AB708" s="24">
        <f t="shared" si="1963"/>
        <v>5471.783</v>
      </c>
      <c r="AC708" s="23">
        <f t="shared" si="1963"/>
        <v>2863</v>
      </c>
      <c r="AD708" s="23">
        <f t="shared" si="1963"/>
        <v>0</v>
      </c>
      <c r="AE708" s="23">
        <f t="shared" si="1963"/>
        <v>2863</v>
      </c>
      <c r="AF708" s="23">
        <f t="shared" si="1963"/>
        <v>3313</v>
      </c>
      <c r="AG708" s="23">
        <f t="shared" si="1963"/>
        <v>0</v>
      </c>
      <c r="AH708" s="23">
        <f t="shared" si="1963"/>
        <v>3313</v>
      </c>
      <c r="AI708" s="23">
        <f t="shared" si="1963"/>
        <v>6176</v>
      </c>
      <c r="AJ708" s="25">
        <f t="shared" si="1963"/>
        <v>195.4208214</v>
      </c>
      <c r="AK708" s="22">
        <f t="shared" si="1963"/>
        <v>8101</v>
      </c>
      <c r="AL708" s="26">
        <f t="shared" si="1955"/>
        <v>0.7623750154</v>
      </c>
      <c r="AM708" s="27">
        <f>SUM(Q721)</f>
        <v>1.5</v>
      </c>
      <c r="AN708" s="26">
        <f t="shared" si="1957"/>
        <v>0.7524664873</v>
      </c>
      <c r="AO708" s="28">
        <f t="shared" si="1958"/>
        <v>1.128699731</v>
      </c>
      <c r="AP708" s="27">
        <f t="shared" ref="AP708:AQ708" si="1964">SUM(T721)</f>
        <v>273.7944959</v>
      </c>
      <c r="AQ708" s="27">
        <f t="shared" si="1964"/>
        <v>9.778374853</v>
      </c>
      <c r="AR708" s="23">
        <f t="shared" si="1960"/>
        <v>220.5714286</v>
      </c>
    </row>
    <row r="709" ht="15.75" customHeight="1">
      <c r="A709" s="21"/>
      <c r="B709" s="38">
        <v>2.0</v>
      </c>
      <c r="C709" s="38" t="s">
        <v>28</v>
      </c>
      <c r="D709" s="39">
        <v>33.0</v>
      </c>
      <c r="E709" s="40">
        <f>IFERROR(__xludf.DUMMYFUNCTION("COUNT(IMPORTRANGE(""https://docs.google.com/spreadsheets/d/10a85iNN0y9GF6ngQfF1JXGAzFk-T7ywH4-TZtQcOTaE/edit"",""27!d2:d34""))"),33.0)</f>
        <v>33</v>
      </c>
      <c r="F709" s="41">
        <f>IFERROR(__xludf.DUMMYFUNCTION("SUM(IMPORTRANGE(""https://docs.google.com/spreadsheets/d/10a85iNN0y9GF6ngQfF1JXGAzFk-T7ywH4-TZtQcOTaE/edit"",""27!Q2:Q34""))"),6483.664)</f>
        <v>6483.664</v>
      </c>
      <c r="G709" s="40">
        <f>IFERROR(__xludf.DUMMYFUNCTION("IMPORTRANGE(""https://docs.google.com/spreadsheets/d/10a85iNN0y9GF6ngQfF1JXGAzFk-T7ywH4-TZtQcOTaE/edit"",""27!e41"")"),2734.0)</f>
        <v>2734</v>
      </c>
      <c r="H709" s="40">
        <f>IFERROR(__xludf.DUMMYFUNCTION("IMPORTRANGE(""https://docs.google.com/spreadsheets/d/10a85iNN0y9GF6ngQfF1JXGAzFk-T7ywH4-TZtQcOTaE/edit"",""27!e42"")"),154.0)</f>
        <v>154</v>
      </c>
      <c r="I709" s="40">
        <f t="shared" si="1965"/>
        <v>2888</v>
      </c>
      <c r="J709" s="40">
        <f>IFERROR(__xludf.DUMMYFUNCTION("IMPORTRANGE(""https://docs.google.com/spreadsheets/d/10a85iNN0y9GF6ngQfF1JXGAzFk-T7ywH4-TZtQcOTaE/edit"",""27!e45"")"),3023.0)</f>
        <v>3023</v>
      </c>
      <c r="K709" s="40">
        <f>IFERROR(__xludf.DUMMYFUNCTION("IMPORTRANGE(""https://docs.google.com/spreadsheets/d/10a85iNN0y9GF6ngQfF1JXGAzFk-T7ywH4-TZtQcOTaE/edit"",""27!e46"")"),157.0)</f>
        <v>157</v>
      </c>
      <c r="L709" s="40">
        <f t="shared" si="1966"/>
        <v>3180</v>
      </c>
      <c r="M709" s="40">
        <f t="shared" si="1967"/>
        <v>6068</v>
      </c>
      <c r="N709" s="41">
        <f t="shared" si="1968"/>
        <v>196.4746667</v>
      </c>
      <c r="O709" s="38">
        <v>7315.0</v>
      </c>
      <c r="P709" s="42">
        <f t="shared" si="1969"/>
        <v>0.8295283664</v>
      </c>
      <c r="Q709" s="43">
        <v>1.5</v>
      </c>
      <c r="R709" s="42">
        <f t="shared" si="1970"/>
        <v>0.623927047</v>
      </c>
      <c r="S709" s="44">
        <f t="shared" si="1971"/>
        <v>0.9358905705</v>
      </c>
      <c r="T709" s="43">
        <f>F709/30.897</f>
        <v>209.8476875</v>
      </c>
      <c r="U709" s="43">
        <f t="shared" si="1972"/>
        <v>6.359020833</v>
      </c>
      <c r="V709" s="40">
        <f t="shared" si="1973"/>
        <v>183.8787879</v>
      </c>
      <c r="X709" s="22">
        <v>5.0</v>
      </c>
      <c r="Y709" s="22" t="s">
        <v>29</v>
      </c>
      <c r="Z709" s="22">
        <f t="shared" ref="Z709:AI709" si="1974">SUM(D724)</f>
        <v>30</v>
      </c>
      <c r="AA709" s="23">
        <f t="shared" si="1974"/>
        <v>29</v>
      </c>
      <c r="AB709" s="24">
        <f t="shared" si="1974"/>
        <v>5858.55</v>
      </c>
      <c r="AC709" s="23">
        <f t="shared" si="1974"/>
        <v>2924</v>
      </c>
      <c r="AD709" s="23">
        <f t="shared" si="1974"/>
        <v>0</v>
      </c>
      <c r="AE709" s="23">
        <f t="shared" si="1974"/>
        <v>2924</v>
      </c>
      <c r="AF709" s="23">
        <f t="shared" si="1974"/>
        <v>4368</v>
      </c>
      <c r="AG709" s="23">
        <f t="shared" si="1974"/>
        <v>0</v>
      </c>
      <c r="AH709" s="23">
        <f t="shared" si="1974"/>
        <v>4368</v>
      </c>
      <c r="AI709" s="23">
        <f t="shared" si="1974"/>
        <v>7292</v>
      </c>
      <c r="AJ709" s="25">
        <f t="shared" ref="AJ709:AJ711" si="1977">AB709/AA709</f>
        <v>202.0189655</v>
      </c>
      <c r="AK709" s="22">
        <f t="shared" ref="AK709:AK710" si="1978">SUM(O724)</f>
        <v>9201</v>
      </c>
      <c r="AL709" s="26">
        <f t="shared" si="1955"/>
        <v>0.7925225519</v>
      </c>
      <c r="AM709" s="27">
        <f t="shared" ref="AM709:AM710" si="1979">SUM(Q724)</f>
        <v>1.5</v>
      </c>
      <c r="AN709" s="26">
        <f t="shared" si="1957"/>
        <v>0.8297843892</v>
      </c>
      <c r="AO709" s="28">
        <f t="shared" si="1958"/>
        <v>1.244676584</v>
      </c>
      <c r="AP709" s="27">
        <f t="shared" ref="AP709:AQ709" si="1975">SUM(T724)</f>
        <v>225</v>
      </c>
      <c r="AQ709" s="27">
        <f t="shared" si="1975"/>
        <v>7.75862069</v>
      </c>
      <c r="AR709" s="23">
        <f t="shared" si="1960"/>
        <v>251.4482759</v>
      </c>
    </row>
    <row r="710" ht="15.75" customHeight="1">
      <c r="A710" s="21"/>
      <c r="B710" s="38">
        <v>3.0</v>
      </c>
      <c r="C710" s="38" t="s">
        <v>30</v>
      </c>
      <c r="D710" s="39">
        <v>60.0</v>
      </c>
      <c r="E710" s="40">
        <f>IFERROR(__xludf.DUMMYFUNCTION("COUNT(IMPORTRANGE(""https://docs.google.com/spreadsheets/d/1WojVzHhpzodJL1e5UDHeu3A3u5MTSZwvxHu0BrwvL9w/edit"",""27!d2:d61""))"),58.0)</f>
        <v>58</v>
      </c>
      <c r="F710" s="45">
        <f>IFERROR(__xludf.DUMMYFUNCTION("SUM(IMPORTRANGE(""https://docs.google.com/spreadsheets/d/1WojVzHhpzodJL1e5UDHeu3A3u5MTSZwvxHu0BrwvL9w/edit"",""27!Q2:Q61""))"),11359.057999999988)</f>
        <v>11359.058</v>
      </c>
      <c r="G710" s="40">
        <f>IFERROR(__xludf.DUMMYFUNCTION("IMPORTRANGE(""https://docs.google.com/spreadsheets/d/1WojVzHhpzodJL1e5UDHeu3A3u5MTSZwvxHu0BrwvL9w/edit"",""27!e68"")"),3606.0)</f>
        <v>3606</v>
      </c>
      <c r="H710" s="40">
        <f>IFERROR(__xludf.DUMMYFUNCTION("IMPORTRANGE(""https://docs.google.com/spreadsheets/d/1WojVzHhpzodJL1e5UDHeu3A3u5MTSZwvxHu0BrwvL9w/edit"",""27!e69"")"),0.0)</f>
        <v>0</v>
      </c>
      <c r="I710" s="40">
        <f t="shared" si="1965"/>
        <v>3606</v>
      </c>
      <c r="J710" s="40">
        <f>IFERROR(__xludf.DUMMYFUNCTION("IMPORTRANGE(""https://docs.google.com/spreadsheets/d/1WojVzHhpzodJL1e5UDHeu3A3u5MTSZwvxHu0BrwvL9w/edit"",""27!e72"")"),5746.0)</f>
        <v>5746</v>
      </c>
      <c r="K710" s="40">
        <f>IFERROR(__xludf.DUMMYFUNCTION("IMPORTRANGE(""https://docs.google.com/spreadsheets/d/1WojVzHhpzodJL1e5UDHeu3A3u5MTSZwvxHu0BrwvL9w/edit"",""27!e73"")"),0.0)</f>
        <v>0</v>
      </c>
      <c r="L710" s="40">
        <f t="shared" si="1966"/>
        <v>5746</v>
      </c>
      <c r="M710" s="40">
        <f t="shared" si="1967"/>
        <v>9352</v>
      </c>
      <c r="N710" s="41">
        <f t="shared" si="1968"/>
        <v>195.8458276</v>
      </c>
      <c r="O710" s="38">
        <v>11164.0</v>
      </c>
      <c r="P710" s="42">
        <f t="shared" si="1969"/>
        <v>0.8376925833</v>
      </c>
      <c r="Q710" s="43">
        <v>1.5</v>
      </c>
      <c r="R710" s="42">
        <f t="shared" si="1970"/>
        <v>0.5488718049</v>
      </c>
      <c r="S710" s="44">
        <f t="shared" si="1971"/>
        <v>0.8233077074</v>
      </c>
      <c r="T710" s="43">
        <f>F710/29.603</f>
        <v>383.7130696</v>
      </c>
      <c r="U710" s="43">
        <f t="shared" si="1972"/>
        <v>6.61574258</v>
      </c>
      <c r="V710" s="40">
        <f t="shared" si="1973"/>
        <v>161.2413793</v>
      </c>
      <c r="X710" s="22">
        <v>6.0</v>
      </c>
      <c r="Y710" s="22" t="s">
        <v>31</v>
      </c>
      <c r="Z710" s="22">
        <f t="shared" ref="Z710:AI710" si="1976">SUM(D725)</f>
        <v>15</v>
      </c>
      <c r="AA710" s="23">
        <f t="shared" si="1976"/>
        <v>13</v>
      </c>
      <c r="AB710" s="25">
        <f t="shared" si="1976"/>
        <v>2651.365</v>
      </c>
      <c r="AC710" s="23">
        <f t="shared" si="1976"/>
        <v>892</v>
      </c>
      <c r="AD710" s="23">
        <f t="shared" si="1976"/>
        <v>15</v>
      </c>
      <c r="AE710" s="23">
        <f t="shared" si="1976"/>
        <v>907</v>
      </c>
      <c r="AF710" s="23">
        <f t="shared" si="1976"/>
        <v>1084</v>
      </c>
      <c r="AG710" s="23">
        <f t="shared" si="1976"/>
        <v>0</v>
      </c>
      <c r="AH710" s="23">
        <f t="shared" si="1976"/>
        <v>1084</v>
      </c>
      <c r="AI710" s="23">
        <f t="shared" si="1976"/>
        <v>1991</v>
      </c>
      <c r="AJ710" s="25">
        <f t="shared" si="1977"/>
        <v>203.9511538</v>
      </c>
      <c r="AK710" s="22">
        <f t="shared" si="1978"/>
        <v>2717</v>
      </c>
      <c r="AL710" s="26">
        <f t="shared" si="1955"/>
        <v>0.7327935223</v>
      </c>
      <c r="AM710" s="27">
        <f t="shared" si="1979"/>
        <v>1.5</v>
      </c>
      <c r="AN710" s="26">
        <f t="shared" si="1957"/>
        <v>0.5006226353</v>
      </c>
      <c r="AO710" s="28">
        <f t="shared" si="1958"/>
        <v>0.7509339529</v>
      </c>
      <c r="AP710" s="27">
        <f t="shared" ref="AP710:AQ710" si="1980">SUM(T725)</f>
        <v>61</v>
      </c>
      <c r="AQ710" s="27">
        <f t="shared" si="1980"/>
        <v>4.692307692</v>
      </c>
      <c r="AR710" s="23">
        <f t="shared" si="1960"/>
        <v>153.1538462</v>
      </c>
    </row>
    <row r="711" ht="15.75" customHeight="1">
      <c r="A711" s="21"/>
      <c r="B711" s="38">
        <v>4.0</v>
      </c>
      <c r="C711" s="38" t="s">
        <v>32</v>
      </c>
      <c r="D711" s="39">
        <v>42.0</v>
      </c>
      <c r="E711" s="40">
        <f>IFERROR(__xludf.DUMMYFUNCTION("COUNT(IMPORTRANGE(""https://docs.google.com/spreadsheets/d/1vmCj5YcMSPHj1m64syDndQ6cqVL3yolcU03Y8KHmvdc/edit"",""27!d2:d43""))"),42.0)</f>
        <v>42</v>
      </c>
      <c r="F711" s="45">
        <f>IFERROR(__xludf.DUMMYFUNCTION("SUM(IMPORTRANGE(""https://docs.google.com/spreadsheets/d/1vmCj5YcMSPHj1m64syDndQ6cqVL3yolcU03Y8KHmvdc/edit"",""27!Q2:Q43""))"),8217.72199999999)</f>
        <v>8217.722</v>
      </c>
      <c r="G711" s="38">
        <f>IFERROR(__xludf.DUMMYFUNCTION("IMPORTRANGE(""https://docs.google.com/spreadsheets/d/1vmCj5YcMSPHj1m64syDndQ6cqVL3yolcU03Y8KHmvdc/edit"",""27!e50"")"),5070.0)</f>
        <v>5070</v>
      </c>
      <c r="H711" s="38">
        <f>IFERROR(__xludf.DUMMYFUNCTION("IMPORTRANGE(""https://docs.google.com/spreadsheets/d/1vmCj5YcMSPHj1m64syDndQ6cqVL3yolcU03Y8KHmvdc/edit"",""27!e51"")"),40.0)</f>
        <v>40</v>
      </c>
      <c r="I711" s="40">
        <f t="shared" si="1965"/>
        <v>5110</v>
      </c>
      <c r="J711" s="38">
        <f>IFERROR(__xludf.DUMMYFUNCTION("IMPORTRANGE(""https://docs.google.com/spreadsheets/d/1vmCj5YcMSPHj1m64syDndQ6cqVL3yolcU03Y8KHmvdc/edit"",""27!e54"")"),5978.0)</f>
        <v>5978</v>
      </c>
      <c r="K711" s="38">
        <f>IFERROR(__xludf.DUMMYFUNCTION("IMPORTRANGE(""https://docs.google.com/spreadsheets/d/1vmCj5YcMSPHj1m64syDndQ6cqVL3yolcU03Y8KHmvdc/edit"",""27!e55"")"),0.0)</f>
        <v>0</v>
      </c>
      <c r="L711" s="40">
        <f t="shared" si="1966"/>
        <v>5978</v>
      </c>
      <c r="M711" s="40">
        <f t="shared" si="1967"/>
        <v>11088</v>
      </c>
      <c r="N711" s="41">
        <f t="shared" si="1968"/>
        <v>195.6600476</v>
      </c>
      <c r="O711" s="38">
        <v>13817.0</v>
      </c>
      <c r="P711" s="42">
        <f t="shared" si="1969"/>
        <v>0.8024896866</v>
      </c>
      <c r="Q711" s="43">
        <v>1.5</v>
      </c>
      <c r="R711" s="42">
        <f t="shared" si="1970"/>
        <v>0.8995193559</v>
      </c>
      <c r="S711" s="44">
        <f t="shared" si="1971"/>
        <v>1.349279034</v>
      </c>
      <c r="T711" s="43">
        <f>F711/25.089</f>
        <v>327.5428275</v>
      </c>
      <c r="U711" s="43">
        <f t="shared" si="1972"/>
        <v>7.798638751</v>
      </c>
      <c r="V711" s="40">
        <f t="shared" si="1973"/>
        <v>264</v>
      </c>
      <c r="X711" s="46" t="s">
        <v>33</v>
      </c>
      <c r="Y711" s="46">
        <v>6.0</v>
      </c>
      <c r="Z711" s="46">
        <f t="shared" ref="Z711:AI711" si="1981">SUM(Z705:Z710)</f>
        <v>186</v>
      </c>
      <c r="AA711" s="47">
        <f t="shared" si="1981"/>
        <v>178</v>
      </c>
      <c r="AB711" s="48">
        <f t="shared" si="1981"/>
        <v>34999.489</v>
      </c>
      <c r="AC711" s="47">
        <f t="shared" si="1981"/>
        <v>11869</v>
      </c>
      <c r="AD711" s="47">
        <f t="shared" si="1981"/>
        <v>544</v>
      </c>
      <c r="AE711" s="47">
        <f t="shared" si="1981"/>
        <v>12413</v>
      </c>
      <c r="AF711" s="47">
        <f t="shared" si="1981"/>
        <v>16446</v>
      </c>
      <c r="AG711" s="47">
        <f t="shared" si="1981"/>
        <v>374</v>
      </c>
      <c r="AH711" s="47">
        <f t="shared" si="1981"/>
        <v>16820</v>
      </c>
      <c r="AI711" s="47">
        <f t="shared" si="1981"/>
        <v>29233</v>
      </c>
      <c r="AJ711" s="49">
        <f t="shared" si="1977"/>
        <v>196.6263427</v>
      </c>
      <c r="AK711" s="46">
        <f>SUM(AK705:AK710)</f>
        <v>35074</v>
      </c>
      <c r="AL711" s="50">
        <f t="shared" si="1955"/>
        <v>0.8334663854</v>
      </c>
      <c r="AM711" s="51">
        <v>1.5</v>
      </c>
      <c r="AN711" s="50">
        <f t="shared" si="1957"/>
        <v>0.5568271773</v>
      </c>
      <c r="AO711" s="52">
        <f t="shared" si="1958"/>
        <v>0.8352407659</v>
      </c>
      <c r="AP711" s="51">
        <f>SUM(AP705:AP710)</f>
        <v>1321.832026</v>
      </c>
      <c r="AQ711" s="51">
        <f>AP711/AA711</f>
        <v>7.426022619</v>
      </c>
      <c r="AR711" s="47">
        <f t="shared" si="1960"/>
        <v>164.2303371</v>
      </c>
    </row>
    <row r="712" ht="15.75" customHeight="1">
      <c r="A712" s="21"/>
      <c r="B712" s="38">
        <v>5.0</v>
      </c>
      <c r="C712" s="38" t="s">
        <v>34</v>
      </c>
      <c r="D712" s="39">
        <v>40.0</v>
      </c>
      <c r="E712" s="40">
        <f>IFERROR(__xludf.DUMMYFUNCTION("COUNT(IMPORTRANGE(""https://docs.google.com/spreadsheets/d/14_Y-fpuq1wcec3DlT_1PBYekOC0YblQMrWVfO12YO3k/edit"",""27!d2:d41""))"),39.0)</f>
        <v>39</v>
      </c>
      <c r="F712" s="45">
        <f>IFERROR(__xludf.DUMMYFUNCTION("SUM(IMPORTRANGE(""https://docs.google.com/spreadsheets/d/14_Y-fpuq1wcec3DlT_1PBYekOC0YblQMrWVfO12YO3k/edit"",""27!Q2:Q41""))"),7795.425000000001)</f>
        <v>7795.425</v>
      </c>
      <c r="G712" s="40">
        <f>IFERROR(__xludf.DUMMYFUNCTION("IMPORTRANGE(""https://docs.google.com/spreadsheets/d/14_Y-fpuq1wcec3DlT_1PBYekOC0YblQMrWVfO12YO3k/edit"",""27!e48"")"),3289.0)</f>
        <v>3289</v>
      </c>
      <c r="H712" s="40">
        <f>IFERROR(__xludf.DUMMYFUNCTION("IMPORTRANGE(""https://docs.google.com/spreadsheets/d/14_Y-fpuq1wcec3DlT_1PBYekOC0YblQMrWVfO12YO3k/edit"",""27!e49"")"),0.0)</f>
        <v>0</v>
      </c>
      <c r="I712" s="40">
        <f t="shared" si="1965"/>
        <v>3289</v>
      </c>
      <c r="J712" s="40">
        <f>IFERROR(__xludf.DUMMYFUNCTION("IMPORTRANGE(""https://docs.google.com/spreadsheets/d/14_Y-fpuq1wcec3DlT_1PBYekOC0YblQMrWVfO12YO3k/edit"",""27!e52"")"),3438.0)</f>
        <v>3438</v>
      </c>
      <c r="K712" s="40">
        <f>IFERROR(__xludf.DUMMYFUNCTION("IMPORTRANGE(""https://docs.google.com/spreadsheets/d/14_Y-fpuq1wcec3DlT_1PBYekOC0YblQMrWVfO12YO3k/edit"",""27!e53"")"),0.0)</f>
        <v>0</v>
      </c>
      <c r="L712" s="40">
        <f t="shared" si="1966"/>
        <v>3438</v>
      </c>
      <c r="M712" s="40">
        <f t="shared" si="1967"/>
        <v>6727</v>
      </c>
      <c r="N712" s="41">
        <f t="shared" si="1968"/>
        <v>199.8826923</v>
      </c>
      <c r="O712" s="38">
        <v>9354.0</v>
      </c>
      <c r="P712" s="42">
        <f t="shared" si="1969"/>
        <v>0.7191575796</v>
      </c>
      <c r="Q712" s="43">
        <v>1.5</v>
      </c>
      <c r="R712" s="42">
        <f t="shared" si="1970"/>
        <v>0.5752946974</v>
      </c>
      <c r="S712" s="44">
        <f t="shared" si="1971"/>
        <v>0.8629420461</v>
      </c>
      <c r="T712" s="43">
        <f>F712/30.713</f>
        <v>253.8151597</v>
      </c>
      <c r="U712" s="43">
        <f t="shared" si="1972"/>
        <v>6.508081018</v>
      </c>
      <c r="V712" s="40">
        <f t="shared" si="1973"/>
        <v>172.4871795</v>
      </c>
      <c r="X712" s="53" t="s">
        <v>35</v>
      </c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6"/>
    </row>
    <row r="713" ht="15.75" customHeight="1">
      <c r="A713" s="21"/>
      <c r="B713" s="38">
        <v>6.0</v>
      </c>
      <c r="C713" s="38" t="s">
        <v>23</v>
      </c>
      <c r="D713" s="39">
        <v>35.0</v>
      </c>
      <c r="E713" s="40">
        <f>IFERROR(__xludf.DUMMYFUNCTION("COUNT(IMPORTRANGE(""https://docs.google.com/spreadsheets/d/1lJqjdj05V4LOXuBOiTdE65GV4ZITyx1cMLcDdcuoUnE/edit"",""27!d2:d36""))"),34.0)</f>
        <v>34</v>
      </c>
      <c r="F713" s="45">
        <f>IFERROR(__xludf.DUMMYFUNCTION("SUM(IMPORTRANGE(""https://docs.google.com/spreadsheets/d/1lJqjdj05V4LOXuBOiTdE65GV4ZITyx1cMLcDdcuoUnE/edit"",""27!Q2:Q36""))"),6714.259999999996)</f>
        <v>6714.26</v>
      </c>
      <c r="G713" s="40">
        <f>IFERROR(__xludf.DUMMYFUNCTION("IMPORTRANGE(""https://docs.google.com/spreadsheets/d/1lJqjdj05V4LOXuBOiTdE65GV4ZITyx1cMLcDdcuoUnE/edit"",""27!e43"")"),1764.0)</f>
        <v>1764</v>
      </c>
      <c r="H713" s="40">
        <f>IFERROR(__xludf.DUMMYFUNCTION("IMPORTRANGE(""https://docs.google.com/spreadsheets/d/1lJqjdj05V4LOXuBOiTdE65GV4ZITyx1cMLcDdcuoUnE/edit"",""27!e44"")"),0.0)</f>
        <v>0</v>
      </c>
      <c r="I713" s="40">
        <f t="shared" si="1965"/>
        <v>1764</v>
      </c>
      <c r="J713" s="40">
        <f>IFERROR(__xludf.DUMMYFUNCTION("IMPORTRANGE(""https://docs.google.com/spreadsheets/d/1lJqjdj05V4LOXuBOiTdE65GV4ZITyx1cMLcDdcuoUnE/edit"",""27!e47"")"),3236.0)</f>
        <v>3236</v>
      </c>
      <c r="K713" s="40">
        <f>IFERROR(__xludf.DUMMYFUNCTION("IMPORTRANGE(""https://docs.google.com/spreadsheets/d/1lJqjdj05V4LOXuBOiTdE65GV4ZITyx1cMLcDdcuoUnE/edit"",""27!e48"")"),0.0)</f>
        <v>0</v>
      </c>
      <c r="L713" s="40">
        <f t="shared" si="1966"/>
        <v>3236</v>
      </c>
      <c r="M713" s="40">
        <f t="shared" si="1967"/>
        <v>5000</v>
      </c>
      <c r="N713" s="41">
        <f t="shared" si="1968"/>
        <v>197.4782353</v>
      </c>
      <c r="O713" s="38">
        <v>6853.0</v>
      </c>
      <c r="P713" s="42">
        <f t="shared" si="1969"/>
        <v>0.7296074712</v>
      </c>
      <c r="Q713" s="43">
        <v>1.5</v>
      </c>
      <c r="R713" s="42">
        <f t="shared" si="1970"/>
        <v>0.496455802</v>
      </c>
      <c r="S713" s="44">
        <f t="shared" si="1971"/>
        <v>0.744683703</v>
      </c>
      <c r="T713" s="43">
        <f>F713/33.74</f>
        <v>199</v>
      </c>
      <c r="U713" s="43">
        <f t="shared" si="1972"/>
        <v>5.852941176</v>
      </c>
      <c r="V713" s="40">
        <f t="shared" si="1973"/>
        <v>147.0588235</v>
      </c>
      <c r="X713" s="14" t="s">
        <v>2</v>
      </c>
      <c r="Y713" s="14" t="s">
        <v>3</v>
      </c>
      <c r="Z713" s="14" t="s">
        <v>4</v>
      </c>
      <c r="AA713" s="14" t="s">
        <v>5</v>
      </c>
      <c r="AB713" s="15" t="s">
        <v>6</v>
      </c>
      <c r="AC713" s="14" t="s">
        <v>7</v>
      </c>
      <c r="AD713" s="14" t="s">
        <v>8</v>
      </c>
      <c r="AE713" s="14" t="s">
        <v>9</v>
      </c>
      <c r="AF713" s="14" t="s">
        <v>10</v>
      </c>
      <c r="AG713" s="14" t="s">
        <v>11</v>
      </c>
      <c r="AH713" s="14" t="s">
        <v>12</v>
      </c>
      <c r="AI713" s="14" t="s">
        <v>13</v>
      </c>
      <c r="AJ713" s="15" t="s">
        <v>14</v>
      </c>
      <c r="AK713" s="14" t="s">
        <v>15</v>
      </c>
      <c r="AL713" s="14" t="s">
        <v>16</v>
      </c>
      <c r="AM713" s="16" t="s">
        <v>17</v>
      </c>
      <c r="AN713" s="17" t="s">
        <v>18</v>
      </c>
      <c r="AO713" s="18" t="s">
        <v>19</v>
      </c>
      <c r="AP713" s="19" t="s">
        <v>20</v>
      </c>
      <c r="AQ713" s="19" t="s">
        <v>21</v>
      </c>
      <c r="AR713" s="20" t="s">
        <v>22</v>
      </c>
    </row>
    <row r="714" ht="15.75" customHeight="1">
      <c r="A714" s="21"/>
      <c r="B714" s="38">
        <v>7.0</v>
      </c>
      <c r="C714" s="38" t="s">
        <v>24</v>
      </c>
      <c r="D714" s="39">
        <v>44.0</v>
      </c>
      <c r="E714" s="54">
        <f>IFERROR(__xludf.DUMMYFUNCTION("COUNT(IMPORTRANGE(""https://docs.google.com/spreadsheets/d/1_7EEO26q9Yq-XhNFiy7I6Zh4Yg6uGjTs9y0UqNvPKcQ/edit"",""27!d2:d45""))"),42.0)</f>
        <v>42</v>
      </c>
      <c r="F714" s="55">
        <f>IFERROR(__xludf.DUMMYFUNCTION("SUM(IMPORTRANGE(""https://docs.google.com/spreadsheets/d/1_7EEO26q9Yq-XhNFiy7I6Zh4Yg6uGjTs9y0UqNvPKcQ/edit"",""27!Q2:Q45""))"),7962.090999999994)</f>
        <v>7962.091</v>
      </c>
      <c r="G714" s="54">
        <f>IFERROR(__xludf.DUMMYFUNCTION("IMPORTRANGE(""https://docs.google.com/spreadsheets/d/1_7EEO26q9Yq-XhNFiy7I6Zh4Yg6uGjTs9y0UqNvPKcQ/edit"",""27!e53"")"),1106.0)</f>
        <v>1106</v>
      </c>
      <c r="H714" s="54">
        <f>IFERROR(__xludf.DUMMYFUNCTION("IMPORTRANGE(""https://docs.google.com/spreadsheets/d/1_7EEO26q9Yq-XhNFiy7I6Zh4Yg6uGjTs9y0UqNvPKcQ/edit"",""27!e54"")"),5.0)</f>
        <v>5</v>
      </c>
      <c r="I714" s="54">
        <f t="shared" si="1965"/>
        <v>1111</v>
      </c>
      <c r="J714" s="54">
        <f>IFERROR(__xludf.DUMMYFUNCTION("IMPORTRANGE(""https://docs.google.com/spreadsheets/d/1_7EEO26q9Yq-XhNFiy7I6Zh4Yg6uGjTs9y0UqNvPKcQ/edit"",""27!e57"")"),1194.0)</f>
        <v>1194</v>
      </c>
      <c r="K714" s="54">
        <f>IFERROR(__xludf.DUMMYFUNCTION("IMPORTRANGE(""https://docs.google.com/spreadsheets/d/1_7EEO26q9Yq-XhNFiy7I6Zh4Yg6uGjTs9y0UqNvPKcQ/edit"",""27!e58"")"),32.0)</f>
        <v>32</v>
      </c>
      <c r="L714" s="40">
        <f t="shared" si="1966"/>
        <v>1226</v>
      </c>
      <c r="M714" s="40">
        <f t="shared" si="1967"/>
        <v>2337</v>
      </c>
      <c r="N714" s="41">
        <f t="shared" si="1968"/>
        <v>189.5735952</v>
      </c>
      <c r="O714" s="38">
        <v>1580.0</v>
      </c>
      <c r="P714" s="56">
        <f t="shared" si="1969"/>
        <v>1.479113924</v>
      </c>
      <c r="Q714" s="43">
        <v>1.5</v>
      </c>
      <c r="R714" s="42">
        <f t="shared" si="1970"/>
        <v>0.1956772411</v>
      </c>
      <c r="S714" s="44">
        <f t="shared" si="1971"/>
        <v>0.2935158616</v>
      </c>
      <c r="T714" s="43">
        <f>F714/26.805</f>
        <v>297.0375303</v>
      </c>
      <c r="U714" s="43">
        <f t="shared" si="1972"/>
        <v>7.07232215</v>
      </c>
      <c r="V714" s="40">
        <f t="shared" si="1973"/>
        <v>55.64285714</v>
      </c>
      <c r="X714" s="22">
        <v>1.0</v>
      </c>
      <c r="Y714" s="22" t="s">
        <v>28</v>
      </c>
      <c r="Z714" s="22">
        <f t="shared" ref="Z714:AI714" si="1982">SUM(D709)</f>
        <v>33</v>
      </c>
      <c r="AA714" s="23">
        <f t="shared" si="1982"/>
        <v>33</v>
      </c>
      <c r="AB714" s="25">
        <f t="shared" si="1982"/>
        <v>6483.664</v>
      </c>
      <c r="AC714" s="23">
        <f t="shared" si="1982"/>
        <v>2734</v>
      </c>
      <c r="AD714" s="23">
        <f t="shared" si="1982"/>
        <v>154</v>
      </c>
      <c r="AE714" s="23">
        <f t="shared" si="1982"/>
        <v>2888</v>
      </c>
      <c r="AF714" s="23">
        <f t="shared" si="1982"/>
        <v>3023</v>
      </c>
      <c r="AG714" s="23">
        <f t="shared" si="1982"/>
        <v>157</v>
      </c>
      <c r="AH714" s="23">
        <f t="shared" si="1982"/>
        <v>3180</v>
      </c>
      <c r="AI714" s="23">
        <f t="shared" si="1982"/>
        <v>6068</v>
      </c>
      <c r="AJ714" s="25">
        <f t="shared" ref="AJ714:AJ720" si="1985">AB714/AA714</f>
        <v>196.4746667</v>
      </c>
      <c r="AK714" s="22">
        <f t="shared" ref="AK714:AK715" si="1986">SUM(O709)</f>
        <v>7315</v>
      </c>
      <c r="AL714" s="26">
        <f t="shared" ref="AL714:AL720" si="1987">AI714/AK714</f>
        <v>0.8295283664</v>
      </c>
      <c r="AM714" s="27">
        <f t="shared" ref="AM714:AM715" si="1988">SUM(Q709)</f>
        <v>1.5</v>
      </c>
      <c r="AN714" s="26">
        <f t="shared" ref="AN714:AN720" si="1989">AO714/AM714</f>
        <v>0.623927047</v>
      </c>
      <c r="AO714" s="28">
        <f t="shared" ref="AO714:AO720" si="1990">AI714/AB714</f>
        <v>0.9358905705</v>
      </c>
      <c r="AP714" s="27">
        <f t="shared" ref="AP714:AQ714" si="1983">SUM(T709)</f>
        <v>209.8476875</v>
      </c>
      <c r="AQ714" s="27">
        <f t="shared" si="1983"/>
        <v>6.359020833</v>
      </c>
      <c r="AR714" s="23">
        <f t="shared" ref="AR714:AR720" si="1992">AI714/AA714</f>
        <v>183.8787879</v>
      </c>
    </row>
    <row r="715" ht="15.75" customHeight="1">
      <c r="A715" s="21"/>
      <c r="B715" s="38">
        <v>8.0</v>
      </c>
      <c r="C715" s="38" t="s">
        <v>25</v>
      </c>
      <c r="D715" s="57">
        <v>32.0</v>
      </c>
      <c r="E715" s="40">
        <f>IFERROR(__xludf.DUMMYFUNCTION("COUNT(IMPORTRANGE(""https://docs.google.com/spreadsheets/d/1vLOLpiE-XsbnCnwWPcoi87PlUSXfqIAAQn3kvqHfO6s/edit"",""27!d2:D33""))"),32.0)</f>
        <v>32</v>
      </c>
      <c r="F715" s="45">
        <f>IFERROR(__xludf.DUMMYFUNCTION("SUM(IMPORTRANGE(""https://docs.google.com/spreadsheets/d/1vLOLpiE-XsbnCnwWPcoi87PlUSXfqIAAQn3kvqHfO6s/edit"",""27!Q2:Q33""))"),6341.440000000002)</f>
        <v>6341.44</v>
      </c>
      <c r="G715" s="40">
        <f>IFERROR(__xludf.DUMMYFUNCTION("IMPORTRANGE(""https://docs.google.com/spreadsheets/d/1vLOLpiE-XsbnCnwWPcoi87PlUSXfqIAAQn3kvqHfO6s/edit"",""27!e40"")"),2320.0)</f>
        <v>2320</v>
      </c>
      <c r="H715" s="40">
        <f>IFERROR(__xludf.DUMMYFUNCTION("IMPORTRANGE(""https://docs.google.com/spreadsheets/d/1vLOLpiE-XsbnCnwWPcoi87PlUSXfqIAAQn3kvqHfO6s/edit"",""27!e41"")"),524.0)</f>
        <v>524</v>
      </c>
      <c r="I715" s="40">
        <f t="shared" si="1965"/>
        <v>2844</v>
      </c>
      <c r="J715" s="40">
        <f>IFERROR(__xludf.DUMMYFUNCTION("IMPORTRANGE(""https://docs.google.com/spreadsheets/d/1vLOLpiE-XsbnCnwWPcoi87PlUSXfqIAAQn3kvqHfO6s/edit"",""27!e44"")"),3251.0)</f>
        <v>3251</v>
      </c>
      <c r="K715" s="40">
        <f>IFERROR(__xludf.DUMMYFUNCTION("IMPORTRANGE(""https://docs.google.com/spreadsheets/d/1vLOLpiE-XsbnCnwWPcoi87PlUSXfqIAAQn3kvqHfO6s/edit"",""27!e45"")"),342.0)</f>
        <v>342</v>
      </c>
      <c r="L715" s="40">
        <f>J715+K715</f>
        <v>3593</v>
      </c>
      <c r="M715" s="40">
        <f t="shared" si="1967"/>
        <v>6437</v>
      </c>
      <c r="N715" s="41">
        <f t="shared" si="1968"/>
        <v>198.17</v>
      </c>
      <c r="O715" s="38">
        <v>6622.0</v>
      </c>
      <c r="P715" s="42">
        <f t="shared" si="1969"/>
        <v>0.9720628209</v>
      </c>
      <c r="Q715" s="43">
        <v>1.5</v>
      </c>
      <c r="R715" s="42">
        <f t="shared" si="1970"/>
        <v>0.676712755</v>
      </c>
      <c r="S715" s="44">
        <f t="shared" si="1971"/>
        <v>1.015069133</v>
      </c>
      <c r="T715" s="43">
        <f>F715/23.84</f>
        <v>266</v>
      </c>
      <c r="U715" s="43">
        <f t="shared" si="1972"/>
        <v>8.3125</v>
      </c>
      <c r="V715" s="40">
        <f t="shared" si="1973"/>
        <v>201.15625</v>
      </c>
      <c r="X715" s="31">
        <v>2.0</v>
      </c>
      <c r="Y715" s="31" t="s">
        <v>30</v>
      </c>
      <c r="Z715" s="31">
        <f t="shared" ref="Z715:AI715" si="1984">SUM(D710)</f>
        <v>60</v>
      </c>
      <c r="AA715" s="32">
        <f t="shared" si="1984"/>
        <v>58</v>
      </c>
      <c r="AB715" s="33">
        <f t="shared" si="1984"/>
        <v>11359.058</v>
      </c>
      <c r="AC715" s="32">
        <f t="shared" si="1984"/>
        <v>3606</v>
      </c>
      <c r="AD715" s="32">
        <f t="shared" si="1984"/>
        <v>0</v>
      </c>
      <c r="AE715" s="32">
        <f t="shared" si="1984"/>
        <v>3606</v>
      </c>
      <c r="AF715" s="32">
        <f t="shared" si="1984"/>
        <v>5746</v>
      </c>
      <c r="AG715" s="32">
        <f t="shared" si="1984"/>
        <v>0</v>
      </c>
      <c r="AH715" s="32">
        <f t="shared" si="1984"/>
        <v>5746</v>
      </c>
      <c r="AI715" s="32">
        <f t="shared" si="1984"/>
        <v>9352</v>
      </c>
      <c r="AJ715" s="34">
        <f t="shared" si="1985"/>
        <v>195.8458276</v>
      </c>
      <c r="AK715" s="31">
        <f t="shared" si="1986"/>
        <v>11164</v>
      </c>
      <c r="AL715" s="35">
        <f t="shared" si="1987"/>
        <v>0.8376925833</v>
      </c>
      <c r="AM715" s="36">
        <f t="shared" si="1988"/>
        <v>1.5</v>
      </c>
      <c r="AN715" s="35">
        <f t="shared" si="1989"/>
        <v>0.5488718049</v>
      </c>
      <c r="AO715" s="37">
        <f t="shared" si="1990"/>
        <v>0.8233077074</v>
      </c>
      <c r="AP715" s="36">
        <f t="shared" ref="AP715:AQ715" si="1991">SUM(T710)</f>
        <v>383.7130696</v>
      </c>
      <c r="AQ715" s="36">
        <f t="shared" si="1991"/>
        <v>6.61574258</v>
      </c>
      <c r="AR715" s="32">
        <f t="shared" si="1992"/>
        <v>161.2413793</v>
      </c>
    </row>
    <row r="716" ht="15.75" customHeight="1">
      <c r="A716" s="21"/>
      <c r="B716" s="38">
        <v>9.0</v>
      </c>
      <c r="C716" s="38" t="s">
        <v>36</v>
      </c>
      <c r="D716" s="58">
        <v>29.0</v>
      </c>
      <c r="E716" s="40">
        <f>IFERROR(__xludf.DUMMYFUNCTION("COUNT(IMPORTRANGE(""https://docs.google.com/spreadsheets/d/1WJJVq25XDtGjt-J2JPxeKs3jIvDZtkIREC0lFPXwf74/edit"",""27!d2:d31""))"),29.0)</f>
        <v>29</v>
      </c>
      <c r="F716" s="45">
        <f>IFERROR(__xludf.DUMMYFUNCTION("SUM(IMPORTRANGE(""https://docs.google.com/spreadsheets/d/1WJJVq25XDtGjt-J2JPxeKs3jIvDZtkIREC0lFPXwf74/edit"",""27!Q2:Q31""))"),5752.179999999999)</f>
        <v>5752.18</v>
      </c>
      <c r="G716" s="40">
        <f>IFERROR(__xludf.DUMMYFUNCTION("IMPORTRANGE(""https://docs.google.com/spreadsheets/d/1WJJVq25XDtGjt-J2JPxeKs3jIvDZtkIREC0lFPXwf74/edit"",""27!e38"")"),2247.0)</f>
        <v>2247</v>
      </c>
      <c r="H716" s="40">
        <f>IFERROR(__xludf.DUMMYFUNCTION("IMPORTRANGE(""https://docs.google.com/spreadsheets/d/1WJJVq25XDtGjt-J2JPxeKs3jIvDZtkIREC0lFPXwf74/edit"",""27!e39"")"),0.0)</f>
        <v>0</v>
      </c>
      <c r="I716" s="40">
        <f t="shared" si="1965"/>
        <v>2247</v>
      </c>
      <c r="J716" s="40">
        <f>IFERROR(__xludf.DUMMYFUNCTION("IMPORTRANGE(""https://docs.google.com/spreadsheets/d/1WJJVq25XDtGjt-J2JPxeKs3jIvDZtkIREC0lFPXwf74/edit"",""27!e42"")"),1589.0)</f>
        <v>1589</v>
      </c>
      <c r="K716" s="40">
        <f>IFERROR(__xludf.DUMMYFUNCTION("IMPORTRANGE(""https://docs.google.com/spreadsheets/d/1WJJVq25XDtGjt-J2JPxeKs3jIvDZtkIREC0lFPXwf74/edit"",""27!e43"")"),0.0)</f>
        <v>0</v>
      </c>
      <c r="L716" s="40">
        <f t="shared" ref="L716:L725" si="1995">SUM(J716:K716)</f>
        <v>1589</v>
      </c>
      <c r="M716" s="40">
        <f t="shared" si="1967"/>
        <v>3836</v>
      </c>
      <c r="N716" s="41">
        <f t="shared" si="1968"/>
        <v>198.3510345</v>
      </c>
      <c r="O716" s="38">
        <v>4796.0</v>
      </c>
      <c r="P716" s="42">
        <f t="shared" si="1969"/>
        <v>0.7998331943</v>
      </c>
      <c r="Q716" s="43">
        <v>1.5</v>
      </c>
      <c r="R716" s="42">
        <f t="shared" si="1970"/>
        <v>0.4445850675</v>
      </c>
      <c r="S716" s="44">
        <f t="shared" si="1971"/>
        <v>0.6668776012</v>
      </c>
      <c r="T716" s="43">
        <f>F716/37.414</f>
        <v>153.744053</v>
      </c>
      <c r="U716" s="43">
        <f t="shared" si="1972"/>
        <v>5.30151907</v>
      </c>
      <c r="V716" s="40">
        <f t="shared" si="1973"/>
        <v>132.2758621</v>
      </c>
      <c r="X716" s="22">
        <v>3.0</v>
      </c>
      <c r="Y716" s="22" t="s">
        <v>34</v>
      </c>
      <c r="Z716" s="22">
        <f t="shared" ref="Z716:AI716" si="1993">SUM(D712)</f>
        <v>40</v>
      </c>
      <c r="AA716" s="23">
        <f t="shared" si="1993"/>
        <v>39</v>
      </c>
      <c r="AB716" s="24">
        <f t="shared" si="1993"/>
        <v>7795.425</v>
      </c>
      <c r="AC716" s="23">
        <f t="shared" si="1993"/>
        <v>3289</v>
      </c>
      <c r="AD716" s="23">
        <f t="shared" si="1993"/>
        <v>0</v>
      </c>
      <c r="AE716" s="23">
        <f t="shared" si="1993"/>
        <v>3289</v>
      </c>
      <c r="AF716" s="23">
        <f t="shared" si="1993"/>
        <v>3438</v>
      </c>
      <c r="AG716" s="23">
        <f t="shared" si="1993"/>
        <v>0</v>
      </c>
      <c r="AH716" s="23">
        <f t="shared" si="1993"/>
        <v>3438</v>
      </c>
      <c r="AI716" s="23">
        <f t="shared" si="1993"/>
        <v>6727</v>
      </c>
      <c r="AJ716" s="25">
        <f t="shared" si="1985"/>
        <v>199.8826923</v>
      </c>
      <c r="AK716" s="22">
        <f>SUM(O712)</f>
        <v>9354</v>
      </c>
      <c r="AL716" s="26">
        <f t="shared" si="1987"/>
        <v>0.7191575796</v>
      </c>
      <c r="AM716" s="27">
        <f>SUM(Q712)</f>
        <v>1.5</v>
      </c>
      <c r="AN716" s="26">
        <f t="shared" si="1989"/>
        <v>0.5752946974</v>
      </c>
      <c r="AO716" s="28">
        <f t="shared" si="1990"/>
        <v>0.8629420461</v>
      </c>
      <c r="AP716" s="27">
        <f t="shared" ref="AP716:AQ716" si="1994">SUM(T712)</f>
        <v>253.8151597</v>
      </c>
      <c r="AQ716" s="27">
        <f t="shared" si="1994"/>
        <v>6.508081018</v>
      </c>
      <c r="AR716" s="23">
        <f t="shared" si="1992"/>
        <v>172.4871795</v>
      </c>
    </row>
    <row r="717" ht="15.75" customHeight="1">
      <c r="A717" s="21"/>
      <c r="B717" s="38">
        <v>10.0</v>
      </c>
      <c r="C717" s="38" t="s">
        <v>37</v>
      </c>
      <c r="D717" s="39">
        <v>30.0</v>
      </c>
      <c r="E717" s="40">
        <f>IFERROR(__xludf.DUMMYFUNCTION("COUNT(IMPORTRANGE(""https://docs.google.com/spreadsheets/d/1rJyYfywRpWJW0zvDJHLOJtqUQqffoCGaqTVxxTDgV0k/edit"",""27!d2:d31""))"),30.0)</f>
        <v>30</v>
      </c>
      <c r="F717" s="45">
        <f>IFERROR(__xludf.DUMMYFUNCTION("SUM(IMPORTRANGE(""https://docs.google.com/spreadsheets/d/1rJyYfywRpWJW0zvDJHLOJtqUQqffoCGaqTVxxTDgV0k/edit"",""27!Q2:Q31""))"),5663.436000000003)</f>
        <v>5663.436</v>
      </c>
      <c r="G717" s="40">
        <f>IFERROR(__xludf.DUMMYFUNCTION("(IMPORTRANGE(""https://docs.google.com/spreadsheets/d/1rJyYfywRpWJW0zvDJHLOJtqUQqffoCGaqTVxxTDgV0k/edit"",""27!e38""))"),2218.0)</f>
        <v>2218</v>
      </c>
      <c r="H717" s="40">
        <f>IFERROR(__xludf.DUMMYFUNCTION("(IMPORTRANGE(""https://docs.google.com/spreadsheets/d/1rJyYfywRpWJW0zvDJHLOJtqUQqffoCGaqTVxxTDgV0k/edit"",""27!e39""))"),0.0)</f>
        <v>0</v>
      </c>
      <c r="I717" s="40">
        <f t="shared" si="1965"/>
        <v>2218</v>
      </c>
      <c r="J717" s="40">
        <f>IFERROR(__xludf.DUMMYFUNCTION("(IMPORTRANGE(""https://docs.google.com/spreadsheets/d/1rJyYfywRpWJW0zvDJHLOJtqUQqffoCGaqTVxxTDgV0k/edit"",""27!e42""))"),3001.0)</f>
        <v>3001</v>
      </c>
      <c r="K717" s="40">
        <f>IFERROR(__xludf.DUMMYFUNCTION("(IMPORTRANGE(""https://docs.google.com/spreadsheets/d/1rJyYfywRpWJW0zvDJHLOJtqUQqffoCGaqTVxxTDgV0k/edit"",""27!e43""))"),0.0)</f>
        <v>0</v>
      </c>
      <c r="L717" s="40">
        <f t="shared" si="1995"/>
        <v>3001</v>
      </c>
      <c r="M717" s="40">
        <f t="shared" si="1967"/>
        <v>5219</v>
      </c>
      <c r="N717" s="41">
        <f t="shared" si="1968"/>
        <v>188.7812</v>
      </c>
      <c r="O717" s="38">
        <v>5887.0</v>
      </c>
      <c r="P717" s="42">
        <f t="shared" si="1969"/>
        <v>0.8865296416</v>
      </c>
      <c r="Q717" s="43">
        <v>1.5</v>
      </c>
      <c r="R717" s="42">
        <f t="shared" si="1970"/>
        <v>0.6143502519</v>
      </c>
      <c r="S717" s="44">
        <f t="shared" si="1971"/>
        <v>0.9215253779</v>
      </c>
      <c r="T717" s="43">
        <f>F717/24.792</f>
        <v>228.4380445</v>
      </c>
      <c r="U717" s="43">
        <f t="shared" si="1972"/>
        <v>7.614601484</v>
      </c>
      <c r="V717" s="40">
        <f t="shared" si="1973"/>
        <v>173.9666667</v>
      </c>
      <c r="X717" s="31">
        <v>4.0</v>
      </c>
      <c r="Y717" s="31" t="s">
        <v>38</v>
      </c>
      <c r="Z717" s="31">
        <f t="shared" ref="Z717:AI717" si="1996">SUM(D720)</f>
        <v>30</v>
      </c>
      <c r="AA717" s="32">
        <f t="shared" si="1996"/>
        <v>30</v>
      </c>
      <c r="AB717" s="33">
        <f t="shared" si="1996"/>
        <v>6470.216</v>
      </c>
      <c r="AC717" s="32">
        <f t="shared" si="1996"/>
        <v>2264</v>
      </c>
      <c r="AD717" s="32">
        <f t="shared" si="1996"/>
        <v>0</v>
      </c>
      <c r="AE717" s="32">
        <f t="shared" si="1996"/>
        <v>2264</v>
      </c>
      <c r="AF717" s="32">
        <f t="shared" si="1996"/>
        <v>3072</v>
      </c>
      <c r="AG717" s="32">
        <f t="shared" si="1996"/>
        <v>372</v>
      </c>
      <c r="AH717" s="32">
        <f t="shared" si="1996"/>
        <v>3444</v>
      </c>
      <c r="AI717" s="32">
        <f t="shared" si="1996"/>
        <v>5708</v>
      </c>
      <c r="AJ717" s="34">
        <f t="shared" si="1985"/>
        <v>215.6738667</v>
      </c>
      <c r="AK717" s="31">
        <v>7324.0</v>
      </c>
      <c r="AL717" s="35">
        <f t="shared" si="1987"/>
        <v>0.7793555434</v>
      </c>
      <c r="AM717" s="36">
        <f>SUM(Q720)</f>
        <v>1.5</v>
      </c>
      <c r="AN717" s="35">
        <f t="shared" si="1989"/>
        <v>0.5881308033</v>
      </c>
      <c r="AO717" s="37">
        <f t="shared" si="1990"/>
        <v>0.8821962049</v>
      </c>
      <c r="AP717" s="36">
        <f t="shared" ref="AP717:AQ717" si="1997">SUM(T720)</f>
        <v>157.0250212</v>
      </c>
      <c r="AQ717" s="36">
        <f t="shared" si="1997"/>
        <v>5.234167375</v>
      </c>
      <c r="AR717" s="32">
        <f t="shared" si="1992"/>
        <v>190.2666667</v>
      </c>
    </row>
    <row r="718" ht="15.75" customHeight="1">
      <c r="A718" s="21"/>
      <c r="B718" s="38">
        <v>12.0</v>
      </c>
      <c r="C718" s="38" t="s">
        <v>39</v>
      </c>
      <c r="D718" s="39">
        <v>28.0</v>
      </c>
      <c r="E718" s="40">
        <f>IFERROR(__xludf.DUMMYFUNCTION("COUNT(IMPORTRANGE(""https://docs.google.com/spreadsheets/d/1uaTn2DZCfr7O1PvovOd0wElzVz8kpl_iPfnrkNPp0Is/edit"",""27!d2:d29""))"),28.0)</f>
        <v>28</v>
      </c>
      <c r="F718" s="45">
        <f>IFERROR(__xludf.DUMMYFUNCTION("SUM(IMPORTRANGE(""https://docs.google.com/spreadsheets/d/1uaTn2DZCfr7O1PvovOd0wElzVz8kpl_iPfnrkNPp0Is/edit"",""27!Q2:Q29""))"),5468.7000000000035)</f>
        <v>5468.7</v>
      </c>
      <c r="G718" s="40">
        <f>IFERROR(__xludf.DUMMYFUNCTION("IMPORTRANGE(""https://docs.google.com/spreadsheets/d/1uaTn2DZCfr7O1PvovOd0wElzVz8kpl_iPfnrkNPp0Is/edit"",""27!e36"")"),1195.0)</f>
        <v>1195</v>
      </c>
      <c r="H718" s="40">
        <f>IFERROR(__xludf.DUMMYFUNCTION("(IMPORTRANGE(""https://docs.google.com/spreadsheets/d/1uaTn2DZCfr7O1PvovOd0wElzVz8kpl_iPfnrkNPp0Is/edit"",""27!e37""))"),0.0)</f>
        <v>0</v>
      </c>
      <c r="I718" s="40">
        <f t="shared" si="1965"/>
        <v>1195</v>
      </c>
      <c r="J718" s="40">
        <f>IFERROR(__xludf.DUMMYFUNCTION("IMPORTRANGE(""https://docs.google.com/spreadsheets/d/1uaTn2DZCfr7O1PvovOd0wElzVz8kpl_iPfnrkNPp0Is/edit"",""27!e40"")"),1602.0)</f>
        <v>1602</v>
      </c>
      <c r="K718" s="40">
        <f>IFERROR(__xludf.DUMMYFUNCTION("IMPORTRANGE(""https://docs.google.com/spreadsheets/d/1uaTn2DZCfr7O1PvovOd0wElzVz8kpl_iPfnrkNPp0Is/edit"",""27!e41"")"),228.0)</f>
        <v>228</v>
      </c>
      <c r="L718" s="40">
        <f t="shared" si="1995"/>
        <v>1830</v>
      </c>
      <c r="M718" s="40">
        <f t="shared" si="1967"/>
        <v>3025</v>
      </c>
      <c r="N718" s="41">
        <f t="shared" si="1968"/>
        <v>195.3107143</v>
      </c>
      <c r="O718" s="38">
        <v>3569.0</v>
      </c>
      <c r="P718" s="42">
        <f t="shared" si="1969"/>
        <v>0.8475763519</v>
      </c>
      <c r="Q718" s="43">
        <v>1.5</v>
      </c>
      <c r="R718" s="42">
        <f t="shared" si="1970"/>
        <v>0.3687652763</v>
      </c>
      <c r="S718" s="44">
        <f t="shared" si="1971"/>
        <v>0.5531479145</v>
      </c>
      <c r="T718" s="43">
        <f>F718/21.463</f>
        <v>254.7966268</v>
      </c>
      <c r="U718" s="43">
        <f t="shared" si="1972"/>
        <v>9.099879527</v>
      </c>
      <c r="V718" s="40">
        <f t="shared" si="1973"/>
        <v>108.0357143</v>
      </c>
      <c r="X718" s="31">
        <v>5.0</v>
      </c>
      <c r="Y718" s="31" t="s">
        <v>40</v>
      </c>
      <c r="Z718" s="31">
        <f t="shared" ref="Z718:AI718" si="1998">SUM(D722)</f>
        <v>30</v>
      </c>
      <c r="AA718" s="32">
        <f t="shared" si="1998"/>
        <v>30</v>
      </c>
      <c r="AB718" s="33">
        <f t="shared" si="1998"/>
        <v>5830.815</v>
      </c>
      <c r="AC718" s="32">
        <f t="shared" si="1998"/>
        <v>3577</v>
      </c>
      <c r="AD718" s="32">
        <f t="shared" si="1998"/>
        <v>0</v>
      </c>
      <c r="AE718" s="32">
        <f t="shared" si="1998"/>
        <v>3577</v>
      </c>
      <c r="AF718" s="32">
        <f t="shared" si="1998"/>
        <v>3911</v>
      </c>
      <c r="AG718" s="32">
        <f t="shared" si="1998"/>
        <v>0</v>
      </c>
      <c r="AH718" s="32">
        <f t="shared" si="1998"/>
        <v>3911</v>
      </c>
      <c r="AI718" s="32">
        <f t="shared" si="1998"/>
        <v>7488</v>
      </c>
      <c r="AJ718" s="34">
        <f t="shared" si="1985"/>
        <v>194.3605</v>
      </c>
      <c r="AK718" s="31">
        <f t="shared" ref="AK718:AK719" si="2001">SUM(O722)</f>
        <v>8239</v>
      </c>
      <c r="AL718" s="35">
        <f t="shared" si="1987"/>
        <v>0.9088481612</v>
      </c>
      <c r="AM718" s="36">
        <f t="shared" ref="AM718:AM719" si="2002">SUM(Q722)</f>
        <v>1.5</v>
      </c>
      <c r="AN718" s="35">
        <f t="shared" si="1989"/>
        <v>0.8561410369</v>
      </c>
      <c r="AO718" s="37">
        <f t="shared" si="1990"/>
        <v>1.284211555</v>
      </c>
      <c r="AP718" s="36">
        <f t="shared" ref="AP718:AQ718" si="1999">SUM(T722)</f>
        <v>205</v>
      </c>
      <c r="AQ718" s="36">
        <f t="shared" si="1999"/>
        <v>6.833333333</v>
      </c>
      <c r="AR718" s="32">
        <f t="shared" si="1992"/>
        <v>249.6</v>
      </c>
    </row>
    <row r="719" ht="15.75" customHeight="1">
      <c r="A719" s="21"/>
      <c r="B719" s="38">
        <v>12.0</v>
      </c>
      <c r="C719" s="38" t="s">
        <v>41</v>
      </c>
      <c r="D719" s="39">
        <v>24.0</v>
      </c>
      <c r="E719" s="40">
        <f>IFERROR(__xludf.DUMMYFUNCTION("COUNT(IMPORTRANGE(""https://docs.google.com/spreadsheets/d/1oYscvfOJW7GMkxt8QcupWuzb3ohaYePd3Mt2V2ufHok/edit"",""27!d2:d25""))"),24.0)</f>
        <v>24</v>
      </c>
      <c r="F719" s="45">
        <f>IFERROR(__xludf.DUMMYFUNCTION("SUM(IMPORTRANGE(""https://docs.google.com/spreadsheets/d/1oYscvfOJW7GMkxt8QcupWuzb3ohaYePd3Mt2V2ufHok/edit"",""27!Q2:Q25""))"),4793.152000000001)</f>
        <v>4793.152</v>
      </c>
      <c r="G719" s="40">
        <f>IFERROR(__xludf.DUMMYFUNCTION("IMPORTRANGE(""https://docs.google.com/spreadsheets/d/1oYscvfOJW7GMkxt8QcupWuzb3ohaYePd3Mt2V2ufHok/edit"",""27!e32"")"),1051.0)</f>
        <v>1051</v>
      </c>
      <c r="H719" s="40">
        <f>IFERROR(__xludf.DUMMYFUNCTION("IMPORTRANGE(""https://docs.google.com/spreadsheets/d/1oYscvfOJW7GMkxt8QcupWuzb3ohaYePd3Mt2V2ufHok/edit"",""27!e33"")"),34.0)</f>
        <v>34</v>
      </c>
      <c r="I719" s="40">
        <f t="shared" si="1965"/>
        <v>1085</v>
      </c>
      <c r="J719" s="40">
        <f>IFERROR(__xludf.DUMMYFUNCTION("IMPORTRANGE(""https://docs.google.com/spreadsheets/d/1oYscvfOJW7GMkxt8QcupWuzb3ohaYePd3Mt2V2ufHok/edit"",""27!e36"")"),1211.0)</f>
        <v>1211</v>
      </c>
      <c r="K719" s="40">
        <f>IFERROR(__xludf.DUMMYFUNCTION("IMPORTRANGE(""https://docs.google.com/spreadsheets/d/1oYscvfOJW7GMkxt8QcupWuzb3ohaYePd3Mt2V2ufHok/edit"",""27!e37"")"),471.0)</f>
        <v>471</v>
      </c>
      <c r="L719" s="40">
        <f t="shared" si="1995"/>
        <v>1682</v>
      </c>
      <c r="M719" s="40">
        <f t="shared" si="1967"/>
        <v>2767</v>
      </c>
      <c r="N719" s="41">
        <f t="shared" si="1968"/>
        <v>199.7146667</v>
      </c>
      <c r="O719" s="38">
        <v>3801.0</v>
      </c>
      <c r="P719" s="42">
        <f t="shared" si="1969"/>
        <v>0.7279663247</v>
      </c>
      <c r="Q719" s="43">
        <v>1.5</v>
      </c>
      <c r="R719" s="42">
        <f t="shared" si="1970"/>
        <v>0.3848546148</v>
      </c>
      <c r="S719" s="44">
        <f t="shared" si="1971"/>
        <v>0.5772819222</v>
      </c>
      <c r="T719" s="43">
        <f>F719/29.628</f>
        <v>161.7777778</v>
      </c>
      <c r="U719" s="43">
        <f t="shared" si="1972"/>
        <v>6.740740741</v>
      </c>
      <c r="V719" s="40">
        <f t="shared" si="1973"/>
        <v>115.2916667</v>
      </c>
      <c r="X719" s="22">
        <v>6.0</v>
      </c>
      <c r="Y719" s="22" t="s">
        <v>42</v>
      </c>
      <c r="Z719" s="22">
        <f t="shared" ref="Z719:AI719" si="2000">SUM(D723)</f>
        <v>33</v>
      </c>
      <c r="AA719" s="23">
        <f t="shared" si="2000"/>
        <v>32</v>
      </c>
      <c r="AB719" s="24">
        <f t="shared" si="2000"/>
        <v>6178.735</v>
      </c>
      <c r="AC719" s="23">
        <f t="shared" si="2000"/>
        <v>3403</v>
      </c>
      <c r="AD719" s="23">
        <f t="shared" si="2000"/>
        <v>0</v>
      </c>
      <c r="AE719" s="23">
        <f t="shared" si="2000"/>
        <v>3403</v>
      </c>
      <c r="AF719" s="23">
        <f t="shared" si="2000"/>
        <v>4381</v>
      </c>
      <c r="AG719" s="23">
        <f t="shared" si="2000"/>
        <v>0</v>
      </c>
      <c r="AH719" s="23">
        <f t="shared" si="2000"/>
        <v>4381</v>
      </c>
      <c r="AI719" s="23">
        <f t="shared" si="2000"/>
        <v>7784</v>
      </c>
      <c r="AJ719" s="25">
        <f t="shared" si="1985"/>
        <v>193.0854688</v>
      </c>
      <c r="AK719" s="22">
        <f t="shared" si="2001"/>
        <v>9877</v>
      </c>
      <c r="AL719" s="26">
        <f t="shared" si="1987"/>
        <v>0.7880935507</v>
      </c>
      <c r="AM719" s="27">
        <f t="shared" si="2002"/>
        <v>1.5</v>
      </c>
      <c r="AN719" s="26">
        <f t="shared" si="1989"/>
        <v>0.8398698655</v>
      </c>
      <c r="AO719" s="28">
        <f t="shared" si="1990"/>
        <v>1.259804798</v>
      </c>
      <c r="AP719" s="27">
        <f t="shared" ref="AP719:AQ719" si="2003">SUM(T723)</f>
        <v>236.2353279</v>
      </c>
      <c r="AQ719" s="27">
        <f t="shared" si="2003"/>
        <v>7.382353995</v>
      </c>
      <c r="AR719" s="23">
        <f t="shared" si="1992"/>
        <v>243.25</v>
      </c>
    </row>
    <row r="720" ht="15.75" customHeight="1">
      <c r="A720" s="21"/>
      <c r="B720" s="38">
        <v>13.0</v>
      </c>
      <c r="C720" s="38" t="s">
        <v>43</v>
      </c>
      <c r="D720" s="39">
        <v>30.0</v>
      </c>
      <c r="E720" s="40">
        <f>IFERROR(__xludf.DUMMYFUNCTION("COUNT(IMPORTRANGE(""https://docs.google.com/spreadsheets/d/1AxBmuQEdOYAeRnZ4C8vO6kuTNp7X_SGhpLXuY0n4ln4/edit"",""27!d2:d31""))"),30.0)</f>
        <v>30</v>
      </c>
      <c r="F720" s="45">
        <f>IFERROR(__xludf.DUMMYFUNCTION("SUM(IMPORTRANGE(""https://docs.google.com/spreadsheets/d/1AxBmuQEdOYAeRnZ4C8vO6kuTNp7X_SGhpLXuY0n4ln4/edit"",""27!Q2:Q31""))"),6470.216)</f>
        <v>6470.216</v>
      </c>
      <c r="G720" s="40">
        <f>IFERROR(__xludf.DUMMYFUNCTION("IMPORTRANGE(""https://docs.google.com/spreadsheets/d/1AxBmuQEdOYAeRnZ4C8vO6kuTNp7X_SGhpLXuY0n4ln4/edit"",""27!e38"")"),2264.0)</f>
        <v>2264</v>
      </c>
      <c r="H720" s="40">
        <f>IFERROR(__xludf.DUMMYFUNCTION("IMPORTRANGE(""https://docs.google.com/spreadsheets/d/1AxBmuQEdOYAeRnZ4C8vO6kuTNp7X_SGhpLXuY0n4ln4/edit"",""27!e39"")"),0.0)</f>
        <v>0</v>
      </c>
      <c r="I720" s="40">
        <f t="shared" si="1965"/>
        <v>2264</v>
      </c>
      <c r="J720" s="40">
        <f>IFERROR(__xludf.DUMMYFUNCTION("IMPORTRANGE(""https://docs.google.com/spreadsheets/d/1AxBmuQEdOYAeRnZ4C8vO6kuTNp7X_SGhpLXuY0n4ln4/edit"",""27!e42"")"),3072.0)</f>
        <v>3072</v>
      </c>
      <c r="K720" s="40">
        <f>IFERROR(__xludf.DUMMYFUNCTION("IMPORTRANGE(""https://docs.google.com/spreadsheets/d/1AxBmuQEdOYAeRnZ4C8vO6kuTNp7X_SGhpLXuY0n4ln4/edit"",""27!e43"")"),372.0)</f>
        <v>372</v>
      </c>
      <c r="L720" s="40">
        <f t="shared" si="1995"/>
        <v>3444</v>
      </c>
      <c r="M720" s="40">
        <f t="shared" si="1967"/>
        <v>5708</v>
      </c>
      <c r="N720" s="41">
        <f t="shared" si="1968"/>
        <v>215.6738667</v>
      </c>
      <c r="O720" s="38">
        <v>8345.0</v>
      </c>
      <c r="P720" s="42">
        <f t="shared" si="1969"/>
        <v>0.6840023966</v>
      </c>
      <c r="Q720" s="43">
        <v>1.5</v>
      </c>
      <c r="R720" s="42">
        <f t="shared" si="1970"/>
        <v>0.5881308033</v>
      </c>
      <c r="S720" s="44">
        <f t="shared" si="1971"/>
        <v>0.8821962049</v>
      </c>
      <c r="T720" s="43">
        <f>F720/41.205</f>
        <v>157.0250212</v>
      </c>
      <c r="U720" s="43">
        <f t="shared" si="1972"/>
        <v>5.234167375</v>
      </c>
      <c r="V720" s="40">
        <f t="shared" si="1973"/>
        <v>190.2666667</v>
      </c>
      <c r="X720" s="46" t="s">
        <v>33</v>
      </c>
      <c r="Y720" s="46">
        <v>6.0</v>
      </c>
      <c r="Z720" s="46">
        <f t="shared" ref="Z720:AI720" si="2004">SUM(Z714:Z719)</f>
        <v>226</v>
      </c>
      <c r="AA720" s="47">
        <f t="shared" si="2004"/>
        <v>222</v>
      </c>
      <c r="AB720" s="49">
        <f t="shared" si="2004"/>
        <v>44117.913</v>
      </c>
      <c r="AC720" s="47">
        <f t="shared" si="2004"/>
        <v>18873</v>
      </c>
      <c r="AD720" s="47">
        <f t="shared" si="2004"/>
        <v>154</v>
      </c>
      <c r="AE720" s="47">
        <f t="shared" si="2004"/>
        <v>19027</v>
      </c>
      <c r="AF720" s="47">
        <f t="shared" si="2004"/>
        <v>23571</v>
      </c>
      <c r="AG720" s="47">
        <f t="shared" si="2004"/>
        <v>529</v>
      </c>
      <c r="AH720" s="47">
        <f t="shared" si="2004"/>
        <v>24100</v>
      </c>
      <c r="AI720" s="47">
        <f t="shared" si="2004"/>
        <v>43127</v>
      </c>
      <c r="AJ720" s="49">
        <f t="shared" si="1985"/>
        <v>198.7293378</v>
      </c>
      <c r="AK720" s="46">
        <f>SUM(AK714:AK719)</f>
        <v>53273</v>
      </c>
      <c r="AL720" s="50">
        <f t="shared" si="1987"/>
        <v>0.8095470501</v>
      </c>
      <c r="AM720" s="51">
        <v>1.5</v>
      </c>
      <c r="AN720" s="50">
        <f t="shared" si="1989"/>
        <v>0.6516929605</v>
      </c>
      <c r="AO720" s="52">
        <f t="shared" si="1990"/>
        <v>0.9775394407</v>
      </c>
      <c r="AP720" s="51">
        <f>SUM(AP714:AP719)</f>
        <v>1445.636266</v>
      </c>
      <c r="AQ720" s="51">
        <f>AP720/AA720</f>
        <v>6.511875072</v>
      </c>
      <c r="AR720" s="47">
        <f t="shared" si="1992"/>
        <v>194.2657658</v>
      </c>
    </row>
    <row r="721" ht="15.75" customHeight="1">
      <c r="A721" s="21"/>
      <c r="B721" s="38">
        <v>14.0</v>
      </c>
      <c r="C721" s="38" t="s">
        <v>27</v>
      </c>
      <c r="D721" s="39">
        <v>30.0</v>
      </c>
      <c r="E721" s="40">
        <f>IFERROR(__xludf.DUMMYFUNCTION("COUNT(IMPORTRANGE(""https://docs.google.com/spreadsheets/d/1LsL4JuXvBtfJ-TVi4NFml9lV_pmd61b789A_nbO-QrA/edit"",""27!d2:d31""))"),28.0)</f>
        <v>28</v>
      </c>
      <c r="F721" s="45">
        <f>IFERROR(__xludf.DUMMYFUNCTION("SUM(IMPORTRANGE(""https://docs.google.com/spreadsheets/d/1LsL4JuXvBtfJ-TVi4NFml9lV_pmd61b789A_nbO-QrA/edit"",""27!Q2:Q31""))"),5471.783000000001)</f>
        <v>5471.783</v>
      </c>
      <c r="G721" s="40">
        <f>IFERROR(__xludf.DUMMYFUNCTION("IMPORTRANGE(""https://docs.google.com/spreadsheets/d/1LsL4JuXvBtfJ-TVi4NFml9lV_pmd61b789A_nbO-QrA/edit"",""27!e38"")"),2863.0)</f>
        <v>2863</v>
      </c>
      <c r="H721" s="40">
        <f>IFERROR(__xludf.DUMMYFUNCTION("IMPORTRANGE(""https://docs.google.com/spreadsheets/d/1LsL4JuXvBtfJ-TVi4NFml9lV_pmd61b789A_nbO-QrA/edit"",""27!e39"")"),0.0)</f>
        <v>0</v>
      </c>
      <c r="I721" s="40">
        <f t="shared" si="1965"/>
        <v>2863</v>
      </c>
      <c r="J721" s="40">
        <f>IFERROR(__xludf.DUMMYFUNCTION("IMPORTRANGE(""https://docs.google.com/spreadsheets/d/1LsL4JuXvBtfJ-TVi4NFml9lV_pmd61b789A_nbO-QrA/edit"",""27!e42"")"),3313.0)</f>
        <v>3313</v>
      </c>
      <c r="K721" s="40">
        <f>IFERROR(__xludf.DUMMYFUNCTION("IMPORTRANGE(""https://docs.google.com/spreadsheets/d/1LsL4JuXvBtfJ-TVi4NFml9lV_pmd61b789A_nbO-QrA/edit"",""27!e43"")"),0.0)</f>
        <v>0</v>
      </c>
      <c r="L721" s="40">
        <f t="shared" si="1995"/>
        <v>3313</v>
      </c>
      <c r="M721" s="40">
        <f t="shared" si="1967"/>
        <v>6176</v>
      </c>
      <c r="N721" s="41">
        <f t="shared" si="1968"/>
        <v>195.4208214</v>
      </c>
      <c r="O721" s="38">
        <v>8101.0</v>
      </c>
      <c r="P721" s="42">
        <f t="shared" si="1969"/>
        <v>0.7623750154</v>
      </c>
      <c r="Q721" s="43">
        <v>1.5</v>
      </c>
      <c r="R721" s="42">
        <f t="shared" si="1970"/>
        <v>0.7524664873</v>
      </c>
      <c r="S721" s="44">
        <f t="shared" si="1971"/>
        <v>1.128699731</v>
      </c>
      <c r="T721" s="43">
        <f>F721/19.985</f>
        <v>273.7944959</v>
      </c>
      <c r="U721" s="43">
        <f t="shared" si="1972"/>
        <v>9.778374853</v>
      </c>
      <c r="V721" s="40">
        <f t="shared" si="1973"/>
        <v>220.5714286</v>
      </c>
      <c r="X721" s="59" t="s">
        <v>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6"/>
    </row>
    <row r="722" ht="15.75" customHeight="1">
      <c r="A722" s="21"/>
      <c r="B722" s="38">
        <v>15.0</v>
      </c>
      <c r="C722" s="38" t="s">
        <v>40</v>
      </c>
      <c r="D722" s="39">
        <v>30.0</v>
      </c>
      <c r="E722" s="40">
        <f>IFERROR(__xludf.DUMMYFUNCTION("COUNT(IMPORTRANGE(""https://docs.google.com/spreadsheets/d/1Krav0MVlY0vbUNsFRDnb_kR72_tyuGnWBYbGjNZrl18/edit"",""27!d2:d31""))"),30.0)</f>
        <v>30</v>
      </c>
      <c r="F722" s="45">
        <f>IFERROR(__xludf.DUMMYFUNCTION("SUM(IMPORTRANGE(""https://docs.google.com/spreadsheets/d/1Krav0MVlY0vbUNsFRDnb_kR72_tyuGnWBYbGjNZrl18/edit"",""27!Q2:Q31""))"),5830.814999999998)</f>
        <v>5830.815</v>
      </c>
      <c r="G722" s="40">
        <f>IFERROR(__xludf.DUMMYFUNCTION("IMPORTRANGE(""https://docs.google.com/spreadsheets/d/1Krav0MVlY0vbUNsFRDnb_kR72_tyuGnWBYbGjNZrl18/edit"",""27!e38"")"),3577.0)</f>
        <v>3577</v>
      </c>
      <c r="H722" s="40">
        <f>IFERROR(__xludf.DUMMYFUNCTION("IMPORTRANGE(""https://docs.google.com/spreadsheets/d/1Krav0MVlY0vbUNsFRDnb_kR72_tyuGnWBYbGjNZrl18/edit"",""27!e39"")"),0.0)</f>
        <v>0</v>
      </c>
      <c r="I722" s="40">
        <f t="shared" si="1965"/>
        <v>3577</v>
      </c>
      <c r="J722" s="40">
        <f>IFERROR(__xludf.DUMMYFUNCTION("IMPORTRANGE(""https://docs.google.com/spreadsheets/d/1Krav0MVlY0vbUNsFRDnb_kR72_tyuGnWBYbGjNZrl18/edit"",""27!e42"")"),3911.0)</f>
        <v>3911</v>
      </c>
      <c r="K722" s="40">
        <f>IFERROR(__xludf.DUMMYFUNCTION("IMPORTRANGE(""https://docs.google.com/spreadsheets/d/1Krav0MVlY0vbUNsFRDnb_kR72_tyuGnWBYbGjNZrl18/edit"",""27!e43"")"),0.0)</f>
        <v>0</v>
      </c>
      <c r="L722" s="40">
        <f t="shared" si="1995"/>
        <v>3911</v>
      </c>
      <c r="M722" s="40">
        <f t="shared" si="1967"/>
        <v>7488</v>
      </c>
      <c r="N722" s="41">
        <f t="shared" si="1968"/>
        <v>194.3605</v>
      </c>
      <c r="O722" s="38">
        <v>8239.0</v>
      </c>
      <c r="P722" s="42">
        <f t="shared" si="1969"/>
        <v>0.9088481612</v>
      </c>
      <c r="Q722" s="43">
        <v>1.5</v>
      </c>
      <c r="R722" s="42">
        <f t="shared" si="1970"/>
        <v>0.8561410369</v>
      </c>
      <c r="S722" s="44">
        <f t="shared" si="1971"/>
        <v>1.284211555</v>
      </c>
      <c r="T722" s="43">
        <f>F722/28.443</f>
        <v>205</v>
      </c>
      <c r="U722" s="43">
        <f t="shared" si="1972"/>
        <v>6.833333333</v>
      </c>
      <c r="V722" s="40">
        <f t="shared" si="1973"/>
        <v>249.6</v>
      </c>
      <c r="X722" s="14" t="s">
        <v>2</v>
      </c>
      <c r="Y722" s="14" t="s">
        <v>3</v>
      </c>
      <c r="Z722" s="14" t="s">
        <v>4</v>
      </c>
      <c r="AA722" s="14" t="s">
        <v>5</v>
      </c>
      <c r="AB722" s="15" t="s">
        <v>6</v>
      </c>
      <c r="AC722" s="14" t="s">
        <v>7</v>
      </c>
      <c r="AD722" s="14" t="s">
        <v>8</v>
      </c>
      <c r="AE722" s="14" t="s">
        <v>9</v>
      </c>
      <c r="AF722" s="14" t="s">
        <v>10</v>
      </c>
      <c r="AG722" s="14" t="s">
        <v>11</v>
      </c>
      <c r="AH722" s="14" t="s">
        <v>12</v>
      </c>
      <c r="AI722" s="14" t="s">
        <v>13</v>
      </c>
      <c r="AJ722" s="15" t="s">
        <v>14</v>
      </c>
      <c r="AK722" s="14" t="s">
        <v>15</v>
      </c>
      <c r="AL722" s="14" t="s">
        <v>16</v>
      </c>
      <c r="AM722" s="16" t="s">
        <v>17</v>
      </c>
      <c r="AN722" s="17" t="s">
        <v>18</v>
      </c>
      <c r="AO722" s="18" t="s">
        <v>19</v>
      </c>
      <c r="AP722" s="19" t="s">
        <v>20</v>
      </c>
      <c r="AQ722" s="19" t="s">
        <v>21</v>
      </c>
      <c r="AR722" s="20" t="s">
        <v>22</v>
      </c>
    </row>
    <row r="723" ht="15.75" customHeight="1">
      <c r="A723" s="21"/>
      <c r="B723" s="38">
        <v>16.0</v>
      </c>
      <c r="C723" s="38" t="s">
        <v>42</v>
      </c>
      <c r="D723" s="39">
        <v>33.0</v>
      </c>
      <c r="E723" s="40">
        <f>IFERROR(__xludf.DUMMYFUNCTION("COUNT(IMPORTRANGE(""https://docs.google.com/spreadsheets/d/1uXtm-E8PG0CetlFmSpTX3RK0LNEMnpR-mxbET9AGD6w/edit"",""27!d2:d34""))"),32.0)</f>
        <v>32</v>
      </c>
      <c r="F723" s="45">
        <f>IFERROR(__xludf.DUMMYFUNCTION("SUM(IMPORTRANGE(""https://docs.google.com/spreadsheets/d/1uXtm-E8PG0CetlFmSpTX3RK0LNEMnpR-mxbET9AGD6w/edit"",""27!Q2:Q34""))"),6178.734999999998)</f>
        <v>6178.735</v>
      </c>
      <c r="G723" s="40">
        <f>IFERROR(__xludf.DUMMYFUNCTION("IMPORTRANGE(""https://docs.google.com/spreadsheets/d/1uXtm-E8PG0CetlFmSpTX3RK0LNEMnpR-mxbET9AGD6w/edit"",""27!e41"")"),3403.0)</f>
        <v>3403</v>
      </c>
      <c r="H723" s="40">
        <f>IFERROR(__xludf.DUMMYFUNCTION("IMPORTRANGE(""https://docs.google.com/spreadsheets/d/1uXtm-E8PG0CetlFmSpTX3RK0LNEMnpR-mxbET9AGD6w/edit"",""27!e42"")"),0.0)</f>
        <v>0</v>
      </c>
      <c r="I723" s="40">
        <f t="shared" si="1965"/>
        <v>3403</v>
      </c>
      <c r="J723" s="40">
        <f>IFERROR(__xludf.DUMMYFUNCTION("IMPORTRANGE(""https://docs.google.com/spreadsheets/d/1uXtm-E8PG0CetlFmSpTX3RK0LNEMnpR-mxbET9AGD6w/edit"",""27!e45"")"),4381.0)</f>
        <v>4381</v>
      </c>
      <c r="K723" s="40">
        <f>IFERROR(__xludf.DUMMYFUNCTION("IMPORTRANGE(""https://docs.google.com/spreadsheets/d/1uXtm-E8PG0CetlFmSpTX3RK0LNEMnpR-mxbET9AGD6w/edit"",""27!e46"")"),0.0)</f>
        <v>0</v>
      </c>
      <c r="L723" s="40">
        <f t="shared" si="1995"/>
        <v>4381</v>
      </c>
      <c r="M723" s="40">
        <f t="shared" si="1967"/>
        <v>7784</v>
      </c>
      <c r="N723" s="41">
        <f t="shared" si="1968"/>
        <v>193.0854688</v>
      </c>
      <c r="O723" s="38">
        <v>9877.0</v>
      </c>
      <c r="P723" s="42">
        <f t="shared" si="1969"/>
        <v>0.7880935507</v>
      </c>
      <c r="Q723" s="43">
        <v>1.5</v>
      </c>
      <c r="R723" s="42">
        <f t="shared" si="1970"/>
        <v>0.8398698655</v>
      </c>
      <c r="S723" s="44">
        <f t="shared" si="1971"/>
        <v>1.259804798</v>
      </c>
      <c r="T723" s="43">
        <f>F723/26.155</f>
        <v>236.2353279</v>
      </c>
      <c r="U723" s="43">
        <f t="shared" si="1972"/>
        <v>7.382353995</v>
      </c>
      <c r="V723" s="40">
        <f t="shared" si="1973"/>
        <v>243.25</v>
      </c>
      <c r="X723" s="31">
        <v>1.0</v>
      </c>
      <c r="Y723" s="31" t="s">
        <v>26</v>
      </c>
      <c r="Z723" s="31">
        <f t="shared" ref="Z723:AI723" si="2005">SUM(D708)</f>
        <v>20</v>
      </c>
      <c r="AA723" s="32">
        <f t="shared" si="2005"/>
        <v>20</v>
      </c>
      <c r="AB723" s="34">
        <f t="shared" si="2005"/>
        <v>3892.662</v>
      </c>
      <c r="AC723" s="32">
        <f t="shared" si="2005"/>
        <v>1908</v>
      </c>
      <c r="AD723" s="32">
        <f t="shared" si="2005"/>
        <v>0</v>
      </c>
      <c r="AE723" s="32">
        <f t="shared" si="2005"/>
        <v>1908</v>
      </c>
      <c r="AF723" s="32">
        <f t="shared" si="2005"/>
        <v>3288</v>
      </c>
      <c r="AG723" s="32">
        <f t="shared" si="2005"/>
        <v>0</v>
      </c>
      <c r="AH723" s="32">
        <f t="shared" si="2005"/>
        <v>3288</v>
      </c>
      <c r="AI723" s="32">
        <f t="shared" si="2005"/>
        <v>5196</v>
      </c>
      <c r="AJ723" s="34">
        <f t="shared" ref="AJ723:AJ729" si="2008">AB723/AA723</f>
        <v>194.6331</v>
      </c>
      <c r="AK723" s="31">
        <f>SUM(O708)</f>
        <v>5161</v>
      </c>
      <c r="AL723" s="67">
        <f t="shared" ref="AL723:AL729" si="2009">AI723/AK723</f>
        <v>1.006781631</v>
      </c>
      <c r="AM723" s="36">
        <f>SUM(Q708)</f>
        <v>1.5</v>
      </c>
      <c r="AN723" s="35">
        <f t="shared" ref="AN723:AN729" si="2010">AO723/AM723</f>
        <v>0.8898794707</v>
      </c>
      <c r="AO723" s="37">
        <f t="shared" ref="AO723:AO729" si="2011">AI723/AB723</f>
        <v>1.334819206</v>
      </c>
      <c r="AP723" s="36">
        <f t="shared" ref="AP723:AQ723" si="2006">SUM(T708)</f>
        <v>270.0424558</v>
      </c>
      <c r="AQ723" s="36">
        <f t="shared" si="2006"/>
        <v>13.50212279</v>
      </c>
      <c r="AR723" s="32">
        <f t="shared" ref="AR723:AR729" si="2013">AI723/AA723</f>
        <v>259.8</v>
      </c>
    </row>
    <row r="724" ht="15.75" customHeight="1">
      <c r="A724" s="21"/>
      <c r="B724" s="38">
        <v>17.0</v>
      </c>
      <c r="C724" s="38" t="s">
        <v>29</v>
      </c>
      <c r="D724" s="39">
        <v>30.0</v>
      </c>
      <c r="E724" s="40">
        <f>IFERROR(__xludf.DUMMYFUNCTION("COUNT(IMPORTRANGE(""https://docs.google.com/spreadsheets/d/12xcKI0lSnAsjEsxfm9K8Qx0B_89Gzsh816mowItkQao/edit"",""27!d2:d31""))"),29.0)</f>
        <v>29</v>
      </c>
      <c r="F724" s="45">
        <f>IFERROR(__xludf.DUMMYFUNCTION("SUM(IMPORTRANGE(""https://docs.google.com/spreadsheets/d/12xcKI0lSnAsjEsxfm9K8Qx0B_89Gzsh816mowItkQao/edit"",""27!Q2:Q31""))"),5858.550000000001)</f>
        <v>5858.55</v>
      </c>
      <c r="G724" s="40">
        <f>IFERROR(__xludf.DUMMYFUNCTION("IMPORTRANGE(""https://docs.google.com/spreadsheets/d/12xcKI0lSnAsjEsxfm9K8Qx0B_89Gzsh816mowItkQao/edit"",""27!e38"")"),2924.0)</f>
        <v>2924</v>
      </c>
      <c r="H724" s="40">
        <f>IFERROR(__xludf.DUMMYFUNCTION("IMPORTRANGE(""https://docs.google.com/spreadsheets/d/12xcKI0lSnAsjEsxfm9K8Qx0B_89Gzsh816mowItkQao/edit"",""27!e39"")"),0.0)</f>
        <v>0</v>
      </c>
      <c r="I724" s="40">
        <f t="shared" si="1965"/>
        <v>2924</v>
      </c>
      <c r="J724" s="40">
        <f>IFERROR(__xludf.DUMMYFUNCTION("IMPORTRANGE(""https://docs.google.com/spreadsheets/d/12xcKI0lSnAsjEsxfm9K8Qx0B_89Gzsh816mowItkQao/edit"",""27!e42"")"),4368.0)</f>
        <v>4368</v>
      </c>
      <c r="K724" s="40">
        <f>IFERROR(__xludf.DUMMYFUNCTION("IMPORTRANGE(""https://docs.google.com/spreadsheets/d/12xcKI0lSnAsjEsxfm9K8Qx0B_89Gzsh816mowItkQao/edit"",""27!e43"")"),0.0)</f>
        <v>0</v>
      </c>
      <c r="L724" s="40">
        <f t="shared" si="1995"/>
        <v>4368</v>
      </c>
      <c r="M724" s="40">
        <f t="shared" si="1967"/>
        <v>7292</v>
      </c>
      <c r="N724" s="41">
        <f t="shared" si="1968"/>
        <v>202.0189655</v>
      </c>
      <c r="O724" s="38">
        <v>9201.0</v>
      </c>
      <c r="P724" s="42">
        <f t="shared" si="1969"/>
        <v>0.7925225519</v>
      </c>
      <c r="Q724" s="43">
        <v>1.5</v>
      </c>
      <c r="R724" s="42">
        <f t="shared" si="1970"/>
        <v>0.8297843892</v>
      </c>
      <c r="S724" s="44">
        <f t="shared" si="1971"/>
        <v>1.244676584</v>
      </c>
      <c r="T724" s="43">
        <f>F724/26.038</f>
        <v>225</v>
      </c>
      <c r="U724" s="43">
        <f t="shared" si="1972"/>
        <v>7.75862069</v>
      </c>
      <c r="V724" s="40">
        <f t="shared" si="1973"/>
        <v>251.4482759</v>
      </c>
      <c r="X724" s="31">
        <v>2.0</v>
      </c>
      <c r="Y724" s="31" t="s">
        <v>32</v>
      </c>
      <c r="Z724" s="31">
        <f t="shared" ref="Z724:AI724" si="2007">SUM(D711)</f>
        <v>42</v>
      </c>
      <c r="AA724" s="32">
        <f t="shared" si="2007"/>
        <v>42</v>
      </c>
      <c r="AB724" s="33">
        <f t="shared" si="2007"/>
        <v>8217.722</v>
      </c>
      <c r="AC724" s="31">
        <f t="shared" si="2007"/>
        <v>5070</v>
      </c>
      <c r="AD724" s="31">
        <f t="shared" si="2007"/>
        <v>40</v>
      </c>
      <c r="AE724" s="32">
        <f t="shared" si="2007"/>
        <v>5110</v>
      </c>
      <c r="AF724" s="31">
        <f t="shared" si="2007"/>
        <v>5978</v>
      </c>
      <c r="AG724" s="31">
        <f t="shared" si="2007"/>
        <v>0</v>
      </c>
      <c r="AH724" s="32">
        <f t="shared" si="2007"/>
        <v>5978</v>
      </c>
      <c r="AI724" s="32">
        <f t="shared" si="2007"/>
        <v>11088</v>
      </c>
      <c r="AJ724" s="34">
        <f t="shared" si="2008"/>
        <v>195.6600476</v>
      </c>
      <c r="AK724" s="31">
        <f>SUM(O711)</f>
        <v>13817</v>
      </c>
      <c r="AL724" s="35">
        <f t="shared" si="2009"/>
        <v>0.8024896866</v>
      </c>
      <c r="AM724" s="36">
        <f>SUM(Q711)</f>
        <v>1.5</v>
      </c>
      <c r="AN724" s="35">
        <f t="shared" si="2010"/>
        <v>0.8995193559</v>
      </c>
      <c r="AO724" s="37">
        <f t="shared" si="2011"/>
        <v>1.349279034</v>
      </c>
      <c r="AP724" s="36">
        <f t="shared" ref="AP724:AQ724" si="2012">SUM(T711)</f>
        <v>327.5428275</v>
      </c>
      <c r="AQ724" s="36">
        <f t="shared" si="2012"/>
        <v>7.798638751</v>
      </c>
      <c r="AR724" s="32">
        <f t="shared" si="2013"/>
        <v>264</v>
      </c>
    </row>
    <row r="725" ht="15.75" customHeight="1">
      <c r="A725" s="21"/>
      <c r="B725" s="38">
        <v>18.0</v>
      </c>
      <c r="C725" s="38" t="s">
        <v>31</v>
      </c>
      <c r="D725" s="39">
        <v>15.0</v>
      </c>
      <c r="E725" s="40">
        <f>IFERROR(__xludf.DUMMYFUNCTION("COUNT(IMPORTRANGE(""https://docs.google.com/spreadsheets/d/1fgCFOFzOla4Qim6_-zG-lbYhLCItqv_kZiAHoErRgcM/edit"",""27!d2:d16""))"),13.0)</f>
        <v>13</v>
      </c>
      <c r="F725" s="41">
        <f>IFERROR(__xludf.DUMMYFUNCTION("SUM(IMPORTRANGE(""https://docs.google.com/spreadsheets/d/1fgCFOFzOla4Qim6_-zG-lbYhLCItqv_kZiAHoErRgcM/edit"",""27!Q2:Q16""))"),2651.365)</f>
        <v>2651.365</v>
      </c>
      <c r="G725" s="40">
        <f>IFERROR(__xludf.DUMMYFUNCTION("IMPORTRANGE(""https://docs.google.com/spreadsheets/d/1fgCFOFzOla4Qim6_-zG-lbYhLCItqv_kZiAHoErRgcM/edit"",""27!e23"")"),892.0)</f>
        <v>892</v>
      </c>
      <c r="H725" s="40">
        <f>IFERROR(__xludf.DUMMYFUNCTION("IMPORTRANGE(""https://docs.google.com/spreadsheets/d/1fgCFOFzOla4Qim6_-zG-lbYhLCItqv_kZiAHoErRgcM/edit"",""27!e24"")"),15.0)</f>
        <v>15</v>
      </c>
      <c r="I725" s="40">
        <f t="shared" si="1965"/>
        <v>907</v>
      </c>
      <c r="J725" s="40">
        <f>IFERROR(__xludf.DUMMYFUNCTION("IMPORTRANGE(""https://docs.google.com/spreadsheets/d/1fgCFOFzOla4Qim6_-zG-lbYhLCItqv_kZiAHoErRgcM/edit"",""27!e27"")"),1084.0)</f>
        <v>1084</v>
      </c>
      <c r="K725" s="40">
        <f>IFERROR(__xludf.DUMMYFUNCTION("IMPORTRANGE(""https://docs.google.com/spreadsheets/d/1fgCFOFzOla4Qim6_-zG-lbYhLCItqv_kZiAHoErRgcM/edit"",""27!e28"")"),0.0)</f>
        <v>0</v>
      </c>
      <c r="L725" s="40">
        <f t="shared" si="1995"/>
        <v>1084</v>
      </c>
      <c r="M725" s="40">
        <f t="shared" si="1967"/>
        <v>1991</v>
      </c>
      <c r="N725" s="41">
        <f t="shared" si="1968"/>
        <v>203.9511538</v>
      </c>
      <c r="O725" s="38">
        <v>2717.0</v>
      </c>
      <c r="P725" s="42">
        <f t="shared" si="1969"/>
        <v>0.7327935223</v>
      </c>
      <c r="Q725" s="43">
        <v>1.5</v>
      </c>
      <c r="R725" s="42">
        <f t="shared" si="1970"/>
        <v>0.5006226353</v>
      </c>
      <c r="S725" s="44">
        <f t="shared" si="1971"/>
        <v>0.7509339529</v>
      </c>
      <c r="T725" s="43">
        <f>F725/43.465</f>
        <v>61</v>
      </c>
      <c r="U725" s="43">
        <f t="shared" si="1972"/>
        <v>4.692307692</v>
      </c>
      <c r="V725" s="40">
        <f t="shared" si="1973"/>
        <v>153.1538462</v>
      </c>
      <c r="X725" s="31">
        <v>3.0</v>
      </c>
      <c r="Y725" s="31" t="s">
        <v>36</v>
      </c>
      <c r="Z725" s="31">
        <f t="shared" ref="Z725:AI725" si="2014">SUM(D716)</f>
        <v>29</v>
      </c>
      <c r="AA725" s="32">
        <f t="shared" si="2014"/>
        <v>29</v>
      </c>
      <c r="AB725" s="33">
        <f t="shared" si="2014"/>
        <v>5752.18</v>
      </c>
      <c r="AC725" s="32">
        <f t="shared" si="2014"/>
        <v>2247</v>
      </c>
      <c r="AD725" s="32">
        <f t="shared" si="2014"/>
        <v>0</v>
      </c>
      <c r="AE725" s="32">
        <f t="shared" si="2014"/>
        <v>2247</v>
      </c>
      <c r="AF725" s="32">
        <f t="shared" si="2014"/>
        <v>1589</v>
      </c>
      <c r="AG725" s="32">
        <f t="shared" si="2014"/>
        <v>0</v>
      </c>
      <c r="AH725" s="32">
        <f t="shared" si="2014"/>
        <v>1589</v>
      </c>
      <c r="AI725" s="32">
        <f t="shared" si="2014"/>
        <v>3836</v>
      </c>
      <c r="AJ725" s="34">
        <f t="shared" si="2008"/>
        <v>198.3510345</v>
      </c>
      <c r="AK725" s="31">
        <f t="shared" ref="AK725:AK728" si="2018">SUM(O716)</f>
        <v>4796</v>
      </c>
      <c r="AL725" s="35">
        <f t="shared" si="2009"/>
        <v>0.7998331943</v>
      </c>
      <c r="AM725" s="36">
        <f t="shared" ref="AM725:AM728" si="2019">SUM(Q716)</f>
        <v>1.5</v>
      </c>
      <c r="AN725" s="35">
        <f t="shared" si="2010"/>
        <v>0.4445850675</v>
      </c>
      <c r="AO725" s="37">
        <f t="shared" si="2011"/>
        <v>0.6668776012</v>
      </c>
      <c r="AP725" s="36">
        <f t="shared" ref="AP725:AQ725" si="2015">SUM(T716)</f>
        <v>153.744053</v>
      </c>
      <c r="AQ725" s="36">
        <f t="shared" si="2015"/>
        <v>5.30151907</v>
      </c>
      <c r="AR725" s="32">
        <f t="shared" si="2013"/>
        <v>132.2758621</v>
      </c>
    </row>
    <row r="726" ht="15.75" customHeight="1">
      <c r="A726" s="21"/>
      <c r="B726" s="60" t="s">
        <v>33</v>
      </c>
      <c r="C726" s="60">
        <v>18.0</v>
      </c>
      <c r="D726" s="60">
        <f t="shared" ref="D726:M726" si="2016">SUM(D708:D725)</f>
        <v>585</v>
      </c>
      <c r="E726" s="61">
        <f t="shared" si="2016"/>
        <v>573</v>
      </c>
      <c r="F726" s="62">
        <f t="shared" si="2016"/>
        <v>112905.254</v>
      </c>
      <c r="G726" s="61">
        <f t="shared" si="2016"/>
        <v>44431</v>
      </c>
      <c r="H726" s="61">
        <f t="shared" si="2016"/>
        <v>772</v>
      </c>
      <c r="I726" s="61">
        <f t="shared" si="2016"/>
        <v>45203</v>
      </c>
      <c r="J726" s="61">
        <f t="shared" si="2016"/>
        <v>56686</v>
      </c>
      <c r="K726" s="61">
        <f t="shared" si="2016"/>
        <v>1602</v>
      </c>
      <c r="L726" s="61">
        <f t="shared" si="2016"/>
        <v>58288</v>
      </c>
      <c r="M726" s="61">
        <f t="shared" si="2016"/>
        <v>103491</v>
      </c>
      <c r="N726" s="62">
        <f t="shared" si="1968"/>
        <v>197.0423281</v>
      </c>
      <c r="O726" s="60">
        <f>SUM(O708:O725)</f>
        <v>126399</v>
      </c>
      <c r="P726" s="63">
        <f t="shared" si="1969"/>
        <v>0.818764389</v>
      </c>
      <c r="Q726" s="64">
        <v>1.5</v>
      </c>
      <c r="R726" s="63">
        <f t="shared" si="1970"/>
        <v>0.6110787369</v>
      </c>
      <c r="S726" s="65">
        <f t="shared" si="1971"/>
        <v>0.9166181053</v>
      </c>
      <c r="T726" s="64">
        <f>SUM(T708:T725)</f>
        <v>4163.810077</v>
      </c>
      <c r="U726" s="64">
        <f t="shared" si="1972"/>
        <v>7.266684254</v>
      </c>
      <c r="V726" s="61">
        <f t="shared" si="1973"/>
        <v>180.6125654</v>
      </c>
      <c r="X726" s="31">
        <v>4.0</v>
      </c>
      <c r="Y726" s="31" t="s">
        <v>37</v>
      </c>
      <c r="Z726" s="31">
        <f t="shared" ref="Z726:AI726" si="2017">SUM(D717)</f>
        <v>30</v>
      </c>
      <c r="AA726" s="32">
        <f t="shared" si="2017"/>
        <v>30</v>
      </c>
      <c r="AB726" s="33">
        <f t="shared" si="2017"/>
        <v>5663.436</v>
      </c>
      <c r="AC726" s="32">
        <f t="shared" si="2017"/>
        <v>2218</v>
      </c>
      <c r="AD726" s="32">
        <f t="shared" si="2017"/>
        <v>0</v>
      </c>
      <c r="AE726" s="32">
        <f t="shared" si="2017"/>
        <v>2218</v>
      </c>
      <c r="AF726" s="32">
        <f t="shared" si="2017"/>
        <v>3001</v>
      </c>
      <c r="AG726" s="32">
        <f t="shared" si="2017"/>
        <v>0</v>
      </c>
      <c r="AH726" s="32">
        <f t="shared" si="2017"/>
        <v>3001</v>
      </c>
      <c r="AI726" s="32">
        <f t="shared" si="2017"/>
        <v>5219</v>
      </c>
      <c r="AJ726" s="34">
        <f t="shared" si="2008"/>
        <v>188.7812</v>
      </c>
      <c r="AK726" s="31">
        <f t="shared" si="2018"/>
        <v>5887</v>
      </c>
      <c r="AL726" s="35">
        <f t="shared" si="2009"/>
        <v>0.8865296416</v>
      </c>
      <c r="AM726" s="36">
        <f t="shared" si="2019"/>
        <v>1.5</v>
      </c>
      <c r="AN726" s="35">
        <f t="shared" si="2010"/>
        <v>0.6143502519</v>
      </c>
      <c r="AO726" s="37">
        <f t="shared" si="2011"/>
        <v>0.9215253779</v>
      </c>
      <c r="AP726" s="36">
        <f t="shared" ref="AP726:AQ726" si="2020">SUM(T717)</f>
        <v>228.4380445</v>
      </c>
      <c r="AQ726" s="36">
        <f t="shared" si="2020"/>
        <v>7.614601484</v>
      </c>
      <c r="AR726" s="32">
        <f t="shared" si="2013"/>
        <v>173.9666667</v>
      </c>
    </row>
    <row r="727" ht="15.7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X727" s="31">
        <v>5.0</v>
      </c>
      <c r="Y727" s="31" t="s">
        <v>39</v>
      </c>
      <c r="Z727" s="31">
        <f t="shared" ref="Z727:AI727" si="2021">SUM(D718)</f>
        <v>28</v>
      </c>
      <c r="AA727" s="32">
        <f t="shared" si="2021"/>
        <v>28</v>
      </c>
      <c r="AB727" s="33">
        <f t="shared" si="2021"/>
        <v>5468.7</v>
      </c>
      <c r="AC727" s="32">
        <f t="shared" si="2021"/>
        <v>1195</v>
      </c>
      <c r="AD727" s="32">
        <f t="shared" si="2021"/>
        <v>0</v>
      </c>
      <c r="AE727" s="32">
        <f t="shared" si="2021"/>
        <v>1195</v>
      </c>
      <c r="AF727" s="32">
        <f t="shared" si="2021"/>
        <v>1602</v>
      </c>
      <c r="AG727" s="32">
        <f t="shared" si="2021"/>
        <v>228</v>
      </c>
      <c r="AH727" s="32">
        <f t="shared" si="2021"/>
        <v>1830</v>
      </c>
      <c r="AI727" s="32">
        <f t="shared" si="2021"/>
        <v>3025</v>
      </c>
      <c r="AJ727" s="34">
        <f t="shared" si="2008"/>
        <v>195.3107143</v>
      </c>
      <c r="AK727" s="31">
        <f t="shared" si="2018"/>
        <v>3569</v>
      </c>
      <c r="AL727" s="35">
        <f t="shared" si="2009"/>
        <v>0.8475763519</v>
      </c>
      <c r="AM727" s="36">
        <f t="shared" si="2019"/>
        <v>1.5</v>
      </c>
      <c r="AN727" s="35">
        <f t="shared" si="2010"/>
        <v>0.3687652763</v>
      </c>
      <c r="AO727" s="37">
        <f t="shared" si="2011"/>
        <v>0.5531479145</v>
      </c>
      <c r="AP727" s="36">
        <f t="shared" ref="AP727:AQ727" si="2022">SUM(T718)</f>
        <v>254.7966268</v>
      </c>
      <c r="AQ727" s="36">
        <f t="shared" si="2022"/>
        <v>9.099879527</v>
      </c>
      <c r="AR727" s="32">
        <f t="shared" si="2013"/>
        <v>108.0357143</v>
      </c>
    </row>
    <row r="728" ht="15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X728" s="31">
        <v>6.0</v>
      </c>
      <c r="Y728" s="31" t="s">
        <v>41</v>
      </c>
      <c r="Z728" s="31">
        <f t="shared" ref="Z728:AI728" si="2023">SUM(D719)</f>
        <v>24</v>
      </c>
      <c r="AA728" s="32">
        <f t="shared" si="2023"/>
        <v>24</v>
      </c>
      <c r="AB728" s="33">
        <f t="shared" si="2023"/>
        <v>4793.152</v>
      </c>
      <c r="AC728" s="32">
        <f t="shared" si="2023"/>
        <v>1051</v>
      </c>
      <c r="AD728" s="32">
        <f t="shared" si="2023"/>
        <v>34</v>
      </c>
      <c r="AE728" s="32">
        <f t="shared" si="2023"/>
        <v>1085</v>
      </c>
      <c r="AF728" s="32">
        <f t="shared" si="2023"/>
        <v>1211</v>
      </c>
      <c r="AG728" s="32">
        <f t="shared" si="2023"/>
        <v>471</v>
      </c>
      <c r="AH728" s="32">
        <f t="shared" si="2023"/>
        <v>1682</v>
      </c>
      <c r="AI728" s="32">
        <f t="shared" si="2023"/>
        <v>2767</v>
      </c>
      <c r="AJ728" s="34">
        <f t="shared" si="2008"/>
        <v>199.7146667</v>
      </c>
      <c r="AK728" s="31">
        <f t="shared" si="2018"/>
        <v>3801</v>
      </c>
      <c r="AL728" s="35">
        <f t="shared" si="2009"/>
        <v>0.7279663247</v>
      </c>
      <c r="AM728" s="36">
        <f t="shared" si="2019"/>
        <v>1.5</v>
      </c>
      <c r="AN728" s="35">
        <f t="shared" si="2010"/>
        <v>0.3848546148</v>
      </c>
      <c r="AO728" s="37">
        <f t="shared" si="2011"/>
        <v>0.5772819222</v>
      </c>
      <c r="AP728" s="36">
        <f t="shared" ref="AP728:AQ728" si="2024">SUM(T719)</f>
        <v>161.7777778</v>
      </c>
      <c r="AQ728" s="36">
        <f t="shared" si="2024"/>
        <v>6.740740741</v>
      </c>
      <c r="AR728" s="32">
        <f t="shared" si="2013"/>
        <v>115.2916667</v>
      </c>
    </row>
    <row r="729" ht="15.75" customHeight="1">
      <c r="A729" s="1" t="s">
        <v>45</v>
      </c>
      <c r="D729" s="2"/>
      <c r="X729" s="46" t="s">
        <v>33</v>
      </c>
      <c r="Y729" s="46">
        <v>6.0</v>
      </c>
      <c r="Z729" s="46">
        <f t="shared" ref="Z729:AI729" si="2025">SUM(Z723:Z728)</f>
        <v>173</v>
      </c>
      <c r="AA729" s="47">
        <f t="shared" si="2025"/>
        <v>173</v>
      </c>
      <c r="AB729" s="49">
        <f t="shared" si="2025"/>
        <v>33787.852</v>
      </c>
      <c r="AC729" s="47">
        <f t="shared" si="2025"/>
        <v>13689</v>
      </c>
      <c r="AD729" s="47">
        <f t="shared" si="2025"/>
        <v>74</v>
      </c>
      <c r="AE729" s="47">
        <f t="shared" si="2025"/>
        <v>13763</v>
      </c>
      <c r="AF729" s="47">
        <f t="shared" si="2025"/>
        <v>16669</v>
      </c>
      <c r="AG729" s="47">
        <f t="shared" si="2025"/>
        <v>699</v>
      </c>
      <c r="AH729" s="47">
        <f t="shared" si="2025"/>
        <v>17368</v>
      </c>
      <c r="AI729" s="47">
        <f t="shared" si="2025"/>
        <v>31131</v>
      </c>
      <c r="AJ729" s="49">
        <f t="shared" si="2008"/>
        <v>195.3055029</v>
      </c>
      <c r="AK729" s="46">
        <f>SUM(AK723:AK728)</f>
        <v>37031</v>
      </c>
      <c r="AL729" s="50">
        <f t="shared" si="2009"/>
        <v>0.8406740299</v>
      </c>
      <c r="AM729" s="51">
        <v>1.5</v>
      </c>
      <c r="AN729" s="50">
        <f t="shared" si="2010"/>
        <v>0.6142444332</v>
      </c>
      <c r="AO729" s="52">
        <f t="shared" si="2011"/>
        <v>0.9213666498</v>
      </c>
      <c r="AP729" s="51">
        <f>SUM(AP723:AP728)</f>
        <v>1396.341785</v>
      </c>
      <c r="AQ729" s="51">
        <f>AP729/AA729</f>
        <v>8.0713398</v>
      </c>
      <c r="AR729" s="47">
        <f t="shared" si="2013"/>
        <v>179.9479769</v>
      </c>
    </row>
    <row r="730" ht="15.75" customHeight="1">
      <c r="A730" s="1" t="s">
        <v>45</v>
      </c>
      <c r="D730" s="2"/>
      <c r="X730" s="66" t="s">
        <v>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6"/>
    </row>
    <row r="731" ht="15.75" customHeight="1">
      <c r="A731" s="7">
        <v>46231.0</v>
      </c>
      <c r="B731" s="8" t="s">
        <v>2</v>
      </c>
      <c r="C731" s="8" t="s">
        <v>3</v>
      </c>
      <c r="D731" s="8" t="s">
        <v>4</v>
      </c>
      <c r="E731" s="8" t="s">
        <v>5</v>
      </c>
      <c r="F731" s="9" t="s">
        <v>6</v>
      </c>
      <c r="G731" s="8" t="s">
        <v>7</v>
      </c>
      <c r="H731" s="8" t="s">
        <v>8</v>
      </c>
      <c r="I731" s="8" t="s">
        <v>9</v>
      </c>
      <c r="J731" s="8" t="s">
        <v>10</v>
      </c>
      <c r="K731" s="8" t="s">
        <v>11</v>
      </c>
      <c r="L731" s="8" t="s">
        <v>12</v>
      </c>
      <c r="M731" s="8" t="s">
        <v>13</v>
      </c>
      <c r="N731" s="9" t="s">
        <v>14</v>
      </c>
      <c r="O731" s="8" t="s">
        <v>15</v>
      </c>
      <c r="P731" s="8" t="s">
        <v>16</v>
      </c>
      <c r="Q731" s="8" t="s">
        <v>17</v>
      </c>
      <c r="R731" s="8" t="s">
        <v>18</v>
      </c>
      <c r="S731" s="11" t="s">
        <v>19</v>
      </c>
      <c r="T731" s="12" t="s">
        <v>20</v>
      </c>
      <c r="U731" s="12" t="s">
        <v>21</v>
      </c>
      <c r="V731" s="13" t="s">
        <v>22</v>
      </c>
      <c r="X731" s="14" t="s">
        <v>2</v>
      </c>
      <c r="Y731" s="14" t="s">
        <v>3</v>
      </c>
      <c r="Z731" s="14" t="s">
        <v>4</v>
      </c>
      <c r="AA731" s="14" t="s">
        <v>5</v>
      </c>
      <c r="AB731" s="15" t="s">
        <v>6</v>
      </c>
      <c r="AC731" s="14" t="s">
        <v>7</v>
      </c>
      <c r="AD731" s="14" t="s">
        <v>8</v>
      </c>
      <c r="AE731" s="14" t="s">
        <v>9</v>
      </c>
      <c r="AF731" s="14" t="s">
        <v>10</v>
      </c>
      <c r="AG731" s="14" t="s">
        <v>11</v>
      </c>
      <c r="AH731" s="14" t="s">
        <v>12</v>
      </c>
      <c r="AI731" s="14" t="s">
        <v>13</v>
      </c>
      <c r="AJ731" s="15" t="s">
        <v>14</v>
      </c>
      <c r="AK731" s="14" t="s">
        <v>15</v>
      </c>
      <c r="AL731" s="14" t="s">
        <v>16</v>
      </c>
      <c r="AM731" s="16" t="s">
        <v>17</v>
      </c>
      <c r="AN731" s="17" t="s">
        <v>18</v>
      </c>
      <c r="AO731" s="18" t="s">
        <v>19</v>
      </c>
      <c r="AP731" s="19" t="s">
        <v>20</v>
      </c>
      <c r="AQ731" s="19" t="s">
        <v>21</v>
      </c>
      <c r="AR731" s="20" t="s">
        <v>22</v>
      </c>
    </row>
    <row r="732" ht="15.7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X732" s="22">
        <v>1.0</v>
      </c>
      <c r="Y732" s="22" t="s">
        <v>23</v>
      </c>
      <c r="Z732" s="22">
        <f t="shared" ref="Z732:AI732" si="2026">SUM(D740)</f>
        <v>35</v>
      </c>
      <c r="AA732" s="23">
        <f t="shared" si="2026"/>
        <v>34</v>
      </c>
      <c r="AB732" s="24">
        <f t="shared" si="2026"/>
        <v>6781.74</v>
      </c>
      <c r="AC732" s="23">
        <f t="shared" si="2026"/>
        <v>1762</v>
      </c>
      <c r="AD732" s="23">
        <f t="shared" si="2026"/>
        <v>0</v>
      </c>
      <c r="AE732" s="23">
        <f t="shared" si="2026"/>
        <v>1762</v>
      </c>
      <c r="AF732" s="23">
        <f t="shared" si="2026"/>
        <v>3334</v>
      </c>
      <c r="AG732" s="23">
        <f t="shared" si="2026"/>
        <v>0</v>
      </c>
      <c r="AH732" s="23">
        <f t="shared" si="2026"/>
        <v>3334</v>
      </c>
      <c r="AI732" s="23">
        <f t="shared" si="2026"/>
        <v>5096</v>
      </c>
      <c r="AJ732" s="25">
        <f t="shared" ref="AJ732:AJ734" si="2029">AB732/AA732</f>
        <v>199.4629412</v>
      </c>
      <c r="AK732" s="22">
        <f>SUM(O740)</f>
        <v>6853</v>
      </c>
      <c r="AL732" s="26">
        <f t="shared" ref="AL732:AL738" si="2030">AI732/AK732</f>
        <v>0.7436159346</v>
      </c>
      <c r="AM732" s="27">
        <f t="shared" ref="AM732:AM734" si="2031">SUM(Q740)</f>
        <v>1.5</v>
      </c>
      <c r="AN732" s="26">
        <f t="shared" ref="AN732:AN738" si="2032">AO732/AM732</f>
        <v>0.5009530494</v>
      </c>
      <c r="AO732" s="28">
        <f t="shared" ref="AO732:AO738" si="2033">AI732/AB732</f>
        <v>0.7514295741</v>
      </c>
      <c r="AP732" s="27">
        <f t="shared" ref="AP732:AQ732" si="2027">SUM(T740)</f>
        <v>201</v>
      </c>
      <c r="AQ732" s="27">
        <f t="shared" si="2027"/>
        <v>5.911764706</v>
      </c>
      <c r="AR732" s="23">
        <f t="shared" ref="AR732:AR738" si="2035">AI732/AA732</f>
        <v>149.8823529</v>
      </c>
    </row>
    <row r="733" ht="15.7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X733" s="22">
        <v>2.0</v>
      </c>
      <c r="Y733" s="22" t="s">
        <v>24</v>
      </c>
      <c r="Z733" s="22">
        <f t="shared" ref="Z733:AI733" si="2028">SUM(D741)</f>
        <v>44</v>
      </c>
      <c r="AA733" s="23">
        <f t="shared" si="2028"/>
        <v>43</v>
      </c>
      <c r="AB733" s="24">
        <f t="shared" si="2028"/>
        <v>8211.621</v>
      </c>
      <c r="AC733" s="23">
        <f t="shared" si="2028"/>
        <v>1073</v>
      </c>
      <c r="AD733" s="23">
        <f t="shared" si="2028"/>
        <v>0</v>
      </c>
      <c r="AE733" s="23">
        <f t="shared" si="2028"/>
        <v>1073</v>
      </c>
      <c r="AF733" s="23">
        <f t="shared" si="2028"/>
        <v>1423</v>
      </c>
      <c r="AG733" s="23">
        <f t="shared" si="2028"/>
        <v>0</v>
      </c>
      <c r="AH733" s="23">
        <f t="shared" si="2028"/>
        <v>1423</v>
      </c>
      <c r="AI733" s="23">
        <f t="shared" si="2028"/>
        <v>2496</v>
      </c>
      <c r="AJ733" s="25">
        <f t="shared" si="2029"/>
        <v>190.9679302</v>
      </c>
      <c r="AK733" s="22">
        <v>1580.0</v>
      </c>
      <c r="AL733" s="29">
        <f t="shared" si="2030"/>
        <v>1.579746835</v>
      </c>
      <c r="AM733" s="27">
        <f t="shared" si="2031"/>
        <v>1.5</v>
      </c>
      <c r="AN733" s="26">
        <f t="shared" si="2032"/>
        <v>0.2026396493</v>
      </c>
      <c r="AO733" s="28">
        <f t="shared" si="2033"/>
        <v>0.303959474</v>
      </c>
      <c r="AP733" s="27">
        <f t="shared" ref="AP733:AQ733" si="2034">SUM(T741)</f>
        <v>306.3466144</v>
      </c>
      <c r="AQ733" s="27">
        <f t="shared" si="2034"/>
        <v>7.124339871</v>
      </c>
      <c r="AR733" s="23">
        <f t="shared" si="2035"/>
        <v>58.04651163</v>
      </c>
    </row>
    <row r="734" ht="15.75" customHeight="1">
      <c r="A734" s="21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X734" s="31">
        <v>3.0</v>
      </c>
      <c r="Y734" s="31" t="s">
        <v>25</v>
      </c>
      <c r="Z734" s="31">
        <f t="shared" ref="Z734:AI734" si="2036">SUM(D742)</f>
        <v>32</v>
      </c>
      <c r="AA734" s="32">
        <f t="shared" si="2036"/>
        <v>32</v>
      </c>
      <c r="AB734" s="33">
        <f t="shared" si="2036"/>
        <v>6196.632</v>
      </c>
      <c r="AC734" s="32">
        <f t="shared" si="2036"/>
        <v>2405</v>
      </c>
      <c r="AD734" s="32">
        <f t="shared" si="2036"/>
        <v>405</v>
      </c>
      <c r="AE734" s="32">
        <f t="shared" si="2036"/>
        <v>2810</v>
      </c>
      <c r="AF734" s="32">
        <f t="shared" si="2036"/>
        <v>3336</v>
      </c>
      <c r="AG734" s="32">
        <f t="shared" si="2036"/>
        <v>469</v>
      </c>
      <c r="AH734" s="32">
        <f t="shared" si="2036"/>
        <v>3805</v>
      </c>
      <c r="AI734" s="32">
        <f t="shared" si="2036"/>
        <v>6615</v>
      </c>
      <c r="AJ734" s="34">
        <f t="shared" si="2029"/>
        <v>193.64475</v>
      </c>
      <c r="AK734" s="31">
        <f>SUM(O742)</f>
        <v>6622</v>
      </c>
      <c r="AL734" s="35">
        <f t="shared" si="2030"/>
        <v>0.9989429175</v>
      </c>
      <c r="AM734" s="36">
        <f t="shared" si="2031"/>
        <v>1.5</v>
      </c>
      <c r="AN734" s="35">
        <f t="shared" si="2032"/>
        <v>0.7116769239</v>
      </c>
      <c r="AO734" s="37">
        <f t="shared" si="2033"/>
        <v>1.067515386</v>
      </c>
      <c r="AP734" s="36">
        <f t="shared" ref="AP734:AQ734" si="2037">SUM(T742)</f>
        <v>259.9258389</v>
      </c>
      <c r="AQ734" s="36">
        <f t="shared" si="2037"/>
        <v>8.122682466</v>
      </c>
      <c r="AR734" s="32">
        <f t="shared" si="2035"/>
        <v>206.71875</v>
      </c>
    </row>
    <row r="735" ht="15.75" customHeight="1">
      <c r="A735" s="21"/>
      <c r="B735" s="38">
        <v>1.0</v>
      </c>
      <c r="C735" s="38" t="s">
        <v>26</v>
      </c>
      <c r="D735" s="77">
        <v>20.0</v>
      </c>
      <c r="E735" s="40">
        <f>IFERROR(__xludf.DUMMYFUNCTION("COUNT(IMPORTRANGE(""https://docs.google.com/spreadsheets/d/1z0o91thOT38lgejTE_Bd2p3v_9VCDdQRkUsMIVqpQCk/edit"",""28!d2:d21""))"),20.0)</f>
        <v>20</v>
      </c>
      <c r="F735" s="41">
        <f>IFERROR(__xludf.DUMMYFUNCTION("SUM(IMPORTRANGE(""https://docs.google.com/spreadsheets/d/1z0o91thOT38lgejTE_Bd2p3v_9VCDdQRkUsMIVqpQCk/edit"",""28!Q2:Q21""))"),3762.9269999999997)</f>
        <v>3762.927</v>
      </c>
      <c r="G735" s="40">
        <f>IFERROR(__xludf.DUMMYFUNCTION("IMPORTRANGE(""https://docs.google.com/spreadsheets/d/1z0o91thOT38lgejTE_Bd2p3v_9VCDdQRkUsMIVqpQCk/edit"",""28!e28"")"),2021.0)</f>
        <v>2021</v>
      </c>
      <c r="H735" s="40">
        <f>IFERROR(__xludf.DUMMYFUNCTION("IMPORTRANGE(""https://docs.google.com/spreadsheets/d/1z0o91thOT38lgejTE_Bd2p3v_9VCDdQRkUsMIVqpQCk/edit"",""28!e29"")"),0.0)</f>
        <v>0</v>
      </c>
      <c r="I735" s="40">
        <f t="shared" ref="I735:I752" si="2040">SUM(G735:H735)</f>
        <v>2021</v>
      </c>
      <c r="J735" s="40">
        <f>IFERROR(__xludf.DUMMYFUNCTION("IMPORTRANGE(""https://docs.google.com/spreadsheets/d/1z0o91thOT38lgejTE_Bd2p3v_9VCDdQRkUsMIVqpQCk/edit"",""28!e32"")"),2848.0)</f>
        <v>2848</v>
      </c>
      <c r="K735" s="40">
        <f>IFERROR(__xludf.DUMMYFUNCTION("IMPORTRANGE(""https://docs.google.com/spreadsheets/d/1z0o91thOT38lgejTE_Bd2p3v_9VCDdQRkUsMIVqpQCk/edit"",""28!e33"")"),0.0)</f>
        <v>0</v>
      </c>
      <c r="L735" s="40">
        <f t="shared" ref="L735:L741" si="2041">SUM(J735:K735)</f>
        <v>2848</v>
      </c>
      <c r="M735" s="40">
        <f t="shared" ref="M735:M752" si="2042">SUM(I735+L735)</f>
        <v>4869</v>
      </c>
      <c r="N735" s="41">
        <f t="shared" ref="N735:N753" si="2043">F735/E735</f>
        <v>188.14635</v>
      </c>
      <c r="O735" s="38">
        <v>5161.0</v>
      </c>
      <c r="P735" s="42">
        <f t="shared" ref="P735:P753" si="2044">M735/O735</f>
        <v>0.9434218175</v>
      </c>
      <c r="Q735" s="43">
        <v>1.5</v>
      </c>
      <c r="R735" s="42">
        <f t="shared" ref="R735:R753" si="2045">S735/Q735</f>
        <v>0.8626263544</v>
      </c>
      <c r="S735" s="44">
        <f t="shared" ref="S735:S753" si="2046">M735/F735</f>
        <v>1.293939532</v>
      </c>
      <c r="T735" s="43">
        <f>F735/14.415</f>
        <v>261.0424558</v>
      </c>
      <c r="U735" s="43">
        <f t="shared" ref="U735:U753" si="2047">T735/E735</f>
        <v>13.05212279</v>
      </c>
      <c r="V735" s="40">
        <f t="shared" ref="V735:V753" si="2048">M735/E735</f>
        <v>243.45</v>
      </c>
      <c r="X735" s="22">
        <v>4.0</v>
      </c>
      <c r="Y735" s="22" t="s">
        <v>27</v>
      </c>
      <c r="Z735" s="22">
        <f t="shared" ref="Z735:AK735" si="2038">SUM(D748)</f>
        <v>30</v>
      </c>
      <c r="AA735" s="23">
        <f t="shared" si="2038"/>
        <v>29</v>
      </c>
      <c r="AB735" s="24">
        <f t="shared" si="2038"/>
        <v>5645.625</v>
      </c>
      <c r="AC735" s="23">
        <f t="shared" si="2038"/>
        <v>2956</v>
      </c>
      <c r="AD735" s="23">
        <f t="shared" si="2038"/>
        <v>0</v>
      </c>
      <c r="AE735" s="23">
        <f t="shared" si="2038"/>
        <v>2956</v>
      </c>
      <c r="AF735" s="23">
        <f t="shared" si="2038"/>
        <v>2968</v>
      </c>
      <c r="AG735" s="23">
        <f t="shared" si="2038"/>
        <v>0</v>
      </c>
      <c r="AH735" s="23">
        <f t="shared" si="2038"/>
        <v>2968</v>
      </c>
      <c r="AI735" s="23">
        <f t="shared" si="2038"/>
        <v>5924</v>
      </c>
      <c r="AJ735" s="25">
        <f t="shared" si="2038"/>
        <v>194.6767241</v>
      </c>
      <c r="AK735" s="22">
        <f t="shared" si="2038"/>
        <v>8101</v>
      </c>
      <c r="AL735" s="26">
        <f t="shared" si="2030"/>
        <v>0.7312677447</v>
      </c>
      <c r="AM735" s="27">
        <f>SUM(Q748)</f>
        <v>1.5</v>
      </c>
      <c r="AN735" s="26">
        <f t="shared" si="2032"/>
        <v>0.6995387284</v>
      </c>
      <c r="AO735" s="28">
        <f t="shared" si="2033"/>
        <v>1.049308093</v>
      </c>
      <c r="AP735" s="27">
        <f t="shared" ref="AP735:AQ735" si="2039">SUM(T748)</f>
        <v>282.4931198</v>
      </c>
      <c r="AQ735" s="27">
        <f t="shared" si="2039"/>
        <v>9.741142063</v>
      </c>
      <c r="AR735" s="23">
        <f t="shared" si="2035"/>
        <v>204.2758621</v>
      </c>
    </row>
    <row r="736" ht="15.75" customHeight="1">
      <c r="A736" s="21"/>
      <c r="B736" s="38">
        <v>2.0</v>
      </c>
      <c r="C736" s="38" t="s">
        <v>28</v>
      </c>
      <c r="D736" s="78">
        <v>33.0</v>
      </c>
      <c r="E736" s="40">
        <f>IFERROR(__xludf.DUMMYFUNCTION("COUNT(IMPORTRANGE(""https://docs.google.com/spreadsheets/d/10a85iNN0y9GF6ngQfF1JXGAzFk-T7ywH4-TZtQcOTaE/edit"",""28!d2:d34""))"),33.0)</f>
        <v>33</v>
      </c>
      <c r="F736" s="41">
        <f>IFERROR(__xludf.DUMMYFUNCTION("SUM(IMPORTRANGE(""https://docs.google.com/spreadsheets/d/10a85iNN0y9GF6ngQfF1JXGAzFk-T7ywH4-TZtQcOTaE/edit"",""28!Q2:Q34""))"),6188.965999999999)</f>
        <v>6188.966</v>
      </c>
      <c r="G736" s="40">
        <f>IFERROR(__xludf.DUMMYFUNCTION("IMPORTRANGE(""https://docs.google.com/spreadsheets/d/10a85iNN0y9GF6ngQfF1JXGAzFk-T7ywH4-TZtQcOTaE/edit"",""28!e41"")"),2559.0)</f>
        <v>2559</v>
      </c>
      <c r="H736" s="40">
        <f>IFERROR(__xludf.DUMMYFUNCTION("IMPORTRANGE(""https://docs.google.com/spreadsheets/d/10a85iNN0y9GF6ngQfF1JXGAzFk-T7ywH4-TZtQcOTaE/edit"",""28!e42"")"),240.0)</f>
        <v>240</v>
      </c>
      <c r="I736" s="40">
        <f t="shared" si="2040"/>
        <v>2799</v>
      </c>
      <c r="J736" s="40">
        <f>IFERROR(__xludf.DUMMYFUNCTION("IMPORTRANGE(""https://docs.google.com/spreadsheets/d/10a85iNN0y9GF6ngQfF1JXGAzFk-T7ywH4-TZtQcOTaE/edit"",""28!e45"")"),3073.0)</f>
        <v>3073</v>
      </c>
      <c r="K736" s="40">
        <f>IFERROR(__xludf.DUMMYFUNCTION("IMPORTRANGE(""https://docs.google.com/spreadsheets/d/10a85iNN0y9GF6ngQfF1JXGAzFk-T7ywH4-TZtQcOTaE/edit"",""28!e46"")"),136.0)</f>
        <v>136</v>
      </c>
      <c r="L736" s="40">
        <f t="shared" si="2041"/>
        <v>3209</v>
      </c>
      <c r="M736" s="40">
        <f t="shared" si="2042"/>
        <v>6008</v>
      </c>
      <c r="N736" s="41">
        <f t="shared" si="2043"/>
        <v>187.5444242</v>
      </c>
      <c r="O736" s="38">
        <v>7315.0</v>
      </c>
      <c r="P736" s="42">
        <f t="shared" si="2044"/>
        <v>0.8213260424</v>
      </c>
      <c r="Q736" s="43">
        <v>1.5</v>
      </c>
      <c r="R736" s="42">
        <f t="shared" si="2045"/>
        <v>0.647173265</v>
      </c>
      <c r="S736" s="44">
        <f t="shared" si="2046"/>
        <v>0.9707598975</v>
      </c>
      <c r="T736" s="43">
        <f>F736/30.897</f>
        <v>200.3096093</v>
      </c>
      <c r="U736" s="43">
        <f t="shared" si="2047"/>
        <v>6.069988162</v>
      </c>
      <c r="V736" s="40">
        <f t="shared" si="2048"/>
        <v>182.0606061</v>
      </c>
      <c r="X736" s="22">
        <v>5.0</v>
      </c>
      <c r="Y736" s="22" t="s">
        <v>29</v>
      </c>
      <c r="Z736" s="22">
        <f t="shared" ref="Z736:AI736" si="2049">SUM(D751)</f>
        <v>30</v>
      </c>
      <c r="AA736" s="23">
        <f t="shared" si="2049"/>
        <v>30</v>
      </c>
      <c r="AB736" s="24">
        <f t="shared" si="2049"/>
        <v>6040.816</v>
      </c>
      <c r="AC736" s="23">
        <f t="shared" si="2049"/>
        <v>2814</v>
      </c>
      <c r="AD736" s="23">
        <f t="shared" si="2049"/>
        <v>0</v>
      </c>
      <c r="AE736" s="23">
        <f t="shared" si="2049"/>
        <v>2814</v>
      </c>
      <c r="AF736" s="23">
        <f t="shared" si="2049"/>
        <v>4452</v>
      </c>
      <c r="AG736" s="23">
        <f t="shared" si="2049"/>
        <v>0</v>
      </c>
      <c r="AH736" s="23">
        <f t="shared" si="2049"/>
        <v>4452</v>
      </c>
      <c r="AI736" s="23">
        <f t="shared" si="2049"/>
        <v>7266</v>
      </c>
      <c r="AJ736" s="25">
        <f t="shared" ref="AJ736:AJ738" si="2052">AB736/AA736</f>
        <v>201.3605333</v>
      </c>
      <c r="AK736" s="22">
        <f t="shared" ref="AK736:AK737" si="2053">SUM(O751)</f>
        <v>9201</v>
      </c>
      <c r="AL736" s="26">
        <f t="shared" si="2030"/>
        <v>0.7896967721</v>
      </c>
      <c r="AM736" s="27">
        <f t="shared" ref="AM736:AM737" si="2054">SUM(Q751)</f>
        <v>1.5</v>
      </c>
      <c r="AN736" s="26">
        <f t="shared" si="2032"/>
        <v>0.8018784217</v>
      </c>
      <c r="AO736" s="28">
        <f t="shared" si="2033"/>
        <v>1.202817633</v>
      </c>
      <c r="AP736" s="27">
        <f t="shared" ref="AP736:AQ736" si="2050">SUM(T751)</f>
        <v>232</v>
      </c>
      <c r="AQ736" s="27">
        <f t="shared" si="2050"/>
        <v>7.733333333</v>
      </c>
      <c r="AR736" s="23">
        <f t="shared" si="2035"/>
        <v>242.2</v>
      </c>
    </row>
    <row r="737" ht="15.75" customHeight="1">
      <c r="A737" s="21"/>
      <c r="B737" s="38">
        <v>3.0</v>
      </c>
      <c r="C737" s="38" t="s">
        <v>30</v>
      </c>
      <c r="D737" s="78">
        <v>60.0</v>
      </c>
      <c r="E737" s="40">
        <f>IFERROR(__xludf.DUMMYFUNCTION("COUNT(IMPORTRANGE(""https://docs.google.com/spreadsheets/d/1WojVzHhpzodJL1e5UDHeu3A3u5MTSZwvxHu0BrwvL9w/edit"",""28!d2:d61""))"),59.0)</f>
        <v>59</v>
      </c>
      <c r="F737" s="45">
        <f>IFERROR(__xludf.DUMMYFUNCTION("SUM(IMPORTRANGE(""https://docs.google.com/spreadsheets/d/1WojVzHhpzodJL1e5UDHeu3A3u5MTSZwvxHu0BrwvL9w/edit"",""28!Q2:Q61""))"),11765.005999999992)</f>
        <v>11765.006</v>
      </c>
      <c r="G737" s="40">
        <f>IFERROR(__xludf.DUMMYFUNCTION("IMPORTRANGE(""https://docs.google.com/spreadsheets/d/1WojVzHhpzodJL1e5UDHeu3A3u5MTSZwvxHu0BrwvL9w/edit"",""28!e68"")"),3840.0)</f>
        <v>3840</v>
      </c>
      <c r="H737" s="40">
        <f>IFERROR(__xludf.DUMMYFUNCTION("IMPORTRANGE(""https://docs.google.com/spreadsheets/d/1WojVzHhpzodJL1e5UDHeu3A3u5MTSZwvxHu0BrwvL9w/edit"",""28!e69"")"),51.0)</f>
        <v>51</v>
      </c>
      <c r="I737" s="40">
        <f t="shared" si="2040"/>
        <v>3891</v>
      </c>
      <c r="J737" s="40">
        <f>IFERROR(__xludf.DUMMYFUNCTION("IMPORTRANGE(""https://docs.google.com/spreadsheets/d/1WojVzHhpzodJL1e5UDHeu3A3u5MTSZwvxHu0BrwvL9w/edit"",""28!e72"")"),5361.0)</f>
        <v>5361</v>
      </c>
      <c r="K737" s="40">
        <f>IFERROR(__xludf.DUMMYFUNCTION("IMPORTRANGE(""https://docs.google.com/spreadsheets/d/1WojVzHhpzodJL1e5UDHeu3A3u5MTSZwvxHu0BrwvL9w/edit"",""28!e73"")"),0.0)</f>
        <v>0</v>
      </c>
      <c r="L737" s="40">
        <f t="shared" si="2041"/>
        <v>5361</v>
      </c>
      <c r="M737" s="40">
        <f t="shared" si="2042"/>
        <v>9252</v>
      </c>
      <c r="N737" s="41">
        <f t="shared" si="2043"/>
        <v>199.4068814</v>
      </c>
      <c r="O737" s="38">
        <v>11164.0</v>
      </c>
      <c r="P737" s="42">
        <f t="shared" si="2044"/>
        <v>0.8287352204</v>
      </c>
      <c r="Q737" s="43">
        <v>1.5</v>
      </c>
      <c r="R737" s="42">
        <f t="shared" si="2045"/>
        <v>0.524266626</v>
      </c>
      <c r="S737" s="44">
        <f t="shared" si="2046"/>
        <v>0.7863999389</v>
      </c>
      <c r="T737" s="43">
        <f>F737/29.603</f>
        <v>397.4261392</v>
      </c>
      <c r="U737" s="43">
        <f t="shared" si="2047"/>
        <v>6.736036258</v>
      </c>
      <c r="V737" s="40">
        <f t="shared" si="2048"/>
        <v>156.8135593</v>
      </c>
      <c r="X737" s="22">
        <v>6.0</v>
      </c>
      <c r="Y737" s="22" t="s">
        <v>31</v>
      </c>
      <c r="Z737" s="22">
        <f t="shared" ref="Z737:AI737" si="2051">SUM(D752)</f>
        <v>15</v>
      </c>
      <c r="AA737" s="23">
        <f t="shared" si="2051"/>
        <v>14</v>
      </c>
      <c r="AB737" s="25">
        <f t="shared" si="2051"/>
        <v>2868.69</v>
      </c>
      <c r="AC737" s="23">
        <f t="shared" si="2051"/>
        <v>928</v>
      </c>
      <c r="AD737" s="23">
        <f t="shared" si="2051"/>
        <v>0</v>
      </c>
      <c r="AE737" s="23">
        <f t="shared" si="2051"/>
        <v>928</v>
      </c>
      <c r="AF737" s="23">
        <f t="shared" si="2051"/>
        <v>1063</v>
      </c>
      <c r="AG737" s="23">
        <f t="shared" si="2051"/>
        <v>0</v>
      </c>
      <c r="AH737" s="23">
        <f t="shared" si="2051"/>
        <v>1063</v>
      </c>
      <c r="AI737" s="23">
        <f t="shared" si="2051"/>
        <v>1991</v>
      </c>
      <c r="AJ737" s="25">
        <f t="shared" si="2052"/>
        <v>204.9064286</v>
      </c>
      <c r="AK737" s="22">
        <f t="shared" si="2053"/>
        <v>2717</v>
      </c>
      <c r="AL737" s="26">
        <f t="shared" si="2030"/>
        <v>0.7327935223</v>
      </c>
      <c r="AM737" s="27">
        <f t="shared" si="2054"/>
        <v>1.5</v>
      </c>
      <c r="AN737" s="26">
        <f t="shared" si="2032"/>
        <v>0.462696678</v>
      </c>
      <c r="AO737" s="28">
        <f t="shared" si="2033"/>
        <v>0.6940450171</v>
      </c>
      <c r="AP737" s="27">
        <f t="shared" ref="AP737:AQ737" si="2055">SUM(T752)</f>
        <v>66</v>
      </c>
      <c r="AQ737" s="27">
        <f t="shared" si="2055"/>
        <v>4.714285714</v>
      </c>
      <c r="AR737" s="23">
        <f t="shared" si="2035"/>
        <v>142.2142857</v>
      </c>
    </row>
    <row r="738" ht="15.75" customHeight="1">
      <c r="A738" s="21"/>
      <c r="B738" s="38">
        <v>4.0</v>
      </c>
      <c r="C738" s="38" t="s">
        <v>32</v>
      </c>
      <c r="D738" s="78">
        <v>42.0</v>
      </c>
      <c r="E738" s="40">
        <f>IFERROR(__xludf.DUMMYFUNCTION("COUNT(IMPORTRANGE(""https://docs.google.com/spreadsheets/d/1vmCj5YcMSPHj1m64syDndQ6cqVL3yolcU03Y8KHmvdc/edit"",""28!d2:d43""))"),42.0)</f>
        <v>42</v>
      </c>
      <c r="F738" s="45">
        <f>IFERROR(__xludf.DUMMYFUNCTION("SUM(IMPORTRANGE(""https://docs.google.com/spreadsheets/d/1vmCj5YcMSPHj1m64syDndQ6cqVL3yolcU03Y8KHmvdc/edit"",""28!Q2:Q43""))"),8144.603999999992)</f>
        <v>8144.604</v>
      </c>
      <c r="G738" s="38">
        <f>IFERROR(__xludf.DUMMYFUNCTION("IMPORTRANGE(""https://docs.google.com/spreadsheets/d/1vmCj5YcMSPHj1m64syDndQ6cqVL3yolcU03Y8KHmvdc/edit"",""28!e50"")"),4689.0)</f>
        <v>4689</v>
      </c>
      <c r="H738" s="38">
        <f>IFERROR(__xludf.DUMMYFUNCTION("IMPORTRANGE(""https://docs.google.com/spreadsheets/d/1vmCj5YcMSPHj1m64syDndQ6cqVL3yolcU03Y8KHmvdc/edit"",""28!e51"")"),0.0)</f>
        <v>0</v>
      </c>
      <c r="I738" s="40">
        <f t="shared" si="2040"/>
        <v>4689</v>
      </c>
      <c r="J738" s="38">
        <f>IFERROR(__xludf.DUMMYFUNCTION("IMPORTRANGE(""https://docs.google.com/spreadsheets/d/1vmCj5YcMSPHj1m64syDndQ6cqVL3yolcU03Y8KHmvdc/edit"",""28!e54"")"),5889.0)</f>
        <v>5889</v>
      </c>
      <c r="K738" s="38">
        <f>IFERROR(__xludf.DUMMYFUNCTION("IMPORTRANGE(""https://docs.google.com/spreadsheets/d/1vmCj5YcMSPHj1m64syDndQ6cqVL3yolcU03Y8KHmvdc/edit"",""28!e55"")"),0.0)</f>
        <v>0</v>
      </c>
      <c r="L738" s="40">
        <f t="shared" si="2041"/>
        <v>5889</v>
      </c>
      <c r="M738" s="40">
        <f t="shared" si="2042"/>
        <v>10578</v>
      </c>
      <c r="N738" s="41">
        <f t="shared" si="2043"/>
        <v>193.9191429</v>
      </c>
      <c r="O738" s="38">
        <v>13817.0</v>
      </c>
      <c r="P738" s="42">
        <f t="shared" si="2044"/>
        <v>0.765578635</v>
      </c>
      <c r="Q738" s="43">
        <v>1.5</v>
      </c>
      <c r="R738" s="42">
        <f t="shared" si="2045"/>
        <v>0.8658493403</v>
      </c>
      <c r="S738" s="44">
        <f t="shared" si="2046"/>
        <v>1.29877401</v>
      </c>
      <c r="T738" s="43">
        <f>F738/25.089</f>
        <v>324.6284826</v>
      </c>
      <c r="U738" s="43">
        <f t="shared" si="2047"/>
        <v>7.729249586</v>
      </c>
      <c r="V738" s="40">
        <f t="shared" si="2048"/>
        <v>251.8571429</v>
      </c>
      <c r="X738" s="46" t="s">
        <v>33</v>
      </c>
      <c r="Y738" s="46">
        <v>6.0</v>
      </c>
      <c r="Z738" s="46">
        <f t="shared" ref="Z738:AI738" si="2056">SUM(Z732:Z737)</f>
        <v>186</v>
      </c>
      <c r="AA738" s="47">
        <f t="shared" si="2056"/>
        <v>182</v>
      </c>
      <c r="AB738" s="48">
        <f t="shared" si="2056"/>
        <v>35745.124</v>
      </c>
      <c r="AC738" s="47">
        <f t="shared" si="2056"/>
        <v>11938</v>
      </c>
      <c r="AD738" s="47">
        <f t="shared" si="2056"/>
        <v>405</v>
      </c>
      <c r="AE738" s="47">
        <f t="shared" si="2056"/>
        <v>12343</v>
      </c>
      <c r="AF738" s="47">
        <f t="shared" si="2056"/>
        <v>16576</v>
      </c>
      <c r="AG738" s="47">
        <f t="shared" si="2056"/>
        <v>469</v>
      </c>
      <c r="AH738" s="47">
        <f t="shared" si="2056"/>
        <v>17045</v>
      </c>
      <c r="AI738" s="47">
        <f t="shared" si="2056"/>
        <v>29388</v>
      </c>
      <c r="AJ738" s="49">
        <f t="shared" si="2052"/>
        <v>196.4017802</v>
      </c>
      <c r="AK738" s="46">
        <f>SUM(AK732:AK737)</f>
        <v>35074</v>
      </c>
      <c r="AL738" s="50">
        <f t="shared" si="2030"/>
        <v>0.8378856133</v>
      </c>
      <c r="AM738" s="51">
        <v>1.5</v>
      </c>
      <c r="AN738" s="50">
        <f t="shared" si="2032"/>
        <v>0.5481027286</v>
      </c>
      <c r="AO738" s="52">
        <f t="shared" si="2033"/>
        <v>0.822154093</v>
      </c>
      <c r="AP738" s="51">
        <f>SUM(AP732:AP737)</f>
        <v>1347.765573</v>
      </c>
      <c r="AQ738" s="51">
        <f>AP738/AA738</f>
        <v>7.405305347</v>
      </c>
      <c r="AR738" s="47">
        <f t="shared" si="2035"/>
        <v>161.4725275</v>
      </c>
    </row>
    <row r="739" ht="15.75" customHeight="1">
      <c r="A739" s="21"/>
      <c r="B739" s="38">
        <v>5.0</v>
      </c>
      <c r="C739" s="38" t="s">
        <v>34</v>
      </c>
      <c r="D739" s="78">
        <v>40.0</v>
      </c>
      <c r="E739" s="40">
        <f>IFERROR(__xludf.DUMMYFUNCTION("COUNT(IMPORTRANGE(""https://docs.google.com/spreadsheets/d/14_Y-fpuq1wcec3DlT_1PBYekOC0YblQMrWVfO12YO3k/edit"",""28!d2:d41""))"),40.0)</f>
        <v>40</v>
      </c>
      <c r="F739" s="45">
        <f>IFERROR(__xludf.DUMMYFUNCTION("SUM(IMPORTRANGE(""https://docs.google.com/spreadsheets/d/14_Y-fpuq1wcec3DlT_1PBYekOC0YblQMrWVfO12YO3k/edit"",""28!Q2:Q41""))"),8022.201000000001)</f>
        <v>8022.201</v>
      </c>
      <c r="G739" s="40">
        <f>IFERROR(__xludf.DUMMYFUNCTION("IMPORTRANGE(""https://docs.google.com/spreadsheets/d/14_Y-fpuq1wcec3DlT_1PBYekOC0YblQMrWVfO12YO3k/edit"",""28!e48"")"),3277.0)</f>
        <v>3277</v>
      </c>
      <c r="H739" s="40">
        <f>IFERROR(__xludf.DUMMYFUNCTION("IMPORTRANGE(""https://docs.google.com/spreadsheets/d/14_Y-fpuq1wcec3DlT_1PBYekOC0YblQMrWVfO12YO3k/edit"",""28!e49"")"),0.0)</f>
        <v>0</v>
      </c>
      <c r="I739" s="40">
        <f t="shared" si="2040"/>
        <v>3277</v>
      </c>
      <c r="J739" s="40">
        <f>IFERROR(__xludf.DUMMYFUNCTION("IMPORTRANGE(""https://docs.google.com/spreadsheets/d/14_Y-fpuq1wcec3DlT_1PBYekOC0YblQMrWVfO12YO3k/edit"",""28!e52"")"),3380.0)</f>
        <v>3380</v>
      </c>
      <c r="K739" s="40">
        <f>IFERROR(__xludf.DUMMYFUNCTION("IMPORTRANGE(""https://docs.google.com/spreadsheets/d/14_Y-fpuq1wcec3DlT_1PBYekOC0YblQMrWVfO12YO3k/edit"",""28!e53"")"),88.0)</f>
        <v>88</v>
      </c>
      <c r="L739" s="40">
        <f t="shared" si="2041"/>
        <v>3468</v>
      </c>
      <c r="M739" s="40">
        <f t="shared" si="2042"/>
        <v>6745</v>
      </c>
      <c r="N739" s="41">
        <f t="shared" si="2043"/>
        <v>200.555025</v>
      </c>
      <c r="O739" s="38">
        <v>9354.0</v>
      </c>
      <c r="P739" s="42">
        <f t="shared" si="2044"/>
        <v>0.7210818901</v>
      </c>
      <c r="Q739" s="43">
        <v>1.5</v>
      </c>
      <c r="R739" s="42">
        <f t="shared" si="2045"/>
        <v>0.5605277986</v>
      </c>
      <c r="S739" s="44">
        <f t="shared" si="2046"/>
        <v>0.8407916979</v>
      </c>
      <c r="T739" s="43">
        <f>F739/30.713</f>
        <v>261.1988734</v>
      </c>
      <c r="U739" s="43">
        <f t="shared" si="2047"/>
        <v>6.529971836</v>
      </c>
      <c r="V739" s="40">
        <f t="shared" si="2048"/>
        <v>168.625</v>
      </c>
      <c r="X739" s="53" t="s">
        <v>35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6"/>
    </row>
    <row r="740" ht="15.75" customHeight="1">
      <c r="A740" s="21"/>
      <c r="B740" s="38">
        <v>6.0</v>
      </c>
      <c r="C740" s="38" t="s">
        <v>23</v>
      </c>
      <c r="D740" s="78">
        <v>35.0</v>
      </c>
      <c r="E740" s="40">
        <f>IFERROR(__xludf.DUMMYFUNCTION("COUNT(IMPORTRANGE(""https://docs.google.com/spreadsheets/d/1lJqjdj05V4LOXuBOiTdE65GV4ZITyx1cMLcDdcuoUnE/edit"",""28!d2:d36""))"),34.0)</f>
        <v>34</v>
      </c>
      <c r="F740" s="45">
        <f>IFERROR(__xludf.DUMMYFUNCTION("SUM(IMPORTRANGE(""https://docs.google.com/spreadsheets/d/1lJqjdj05V4LOXuBOiTdE65GV4ZITyx1cMLcDdcuoUnE/edit"",""28!Q2:Q36""))"),6781.739999999996)</f>
        <v>6781.74</v>
      </c>
      <c r="G740" s="40">
        <f>IFERROR(__xludf.DUMMYFUNCTION("IMPORTRANGE(""https://docs.google.com/spreadsheets/d/1lJqjdj05V4LOXuBOiTdE65GV4ZITyx1cMLcDdcuoUnE/edit"",""28!e43"")"),1762.0)</f>
        <v>1762</v>
      </c>
      <c r="H740" s="40">
        <f>IFERROR(__xludf.DUMMYFUNCTION("IMPORTRANGE(""https://docs.google.com/spreadsheets/d/1lJqjdj05V4LOXuBOiTdE65GV4ZITyx1cMLcDdcuoUnE/edit"",""28!e44"")"),0.0)</f>
        <v>0</v>
      </c>
      <c r="I740" s="40">
        <f t="shared" si="2040"/>
        <v>1762</v>
      </c>
      <c r="J740" s="40">
        <f>IFERROR(__xludf.DUMMYFUNCTION("IMPORTRANGE(""https://docs.google.com/spreadsheets/d/1lJqjdj05V4LOXuBOiTdE65GV4ZITyx1cMLcDdcuoUnE/edit"",""28!e47"")"),3334.0)</f>
        <v>3334</v>
      </c>
      <c r="K740" s="40">
        <f>IFERROR(__xludf.DUMMYFUNCTION("IMPORTRANGE(""https://docs.google.com/spreadsheets/d/1lJqjdj05V4LOXuBOiTdE65GV4ZITyx1cMLcDdcuoUnE/edit"",""28!e48"")"),0.0)</f>
        <v>0</v>
      </c>
      <c r="L740" s="40">
        <f t="shared" si="2041"/>
        <v>3334</v>
      </c>
      <c r="M740" s="40">
        <f t="shared" si="2042"/>
        <v>5096</v>
      </c>
      <c r="N740" s="41">
        <f t="shared" si="2043"/>
        <v>199.4629412</v>
      </c>
      <c r="O740" s="38">
        <v>6853.0</v>
      </c>
      <c r="P740" s="42">
        <f t="shared" si="2044"/>
        <v>0.7436159346</v>
      </c>
      <c r="Q740" s="43">
        <v>1.5</v>
      </c>
      <c r="R740" s="42">
        <f t="shared" si="2045"/>
        <v>0.5009530494</v>
      </c>
      <c r="S740" s="44">
        <f t="shared" si="2046"/>
        <v>0.7514295741</v>
      </c>
      <c r="T740" s="43">
        <f>F740/33.74</f>
        <v>201</v>
      </c>
      <c r="U740" s="43">
        <f t="shared" si="2047"/>
        <v>5.911764706</v>
      </c>
      <c r="V740" s="40">
        <f t="shared" si="2048"/>
        <v>149.8823529</v>
      </c>
      <c r="X740" s="14" t="s">
        <v>2</v>
      </c>
      <c r="Y740" s="14" t="s">
        <v>3</v>
      </c>
      <c r="Z740" s="14" t="s">
        <v>4</v>
      </c>
      <c r="AA740" s="14" t="s">
        <v>5</v>
      </c>
      <c r="AB740" s="15" t="s">
        <v>6</v>
      </c>
      <c r="AC740" s="14" t="s">
        <v>7</v>
      </c>
      <c r="AD740" s="14" t="s">
        <v>8</v>
      </c>
      <c r="AE740" s="14" t="s">
        <v>9</v>
      </c>
      <c r="AF740" s="14" t="s">
        <v>10</v>
      </c>
      <c r="AG740" s="14" t="s">
        <v>11</v>
      </c>
      <c r="AH740" s="14" t="s">
        <v>12</v>
      </c>
      <c r="AI740" s="14" t="s">
        <v>13</v>
      </c>
      <c r="AJ740" s="15" t="s">
        <v>14</v>
      </c>
      <c r="AK740" s="14" t="s">
        <v>15</v>
      </c>
      <c r="AL740" s="14" t="s">
        <v>16</v>
      </c>
      <c r="AM740" s="16" t="s">
        <v>17</v>
      </c>
      <c r="AN740" s="17" t="s">
        <v>18</v>
      </c>
      <c r="AO740" s="18" t="s">
        <v>19</v>
      </c>
      <c r="AP740" s="19" t="s">
        <v>20</v>
      </c>
      <c r="AQ740" s="19" t="s">
        <v>21</v>
      </c>
      <c r="AR740" s="20" t="s">
        <v>22</v>
      </c>
    </row>
    <row r="741" ht="15.75" customHeight="1">
      <c r="A741" s="21"/>
      <c r="B741" s="38">
        <v>7.0</v>
      </c>
      <c r="C741" s="38" t="s">
        <v>24</v>
      </c>
      <c r="D741" s="78">
        <v>44.0</v>
      </c>
      <c r="E741" s="54">
        <f>IFERROR(__xludf.DUMMYFUNCTION("COUNT(IMPORTRANGE(""https://docs.google.com/spreadsheets/d/1_7EEO26q9Yq-XhNFiy7I6Zh4Yg6uGjTs9y0UqNvPKcQ/edit"",""28!d2:d45""))"),43.0)</f>
        <v>43</v>
      </c>
      <c r="F741" s="55">
        <f>IFERROR(__xludf.DUMMYFUNCTION("SUM(IMPORTRANGE(""https://docs.google.com/spreadsheets/d/1_7EEO26q9Yq-XhNFiy7I6Zh4Yg6uGjTs9y0UqNvPKcQ/edit"",""28!Q2:Q45""))"),8211.620999999994)</f>
        <v>8211.621</v>
      </c>
      <c r="G741" s="54">
        <f>IFERROR(__xludf.DUMMYFUNCTION("IMPORTRANGE(""https://docs.google.com/spreadsheets/d/1_7EEO26q9Yq-XhNFiy7I6Zh4Yg6uGjTs9y0UqNvPKcQ/edit"",""28!e53"")"),1073.0)</f>
        <v>1073</v>
      </c>
      <c r="H741" s="54">
        <f>IFERROR(__xludf.DUMMYFUNCTION("IMPORTRANGE(""https://docs.google.com/spreadsheets/d/1_7EEO26q9Yq-XhNFiy7I6Zh4Yg6uGjTs9y0UqNvPKcQ/edit"",""28!e54"")"),0.0)</f>
        <v>0</v>
      </c>
      <c r="I741" s="54">
        <f t="shared" si="2040"/>
        <v>1073</v>
      </c>
      <c r="J741" s="54">
        <f>IFERROR(__xludf.DUMMYFUNCTION("IMPORTRANGE(""https://docs.google.com/spreadsheets/d/1_7EEO26q9Yq-XhNFiy7I6Zh4Yg6uGjTs9y0UqNvPKcQ/edit"",""28!e57"")"),1423.0)</f>
        <v>1423</v>
      </c>
      <c r="K741" s="54">
        <f>IFERROR(__xludf.DUMMYFUNCTION("IMPORTRANGE(""https://docs.google.com/spreadsheets/d/1_7EEO26q9Yq-XhNFiy7I6Zh4Yg6uGjTs9y0UqNvPKcQ/edit"",""28!e58"")"),0.0)</f>
        <v>0</v>
      </c>
      <c r="L741" s="40">
        <f t="shared" si="2041"/>
        <v>1423</v>
      </c>
      <c r="M741" s="40">
        <f t="shared" si="2042"/>
        <v>2496</v>
      </c>
      <c r="N741" s="41">
        <f t="shared" si="2043"/>
        <v>190.9679302</v>
      </c>
      <c r="O741" s="38">
        <v>1580.0</v>
      </c>
      <c r="P741" s="56">
        <f t="shared" si="2044"/>
        <v>1.579746835</v>
      </c>
      <c r="Q741" s="43">
        <v>1.5</v>
      </c>
      <c r="R741" s="42">
        <f t="shared" si="2045"/>
        <v>0.2026396493</v>
      </c>
      <c r="S741" s="44">
        <f t="shared" si="2046"/>
        <v>0.303959474</v>
      </c>
      <c r="T741" s="43">
        <f>F741/26.805</f>
        <v>306.3466144</v>
      </c>
      <c r="U741" s="43">
        <f t="shared" si="2047"/>
        <v>7.124339871</v>
      </c>
      <c r="V741" s="40">
        <f t="shared" si="2048"/>
        <v>58.04651163</v>
      </c>
      <c r="X741" s="22">
        <v>1.0</v>
      </c>
      <c r="Y741" s="22" t="s">
        <v>28</v>
      </c>
      <c r="Z741" s="22">
        <f t="shared" ref="Z741:AI741" si="2057">SUM(D736)</f>
        <v>33</v>
      </c>
      <c r="AA741" s="23">
        <f t="shared" si="2057"/>
        <v>33</v>
      </c>
      <c r="AB741" s="25">
        <f t="shared" si="2057"/>
        <v>6188.966</v>
      </c>
      <c r="AC741" s="23">
        <f t="shared" si="2057"/>
        <v>2559</v>
      </c>
      <c r="AD741" s="23">
        <f t="shared" si="2057"/>
        <v>240</v>
      </c>
      <c r="AE741" s="23">
        <f t="shared" si="2057"/>
        <v>2799</v>
      </c>
      <c r="AF741" s="23">
        <f t="shared" si="2057"/>
        <v>3073</v>
      </c>
      <c r="AG741" s="23">
        <f t="shared" si="2057"/>
        <v>136</v>
      </c>
      <c r="AH741" s="23">
        <f t="shared" si="2057"/>
        <v>3209</v>
      </c>
      <c r="AI741" s="23">
        <f t="shared" si="2057"/>
        <v>6008</v>
      </c>
      <c r="AJ741" s="25">
        <f t="shared" ref="AJ741:AJ747" si="2060">AB741/AA741</f>
        <v>187.5444242</v>
      </c>
      <c r="AK741" s="22">
        <f t="shared" ref="AK741:AK742" si="2061">SUM(O736)</f>
        <v>7315</v>
      </c>
      <c r="AL741" s="26">
        <f t="shared" ref="AL741:AL747" si="2062">AI741/AK741</f>
        <v>0.8213260424</v>
      </c>
      <c r="AM741" s="27">
        <f t="shared" ref="AM741:AM742" si="2063">SUM(Q736)</f>
        <v>1.5</v>
      </c>
      <c r="AN741" s="26">
        <f t="shared" ref="AN741:AN747" si="2064">AO741/AM741</f>
        <v>0.647173265</v>
      </c>
      <c r="AO741" s="28">
        <f t="shared" ref="AO741:AO747" si="2065">AI741/AB741</f>
        <v>0.9707598975</v>
      </c>
      <c r="AP741" s="27">
        <f t="shared" ref="AP741:AQ741" si="2058">SUM(T736)</f>
        <v>200.3096093</v>
      </c>
      <c r="AQ741" s="27">
        <f t="shared" si="2058"/>
        <v>6.069988162</v>
      </c>
      <c r="AR741" s="23">
        <f t="shared" ref="AR741:AR747" si="2067">AI741/AA741</f>
        <v>182.0606061</v>
      </c>
    </row>
    <row r="742" ht="15.75" customHeight="1">
      <c r="A742" s="21"/>
      <c r="B742" s="38">
        <v>8.0</v>
      </c>
      <c r="C742" s="38" t="s">
        <v>25</v>
      </c>
      <c r="D742" s="79">
        <v>32.0</v>
      </c>
      <c r="E742" s="40">
        <f>IFERROR(__xludf.DUMMYFUNCTION("COUNT(IMPORTRANGE(""https://docs.google.com/spreadsheets/d/1vLOLpiE-XsbnCnwWPcoi87PlUSXfqIAAQn3kvqHfO6s/edit"",""28!d2:D33""))"),32.0)</f>
        <v>32</v>
      </c>
      <c r="F742" s="45">
        <f>IFERROR(__xludf.DUMMYFUNCTION("SUM(IMPORTRANGE(""https://docs.google.com/spreadsheets/d/1vLOLpiE-XsbnCnwWPcoi87PlUSXfqIAAQn3kvqHfO6s/edit"",""28!Q2:Q33""))"),6196.632000000002)</f>
        <v>6196.632</v>
      </c>
      <c r="G742" s="40">
        <f>IFERROR(__xludf.DUMMYFUNCTION("IMPORTRANGE(""https://docs.google.com/spreadsheets/d/1vLOLpiE-XsbnCnwWPcoi87PlUSXfqIAAQn3kvqHfO6s/edit"",""28!e40"")"),2405.0)</f>
        <v>2405</v>
      </c>
      <c r="H742" s="40">
        <f>IFERROR(__xludf.DUMMYFUNCTION("IMPORTRANGE(""https://docs.google.com/spreadsheets/d/1vLOLpiE-XsbnCnwWPcoi87PlUSXfqIAAQn3kvqHfO6s/edit"",""28!e41"")"),405.0)</f>
        <v>405</v>
      </c>
      <c r="I742" s="40">
        <f t="shared" si="2040"/>
        <v>2810</v>
      </c>
      <c r="J742" s="40">
        <f>IFERROR(__xludf.DUMMYFUNCTION("IMPORTRANGE(""https://docs.google.com/spreadsheets/d/1vLOLpiE-XsbnCnwWPcoi87PlUSXfqIAAQn3kvqHfO6s/edit"",""28!e44"")"),3336.0)</f>
        <v>3336</v>
      </c>
      <c r="K742" s="40">
        <f>IFERROR(__xludf.DUMMYFUNCTION("IMPORTRANGE(""https://docs.google.com/spreadsheets/d/1vLOLpiE-XsbnCnwWPcoi87PlUSXfqIAAQn3kvqHfO6s/edit"",""28!e45"")"),469.0)</f>
        <v>469</v>
      </c>
      <c r="L742" s="40">
        <f>J742+K742</f>
        <v>3805</v>
      </c>
      <c r="M742" s="40">
        <f t="shared" si="2042"/>
        <v>6615</v>
      </c>
      <c r="N742" s="41">
        <f t="shared" si="2043"/>
        <v>193.64475</v>
      </c>
      <c r="O742" s="38">
        <v>6622.0</v>
      </c>
      <c r="P742" s="42">
        <f t="shared" si="2044"/>
        <v>0.9989429175</v>
      </c>
      <c r="Q742" s="43">
        <v>1.5</v>
      </c>
      <c r="R742" s="42">
        <f t="shared" si="2045"/>
        <v>0.7116769239</v>
      </c>
      <c r="S742" s="44">
        <f t="shared" si="2046"/>
        <v>1.067515386</v>
      </c>
      <c r="T742" s="43">
        <f>F742/23.84</f>
        <v>259.9258389</v>
      </c>
      <c r="U742" s="43">
        <f t="shared" si="2047"/>
        <v>8.122682466</v>
      </c>
      <c r="V742" s="40">
        <f t="shared" si="2048"/>
        <v>206.71875</v>
      </c>
      <c r="X742" s="31">
        <v>2.0</v>
      </c>
      <c r="Y742" s="31" t="s">
        <v>30</v>
      </c>
      <c r="Z742" s="31">
        <f t="shared" ref="Z742:AI742" si="2059">SUM(D737)</f>
        <v>60</v>
      </c>
      <c r="AA742" s="32">
        <f t="shared" si="2059"/>
        <v>59</v>
      </c>
      <c r="AB742" s="33">
        <f t="shared" si="2059"/>
        <v>11765.006</v>
      </c>
      <c r="AC742" s="32">
        <f t="shared" si="2059"/>
        <v>3840</v>
      </c>
      <c r="AD742" s="32">
        <f t="shared" si="2059"/>
        <v>51</v>
      </c>
      <c r="AE742" s="32">
        <f t="shared" si="2059"/>
        <v>3891</v>
      </c>
      <c r="AF742" s="32">
        <f t="shared" si="2059"/>
        <v>5361</v>
      </c>
      <c r="AG742" s="32">
        <f t="shared" si="2059"/>
        <v>0</v>
      </c>
      <c r="AH742" s="32">
        <f t="shared" si="2059"/>
        <v>5361</v>
      </c>
      <c r="AI742" s="32">
        <f t="shared" si="2059"/>
        <v>9252</v>
      </c>
      <c r="AJ742" s="34">
        <f t="shared" si="2060"/>
        <v>199.4068814</v>
      </c>
      <c r="AK742" s="31">
        <f t="shared" si="2061"/>
        <v>11164</v>
      </c>
      <c r="AL742" s="35">
        <f t="shared" si="2062"/>
        <v>0.8287352204</v>
      </c>
      <c r="AM742" s="36">
        <f t="shared" si="2063"/>
        <v>1.5</v>
      </c>
      <c r="AN742" s="35">
        <f t="shared" si="2064"/>
        <v>0.524266626</v>
      </c>
      <c r="AO742" s="37">
        <f t="shared" si="2065"/>
        <v>0.7863999389</v>
      </c>
      <c r="AP742" s="36">
        <f t="shared" ref="AP742:AQ742" si="2066">SUM(T737)</f>
        <v>397.4261392</v>
      </c>
      <c r="AQ742" s="36">
        <f t="shared" si="2066"/>
        <v>6.736036258</v>
      </c>
      <c r="AR742" s="32">
        <f t="shared" si="2067"/>
        <v>156.8135593</v>
      </c>
    </row>
    <row r="743" ht="15.75" customHeight="1">
      <c r="A743" s="21"/>
      <c r="B743" s="38">
        <v>9.0</v>
      </c>
      <c r="C743" s="38" t="s">
        <v>36</v>
      </c>
      <c r="D743" s="79">
        <v>29.0</v>
      </c>
      <c r="E743" s="40">
        <f>IFERROR(__xludf.DUMMYFUNCTION("COUNT(IMPORTRANGE(""https://docs.google.com/spreadsheets/d/1WJJVq25XDtGjt-J2JPxeKs3jIvDZtkIREC0lFPXwf74/edit"",""28!d2:d31""))"),29.0)</f>
        <v>29</v>
      </c>
      <c r="F743" s="45">
        <f>IFERROR(__xludf.DUMMYFUNCTION("SUM(IMPORTRANGE(""https://docs.google.com/spreadsheets/d/1WJJVq25XDtGjt-J2JPxeKs3jIvDZtkIREC0lFPXwf74/edit"",""28!Q2:Q31""))"),5791.19)</f>
        <v>5791.19</v>
      </c>
      <c r="G743" s="40">
        <f>IFERROR(__xludf.DUMMYFUNCTION("IMPORTRANGE(""https://docs.google.com/spreadsheets/d/1WJJVq25XDtGjt-J2JPxeKs3jIvDZtkIREC0lFPXwf74/edit"",""28!e38"")"),2334.0)</f>
        <v>2334</v>
      </c>
      <c r="H743" s="40">
        <f>IFERROR(__xludf.DUMMYFUNCTION("IMPORTRANGE(""https://docs.google.com/spreadsheets/d/1WJJVq25XDtGjt-J2JPxeKs3jIvDZtkIREC0lFPXwf74/edit"",""28!e39"")"),0.0)</f>
        <v>0</v>
      </c>
      <c r="I743" s="40">
        <f t="shared" si="2040"/>
        <v>2334</v>
      </c>
      <c r="J743" s="40">
        <f>IFERROR(__xludf.DUMMYFUNCTION("IMPORTRANGE(""https://docs.google.com/spreadsheets/d/1WJJVq25XDtGjt-J2JPxeKs3jIvDZtkIREC0lFPXwf74/edit"",""28!e42"")"),1670.0)</f>
        <v>1670</v>
      </c>
      <c r="K743" s="40">
        <f>IFERROR(__xludf.DUMMYFUNCTION("IMPORTRANGE(""https://docs.google.com/spreadsheets/d/1WJJVq25XDtGjt-J2JPxeKs3jIvDZtkIREC0lFPXwf74/edit"",""28!e43"")"),0.0)</f>
        <v>0</v>
      </c>
      <c r="L743" s="40">
        <f t="shared" ref="L743:L752" si="2070">SUM(J743:K743)</f>
        <v>1670</v>
      </c>
      <c r="M743" s="40">
        <f t="shared" si="2042"/>
        <v>4004</v>
      </c>
      <c r="N743" s="41">
        <f t="shared" si="2043"/>
        <v>199.6962069</v>
      </c>
      <c r="O743" s="38">
        <v>4796.0</v>
      </c>
      <c r="P743" s="42">
        <f t="shared" si="2044"/>
        <v>0.8348623853</v>
      </c>
      <c r="Q743" s="43">
        <v>1.5</v>
      </c>
      <c r="R743" s="42">
        <f t="shared" si="2045"/>
        <v>0.4609300219</v>
      </c>
      <c r="S743" s="44">
        <f t="shared" si="2046"/>
        <v>0.6913950328</v>
      </c>
      <c r="T743" s="43">
        <f>F743/37.414</f>
        <v>154.7867109</v>
      </c>
      <c r="U743" s="43">
        <f t="shared" si="2047"/>
        <v>5.337472788</v>
      </c>
      <c r="V743" s="40">
        <f t="shared" si="2048"/>
        <v>138.0689655</v>
      </c>
      <c r="X743" s="22">
        <v>3.0</v>
      </c>
      <c r="Y743" s="22" t="s">
        <v>34</v>
      </c>
      <c r="Z743" s="22">
        <f t="shared" ref="Z743:AI743" si="2068">SUM(D739)</f>
        <v>40</v>
      </c>
      <c r="AA743" s="23">
        <f t="shared" si="2068"/>
        <v>40</v>
      </c>
      <c r="AB743" s="24">
        <f t="shared" si="2068"/>
        <v>8022.201</v>
      </c>
      <c r="AC743" s="23">
        <f t="shared" si="2068"/>
        <v>3277</v>
      </c>
      <c r="AD743" s="23">
        <f t="shared" si="2068"/>
        <v>0</v>
      </c>
      <c r="AE743" s="23">
        <f t="shared" si="2068"/>
        <v>3277</v>
      </c>
      <c r="AF743" s="23">
        <f t="shared" si="2068"/>
        <v>3380</v>
      </c>
      <c r="AG743" s="23">
        <f t="shared" si="2068"/>
        <v>88</v>
      </c>
      <c r="AH743" s="23">
        <f t="shared" si="2068"/>
        <v>3468</v>
      </c>
      <c r="AI743" s="23">
        <f t="shared" si="2068"/>
        <v>6745</v>
      </c>
      <c r="AJ743" s="25">
        <f t="shared" si="2060"/>
        <v>200.555025</v>
      </c>
      <c r="AK743" s="22">
        <f>SUM(O739)</f>
        <v>9354</v>
      </c>
      <c r="AL743" s="26">
        <f t="shared" si="2062"/>
        <v>0.7210818901</v>
      </c>
      <c r="AM743" s="27">
        <f>SUM(Q739)</f>
        <v>1.5</v>
      </c>
      <c r="AN743" s="26">
        <f t="shared" si="2064"/>
        <v>0.5605277986</v>
      </c>
      <c r="AO743" s="28">
        <f t="shared" si="2065"/>
        <v>0.8407916979</v>
      </c>
      <c r="AP743" s="27">
        <f t="shared" ref="AP743:AQ743" si="2069">SUM(T739)</f>
        <v>261.1988734</v>
      </c>
      <c r="AQ743" s="27">
        <f t="shared" si="2069"/>
        <v>6.529971836</v>
      </c>
      <c r="AR743" s="23">
        <f t="shared" si="2067"/>
        <v>168.625</v>
      </c>
    </row>
    <row r="744" ht="15.75" customHeight="1">
      <c r="A744" s="21"/>
      <c r="B744" s="38">
        <v>10.0</v>
      </c>
      <c r="C744" s="38" t="s">
        <v>37</v>
      </c>
      <c r="D744" s="78">
        <v>30.0</v>
      </c>
      <c r="E744" s="40">
        <f>IFERROR(__xludf.DUMMYFUNCTION("COUNT(IMPORTRANGE(""https://docs.google.com/spreadsheets/d/1rJyYfywRpWJW0zvDJHLOJtqUQqffoCGaqTVxxTDgV0k/edit"",""28!d2:d31""))"),28.0)</f>
        <v>28</v>
      </c>
      <c r="F744" s="45">
        <f>IFERROR(__xludf.DUMMYFUNCTION("SUM(IMPORTRANGE(""https://docs.google.com/spreadsheets/d/1rJyYfywRpWJW0zvDJHLOJtqUQqffoCGaqTVxxTDgV0k/edit"",""28!Q2:Q31""))"),5537.304000000004)</f>
        <v>5537.304</v>
      </c>
      <c r="G744" s="40">
        <f>IFERROR(__xludf.DUMMYFUNCTION("(IMPORTRANGE(""https://docs.google.com/spreadsheets/d/1rJyYfywRpWJW0zvDJHLOJtqUQqffoCGaqTVxxTDgV0k/edit"",""28!e38""))"),2005.0)</f>
        <v>2005</v>
      </c>
      <c r="H744" s="40">
        <f>IFERROR(__xludf.DUMMYFUNCTION("(IMPORTRANGE(""https://docs.google.com/spreadsheets/d/1rJyYfywRpWJW0zvDJHLOJtqUQqffoCGaqTVxxTDgV0k/edit"",""28!e39""))"),0.0)</f>
        <v>0</v>
      </c>
      <c r="I744" s="40">
        <f t="shared" si="2040"/>
        <v>2005</v>
      </c>
      <c r="J744" s="40">
        <f>IFERROR(__xludf.DUMMYFUNCTION("(IMPORTRANGE(""https://docs.google.com/spreadsheets/d/1rJyYfywRpWJW0zvDJHLOJtqUQqffoCGaqTVxxTDgV0k/edit"",""28!e42""))"),3202.0)</f>
        <v>3202</v>
      </c>
      <c r="K744" s="40">
        <f>IFERROR(__xludf.DUMMYFUNCTION("(IMPORTRANGE(""https://docs.google.com/spreadsheets/d/1rJyYfywRpWJW0zvDJHLOJtqUQqffoCGaqTVxxTDgV0k/edit"",""28!e43""))"),0.0)</f>
        <v>0</v>
      </c>
      <c r="L744" s="40">
        <f t="shared" si="2070"/>
        <v>3202</v>
      </c>
      <c r="M744" s="40">
        <f t="shared" si="2042"/>
        <v>5207</v>
      </c>
      <c r="N744" s="41">
        <f t="shared" si="2043"/>
        <v>197.7608571</v>
      </c>
      <c r="O744" s="38">
        <v>5887.0</v>
      </c>
      <c r="P744" s="42">
        <f t="shared" si="2044"/>
        <v>0.8844912519</v>
      </c>
      <c r="Q744" s="43">
        <v>1.5</v>
      </c>
      <c r="R744" s="42">
        <f t="shared" si="2045"/>
        <v>0.6268995405</v>
      </c>
      <c r="S744" s="44">
        <f t="shared" si="2046"/>
        <v>0.9403493108</v>
      </c>
      <c r="T744" s="43">
        <f>F744/24.792</f>
        <v>223.3504356</v>
      </c>
      <c r="U744" s="43">
        <f t="shared" si="2047"/>
        <v>7.976801272</v>
      </c>
      <c r="V744" s="40">
        <f t="shared" si="2048"/>
        <v>185.9642857</v>
      </c>
      <c r="X744" s="31">
        <v>4.0</v>
      </c>
      <c r="Y744" s="31" t="s">
        <v>38</v>
      </c>
      <c r="Z744" s="31">
        <f t="shared" ref="Z744:AI744" si="2071">SUM(D747)</f>
        <v>30</v>
      </c>
      <c r="AA744" s="32">
        <f t="shared" si="2071"/>
        <v>30</v>
      </c>
      <c r="AB744" s="33">
        <f t="shared" si="2071"/>
        <v>6470.216</v>
      </c>
      <c r="AC744" s="32">
        <f t="shared" si="2071"/>
        <v>2321</v>
      </c>
      <c r="AD744" s="32">
        <f t="shared" si="2071"/>
        <v>55</v>
      </c>
      <c r="AE744" s="32">
        <f t="shared" si="2071"/>
        <v>2376</v>
      </c>
      <c r="AF744" s="32">
        <f t="shared" si="2071"/>
        <v>3109</v>
      </c>
      <c r="AG744" s="32">
        <f t="shared" si="2071"/>
        <v>492</v>
      </c>
      <c r="AH744" s="32">
        <f t="shared" si="2071"/>
        <v>3601</v>
      </c>
      <c r="AI744" s="32">
        <f t="shared" si="2071"/>
        <v>5977</v>
      </c>
      <c r="AJ744" s="34">
        <f t="shared" si="2060"/>
        <v>215.6738667</v>
      </c>
      <c r="AK744" s="31">
        <v>7324.0</v>
      </c>
      <c r="AL744" s="35">
        <f t="shared" si="2062"/>
        <v>0.816084107</v>
      </c>
      <c r="AM744" s="36">
        <f>SUM(Q747)</f>
        <v>1.5</v>
      </c>
      <c r="AN744" s="35">
        <f t="shared" si="2064"/>
        <v>0.6158475492</v>
      </c>
      <c r="AO744" s="37">
        <f t="shared" si="2065"/>
        <v>0.9237713239</v>
      </c>
      <c r="AP744" s="36">
        <f t="shared" ref="AP744:AQ744" si="2072">SUM(T747)</f>
        <v>157.0250212</v>
      </c>
      <c r="AQ744" s="36">
        <f t="shared" si="2072"/>
        <v>5.234167375</v>
      </c>
      <c r="AR744" s="32">
        <f t="shared" si="2067"/>
        <v>199.2333333</v>
      </c>
    </row>
    <row r="745" ht="15.75" customHeight="1">
      <c r="A745" s="21"/>
      <c r="B745" s="38">
        <v>12.0</v>
      </c>
      <c r="C745" s="38" t="s">
        <v>39</v>
      </c>
      <c r="D745" s="78">
        <v>28.0</v>
      </c>
      <c r="E745" s="40">
        <f>IFERROR(__xludf.DUMMYFUNCTION("COUNT(IMPORTRANGE(""https://docs.google.com/spreadsheets/d/1uaTn2DZCfr7O1PvovOd0wElzVz8kpl_iPfnrkNPp0Is/edit"",""28!d2:d29""))"),28.0)</f>
        <v>28</v>
      </c>
      <c r="F745" s="45">
        <f>IFERROR(__xludf.DUMMYFUNCTION("SUM(IMPORTRANGE(""https://docs.google.com/spreadsheets/d/1uaTn2DZCfr7O1PvovOd0wElzVz8kpl_iPfnrkNPp0Is/edit"",""28!Q2:Q29""))"),5415.952000000004)</f>
        <v>5415.952</v>
      </c>
      <c r="G745" s="40">
        <f>IFERROR(__xludf.DUMMYFUNCTION("IMPORTRANGE(""https://docs.google.com/spreadsheets/d/1uaTn2DZCfr7O1PvovOd0wElzVz8kpl_iPfnrkNPp0Is/edit"",""28!e36"")"),1188.0)</f>
        <v>1188</v>
      </c>
      <c r="H745" s="40">
        <f>IFERROR(__xludf.DUMMYFUNCTION("(IMPORTRANGE(""https://docs.google.com/spreadsheets/d/1uaTn2DZCfr7O1PvovOd0wElzVz8kpl_iPfnrkNPp0Is/edit"",""28!e37""))"),0.0)</f>
        <v>0</v>
      </c>
      <c r="I745" s="40">
        <f t="shared" si="2040"/>
        <v>1188</v>
      </c>
      <c r="J745" s="40">
        <f>IFERROR(__xludf.DUMMYFUNCTION("IMPORTRANGE(""https://docs.google.com/spreadsheets/d/1uaTn2DZCfr7O1PvovOd0wElzVz8kpl_iPfnrkNPp0Is/edit"",""28!e40"")"),1542.0)</f>
        <v>1542</v>
      </c>
      <c r="K745" s="40">
        <f>IFERROR(__xludf.DUMMYFUNCTION("IMPORTRANGE(""https://docs.google.com/spreadsheets/d/1uaTn2DZCfr7O1PvovOd0wElzVz8kpl_iPfnrkNPp0Is/edit"",""28!e41"")"),323.0)</f>
        <v>323</v>
      </c>
      <c r="L745" s="40">
        <f t="shared" si="2070"/>
        <v>1865</v>
      </c>
      <c r="M745" s="40">
        <f t="shared" si="2042"/>
        <v>3053</v>
      </c>
      <c r="N745" s="41">
        <f t="shared" si="2043"/>
        <v>193.4268571</v>
      </c>
      <c r="O745" s="38">
        <v>3569.0</v>
      </c>
      <c r="P745" s="42">
        <f t="shared" si="2044"/>
        <v>0.8554216867</v>
      </c>
      <c r="Q745" s="43">
        <v>1.5</v>
      </c>
      <c r="R745" s="42">
        <f t="shared" si="2045"/>
        <v>0.3758034291</v>
      </c>
      <c r="S745" s="44">
        <f t="shared" si="2046"/>
        <v>0.5637051436</v>
      </c>
      <c r="T745" s="43">
        <f>F745/21.463</f>
        <v>252.339002</v>
      </c>
      <c r="U745" s="43">
        <f t="shared" si="2047"/>
        <v>9.012107214</v>
      </c>
      <c r="V745" s="40">
        <f t="shared" si="2048"/>
        <v>109.0357143</v>
      </c>
      <c r="X745" s="31">
        <v>5.0</v>
      </c>
      <c r="Y745" s="31" t="s">
        <v>40</v>
      </c>
      <c r="Z745" s="31">
        <f t="shared" ref="Z745:AI745" si="2073">SUM(D749)</f>
        <v>30</v>
      </c>
      <c r="AA745" s="32">
        <f t="shared" si="2073"/>
        <v>30</v>
      </c>
      <c r="AB745" s="33">
        <f t="shared" si="2073"/>
        <v>5973.03</v>
      </c>
      <c r="AC745" s="32">
        <f t="shared" si="2073"/>
        <v>3390</v>
      </c>
      <c r="AD745" s="32">
        <f t="shared" si="2073"/>
        <v>35</v>
      </c>
      <c r="AE745" s="32">
        <f t="shared" si="2073"/>
        <v>3425</v>
      </c>
      <c r="AF745" s="32">
        <f t="shared" si="2073"/>
        <v>4016</v>
      </c>
      <c r="AG745" s="32">
        <f t="shared" si="2073"/>
        <v>77</v>
      </c>
      <c r="AH745" s="32">
        <f t="shared" si="2073"/>
        <v>4093</v>
      </c>
      <c r="AI745" s="32">
        <f t="shared" si="2073"/>
        <v>7518</v>
      </c>
      <c r="AJ745" s="34">
        <f t="shared" si="2060"/>
        <v>199.101</v>
      </c>
      <c r="AK745" s="31">
        <f t="shared" ref="AK745:AK746" si="2076">SUM(O749)</f>
        <v>8239</v>
      </c>
      <c r="AL745" s="35">
        <f t="shared" si="2062"/>
        <v>0.9124893798</v>
      </c>
      <c r="AM745" s="36">
        <f t="shared" ref="AM745:AM746" si="2077">SUM(Q749)</f>
        <v>1.5</v>
      </c>
      <c r="AN745" s="35">
        <f t="shared" si="2064"/>
        <v>0.8391051108</v>
      </c>
      <c r="AO745" s="37">
        <f t="shared" si="2065"/>
        <v>1.258657666</v>
      </c>
      <c r="AP745" s="36">
        <f t="shared" ref="AP745:AQ745" si="2074">SUM(T749)</f>
        <v>210</v>
      </c>
      <c r="AQ745" s="36">
        <f t="shared" si="2074"/>
        <v>7</v>
      </c>
      <c r="AR745" s="32">
        <f t="shared" si="2067"/>
        <v>250.6</v>
      </c>
    </row>
    <row r="746" ht="15.75" customHeight="1">
      <c r="A746" s="21"/>
      <c r="B746" s="38">
        <v>12.0</v>
      </c>
      <c r="C746" s="38" t="s">
        <v>41</v>
      </c>
      <c r="D746" s="78">
        <v>24.0</v>
      </c>
      <c r="E746" s="40">
        <f>IFERROR(__xludf.DUMMYFUNCTION("COUNT(IMPORTRANGE(""https://docs.google.com/spreadsheets/d/1oYscvfOJW7GMkxt8QcupWuzb3ohaYePd3Mt2V2ufHok/edit"",""28!d2:d25""))"),24.0)</f>
        <v>24</v>
      </c>
      <c r="F746" s="45">
        <f>IFERROR(__xludf.DUMMYFUNCTION("SUM(IMPORTRANGE(""https://docs.google.com/spreadsheets/d/1oYscvfOJW7GMkxt8QcupWuzb3ohaYePd3Mt2V2ufHok/edit"",""28!Q2:Q25""))"),4674.640000000001)</f>
        <v>4674.64</v>
      </c>
      <c r="G746" s="40">
        <f>IFERROR(__xludf.DUMMYFUNCTION("IMPORTRANGE(""https://docs.google.com/spreadsheets/d/1oYscvfOJW7GMkxt8QcupWuzb3ohaYePd3Mt2V2ufHok/edit"",""28!e32"")"),1293.0)</f>
        <v>1293</v>
      </c>
      <c r="H746" s="40">
        <f>IFERROR(__xludf.DUMMYFUNCTION("IMPORTRANGE(""https://docs.google.com/spreadsheets/d/1oYscvfOJW7GMkxt8QcupWuzb3ohaYePd3Mt2V2ufHok/edit"",""28!e33"")"),0.0)</f>
        <v>0</v>
      </c>
      <c r="I746" s="40">
        <f t="shared" si="2040"/>
        <v>1293</v>
      </c>
      <c r="J746" s="40">
        <f>IFERROR(__xludf.DUMMYFUNCTION("IMPORTRANGE(""https://docs.google.com/spreadsheets/d/1oYscvfOJW7GMkxt8QcupWuzb3ohaYePd3Mt2V2ufHok/edit"",""28!e36"")"),1629.0)</f>
        <v>1629</v>
      </c>
      <c r="K746" s="40">
        <f>IFERROR(__xludf.DUMMYFUNCTION("IMPORTRANGE(""https://docs.google.com/spreadsheets/d/1oYscvfOJW7GMkxt8QcupWuzb3ohaYePd3Mt2V2ufHok/edit"",""28!e37"")"),97.0)</f>
        <v>97</v>
      </c>
      <c r="L746" s="40">
        <f t="shared" si="2070"/>
        <v>1726</v>
      </c>
      <c r="M746" s="40">
        <f t="shared" si="2042"/>
        <v>3019</v>
      </c>
      <c r="N746" s="41">
        <f t="shared" si="2043"/>
        <v>194.7766667</v>
      </c>
      <c r="O746" s="38">
        <v>3801.0</v>
      </c>
      <c r="P746" s="42">
        <f t="shared" si="2044"/>
        <v>0.7942646672</v>
      </c>
      <c r="Q746" s="43">
        <v>1.5</v>
      </c>
      <c r="R746" s="42">
        <f t="shared" si="2045"/>
        <v>0.4305500887</v>
      </c>
      <c r="S746" s="44">
        <f t="shared" si="2046"/>
        <v>0.6458251331</v>
      </c>
      <c r="T746" s="43">
        <f>F746/29.628</f>
        <v>157.7777778</v>
      </c>
      <c r="U746" s="43">
        <f t="shared" si="2047"/>
        <v>6.574074074</v>
      </c>
      <c r="V746" s="40">
        <f t="shared" si="2048"/>
        <v>125.7916667</v>
      </c>
      <c r="X746" s="22">
        <v>6.0</v>
      </c>
      <c r="Y746" s="22" t="s">
        <v>42</v>
      </c>
      <c r="Z746" s="22">
        <f t="shared" ref="Z746:AI746" si="2075">SUM(D750)</f>
        <v>33</v>
      </c>
      <c r="AA746" s="23">
        <f t="shared" si="2075"/>
        <v>32</v>
      </c>
      <c r="AB746" s="24">
        <f t="shared" si="2075"/>
        <v>6397.206</v>
      </c>
      <c r="AC746" s="23">
        <f t="shared" si="2075"/>
        <v>3573</v>
      </c>
      <c r="AD746" s="23">
        <f t="shared" si="2075"/>
        <v>0</v>
      </c>
      <c r="AE746" s="23">
        <f t="shared" si="2075"/>
        <v>3573</v>
      </c>
      <c r="AF746" s="23">
        <f t="shared" si="2075"/>
        <v>4152</v>
      </c>
      <c r="AG746" s="23">
        <f t="shared" si="2075"/>
        <v>14</v>
      </c>
      <c r="AH746" s="23">
        <f t="shared" si="2075"/>
        <v>4166</v>
      </c>
      <c r="AI746" s="23">
        <f t="shared" si="2075"/>
        <v>7739</v>
      </c>
      <c r="AJ746" s="25">
        <f t="shared" si="2060"/>
        <v>199.9126875</v>
      </c>
      <c r="AK746" s="22">
        <f t="shared" si="2076"/>
        <v>9877</v>
      </c>
      <c r="AL746" s="26">
        <f t="shared" si="2062"/>
        <v>0.7835375114</v>
      </c>
      <c r="AM746" s="27">
        <f t="shared" si="2077"/>
        <v>1.5</v>
      </c>
      <c r="AN746" s="26">
        <f t="shared" si="2064"/>
        <v>0.8064979201</v>
      </c>
      <c r="AO746" s="28">
        <f t="shared" si="2065"/>
        <v>1.20974688</v>
      </c>
      <c r="AP746" s="27">
        <f t="shared" ref="AP746:AQ746" si="2078">SUM(T750)</f>
        <v>244.5882623</v>
      </c>
      <c r="AQ746" s="27">
        <f t="shared" si="2078"/>
        <v>7.643383196</v>
      </c>
      <c r="AR746" s="23">
        <f t="shared" si="2067"/>
        <v>241.84375</v>
      </c>
    </row>
    <row r="747" ht="15.75" customHeight="1">
      <c r="A747" s="21"/>
      <c r="B747" s="38">
        <v>13.0</v>
      </c>
      <c r="C747" s="38" t="s">
        <v>43</v>
      </c>
      <c r="D747" s="78">
        <v>30.0</v>
      </c>
      <c r="E747" s="40">
        <f>IFERROR(__xludf.DUMMYFUNCTION("COUNT(IMPORTRANGE(""https://docs.google.com/spreadsheets/d/1AxBmuQEdOYAeRnZ4C8vO6kuTNp7X_SGhpLXuY0n4ln4/edit"",""28!d2:d31""))"),30.0)</f>
        <v>30</v>
      </c>
      <c r="F747" s="45">
        <f>IFERROR(__xludf.DUMMYFUNCTION("SUM(IMPORTRANGE(""https://docs.google.com/spreadsheets/d/1AxBmuQEdOYAeRnZ4C8vO6kuTNp7X_SGhpLXuY0n4ln4/edit"",""28!Q2:Q31""))"),6470.216)</f>
        <v>6470.216</v>
      </c>
      <c r="G747" s="40">
        <f>IFERROR(__xludf.DUMMYFUNCTION("IMPORTRANGE(""https://docs.google.com/spreadsheets/d/1AxBmuQEdOYAeRnZ4C8vO6kuTNp7X_SGhpLXuY0n4ln4/edit"",""28!e38"")"),2321.0)</f>
        <v>2321</v>
      </c>
      <c r="H747" s="40">
        <f>IFERROR(__xludf.DUMMYFUNCTION("IMPORTRANGE(""https://docs.google.com/spreadsheets/d/1AxBmuQEdOYAeRnZ4C8vO6kuTNp7X_SGhpLXuY0n4ln4/edit"",""28!e39"")"),55.0)</f>
        <v>55</v>
      </c>
      <c r="I747" s="40">
        <f t="shared" si="2040"/>
        <v>2376</v>
      </c>
      <c r="J747" s="40">
        <f>IFERROR(__xludf.DUMMYFUNCTION("IMPORTRANGE(""https://docs.google.com/spreadsheets/d/1AxBmuQEdOYAeRnZ4C8vO6kuTNp7X_SGhpLXuY0n4ln4/edit"",""28!e42"")"),3109.0)</f>
        <v>3109</v>
      </c>
      <c r="K747" s="40">
        <f>IFERROR(__xludf.DUMMYFUNCTION("IMPORTRANGE(""https://docs.google.com/spreadsheets/d/1AxBmuQEdOYAeRnZ4C8vO6kuTNp7X_SGhpLXuY0n4ln4/edit"",""28!e43"")"),492.0)</f>
        <v>492</v>
      </c>
      <c r="L747" s="40">
        <f t="shared" si="2070"/>
        <v>3601</v>
      </c>
      <c r="M747" s="40">
        <f t="shared" si="2042"/>
        <v>5977</v>
      </c>
      <c r="N747" s="41">
        <f t="shared" si="2043"/>
        <v>215.6738667</v>
      </c>
      <c r="O747" s="38">
        <v>8345.0</v>
      </c>
      <c r="P747" s="42">
        <f t="shared" si="2044"/>
        <v>0.7162372678</v>
      </c>
      <c r="Q747" s="43">
        <v>1.5</v>
      </c>
      <c r="R747" s="42">
        <f t="shared" si="2045"/>
        <v>0.6158475492</v>
      </c>
      <c r="S747" s="44">
        <f t="shared" si="2046"/>
        <v>0.9237713239</v>
      </c>
      <c r="T747" s="43">
        <f>F747/41.205</f>
        <v>157.0250212</v>
      </c>
      <c r="U747" s="43">
        <f t="shared" si="2047"/>
        <v>5.234167375</v>
      </c>
      <c r="V747" s="40">
        <f t="shared" si="2048"/>
        <v>199.2333333</v>
      </c>
      <c r="X747" s="46" t="s">
        <v>33</v>
      </c>
      <c r="Y747" s="46">
        <v>6.0</v>
      </c>
      <c r="Z747" s="46">
        <f t="shared" ref="Z747:AI747" si="2079">SUM(Z741:Z746)</f>
        <v>226</v>
      </c>
      <c r="AA747" s="47">
        <f t="shared" si="2079"/>
        <v>224</v>
      </c>
      <c r="AB747" s="49">
        <f t="shared" si="2079"/>
        <v>44816.625</v>
      </c>
      <c r="AC747" s="47">
        <f t="shared" si="2079"/>
        <v>18960</v>
      </c>
      <c r="AD747" s="47">
        <f t="shared" si="2079"/>
        <v>381</v>
      </c>
      <c r="AE747" s="47">
        <f t="shared" si="2079"/>
        <v>19341</v>
      </c>
      <c r="AF747" s="47">
        <f t="shared" si="2079"/>
        <v>23091</v>
      </c>
      <c r="AG747" s="47">
        <f t="shared" si="2079"/>
        <v>807</v>
      </c>
      <c r="AH747" s="47">
        <f t="shared" si="2079"/>
        <v>23898</v>
      </c>
      <c r="AI747" s="47">
        <f t="shared" si="2079"/>
        <v>43239</v>
      </c>
      <c r="AJ747" s="49">
        <f t="shared" si="2060"/>
        <v>200.0742188</v>
      </c>
      <c r="AK747" s="46">
        <f>SUM(AK741:AK746)</f>
        <v>53273</v>
      </c>
      <c r="AL747" s="50">
        <f t="shared" si="2062"/>
        <v>0.8116494284</v>
      </c>
      <c r="AM747" s="51">
        <v>1.5</v>
      </c>
      <c r="AN747" s="50">
        <f t="shared" si="2064"/>
        <v>0.6431988129</v>
      </c>
      <c r="AO747" s="52">
        <f t="shared" si="2065"/>
        <v>0.9647982194</v>
      </c>
      <c r="AP747" s="51">
        <f>SUM(AP741:AP746)</f>
        <v>1470.547906</v>
      </c>
      <c r="AQ747" s="51">
        <f>AP747/AA747</f>
        <v>6.564946007</v>
      </c>
      <c r="AR747" s="47">
        <f t="shared" si="2067"/>
        <v>193.03125</v>
      </c>
    </row>
    <row r="748" ht="15.75" customHeight="1">
      <c r="A748" s="21"/>
      <c r="B748" s="38">
        <v>14.0</v>
      </c>
      <c r="C748" s="38" t="s">
        <v>27</v>
      </c>
      <c r="D748" s="78">
        <v>30.0</v>
      </c>
      <c r="E748" s="40">
        <f>IFERROR(__xludf.DUMMYFUNCTION("COUNT(IMPORTRANGE(""https://docs.google.com/spreadsheets/d/1LsL4JuXvBtfJ-TVi4NFml9lV_pmd61b789A_nbO-QrA/edit"",""28!d2:d31""))"),29.0)</f>
        <v>29</v>
      </c>
      <c r="F748" s="45">
        <f>IFERROR(__xludf.DUMMYFUNCTION("SUM(IMPORTRANGE(""https://docs.google.com/spreadsheets/d/1LsL4JuXvBtfJ-TVi4NFml9lV_pmd61b789A_nbO-QrA/edit"",""28!Q2:Q31""))"),5645.625000000001)</f>
        <v>5645.625</v>
      </c>
      <c r="G748" s="40">
        <f>IFERROR(__xludf.DUMMYFUNCTION("IMPORTRANGE(""https://docs.google.com/spreadsheets/d/1LsL4JuXvBtfJ-TVi4NFml9lV_pmd61b789A_nbO-QrA/edit"",""28!e38"")"),2956.0)</f>
        <v>2956</v>
      </c>
      <c r="H748" s="40">
        <f>IFERROR(__xludf.DUMMYFUNCTION("IMPORTRANGE(""https://docs.google.com/spreadsheets/d/1LsL4JuXvBtfJ-TVi4NFml9lV_pmd61b789A_nbO-QrA/edit"",""28!e39"")"),0.0)</f>
        <v>0</v>
      </c>
      <c r="I748" s="40">
        <f t="shared" si="2040"/>
        <v>2956</v>
      </c>
      <c r="J748" s="40">
        <f>IFERROR(__xludf.DUMMYFUNCTION("IMPORTRANGE(""https://docs.google.com/spreadsheets/d/1LsL4JuXvBtfJ-TVi4NFml9lV_pmd61b789A_nbO-QrA/edit"",""28!e42"")"),2968.0)</f>
        <v>2968</v>
      </c>
      <c r="K748" s="40">
        <f>IFERROR(__xludf.DUMMYFUNCTION("IMPORTRANGE(""https://docs.google.com/spreadsheets/d/1LsL4JuXvBtfJ-TVi4NFml9lV_pmd61b789A_nbO-QrA/edit"",""28!e43"")"),0.0)</f>
        <v>0</v>
      </c>
      <c r="L748" s="40">
        <f t="shared" si="2070"/>
        <v>2968</v>
      </c>
      <c r="M748" s="40">
        <f t="shared" si="2042"/>
        <v>5924</v>
      </c>
      <c r="N748" s="41">
        <f t="shared" si="2043"/>
        <v>194.6767241</v>
      </c>
      <c r="O748" s="38">
        <v>8101.0</v>
      </c>
      <c r="P748" s="42">
        <f t="shared" si="2044"/>
        <v>0.7312677447</v>
      </c>
      <c r="Q748" s="43">
        <v>1.5</v>
      </c>
      <c r="R748" s="42">
        <f t="shared" si="2045"/>
        <v>0.6995387284</v>
      </c>
      <c r="S748" s="44">
        <f t="shared" si="2046"/>
        <v>1.049308093</v>
      </c>
      <c r="T748" s="43">
        <f>F748/19.985</f>
        <v>282.4931198</v>
      </c>
      <c r="U748" s="43">
        <f t="shared" si="2047"/>
        <v>9.741142063</v>
      </c>
      <c r="V748" s="40">
        <f t="shared" si="2048"/>
        <v>204.2758621</v>
      </c>
      <c r="X748" s="59" t="s">
        <v>44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6"/>
    </row>
    <row r="749" ht="15.75" customHeight="1">
      <c r="A749" s="21"/>
      <c r="B749" s="38">
        <v>15.0</v>
      </c>
      <c r="C749" s="38" t="s">
        <v>40</v>
      </c>
      <c r="D749" s="78">
        <v>30.0</v>
      </c>
      <c r="E749" s="40">
        <f>IFERROR(__xludf.DUMMYFUNCTION("COUNT(IMPORTRANGE(""https://docs.google.com/spreadsheets/d/1Krav0MVlY0vbUNsFRDnb_kR72_tyuGnWBYbGjNZrl18/edit"",""28!d2:d31""))"),30.0)</f>
        <v>30</v>
      </c>
      <c r="F749" s="45">
        <f>IFERROR(__xludf.DUMMYFUNCTION("SUM(IMPORTRANGE(""https://docs.google.com/spreadsheets/d/1Krav0MVlY0vbUNsFRDnb_kR72_tyuGnWBYbGjNZrl18/edit"",""28!Q2:Q31""))"),5973.029999999998)</f>
        <v>5973.03</v>
      </c>
      <c r="G749" s="40">
        <f>IFERROR(__xludf.DUMMYFUNCTION("IMPORTRANGE(""https://docs.google.com/spreadsheets/d/1Krav0MVlY0vbUNsFRDnb_kR72_tyuGnWBYbGjNZrl18/edit"",""28!e38"")"),3390.0)</f>
        <v>3390</v>
      </c>
      <c r="H749" s="40">
        <f>IFERROR(__xludf.DUMMYFUNCTION("IMPORTRANGE(""https://docs.google.com/spreadsheets/d/1Krav0MVlY0vbUNsFRDnb_kR72_tyuGnWBYbGjNZrl18/edit"",""28!e39"")"),35.0)</f>
        <v>35</v>
      </c>
      <c r="I749" s="40">
        <f t="shared" si="2040"/>
        <v>3425</v>
      </c>
      <c r="J749" s="40">
        <f>IFERROR(__xludf.DUMMYFUNCTION("IMPORTRANGE(""https://docs.google.com/spreadsheets/d/1Krav0MVlY0vbUNsFRDnb_kR72_tyuGnWBYbGjNZrl18/edit"",""28!e42"")"),4016.0)</f>
        <v>4016</v>
      </c>
      <c r="K749" s="40">
        <f>IFERROR(__xludf.DUMMYFUNCTION("IMPORTRANGE(""https://docs.google.com/spreadsheets/d/1Krav0MVlY0vbUNsFRDnb_kR72_tyuGnWBYbGjNZrl18/edit"",""28!e43"")"),77.0)</f>
        <v>77</v>
      </c>
      <c r="L749" s="40">
        <f t="shared" si="2070"/>
        <v>4093</v>
      </c>
      <c r="M749" s="40">
        <f t="shared" si="2042"/>
        <v>7518</v>
      </c>
      <c r="N749" s="41">
        <f t="shared" si="2043"/>
        <v>199.101</v>
      </c>
      <c r="O749" s="38">
        <v>8239.0</v>
      </c>
      <c r="P749" s="42">
        <f t="shared" si="2044"/>
        <v>0.9124893798</v>
      </c>
      <c r="Q749" s="43">
        <v>1.5</v>
      </c>
      <c r="R749" s="42">
        <f t="shared" si="2045"/>
        <v>0.8391051108</v>
      </c>
      <c r="S749" s="44">
        <f t="shared" si="2046"/>
        <v>1.258657666</v>
      </c>
      <c r="T749" s="43">
        <f>F749/28.443</f>
        <v>210</v>
      </c>
      <c r="U749" s="43">
        <f t="shared" si="2047"/>
        <v>7</v>
      </c>
      <c r="V749" s="40">
        <f t="shared" si="2048"/>
        <v>250.6</v>
      </c>
      <c r="X749" s="14" t="s">
        <v>2</v>
      </c>
      <c r="Y749" s="14" t="s">
        <v>3</v>
      </c>
      <c r="Z749" s="14" t="s">
        <v>4</v>
      </c>
      <c r="AA749" s="14" t="s">
        <v>5</v>
      </c>
      <c r="AB749" s="15" t="s">
        <v>6</v>
      </c>
      <c r="AC749" s="14" t="s">
        <v>7</v>
      </c>
      <c r="AD749" s="14" t="s">
        <v>8</v>
      </c>
      <c r="AE749" s="14" t="s">
        <v>9</v>
      </c>
      <c r="AF749" s="14" t="s">
        <v>10</v>
      </c>
      <c r="AG749" s="14" t="s">
        <v>11</v>
      </c>
      <c r="AH749" s="14" t="s">
        <v>12</v>
      </c>
      <c r="AI749" s="14" t="s">
        <v>13</v>
      </c>
      <c r="AJ749" s="15" t="s">
        <v>14</v>
      </c>
      <c r="AK749" s="14" t="s">
        <v>15</v>
      </c>
      <c r="AL749" s="14" t="s">
        <v>16</v>
      </c>
      <c r="AM749" s="16" t="s">
        <v>17</v>
      </c>
      <c r="AN749" s="17" t="s">
        <v>18</v>
      </c>
      <c r="AO749" s="18" t="s">
        <v>19</v>
      </c>
      <c r="AP749" s="19" t="s">
        <v>20</v>
      </c>
      <c r="AQ749" s="19" t="s">
        <v>21</v>
      </c>
      <c r="AR749" s="20" t="s">
        <v>22</v>
      </c>
    </row>
    <row r="750" ht="15.75" customHeight="1">
      <c r="A750" s="21"/>
      <c r="B750" s="38">
        <v>16.0</v>
      </c>
      <c r="C750" s="38" t="s">
        <v>42</v>
      </c>
      <c r="D750" s="78">
        <v>33.0</v>
      </c>
      <c r="E750" s="40">
        <f>IFERROR(__xludf.DUMMYFUNCTION("COUNT(IMPORTRANGE(""https://docs.google.com/spreadsheets/d/1uXtm-E8PG0CetlFmSpTX3RK0LNEMnpR-mxbET9AGD6w/edit"",""28!d2:d34""))"),32.0)</f>
        <v>32</v>
      </c>
      <c r="F750" s="45">
        <f>IFERROR(__xludf.DUMMYFUNCTION("SUM(IMPORTRANGE(""https://docs.google.com/spreadsheets/d/1uXtm-E8PG0CetlFmSpTX3RK0LNEMnpR-mxbET9AGD6w/edit"",""28!Q2:Q34""))"),6397.205999999998)</f>
        <v>6397.206</v>
      </c>
      <c r="G750" s="40">
        <f>IFERROR(__xludf.DUMMYFUNCTION("IMPORTRANGE(""https://docs.google.com/spreadsheets/d/1uXtm-E8PG0CetlFmSpTX3RK0LNEMnpR-mxbET9AGD6w/edit"",""28!e41"")"),3573.0)</f>
        <v>3573</v>
      </c>
      <c r="H750" s="40">
        <f>IFERROR(__xludf.DUMMYFUNCTION("IMPORTRANGE(""https://docs.google.com/spreadsheets/d/1uXtm-E8PG0CetlFmSpTX3RK0LNEMnpR-mxbET9AGD6w/edit"",""28!e42"")"),0.0)</f>
        <v>0</v>
      </c>
      <c r="I750" s="40">
        <f t="shared" si="2040"/>
        <v>3573</v>
      </c>
      <c r="J750" s="40">
        <f>IFERROR(__xludf.DUMMYFUNCTION("IMPORTRANGE(""https://docs.google.com/spreadsheets/d/1uXtm-E8PG0CetlFmSpTX3RK0LNEMnpR-mxbET9AGD6w/edit"",""28!e45"")"),4152.0)</f>
        <v>4152</v>
      </c>
      <c r="K750" s="40">
        <f>IFERROR(__xludf.DUMMYFUNCTION("IMPORTRANGE(""https://docs.google.com/spreadsheets/d/1uXtm-E8PG0CetlFmSpTX3RK0LNEMnpR-mxbET9AGD6w/edit"",""28!e46"")"),14.0)</f>
        <v>14</v>
      </c>
      <c r="L750" s="40">
        <f t="shared" si="2070"/>
        <v>4166</v>
      </c>
      <c r="M750" s="40">
        <f t="shared" si="2042"/>
        <v>7739</v>
      </c>
      <c r="N750" s="41">
        <f t="shared" si="2043"/>
        <v>199.9126875</v>
      </c>
      <c r="O750" s="38">
        <v>9877.0</v>
      </c>
      <c r="P750" s="42">
        <f t="shared" si="2044"/>
        <v>0.7835375114</v>
      </c>
      <c r="Q750" s="43">
        <v>1.5</v>
      </c>
      <c r="R750" s="42">
        <f t="shared" si="2045"/>
        <v>0.8064979201</v>
      </c>
      <c r="S750" s="44">
        <f t="shared" si="2046"/>
        <v>1.20974688</v>
      </c>
      <c r="T750" s="43">
        <f>F750/26.155</f>
        <v>244.5882623</v>
      </c>
      <c r="U750" s="43">
        <f t="shared" si="2047"/>
        <v>7.643383196</v>
      </c>
      <c r="V750" s="40">
        <f t="shared" si="2048"/>
        <v>241.84375</v>
      </c>
      <c r="X750" s="31">
        <v>1.0</v>
      </c>
      <c r="Y750" s="31" t="s">
        <v>26</v>
      </c>
      <c r="Z750" s="31">
        <f t="shared" ref="Z750:AI750" si="2080">SUM(D735)</f>
        <v>20</v>
      </c>
      <c r="AA750" s="32">
        <f t="shared" si="2080"/>
        <v>20</v>
      </c>
      <c r="AB750" s="34">
        <f t="shared" si="2080"/>
        <v>3762.927</v>
      </c>
      <c r="AC750" s="32">
        <f t="shared" si="2080"/>
        <v>2021</v>
      </c>
      <c r="AD750" s="32">
        <f t="shared" si="2080"/>
        <v>0</v>
      </c>
      <c r="AE750" s="32">
        <f t="shared" si="2080"/>
        <v>2021</v>
      </c>
      <c r="AF750" s="32">
        <f t="shared" si="2080"/>
        <v>2848</v>
      </c>
      <c r="AG750" s="32">
        <f t="shared" si="2080"/>
        <v>0</v>
      </c>
      <c r="AH750" s="32">
        <f t="shared" si="2080"/>
        <v>2848</v>
      </c>
      <c r="AI750" s="32">
        <f t="shared" si="2080"/>
        <v>4869</v>
      </c>
      <c r="AJ750" s="34">
        <f t="shared" ref="AJ750:AJ756" si="2083">AB750/AA750</f>
        <v>188.14635</v>
      </c>
      <c r="AK750" s="31">
        <f>SUM(O735)</f>
        <v>5161</v>
      </c>
      <c r="AL750" s="35">
        <f t="shared" ref="AL750:AL756" si="2084">AI750/AK750</f>
        <v>0.9434218175</v>
      </c>
      <c r="AM750" s="36">
        <f>SUM(Q735)</f>
        <v>1.5</v>
      </c>
      <c r="AN750" s="35">
        <f t="shared" ref="AN750:AN756" si="2085">AO750/AM750</f>
        <v>0.8626263544</v>
      </c>
      <c r="AO750" s="37">
        <f t="shared" ref="AO750:AO756" si="2086">AI750/AB750</f>
        <v>1.293939532</v>
      </c>
      <c r="AP750" s="36">
        <f t="shared" ref="AP750:AQ750" si="2081">SUM(T735)</f>
        <v>261.0424558</v>
      </c>
      <c r="AQ750" s="36">
        <f t="shared" si="2081"/>
        <v>13.05212279</v>
      </c>
      <c r="AR750" s="32">
        <f t="shared" ref="AR750:AR756" si="2088">AI750/AA750</f>
        <v>243.45</v>
      </c>
    </row>
    <row r="751" ht="15.75" customHeight="1">
      <c r="A751" s="21"/>
      <c r="B751" s="38">
        <v>17.0</v>
      </c>
      <c r="C751" s="38" t="s">
        <v>29</v>
      </c>
      <c r="D751" s="78">
        <v>30.0</v>
      </c>
      <c r="E751" s="40">
        <f>IFERROR(__xludf.DUMMYFUNCTION("COUNT(IMPORTRANGE(""https://docs.google.com/spreadsheets/d/12xcKI0lSnAsjEsxfm9K8Qx0B_89Gzsh816mowItkQao/edit"",""28!d2:d31""))"),30.0)</f>
        <v>30</v>
      </c>
      <c r="F751" s="45">
        <f>IFERROR(__xludf.DUMMYFUNCTION("SUM(IMPORTRANGE(""https://docs.google.com/spreadsheets/d/12xcKI0lSnAsjEsxfm9K8Qx0B_89Gzsh816mowItkQao/edit"",""28!Q2:Q31""))"),6040.816000000002)</f>
        <v>6040.816</v>
      </c>
      <c r="G751" s="40">
        <f>IFERROR(__xludf.DUMMYFUNCTION("IMPORTRANGE(""https://docs.google.com/spreadsheets/d/12xcKI0lSnAsjEsxfm9K8Qx0B_89Gzsh816mowItkQao/edit"",""28!e38"")"),2814.0)</f>
        <v>2814</v>
      </c>
      <c r="H751" s="40">
        <f>IFERROR(__xludf.DUMMYFUNCTION("IMPORTRANGE(""https://docs.google.com/spreadsheets/d/12xcKI0lSnAsjEsxfm9K8Qx0B_89Gzsh816mowItkQao/edit"",""28!e39"")"),0.0)</f>
        <v>0</v>
      </c>
      <c r="I751" s="40">
        <f t="shared" si="2040"/>
        <v>2814</v>
      </c>
      <c r="J751" s="40">
        <f>IFERROR(__xludf.DUMMYFUNCTION("IMPORTRANGE(""https://docs.google.com/spreadsheets/d/12xcKI0lSnAsjEsxfm9K8Qx0B_89Gzsh816mowItkQao/edit"",""28!e42"")"),4452.0)</f>
        <v>4452</v>
      </c>
      <c r="K751" s="40">
        <f>IFERROR(__xludf.DUMMYFUNCTION("IMPORTRANGE(""https://docs.google.com/spreadsheets/d/12xcKI0lSnAsjEsxfm9K8Qx0B_89Gzsh816mowItkQao/edit"",""28!e43"")"),0.0)</f>
        <v>0</v>
      </c>
      <c r="L751" s="40">
        <f t="shared" si="2070"/>
        <v>4452</v>
      </c>
      <c r="M751" s="40">
        <f t="shared" si="2042"/>
        <v>7266</v>
      </c>
      <c r="N751" s="41">
        <f t="shared" si="2043"/>
        <v>201.3605333</v>
      </c>
      <c r="O751" s="38">
        <v>9201.0</v>
      </c>
      <c r="P751" s="42">
        <f t="shared" si="2044"/>
        <v>0.7896967721</v>
      </c>
      <c r="Q751" s="43">
        <v>1.5</v>
      </c>
      <c r="R751" s="42">
        <f t="shared" si="2045"/>
        <v>0.8018784217</v>
      </c>
      <c r="S751" s="44">
        <f t="shared" si="2046"/>
        <v>1.202817633</v>
      </c>
      <c r="T751" s="43">
        <f>F751/26.038</f>
        <v>232</v>
      </c>
      <c r="U751" s="43">
        <f t="shared" si="2047"/>
        <v>7.733333333</v>
      </c>
      <c r="V751" s="40">
        <f t="shared" si="2048"/>
        <v>242.2</v>
      </c>
      <c r="X751" s="31">
        <v>2.0</v>
      </c>
      <c r="Y751" s="31" t="s">
        <v>32</v>
      </c>
      <c r="Z751" s="31">
        <f t="shared" ref="Z751:AI751" si="2082">SUM(D738)</f>
        <v>42</v>
      </c>
      <c r="AA751" s="32">
        <f t="shared" si="2082"/>
        <v>42</v>
      </c>
      <c r="AB751" s="33">
        <f t="shared" si="2082"/>
        <v>8144.604</v>
      </c>
      <c r="AC751" s="31">
        <f t="shared" si="2082"/>
        <v>4689</v>
      </c>
      <c r="AD751" s="31">
        <f t="shared" si="2082"/>
        <v>0</v>
      </c>
      <c r="AE751" s="32">
        <f t="shared" si="2082"/>
        <v>4689</v>
      </c>
      <c r="AF751" s="31">
        <f t="shared" si="2082"/>
        <v>5889</v>
      </c>
      <c r="AG751" s="31">
        <f t="shared" si="2082"/>
        <v>0</v>
      </c>
      <c r="AH751" s="32">
        <f t="shared" si="2082"/>
        <v>5889</v>
      </c>
      <c r="AI751" s="32">
        <f t="shared" si="2082"/>
        <v>10578</v>
      </c>
      <c r="AJ751" s="34">
        <f t="shared" si="2083"/>
        <v>193.9191429</v>
      </c>
      <c r="AK751" s="31">
        <f>SUM(O738)</f>
        <v>13817</v>
      </c>
      <c r="AL751" s="35">
        <f t="shared" si="2084"/>
        <v>0.765578635</v>
      </c>
      <c r="AM751" s="36">
        <f>SUM(Q738)</f>
        <v>1.5</v>
      </c>
      <c r="AN751" s="35">
        <f t="shared" si="2085"/>
        <v>0.8658493403</v>
      </c>
      <c r="AO751" s="37">
        <f t="shared" si="2086"/>
        <v>1.29877401</v>
      </c>
      <c r="AP751" s="36">
        <f t="shared" ref="AP751:AQ751" si="2087">SUM(T738)</f>
        <v>324.6284826</v>
      </c>
      <c r="AQ751" s="36">
        <f t="shared" si="2087"/>
        <v>7.729249586</v>
      </c>
      <c r="AR751" s="32">
        <f t="shared" si="2088"/>
        <v>251.8571429</v>
      </c>
    </row>
    <row r="752" ht="15.75" customHeight="1">
      <c r="A752" s="21"/>
      <c r="B752" s="38">
        <v>18.0</v>
      </c>
      <c r="C752" s="38" t="s">
        <v>31</v>
      </c>
      <c r="D752" s="78">
        <v>15.0</v>
      </c>
      <c r="E752" s="40">
        <f>IFERROR(__xludf.DUMMYFUNCTION("COUNT(IMPORTRANGE(""https://docs.google.com/spreadsheets/d/1fgCFOFzOla4Qim6_-zG-lbYhLCItqv_kZiAHoErRgcM/edit"",""28!d2:d16""))"),14.0)</f>
        <v>14</v>
      </c>
      <c r="F752" s="41">
        <f>IFERROR(__xludf.DUMMYFUNCTION("SUM(IMPORTRANGE(""https://docs.google.com/spreadsheets/d/1fgCFOFzOla4Qim6_-zG-lbYhLCItqv_kZiAHoErRgcM/edit"",""28!Q2:Q16""))"),2868.69)</f>
        <v>2868.69</v>
      </c>
      <c r="G752" s="40">
        <f>IFERROR(__xludf.DUMMYFUNCTION("IMPORTRANGE(""https://docs.google.com/spreadsheets/d/1fgCFOFzOla4Qim6_-zG-lbYhLCItqv_kZiAHoErRgcM/edit"",""28!e23"")"),928.0)</f>
        <v>928</v>
      </c>
      <c r="H752" s="40">
        <f>IFERROR(__xludf.DUMMYFUNCTION("IMPORTRANGE(""https://docs.google.com/spreadsheets/d/1fgCFOFzOla4Qim6_-zG-lbYhLCItqv_kZiAHoErRgcM/edit"",""28!e24"")"),0.0)</f>
        <v>0</v>
      </c>
      <c r="I752" s="40">
        <f t="shared" si="2040"/>
        <v>928</v>
      </c>
      <c r="J752" s="40">
        <f>IFERROR(__xludf.DUMMYFUNCTION("IMPORTRANGE(""https://docs.google.com/spreadsheets/d/1fgCFOFzOla4Qim6_-zG-lbYhLCItqv_kZiAHoErRgcM/edit"",""28!e27"")"),1063.0)</f>
        <v>1063</v>
      </c>
      <c r="K752" s="40">
        <f>IFERROR(__xludf.DUMMYFUNCTION("IMPORTRANGE(""https://docs.google.com/spreadsheets/d/1fgCFOFzOla4Qim6_-zG-lbYhLCItqv_kZiAHoErRgcM/edit"",""28!e28"")"),0.0)</f>
        <v>0</v>
      </c>
      <c r="L752" s="40">
        <f t="shared" si="2070"/>
        <v>1063</v>
      </c>
      <c r="M752" s="40">
        <f t="shared" si="2042"/>
        <v>1991</v>
      </c>
      <c r="N752" s="41">
        <f t="shared" si="2043"/>
        <v>204.9064286</v>
      </c>
      <c r="O752" s="38">
        <v>2717.0</v>
      </c>
      <c r="P752" s="42">
        <f t="shared" si="2044"/>
        <v>0.7327935223</v>
      </c>
      <c r="Q752" s="43">
        <v>1.5</v>
      </c>
      <c r="R752" s="42">
        <f t="shared" si="2045"/>
        <v>0.462696678</v>
      </c>
      <c r="S752" s="44">
        <f t="shared" si="2046"/>
        <v>0.6940450171</v>
      </c>
      <c r="T752" s="43">
        <f>F752/43.465</f>
        <v>66</v>
      </c>
      <c r="U752" s="43">
        <f t="shared" si="2047"/>
        <v>4.714285714</v>
      </c>
      <c r="V752" s="40">
        <f t="shared" si="2048"/>
        <v>142.2142857</v>
      </c>
      <c r="X752" s="31">
        <v>3.0</v>
      </c>
      <c r="Y752" s="31" t="s">
        <v>36</v>
      </c>
      <c r="Z752" s="31">
        <f t="shared" ref="Z752:AI752" si="2089">SUM(D743)</f>
        <v>29</v>
      </c>
      <c r="AA752" s="32">
        <f t="shared" si="2089"/>
        <v>29</v>
      </c>
      <c r="AB752" s="33">
        <f t="shared" si="2089"/>
        <v>5791.19</v>
      </c>
      <c r="AC752" s="32">
        <f t="shared" si="2089"/>
        <v>2334</v>
      </c>
      <c r="AD752" s="32">
        <f t="shared" si="2089"/>
        <v>0</v>
      </c>
      <c r="AE752" s="32">
        <f t="shared" si="2089"/>
        <v>2334</v>
      </c>
      <c r="AF752" s="32">
        <f t="shared" si="2089"/>
        <v>1670</v>
      </c>
      <c r="AG752" s="32">
        <f t="shared" si="2089"/>
        <v>0</v>
      </c>
      <c r="AH752" s="32">
        <f t="shared" si="2089"/>
        <v>1670</v>
      </c>
      <c r="AI752" s="32">
        <f t="shared" si="2089"/>
        <v>4004</v>
      </c>
      <c r="AJ752" s="34">
        <f t="shared" si="2083"/>
        <v>199.6962069</v>
      </c>
      <c r="AK752" s="31">
        <f t="shared" ref="AK752:AK755" si="2093">SUM(O743)</f>
        <v>4796</v>
      </c>
      <c r="AL752" s="35">
        <f t="shared" si="2084"/>
        <v>0.8348623853</v>
      </c>
      <c r="AM752" s="36">
        <f t="shared" ref="AM752:AM755" si="2094">SUM(Q743)</f>
        <v>1.5</v>
      </c>
      <c r="AN752" s="35">
        <f t="shared" si="2085"/>
        <v>0.4609300219</v>
      </c>
      <c r="AO752" s="37">
        <f t="shared" si="2086"/>
        <v>0.6913950328</v>
      </c>
      <c r="AP752" s="36">
        <f t="shared" ref="AP752:AQ752" si="2090">SUM(T743)</f>
        <v>154.7867109</v>
      </c>
      <c r="AQ752" s="36">
        <f t="shared" si="2090"/>
        <v>5.337472788</v>
      </c>
      <c r="AR752" s="32">
        <f t="shared" si="2088"/>
        <v>138.0689655</v>
      </c>
    </row>
    <row r="753" ht="15.75" customHeight="1">
      <c r="A753" s="21"/>
      <c r="B753" s="60" t="s">
        <v>33</v>
      </c>
      <c r="C753" s="60">
        <v>18.0</v>
      </c>
      <c r="D753" s="60">
        <f t="shared" ref="D753:M753" si="2091">SUM(D735:D752)</f>
        <v>585</v>
      </c>
      <c r="E753" s="61">
        <f t="shared" si="2091"/>
        <v>577</v>
      </c>
      <c r="F753" s="62">
        <f t="shared" si="2091"/>
        <v>113888.366</v>
      </c>
      <c r="G753" s="61">
        <f t="shared" si="2091"/>
        <v>44428</v>
      </c>
      <c r="H753" s="61">
        <f t="shared" si="2091"/>
        <v>786</v>
      </c>
      <c r="I753" s="61">
        <f t="shared" si="2091"/>
        <v>45214</v>
      </c>
      <c r="J753" s="61">
        <f t="shared" si="2091"/>
        <v>56447</v>
      </c>
      <c r="K753" s="61">
        <f t="shared" si="2091"/>
        <v>1696</v>
      </c>
      <c r="L753" s="61">
        <f t="shared" si="2091"/>
        <v>58143</v>
      </c>
      <c r="M753" s="61">
        <f t="shared" si="2091"/>
        <v>103357</v>
      </c>
      <c r="N753" s="62">
        <f t="shared" si="2043"/>
        <v>197.3801837</v>
      </c>
      <c r="O753" s="60">
        <f>SUM(O735:O752)</f>
        <v>126399</v>
      </c>
      <c r="P753" s="63">
        <f t="shared" si="2044"/>
        <v>0.817704254</v>
      </c>
      <c r="Q753" s="64">
        <v>1.5</v>
      </c>
      <c r="R753" s="63">
        <f t="shared" si="2045"/>
        <v>0.6050193631</v>
      </c>
      <c r="S753" s="65">
        <f t="shared" si="2046"/>
        <v>0.9075290447</v>
      </c>
      <c r="T753" s="64">
        <f>SUM(T735:T752)</f>
        <v>4192.238343</v>
      </c>
      <c r="U753" s="64">
        <f t="shared" si="2047"/>
        <v>7.265577718</v>
      </c>
      <c r="V753" s="61">
        <f t="shared" si="2048"/>
        <v>179.1282496</v>
      </c>
      <c r="X753" s="31">
        <v>4.0</v>
      </c>
      <c r="Y753" s="31" t="s">
        <v>37</v>
      </c>
      <c r="Z753" s="31">
        <f t="shared" ref="Z753:AI753" si="2092">SUM(D744)</f>
        <v>30</v>
      </c>
      <c r="AA753" s="32">
        <f t="shared" si="2092"/>
        <v>28</v>
      </c>
      <c r="AB753" s="33">
        <f t="shared" si="2092"/>
        <v>5537.304</v>
      </c>
      <c r="AC753" s="32">
        <f t="shared" si="2092"/>
        <v>2005</v>
      </c>
      <c r="AD753" s="32">
        <f t="shared" si="2092"/>
        <v>0</v>
      </c>
      <c r="AE753" s="32">
        <f t="shared" si="2092"/>
        <v>2005</v>
      </c>
      <c r="AF753" s="32">
        <f t="shared" si="2092"/>
        <v>3202</v>
      </c>
      <c r="AG753" s="32">
        <f t="shared" si="2092"/>
        <v>0</v>
      </c>
      <c r="AH753" s="32">
        <f t="shared" si="2092"/>
        <v>3202</v>
      </c>
      <c r="AI753" s="32">
        <f t="shared" si="2092"/>
        <v>5207</v>
      </c>
      <c r="AJ753" s="34">
        <f t="shared" si="2083"/>
        <v>197.7608571</v>
      </c>
      <c r="AK753" s="31">
        <f t="shared" si="2093"/>
        <v>5887</v>
      </c>
      <c r="AL753" s="35">
        <f t="shared" si="2084"/>
        <v>0.8844912519</v>
      </c>
      <c r="AM753" s="36">
        <f t="shared" si="2094"/>
        <v>1.5</v>
      </c>
      <c r="AN753" s="35">
        <f t="shared" si="2085"/>
        <v>0.6268995405</v>
      </c>
      <c r="AO753" s="37">
        <f t="shared" si="2086"/>
        <v>0.9403493108</v>
      </c>
      <c r="AP753" s="36">
        <f t="shared" ref="AP753:AQ753" si="2095">SUM(T744)</f>
        <v>223.3504356</v>
      </c>
      <c r="AQ753" s="36">
        <f t="shared" si="2095"/>
        <v>7.976801272</v>
      </c>
      <c r="AR753" s="32">
        <f t="shared" si="2088"/>
        <v>185.9642857</v>
      </c>
    </row>
    <row r="754" ht="15.7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X754" s="31">
        <v>5.0</v>
      </c>
      <c r="Y754" s="31" t="s">
        <v>39</v>
      </c>
      <c r="Z754" s="31">
        <f t="shared" ref="Z754:AI754" si="2096">SUM(D745)</f>
        <v>28</v>
      </c>
      <c r="AA754" s="32">
        <f t="shared" si="2096"/>
        <v>28</v>
      </c>
      <c r="AB754" s="33">
        <f t="shared" si="2096"/>
        <v>5415.952</v>
      </c>
      <c r="AC754" s="32">
        <f t="shared" si="2096"/>
        <v>1188</v>
      </c>
      <c r="AD754" s="32">
        <f t="shared" si="2096"/>
        <v>0</v>
      </c>
      <c r="AE754" s="32">
        <f t="shared" si="2096"/>
        <v>1188</v>
      </c>
      <c r="AF754" s="32">
        <f t="shared" si="2096"/>
        <v>1542</v>
      </c>
      <c r="AG754" s="32">
        <f t="shared" si="2096"/>
        <v>323</v>
      </c>
      <c r="AH754" s="32">
        <f t="shared" si="2096"/>
        <v>1865</v>
      </c>
      <c r="AI754" s="32">
        <f t="shared" si="2096"/>
        <v>3053</v>
      </c>
      <c r="AJ754" s="34">
        <f t="shared" si="2083"/>
        <v>193.4268571</v>
      </c>
      <c r="AK754" s="31">
        <f t="shared" si="2093"/>
        <v>3569</v>
      </c>
      <c r="AL754" s="35">
        <f t="shared" si="2084"/>
        <v>0.8554216867</v>
      </c>
      <c r="AM754" s="36">
        <f t="shared" si="2094"/>
        <v>1.5</v>
      </c>
      <c r="AN754" s="35">
        <f t="shared" si="2085"/>
        <v>0.3758034291</v>
      </c>
      <c r="AO754" s="37">
        <f t="shared" si="2086"/>
        <v>0.5637051436</v>
      </c>
      <c r="AP754" s="36">
        <f t="shared" ref="AP754:AQ754" si="2097">SUM(T745)</f>
        <v>252.339002</v>
      </c>
      <c r="AQ754" s="36">
        <f t="shared" si="2097"/>
        <v>9.012107214</v>
      </c>
      <c r="AR754" s="32">
        <f t="shared" si="2088"/>
        <v>109.0357143</v>
      </c>
    </row>
    <row r="755" ht="15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X755" s="31">
        <v>6.0</v>
      </c>
      <c r="Y755" s="31" t="s">
        <v>41</v>
      </c>
      <c r="Z755" s="31">
        <f t="shared" ref="Z755:AI755" si="2098">SUM(D746)</f>
        <v>24</v>
      </c>
      <c r="AA755" s="32">
        <f t="shared" si="2098"/>
        <v>24</v>
      </c>
      <c r="AB755" s="33">
        <f t="shared" si="2098"/>
        <v>4674.64</v>
      </c>
      <c r="AC755" s="32">
        <f t="shared" si="2098"/>
        <v>1293</v>
      </c>
      <c r="AD755" s="32">
        <f t="shared" si="2098"/>
        <v>0</v>
      </c>
      <c r="AE755" s="32">
        <f t="shared" si="2098"/>
        <v>1293</v>
      </c>
      <c r="AF755" s="32">
        <f t="shared" si="2098"/>
        <v>1629</v>
      </c>
      <c r="AG755" s="32">
        <f t="shared" si="2098"/>
        <v>97</v>
      </c>
      <c r="AH755" s="32">
        <f t="shared" si="2098"/>
        <v>1726</v>
      </c>
      <c r="AI755" s="32">
        <f t="shared" si="2098"/>
        <v>3019</v>
      </c>
      <c r="AJ755" s="34">
        <f t="shared" si="2083"/>
        <v>194.7766667</v>
      </c>
      <c r="AK755" s="31">
        <f t="shared" si="2093"/>
        <v>3801</v>
      </c>
      <c r="AL755" s="35">
        <f t="shared" si="2084"/>
        <v>0.7942646672</v>
      </c>
      <c r="AM755" s="36">
        <f t="shared" si="2094"/>
        <v>1.5</v>
      </c>
      <c r="AN755" s="35">
        <f t="shared" si="2085"/>
        <v>0.4305500887</v>
      </c>
      <c r="AO755" s="37">
        <f t="shared" si="2086"/>
        <v>0.6458251331</v>
      </c>
      <c r="AP755" s="36">
        <f t="shared" ref="AP755:AQ755" si="2099">SUM(T746)</f>
        <v>157.7777778</v>
      </c>
      <c r="AQ755" s="36">
        <f t="shared" si="2099"/>
        <v>6.574074074</v>
      </c>
      <c r="AR755" s="32">
        <f t="shared" si="2088"/>
        <v>125.7916667</v>
      </c>
    </row>
    <row r="756" ht="15.75" customHeight="1">
      <c r="A756" s="1" t="s">
        <v>45</v>
      </c>
      <c r="D756" s="2"/>
      <c r="X756" s="46" t="s">
        <v>33</v>
      </c>
      <c r="Y756" s="46">
        <v>6.0</v>
      </c>
      <c r="Z756" s="46">
        <f t="shared" ref="Z756:AI756" si="2100">SUM(Z750:Z755)</f>
        <v>173</v>
      </c>
      <c r="AA756" s="47">
        <f t="shared" si="2100"/>
        <v>171</v>
      </c>
      <c r="AB756" s="49">
        <f t="shared" si="2100"/>
        <v>33326.617</v>
      </c>
      <c r="AC756" s="47">
        <f t="shared" si="2100"/>
        <v>13530</v>
      </c>
      <c r="AD756" s="47">
        <f t="shared" si="2100"/>
        <v>0</v>
      </c>
      <c r="AE756" s="47">
        <f t="shared" si="2100"/>
        <v>13530</v>
      </c>
      <c r="AF756" s="47">
        <f t="shared" si="2100"/>
        <v>16780</v>
      </c>
      <c r="AG756" s="47">
        <f t="shared" si="2100"/>
        <v>420</v>
      </c>
      <c r="AH756" s="47">
        <f t="shared" si="2100"/>
        <v>17200</v>
      </c>
      <c r="AI756" s="47">
        <f t="shared" si="2100"/>
        <v>30730</v>
      </c>
      <c r="AJ756" s="49">
        <f t="shared" si="2083"/>
        <v>194.8924971</v>
      </c>
      <c r="AK756" s="46">
        <f>SUM(AK750:AK755)</f>
        <v>37031</v>
      </c>
      <c r="AL756" s="50">
        <f t="shared" si="2084"/>
        <v>0.8298452648</v>
      </c>
      <c r="AM756" s="51">
        <v>1.5</v>
      </c>
      <c r="AN756" s="50">
        <f t="shared" si="2085"/>
        <v>0.6147238607</v>
      </c>
      <c r="AO756" s="52">
        <f t="shared" si="2086"/>
        <v>0.9220857911</v>
      </c>
      <c r="AP756" s="51">
        <f>SUM(AP750:AP755)</f>
        <v>1373.924865</v>
      </c>
      <c r="AQ756" s="51">
        <f>AP756/AA756</f>
        <v>8.034648331</v>
      </c>
      <c r="AR756" s="47">
        <f t="shared" si="2088"/>
        <v>179.7076023</v>
      </c>
    </row>
    <row r="757" ht="15.75" customHeight="1">
      <c r="A757" s="1" t="s">
        <v>45</v>
      </c>
      <c r="D757" s="2"/>
      <c r="X757" s="66" t="s">
        <v>1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6"/>
    </row>
    <row r="758" ht="15.75" customHeight="1">
      <c r="A758" s="7">
        <v>46232.0</v>
      </c>
      <c r="B758" s="8" t="s">
        <v>2</v>
      </c>
      <c r="C758" s="8" t="s">
        <v>3</v>
      </c>
      <c r="D758" s="8" t="s">
        <v>4</v>
      </c>
      <c r="E758" s="8" t="s">
        <v>5</v>
      </c>
      <c r="F758" s="9" t="s">
        <v>6</v>
      </c>
      <c r="G758" s="8" t="s">
        <v>7</v>
      </c>
      <c r="H758" s="8" t="s">
        <v>8</v>
      </c>
      <c r="I758" s="8" t="s">
        <v>9</v>
      </c>
      <c r="J758" s="8" t="s">
        <v>10</v>
      </c>
      <c r="K758" s="8" t="s">
        <v>11</v>
      </c>
      <c r="L758" s="8" t="s">
        <v>12</v>
      </c>
      <c r="M758" s="8" t="s">
        <v>13</v>
      </c>
      <c r="N758" s="9" t="s">
        <v>14</v>
      </c>
      <c r="O758" s="8" t="s">
        <v>15</v>
      </c>
      <c r="P758" s="8" t="s">
        <v>16</v>
      </c>
      <c r="Q758" s="8" t="s">
        <v>17</v>
      </c>
      <c r="R758" s="8" t="s">
        <v>18</v>
      </c>
      <c r="S758" s="11" t="s">
        <v>19</v>
      </c>
      <c r="T758" s="12" t="s">
        <v>20</v>
      </c>
      <c r="U758" s="12" t="s">
        <v>21</v>
      </c>
      <c r="V758" s="13" t="s">
        <v>22</v>
      </c>
      <c r="X758" s="14" t="s">
        <v>2</v>
      </c>
      <c r="Y758" s="14" t="s">
        <v>3</v>
      </c>
      <c r="Z758" s="14" t="s">
        <v>4</v>
      </c>
      <c r="AA758" s="14" t="s">
        <v>5</v>
      </c>
      <c r="AB758" s="15" t="s">
        <v>6</v>
      </c>
      <c r="AC758" s="14" t="s">
        <v>7</v>
      </c>
      <c r="AD758" s="14" t="s">
        <v>8</v>
      </c>
      <c r="AE758" s="14" t="s">
        <v>9</v>
      </c>
      <c r="AF758" s="14" t="s">
        <v>10</v>
      </c>
      <c r="AG758" s="14" t="s">
        <v>11</v>
      </c>
      <c r="AH758" s="14" t="s">
        <v>12</v>
      </c>
      <c r="AI758" s="14" t="s">
        <v>13</v>
      </c>
      <c r="AJ758" s="15" t="s">
        <v>14</v>
      </c>
      <c r="AK758" s="14" t="s">
        <v>15</v>
      </c>
      <c r="AL758" s="14" t="s">
        <v>16</v>
      </c>
      <c r="AM758" s="16" t="s">
        <v>17</v>
      </c>
      <c r="AN758" s="17" t="s">
        <v>18</v>
      </c>
      <c r="AO758" s="18" t="s">
        <v>19</v>
      </c>
      <c r="AP758" s="19" t="s">
        <v>20</v>
      </c>
      <c r="AQ758" s="19" t="s">
        <v>21</v>
      </c>
      <c r="AR758" s="20" t="s">
        <v>22</v>
      </c>
    </row>
    <row r="759" ht="15.7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X759" s="22">
        <v>1.0</v>
      </c>
      <c r="Y759" s="22" t="s">
        <v>23</v>
      </c>
      <c r="Z759" s="22">
        <f t="shared" ref="Z759:AI759" si="2101">SUM(D767)</f>
        <v>35</v>
      </c>
      <c r="AA759" s="23">
        <f t="shared" si="2101"/>
        <v>35</v>
      </c>
      <c r="AB759" s="24">
        <f t="shared" si="2101"/>
        <v>6882.96</v>
      </c>
      <c r="AC759" s="23">
        <f t="shared" si="2101"/>
        <v>1758</v>
      </c>
      <c r="AD759" s="23">
        <f t="shared" si="2101"/>
        <v>0</v>
      </c>
      <c r="AE759" s="23">
        <f t="shared" si="2101"/>
        <v>1758</v>
      </c>
      <c r="AF759" s="23">
        <f t="shared" si="2101"/>
        <v>3293</v>
      </c>
      <c r="AG759" s="23">
        <f t="shared" si="2101"/>
        <v>0</v>
      </c>
      <c r="AH759" s="23">
        <f t="shared" si="2101"/>
        <v>3293</v>
      </c>
      <c r="AI759" s="23">
        <f t="shared" si="2101"/>
        <v>5051</v>
      </c>
      <c r="AJ759" s="25">
        <f t="shared" ref="AJ759:AJ761" si="2104">AB759/AA759</f>
        <v>196.656</v>
      </c>
      <c r="AK759" s="22">
        <f>SUM(O767)</f>
        <v>6853</v>
      </c>
      <c r="AL759" s="26">
        <f t="shared" ref="AL759:AL765" si="2105">AI759/AK759</f>
        <v>0.7370494674</v>
      </c>
      <c r="AM759" s="27">
        <f t="shared" ref="AM759:AM761" si="2106">SUM(Q767)</f>
        <v>1.5</v>
      </c>
      <c r="AN759" s="26">
        <f t="shared" ref="AN759:AN765" si="2107">AO759/AM759</f>
        <v>0.4892275029</v>
      </c>
      <c r="AO759" s="28">
        <f t="shared" ref="AO759:AO765" si="2108">AI759/AB759</f>
        <v>0.7338412543</v>
      </c>
      <c r="AP759" s="27">
        <f t="shared" ref="AP759:AQ759" si="2102">SUM(T767)</f>
        <v>204</v>
      </c>
      <c r="AQ759" s="27">
        <f t="shared" si="2102"/>
        <v>5.828571429</v>
      </c>
      <c r="AR759" s="23">
        <f t="shared" ref="AR759:AR765" si="2110">AI759/AA759</f>
        <v>144.3142857</v>
      </c>
    </row>
    <row r="760" ht="15.7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X760" s="22">
        <v>2.0</v>
      </c>
      <c r="Y760" s="22" t="s">
        <v>24</v>
      </c>
      <c r="Z760" s="22">
        <f t="shared" ref="Z760:AI760" si="2103">SUM(D768)</f>
        <v>44</v>
      </c>
      <c r="AA760" s="23">
        <f t="shared" si="2103"/>
        <v>43</v>
      </c>
      <c r="AB760" s="24">
        <f t="shared" si="2103"/>
        <v>8590.101</v>
      </c>
      <c r="AC760" s="23">
        <f t="shared" si="2103"/>
        <v>1148</v>
      </c>
      <c r="AD760" s="23">
        <f t="shared" si="2103"/>
        <v>0</v>
      </c>
      <c r="AE760" s="23">
        <f t="shared" si="2103"/>
        <v>1148</v>
      </c>
      <c r="AF760" s="23">
        <f t="shared" si="2103"/>
        <v>1387</v>
      </c>
      <c r="AG760" s="23">
        <f t="shared" si="2103"/>
        <v>48</v>
      </c>
      <c r="AH760" s="23">
        <f t="shared" si="2103"/>
        <v>1435</v>
      </c>
      <c r="AI760" s="23">
        <f t="shared" si="2103"/>
        <v>2583</v>
      </c>
      <c r="AJ760" s="25">
        <f t="shared" si="2104"/>
        <v>199.7697907</v>
      </c>
      <c r="AK760" s="22">
        <v>1580.0</v>
      </c>
      <c r="AL760" s="29">
        <f t="shared" si="2105"/>
        <v>1.634810127</v>
      </c>
      <c r="AM760" s="27">
        <f t="shared" si="2106"/>
        <v>1.5</v>
      </c>
      <c r="AN760" s="26">
        <f t="shared" si="2107"/>
        <v>0.2004633007</v>
      </c>
      <c r="AO760" s="28">
        <f t="shared" si="2108"/>
        <v>0.3006949511</v>
      </c>
      <c r="AP760" s="27">
        <f t="shared" ref="AP760:AQ760" si="2109">SUM(T768)</f>
        <v>320.4663682</v>
      </c>
      <c r="AQ760" s="27">
        <f t="shared" si="2109"/>
        <v>7.452706238</v>
      </c>
      <c r="AR760" s="23">
        <f t="shared" si="2110"/>
        <v>60.06976744</v>
      </c>
    </row>
    <row r="761" ht="15.75" customHeight="1">
      <c r="A761" s="21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X761" s="31">
        <v>3.0</v>
      </c>
      <c r="Y761" s="31" t="s">
        <v>25</v>
      </c>
      <c r="Z761" s="31">
        <f t="shared" ref="Z761:AI761" si="2111">SUM(D769)</f>
        <v>32</v>
      </c>
      <c r="AA761" s="32">
        <f t="shared" si="2111"/>
        <v>32</v>
      </c>
      <c r="AB761" s="33">
        <f t="shared" si="2111"/>
        <v>6029.752</v>
      </c>
      <c r="AC761" s="32">
        <f t="shared" si="2111"/>
        <v>2347</v>
      </c>
      <c r="AD761" s="32">
        <f t="shared" si="2111"/>
        <v>386</v>
      </c>
      <c r="AE761" s="32">
        <f t="shared" si="2111"/>
        <v>2733</v>
      </c>
      <c r="AF761" s="32">
        <f t="shared" si="2111"/>
        <v>3822</v>
      </c>
      <c r="AG761" s="32">
        <f t="shared" si="2111"/>
        <v>501</v>
      </c>
      <c r="AH761" s="32">
        <f t="shared" si="2111"/>
        <v>4323</v>
      </c>
      <c r="AI761" s="32">
        <f t="shared" si="2111"/>
        <v>7056</v>
      </c>
      <c r="AJ761" s="34">
        <f t="shared" si="2104"/>
        <v>188.42975</v>
      </c>
      <c r="AK761" s="31">
        <f>SUM(O769)</f>
        <v>6622</v>
      </c>
      <c r="AL761" s="67">
        <f t="shared" si="2105"/>
        <v>1.065539112</v>
      </c>
      <c r="AM761" s="36">
        <f t="shared" si="2106"/>
        <v>1.5</v>
      </c>
      <c r="AN761" s="35">
        <f t="shared" si="2107"/>
        <v>0.7801315875</v>
      </c>
      <c r="AO761" s="37">
        <f t="shared" si="2108"/>
        <v>1.170197381</v>
      </c>
      <c r="AP761" s="36">
        <f t="shared" ref="AP761:AQ761" si="2112">SUM(T769)</f>
        <v>252.9258389</v>
      </c>
      <c r="AQ761" s="36">
        <f t="shared" si="2112"/>
        <v>7.903932466</v>
      </c>
      <c r="AR761" s="32">
        <f t="shared" si="2110"/>
        <v>220.5</v>
      </c>
    </row>
    <row r="762" ht="15.75" customHeight="1">
      <c r="A762" s="21"/>
      <c r="B762" s="38">
        <v>1.0</v>
      </c>
      <c r="C762" s="38" t="s">
        <v>26</v>
      </c>
      <c r="D762" s="77">
        <v>20.0</v>
      </c>
      <c r="E762" s="40">
        <f>IFERROR(__xludf.DUMMYFUNCTION("COUNT(IMPORTRANGE(""https://docs.google.com/spreadsheets/d/1z0o91thOT38lgejTE_Bd2p3v_9VCDdQRkUsMIVqpQCk/edit"",""29!d2:d21""))"),20.0)</f>
        <v>20</v>
      </c>
      <c r="F762" s="41">
        <f>IFERROR(__xludf.DUMMYFUNCTION("SUM(IMPORTRANGE(""https://docs.google.com/spreadsheets/d/1z0o91thOT38lgejTE_Bd2p3v_9VCDdQRkUsMIVqpQCk/edit"",""29!Q2:Q21""))"),3755.6429999999996)</f>
        <v>3755.643</v>
      </c>
      <c r="G762" s="40">
        <f>IFERROR(__xludf.DUMMYFUNCTION("IMPORTRANGE(""https://docs.google.com/spreadsheets/d/1z0o91thOT38lgejTE_Bd2p3v_9VCDdQRkUsMIVqpQCk/edit"",""29!e28"")"),2241.0)</f>
        <v>2241</v>
      </c>
      <c r="H762" s="40">
        <f>IFERROR(__xludf.DUMMYFUNCTION("IMPORTRANGE(""https://docs.google.com/spreadsheets/d/1z0o91thOT38lgejTE_Bd2p3v_9VCDdQRkUsMIVqpQCk/edit"",""29!e29"")"),0.0)</f>
        <v>0</v>
      </c>
      <c r="I762" s="40">
        <f t="shared" ref="I762:I779" si="2115">SUM(G762:H762)</f>
        <v>2241</v>
      </c>
      <c r="J762" s="40">
        <f>IFERROR(__xludf.DUMMYFUNCTION("IMPORTRANGE(""https://docs.google.com/spreadsheets/d/1z0o91thOT38lgejTE_Bd2p3v_9VCDdQRkUsMIVqpQCk/edit"",""29!e32"")"),2899.0)</f>
        <v>2899</v>
      </c>
      <c r="K762" s="40">
        <f>IFERROR(__xludf.DUMMYFUNCTION("IMPORTRANGE(""https://docs.google.com/spreadsheets/d/1z0o91thOT38lgejTE_Bd2p3v_9VCDdQRkUsMIVqpQCk/edit"",""29!e33"")"),0.0)</f>
        <v>0</v>
      </c>
      <c r="L762" s="40">
        <f t="shared" ref="L762:L768" si="2116">SUM(J762:K762)</f>
        <v>2899</v>
      </c>
      <c r="M762" s="40">
        <f t="shared" ref="M762:M779" si="2117">SUM(I762+L762)</f>
        <v>5140</v>
      </c>
      <c r="N762" s="41">
        <f t="shared" ref="N762:N780" si="2118">F762/E762</f>
        <v>187.78215</v>
      </c>
      <c r="O762" s="38">
        <v>5161.0</v>
      </c>
      <c r="P762" s="42">
        <f t="shared" ref="P762:P780" si="2119">M762/O762</f>
        <v>0.9959310211</v>
      </c>
      <c r="Q762" s="43">
        <v>1.5</v>
      </c>
      <c r="R762" s="42">
        <f t="shared" ref="R762:R780" si="2120">S762/Q762</f>
        <v>0.912404791</v>
      </c>
      <c r="S762" s="44">
        <f t="shared" ref="S762:S780" si="2121">M762/F762</f>
        <v>1.368607187</v>
      </c>
      <c r="T762" s="43">
        <f>F762/14.415</f>
        <v>260.5371488</v>
      </c>
      <c r="U762" s="43">
        <f t="shared" ref="U762:U780" si="2122">T762/E762</f>
        <v>13.02685744</v>
      </c>
      <c r="V762" s="40">
        <f t="shared" ref="V762:V780" si="2123">M762/E762</f>
        <v>257</v>
      </c>
      <c r="X762" s="22">
        <v>4.0</v>
      </c>
      <c r="Y762" s="22" t="s">
        <v>27</v>
      </c>
      <c r="Z762" s="22">
        <f t="shared" ref="Z762:AK762" si="2113">SUM(D775)</f>
        <v>30</v>
      </c>
      <c r="AA762" s="23">
        <f t="shared" si="2113"/>
        <v>28</v>
      </c>
      <c r="AB762" s="24">
        <f t="shared" si="2113"/>
        <v>5231.963</v>
      </c>
      <c r="AC762" s="23">
        <f t="shared" si="2113"/>
        <v>2609</v>
      </c>
      <c r="AD762" s="23">
        <f t="shared" si="2113"/>
        <v>0</v>
      </c>
      <c r="AE762" s="23">
        <f t="shared" si="2113"/>
        <v>2609</v>
      </c>
      <c r="AF762" s="23">
        <f t="shared" si="2113"/>
        <v>3255</v>
      </c>
      <c r="AG762" s="23">
        <f t="shared" si="2113"/>
        <v>0</v>
      </c>
      <c r="AH762" s="23">
        <f t="shared" si="2113"/>
        <v>3255</v>
      </c>
      <c r="AI762" s="23">
        <f t="shared" si="2113"/>
        <v>5864</v>
      </c>
      <c r="AJ762" s="25">
        <f t="shared" si="2113"/>
        <v>186.8558214</v>
      </c>
      <c r="AK762" s="22">
        <f t="shared" si="2113"/>
        <v>8101</v>
      </c>
      <c r="AL762" s="26">
        <f t="shared" si="2105"/>
        <v>0.7238612517</v>
      </c>
      <c r="AM762" s="27">
        <f>SUM(Q775)</f>
        <v>1.5</v>
      </c>
      <c r="AN762" s="26">
        <f t="shared" si="2107"/>
        <v>0.7472020221</v>
      </c>
      <c r="AO762" s="28">
        <f t="shared" si="2108"/>
        <v>1.120803033</v>
      </c>
      <c r="AP762" s="27">
        <f t="shared" ref="AP762:AQ762" si="2114">SUM(T775)</f>
        <v>261.7944959</v>
      </c>
      <c r="AQ762" s="27">
        <f t="shared" si="2114"/>
        <v>9.349803424</v>
      </c>
      <c r="AR762" s="23">
        <f t="shared" si="2110"/>
        <v>209.4285714</v>
      </c>
    </row>
    <row r="763" ht="15.75" customHeight="1">
      <c r="A763" s="21"/>
      <c r="B763" s="38">
        <v>2.0</v>
      </c>
      <c r="C763" s="38" t="s">
        <v>28</v>
      </c>
      <c r="D763" s="78">
        <v>33.0</v>
      </c>
      <c r="E763" s="40">
        <f>IFERROR(__xludf.DUMMYFUNCTION("COUNT(IMPORTRANGE(""https://docs.google.com/spreadsheets/d/10a85iNN0y9GF6ngQfF1JXGAzFk-T7ywH4-TZtQcOTaE/edit"",""29!d2:d34""))"),33.0)</f>
        <v>33</v>
      </c>
      <c r="F763" s="41">
        <f>IFERROR(__xludf.DUMMYFUNCTION("SUM(IMPORTRANGE(""https://docs.google.com/spreadsheets/d/10a85iNN0y9GF6ngQfF1JXGAzFk-T7ywH4-TZtQcOTaE/edit"",""29!Q2:Q34""))"),6374.348000000001)</f>
        <v>6374.348</v>
      </c>
      <c r="G763" s="40">
        <f>IFERROR(__xludf.DUMMYFUNCTION("IMPORTRANGE(""https://docs.google.com/spreadsheets/d/10a85iNN0y9GF6ngQfF1JXGAzFk-T7ywH4-TZtQcOTaE/edit"",""29!e41"")"),2752.0)</f>
        <v>2752</v>
      </c>
      <c r="H763" s="40">
        <f>IFERROR(__xludf.DUMMYFUNCTION("IMPORTRANGE(""https://docs.google.com/spreadsheets/d/10a85iNN0y9GF6ngQfF1JXGAzFk-T7ywH4-TZtQcOTaE/edit"",""29!e42"")"),148.0)</f>
        <v>148</v>
      </c>
      <c r="I763" s="40">
        <f t="shared" si="2115"/>
        <v>2900</v>
      </c>
      <c r="J763" s="40">
        <f>IFERROR(__xludf.DUMMYFUNCTION("IMPORTRANGE(""https://docs.google.com/spreadsheets/d/10a85iNN0y9GF6ngQfF1JXGAzFk-T7ywH4-TZtQcOTaE/edit"",""29!e45"")"),3025.0)</f>
        <v>3025</v>
      </c>
      <c r="K763" s="40">
        <f>IFERROR(__xludf.DUMMYFUNCTION("IMPORTRANGE(""https://docs.google.com/spreadsheets/d/10a85iNN0y9GF6ngQfF1JXGAzFk-T7ywH4-TZtQcOTaE/edit"",""29!e46"")"),173.0)</f>
        <v>173</v>
      </c>
      <c r="L763" s="40">
        <f t="shared" si="2116"/>
        <v>3198</v>
      </c>
      <c r="M763" s="40">
        <f t="shared" si="2117"/>
        <v>6098</v>
      </c>
      <c r="N763" s="41">
        <f t="shared" si="2118"/>
        <v>193.1620606</v>
      </c>
      <c r="O763" s="38">
        <v>7315.0</v>
      </c>
      <c r="P763" s="42">
        <f t="shared" si="2119"/>
        <v>0.8336295284</v>
      </c>
      <c r="Q763" s="43">
        <v>1.5</v>
      </c>
      <c r="R763" s="42">
        <f t="shared" si="2120"/>
        <v>0.6377645735</v>
      </c>
      <c r="S763" s="44">
        <f t="shared" si="2121"/>
        <v>0.9566468602</v>
      </c>
      <c r="T763" s="43">
        <f>F763/30.897</f>
        <v>206.3096093</v>
      </c>
      <c r="U763" s="43">
        <f t="shared" si="2122"/>
        <v>6.251806344</v>
      </c>
      <c r="V763" s="40">
        <f t="shared" si="2123"/>
        <v>184.7878788</v>
      </c>
      <c r="X763" s="22">
        <v>5.0</v>
      </c>
      <c r="Y763" s="22" t="s">
        <v>29</v>
      </c>
      <c r="Z763" s="22">
        <f t="shared" ref="Z763:AI763" si="2124">SUM(D778)</f>
        <v>30</v>
      </c>
      <c r="AA763" s="23">
        <f t="shared" si="2124"/>
        <v>30</v>
      </c>
      <c r="AB763" s="24">
        <f t="shared" si="2124"/>
        <v>6066.854</v>
      </c>
      <c r="AC763" s="23">
        <f t="shared" si="2124"/>
        <v>2439</v>
      </c>
      <c r="AD763" s="23">
        <f t="shared" si="2124"/>
        <v>0</v>
      </c>
      <c r="AE763" s="23">
        <f t="shared" si="2124"/>
        <v>2439</v>
      </c>
      <c r="AF763" s="23">
        <f t="shared" si="2124"/>
        <v>5031</v>
      </c>
      <c r="AG763" s="23">
        <f t="shared" si="2124"/>
        <v>0</v>
      </c>
      <c r="AH763" s="23">
        <f t="shared" si="2124"/>
        <v>5031</v>
      </c>
      <c r="AI763" s="23">
        <f t="shared" si="2124"/>
        <v>7470</v>
      </c>
      <c r="AJ763" s="25">
        <f t="shared" ref="AJ763:AJ765" si="2127">AB763/AA763</f>
        <v>202.2284667</v>
      </c>
      <c r="AK763" s="22">
        <f t="shared" ref="AK763:AK764" si="2128">SUM(O778)</f>
        <v>9201</v>
      </c>
      <c r="AL763" s="26">
        <f t="shared" si="2105"/>
        <v>0.8118682752</v>
      </c>
      <c r="AM763" s="27">
        <f t="shared" ref="AM763:AM764" si="2129">SUM(Q778)</f>
        <v>1.5</v>
      </c>
      <c r="AN763" s="26">
        <f t="shared" si="2107"/>
        <v>0.8208537736</v>
      </c>
      <c r="AO763" s="28">
        <f t="shared" si="2108"/>
        <v>1.23128066</v>
      </c>
      <c r="AP763" s="27">
        <f t="shared" ref="AP763:AQ763" si="2125">SUM(T778)</f>
        <v>233</v>
      </c>
      <c r="AQ763" s="27">
        <f t="shared" si="2125"/>
        <v>7.766666667</v>
      </c>
      <c r="AR763" s="23">
        <f t="shared" si="2110"/>
        <v>249</v>
      </c>
    </row>
    <row r="764" ht="15.75" customHeight="1">
      <c r="A764" s="21"/>
      <c r="B764" s="38">
        <v>3.0</v>
      </c>
      <c r="C764" s="38" t="s">
        <v>30</v>
      </c>
      <c r="D764" s="78">
        <v>60.0</v>
      </c>
      <c r="E764" s="40">
        <f>IFERROR(__xludf.DUMMYFUNCTION("COUNT(IMPORTRANGE(""https://docs.google.com/spreadsheets/d/1WojVzHhpzodJL1e5UDHeu3A3u5MTSZwvxHu0BrwvL9w/edit"",""29!d2:d61""))"),58.0)</f>
        <v>58</v>
      </c>
      <c r="F764" s="45">
        <f>IFERROR(__xludf.DUMMYFUNCTION("SUM(IMPORTRANGE(""https://docs.google.com/spreadsheets/d/1WojVzHhpzodJL1e5UDHeu3A3u5MTSZwvxHu0BrwvL9w/edit"",""29!Q2:Q61""))"),11397.154999999988)</f>
        <v>11397.155</v>
      </c>
      <c r="G764" s="40">
        <f>IFERROR(__xludf.DUMMYFUNCTION("IMPORTRANGE(""https://docs.google.com/spreadsheets/d/1WojVzHhpzodJL1e5UDHeu3A3u5MTSZwvxHu0BrwvL9w/edit"",""29!e68"")"),3586.0)</f>
        <v>3586</v>
      </c>
      <c r="H764" s="40">
        <f>IFERROR(__xludf.DUMMYFUNCTION("IMPORTRANGE(""https://docs.google.com/spreadsheets/d/1WojVzHhpzodJL1e5UDHeu3A3u5MTSZwvxHu0BrwvL9w/edit"",""29!e69"")"),10.0)</f>
        <v>10</v>
      </c>
      <c r="I764" s="40">
        <f t="shared" si="2115"/>
        <v>3596</v>
      </c>
      <c r="J764" s="40">
        <f>IFERROR(__xludf.DUMMYFUNCTION("IMPORTRANGE(""https://docs.google.com/spreadsheets/d/1WojVzHhpzodJL1e5UDHeu3A3u5MTSZwvxHu0BrwvL9w/edit"",""29!e72"")"),5651.0)</f>
        <v>5651</v>
      </c>
      <c r="K764" s="40">
        <f>IFERROR(__xludf.DUMMYFUNCTION("IMPORTRANGE(""https://docs.google.com/spreadsheets/d/1WojVzHhpzodJL1e5UDHeu3A3u5MTSZwvxHu0BrwvL9w/edit"",""29!e73"")"),0.0)</f>
        <v>0</v>
      </c>
      <c r="L764" s="40">
        <f t="shared" si="2116"/>
        <v>5651</v>
      </c>
      <c r="M764" s="40">
        <f t="shared" si="2117"/>
        <v>9247</v>
      </c>
      <c r="N764" s="41">
        <f t="shared" si="2118"/>
        <v>196.5026724</v>
      </c>
      <c r="O764" s="38">
        <v>11164.0</v>
      </c>
      <c r="P764" s="42">
        <f t="shared" si="2119"/>
        <v>0.8282873522</v>
      </c>
      <c r="Q764" s="43">
        <v>1.5</v>
      </c>
      <c r="R764" s="42">
        <f t="shared" si="2120"/>
        <v>0.5408952205</v>
      </c>
      <c r="S764" s="44">
        <f t="shared" si="2121"/>
        <v>0.8113428307</v>
      </c>
      <c r="T764" s="43">
        <f>F764/29.603</f>
        <v>385</v>
      </c>
      <c r="U764" s="43">
        <f t="shared" si="2122"/>
        <v>6.637931034</v>
      </c>
      <c r="V764" s="40">
        <f t="shared" si="2123"/>
        <v>159.4310345</v>
      </c>
      <c r="X764" s="22">
        <v>6.0</v>
      </c>
      <c r="Y764" s="22" t="s">
        <v>31</v>
      </c>
      <c r="Z764" s="22">
        <f t="shared" ref="Z764:AI764" si="2126">SUM(D779)</f>
        <v>15</v>
      </c>
      <c r="AA764" s="23">
        <f t="shared" si="2126"/>
        <v>13</v>
      </c>
      <c r="AB764" s="25">
        <f t="shared" si="2126"/>
        <v>2651.365</v>
      </c>
      <c r="AC764" s="23">
        <f t="shared" si="2126"/>
        <v>920</v>
      </c>
      <c r="AD764" s="23">
        <f t="shared" si="2126"/>
        <v>9</v>
      </c>
      <c r="AE764" s="23">
        <f t="shared" si="2126"/>
        <v>929</v>
      </c>
      <c r="AF764" s="23">
        <f t="shared" si="2126"/>
        <v>1187</v>
      </c>
      <c r="AG764" s="23">
        <f t="shared" si="2126"/>
        <v>0</v>
      </c>
      <c r="AH764" s="23">
        <f t="shared" si="2126"/>
        <v>1187</v>
      </c>
      <c r="AI764" s="23">
        <f t="shared" si="2126"/>
        <v>2116</v>
      </c>
      <c r="AJ764" s="25">
        <f t="shared" si="2127"/>
        <v>203.9511538</v>
      </c>
      <c r="AK764" s="22">
        <f t="shared" si="2128"/>
        <v>2717</v>
      </c>
      <c r="AL764" s="26">
        <f t="shared" si="2105"/>
        <v>0.7788001472</v>
      </c>
      <c r="AM764" s="27">
        <f t="shared" si="2129"/>
        <v>1.5</v>
      </c>
      <c r="AN764" s="26">
        <f t="shared" si="2107"/>
        <v>0.5320529865</v>
      </c>
      <c r="AO764" s="28">
        <f t="shared" si="2108"/>
        <v>0.7980794798</v>
      </c>
      <c r="AP764" s="27">
        <f t="shared" ref="AP764:AQ764" si="2130">SUM(T779)</f>
        <v>61</v>
      </c>
      <c r="AQ764" s="27">
        <f t="shared" si="2130"/>
        <v>4.692307692</v>
      </c>
      <c r="AR764" s="23">
        <f t="shared" si="2110"/>
        <v>162.7692308</v>
      </c>
    </row>
    <row r="765" ht="15.75" customHeight="1">
      <c r="A765" s="21"/>
      <c r="B765" s="38">
        <v>4.0</v>
      </c>
      <c r="C765" s="38" t="s">
        <v>32</v>
      </c>
      <c r="D765" s="78">
        <v>42.0</v>
      </c>
      <c r="E765" s="40">
        <f>IFERROR(__xludf.DUMMYFUNCTION("COUNT(IMPORTRANGE(""https://docs.google.com/spreadsheets/d/1vmCj5YcMSPHj1m64syDndQ6cqVL3yolcU03Y8KHmvdc/edit"",""29!d2:d43""))"),40.0)</f>
        <v>40</v>
      </c>
      <c r="F765" s="45">
        <f>IFERROR(__xludf.DUMMYFUNCTION("SUM(IMPORTRANGE(""https://docs.google.com/spreadsheets/d/1vmCj5YcMSPHj1m64syDndQ6cqVL3yolcU03Y8KHmvdc/edit"",""29!Q2:Q43""))"),7766.119999999992)</f>
        <v>7766.12</v>
      </c>
      <c r="G765" s="38">
        <f>IFERROR(__xludf.DUMMYFUNCTION("IMPORTRANGE(""https://docs.google.com/spreadsheets/d/1vmCj5YcMSPHj1m64syDndQ6cqVL3yolcU03Y8KHmvdc/edit"",""29!e50"")"),4690.0)</f>
        <v>4690</v>
      </c>
      <c r="H765" s="38">
        <f>IFERROR(__xludf.DUMMYFUNCTION("IMPORTRANGE(""https://docs.google.com/spreadsheets/d/1vmCj5YcMSPHj1m64syDndQ6cqVL3yolcU03Y8KHmvdc/edit"",""29!e51"")"),40.0)</f>
        <v>40</v>
      </c>
      <c r="I765" s="40">
        <f t="shared" si="2115"/>
        <v>4730</v>
      </c>
      <c r="J765" s="38">
        <f>IFERROR(__xludf.DUMMYFUNCTION("IMPORTRANGE(""https://docs.google.com/spreadsheets/d/1vmCj5YcMSPHj1m64syDndQ6cqVL3yolcU03Y8KHmvdc/edit"",""29!e54"")"),5751.0)</f>
        <v>5751</v>
      </c>
      <c r="K765" s="38">
        <f>IFERROR(__xludf.DUMMYFUNCTION("IMPORTRANGE(""https://docs.google.com/spreadsheets/d/1vmCj5YcMSPHj1m64syDndQ6cqVL3yolcU03Y8KHmvdc/edit"",""29!e55"")"),0.0)</f>
        <v>0</v>
      </c>
      <c r="L765" s="40">
        <f t="shared" si="2116"/>
        <v>5751</v>
      </c>
      <c r="M765" s="40">
        <f t="shared" si="2117"/>
        <v>10481</v>
      </c>
      <c r="N765" s="41">
        <f t="shared" si="2118"/>
        <v>194.153</v>
      </c>
      <c r="O765" s="38">
        <v>13817.0</v>
      </c>
      <c r="P765" s="42">
        <f t="shared" si="2119"/>
        <v>0.7585582977</v>
      </c>
      <c r="Q765" s="43">
        <v>1.5</v>
      </c>
      <c r="R765" s="42">
        <f t="shared" si="2120"/>
        <v>0.8997199803</v>
      </c>
      <c r="S765" s="44">
        <f t="shared" si="2121"/>
        <v>1.34957997</v>
      </c>
      <c r="T765" s="43">
        <f>F765/25.089</f>
        <v>309.5428275</v>
      </c>
      <c r="U765" s="43">
        <f t="shared" si="2122"/>
        <v>7.738570688</v>
      </c>
      <c r="V765" s="40">
        <f t="shared" si="2123"/>
        <v>262.025</v>
      </c>
      <c r="X765" s="46" t="s">
        <v>33</v>
      </c>
      <c r="Y765" s="46">
        <v>6.0</v>
      </c>
      <c r="Z765" s="46">
        <f t="shared" ref="Z765:AI765" si="2131">SUM(Z759:Z764)</f>
        <v>186</v>
      </c>
      <c r="AA765" s="47">
        <f t="shared" si="2131"/>
        <v>181</v>
      </c>
      <c r="AB765" s="48">
        <f t="shared" si="2131"/>
        <v>35452.995</v>
      </c>
      <c r="AC765" s="47">
        <f t="shared" si="2131"/>
        <v>11221</v>
      </c>
      <c r="AD765" s="47">
        <f t="shared" si="2131"/>
        <v>395</v>
      </c>
      <c r="AE765" s="47">
        <f t="shared" si="2131"/>
        <v>11616</v>
      </c>
      <c r="AF765" s="47">
        <f t="shared" si="2131"/>
        <v>17975</v>
      </c>
      <c r="AG765" s="47">
        <f t="shared" si="2131"/>
        <v>549</v>
      </c>
      <c r="AH765" s="47">
        <f t="shared" si="2131"/>
        <v>18524</v>
      </c>
      <c r="AI765" s="47">
        <f t="shared" si="2131"/>
        <v>30140</v>
      </c>
      <c r="AJ765" s="49">
        <f t="shared" si="2127"/>
        <v>195.8729006</v>
      </c>
      <c r="AK765" s="46">
        <f>SUM(AK759:AK764)</f>
        <v>35074</v>
      </c>
      <c r="AL765" s="50">
        <f t="shared" si="2105"/>
        <v>0.8593259965</v>
      </c>
      <c r="AM765" s="51">
        <v>1.5</v>
      </c>
      <c r="AN765" s="50">
        <f t="shared" si="2107"/>
        <v>0.5667598276</v>
      </c>
      <c r="AO765" s="52">
        <f t="shared" si="2108"/>
        <v>0.8501397414</v>
      </c>
      <c r="AP765" s="51">
        <f>SUM(AP759:AP764)</f>
        <v>1333.186703</v>
      </c>
      <c r="AQ765" s="51">
        <f>AP765/AA765</f>
        <v>7.365672392</v>
      </c>
      <c r="AR765" s="47">
        <f t="shared" si="2110"/>
        <v>166.519337</v>
      </c>
    </row>
    <row r="766" ht="15.75" customHeight="1">
      <c r="A766" s="21"/>
      <c r="B766" s="38">
        <v>5.0</v>
      </c>
      <c r="C766" s="38" t="s">
        <v>34</v>
      </c>
      <c r="D766" s="78">
        <v>40.0</v>
      </c>
      <c r="E766" s="40">
        <f>IFERROR(__xludf.DUMMYFUNCTION("COUNT(IMPORTRANGE(""https://docs.google.com/spreadsheets/d/14_Y-fpuq1wcec3DlT_1PBYekOC0YblQMrWVfO12YO3k/edit"",""29!d2:d41""))"),39.0)</f>
        <v>39</v>
      </c>
      <c r="F766" s="45">
        <f>IFERROR(__xludf.DUMMYFUNCTION("SUM(IMPORTRANGE(""https://docs.google.com/spreadsheets/d/14_Y-fpuq1wcec3DlT_1PBYekOC0YblQMrWVfO12YO3k/edit"",""29!Q2:Q41""))"),7810.3020000000015)</f>
        <v>7810.302</v>
      </c>
      <c r="G766" s="40">
        <f>IFERROR(__xludf.DUMMYFUNCTION("IMPORTRANGE(""https://docs.google.com/spreadsheets/d/14_Y-fpuq1wcec3DlT_1PBYekOC0YblQMrWVfO12YO3k/edit"",""29!e48"")"),2977.0)</f>
        <v>2977</v>
      </c>
      <c r="H766" s="40">
        <f>IFERROR(__xludf.DUMMYFUNCTION("IMPORTRANGE(""https://docs.google.com/spreadsheets/d/14_Y-fpuq1wcec3DlT_1PBYekOC0YblQMrWVfO12YO3k/edit"",""29!e49"")"),0.0)</f>
        <v>0</v>
      </c>
      <c r="I766" s="40">
        <f t="shared" si="2115"/>
        <v>2977</v>
      </c>
      <c r="J766" s="40">
        <f>IFERROR(__xludf.DUMMYFUNCTION("IMPORTRANGE(""https://docs.google.com/spreadsheets/d/14_Y-fpuq1wcec3DlT_1PBYekOC0YblQMrWVfO12YO3k/edit"",""29!e52"")"),3575.0)</f>
        <v>3575</v>
      </c>
      <c r="K766" s="40">
        <f>IFERROR(__xludf.DUMMYFUNCTION("IMPORTRANGE(""https://docs.google.com/spreadsheets/d/14_Y-fpuq1wcec3DlT_1PBYekOC0YblQMrWVfO12YO3k/edit"",""29!e53"")"),67.0)</f>
        <v>67</v>
      </c>
      <c r="L766" s="40">
        <f t="shared" si="2116"/>
        <v>3642</v>
      </c>
      <c r="M766" s="40">
        <f t="shared" si="2117"/>
        <v>6619</v>
      </c>
      <c r="N766" s="41">
        <f t="shared" si="2118"/>
        <v>200.2641538</v>
      </c>
      <c r="O766" s="38">
        <v>9354.0</v>
      </c>
      <c r="P766" s="42">
        <f t="shared" si="2119"/>
        <v>0.7076117169</v>
      </c>
      <c r="Q766" s="43">
        <v>1.5</v>
      </c>
      <c r="R766" s="42">
        <f t="shared" si="2120"/>
        <v>0.5649802871</v>
      </c>
      <c r="S766" s="44">
        <f t="shared" si="2121"/>
        <v>0.8474704307</v>
      </c>
      <c r="T766" s="43">
        <f>F766/30.713</f>
        <v>254.2995474</v>
      </c>
      <c r="U766" s="43">
        <f t="shared" si="2122"/>
        <v>6.520501216</v>
      </c>
      <c r="V766" s="40">
        <f t="shared" si="2123"/>
        <v>169.7179487</v>
      </c>
      <c r="X766" s="53" t="s">
        <v>35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6"/>
    </row>
    <row r="767" ht="15.75" customHeight="1">
      <c r="A767" s="21"/>
      <c r="B767" s="38">
        <v>6.0</v>
      </c>
      <c r="C767" s="38" t="s">
        <v>23</v>
      </c>
      <c r="D767" s="78">
        <v>35.0</v>
      </c>
      <c r="E767" s="40">
        <f>IFERROR(__xludf.DUMMYFUNCTION("COUNT(IMPORTRANGE(""https://docs.google.com/spreadsheets/d/1lJqjdj05V4LOXuBOiTdE65GV4ZITyx1cMLcDdcuoUnE/edit"",""29!d2:d36""))"),35.0)</f>
        <v>35</v>
      </c>
      <c r="F767" s="45">
        <f>IFERROR(__xludf.DUMMYFUNCTION("SUM(IMPORTRANGE(""https://docs.google.com/spreadsheets/d/1lJqjdj05V4LOXuBOiTdE65GV4ZITyx1cMLcDdcuoUnE/edit"",""29!Q2:Q36""))"),6882.9599999999955)</f>
        <v>6882.96</v>
      </c>
      <c r="G767" s="40">
        <f>IFERROR(__xludf.DUMMYFUNCTION("IMPORTRANGE(""https://docs.google.com/spreadsheets/d/1lJqjdj05V4LOXuBOiTdE65GV4ZITyx1cMLcDdcuoUnE/edit"",""29!e43"")"),1758.0)</f>
        <v>1758</v>
      </c>
      <c r="H767" s="40">
        <f>IFERROR(__xludf.DUMMYFUNCTION("IMPORTRANGE(""https://docs.google.com/spreadsheets/d/1lJqjdj05V4LOXuBOiTdE65GV4ZITyx1cMLcDdcuoUnE/edit"",""29!e44"")"),0.0)</f>
        <v>0</v>
      </c>
      <c r="I767" s="40">
        <f t="shared" si="2115"/>
        <v>1758</v>
      </c>
      <c r="J767" s="40">
        <f>IFERROR(__xludf.DUMMYFUNCTION("IMPORTRANGE(""https://docs.google.com/spreadsheets/d/1lJqjdj05V4LOXuBOiTdE65GV4ZITyx1cMLcDdcuoUnE/edit"",""29!e47"")"),3293.0)</f>
        <v>3293</v>
      </c>
      <c r="K767" s="40">
        <f>IFERROR(__xludf.DUMMYFUNCTION("IMPORTRANGE(""https://docs.google.com/spreadsheets/d/1lJqjdj05V4LOXuBOiTdE65GV4ZITyx1cMLcDdcuoUnE/edit"",""29!e48"")"),0.0)</f>
        <v>0</v>
      </c>
      <c r="L767" s="40">
        <f t="shared" si="2116"/>
        <v>3293</v>
      </c>
      <c r="M767" s="40">
        <f t="shared" si="2117"/>
        <v>5051</v>
      </c>
      <c r="N767" s="41">
        <f t="shared" si="2118"/>
        <v>196.656</v>
      </c>
      <c r="O767" s="38">
        <v>6853.0</v>
      </c>
      <c r="P767" s="42">
        <f t="shared" si="2119"/>
        <v>0.7370494674</v>
      </c>
      <c r="Q767" s="43">
        <v>1.5</v>
      </c>
      <c r="R767" s="42">
        <f t="shared" si="2120"/>
        <v>0.4892275029</v>
      </c>
      <c r="S767" s="44">
        <f t="shared" si="2121"/>
        <v>0.7338412543</v>
      </c>
      <c r="T767" s="43">
        <f>F767/33.74</f>
        <v>204</v>
      </c>
      <c r="U767" s="43">
        <f t="shared" si="2122"/>
        <v>5.828571429</v>
      </c>
      <c r="V767" s="40">
        <f t="shared" si="2123"/>
        <v>144.3142857</v>
      </c>
      <c r="X767" s="14" t="s">
        <v>2</v>
      </c>
      <c r="Y767" s="14" t="s">
        <v>3</v>
      </c>
      <c r="Z767" s="14" t="s">
        <v>4</v>
      </c>
      <c r="AA767" s="14" t="s">
        <v>5</v>
      </c>
      <c r="AB767" s="15" t="s">
        <v>6</v>
      </c>
      <c r="AC767" s="14" t="s">
        <v>7</v>
      </c>
      <c r="AD767" s="14" t="s">
        <v>8</v>
      </c>
      <c r="AE767" s="14" t="s">
        <v>9</v>
      </c>
      <c r="AF767" s="14" t="s">
        <v>10</v>
      </c>
      <c r="AG767" s="14" t="s">
        <v>11</v>
      </c>
      <c r="AH767" s="14" t="s">
        <v>12</v>
      </c>
      <c r="AI767" s="14" t="s">
        <v>13</v>
      </c>
      <c r="AJ767" s="15" t="s">
        <v>14</v>
      </c>
      <c r="AK767" s="14" t="s">
        <v>15</v>
      </c>
      <c r="AL767" s="14" t="s">
        <v>16</v>
      </c>
      <c r="AM767" s="16" t="s">
        <v>17</v>
      </c>
      <c r="AN767" s="17" t="s">
        <v>18</v>
      </c>
      <c r="AO767" s="18" t="s">
        <v>19</v>
      </c>
      <c r="AP767" s="19" t="s">
        <v>20</v>
      </c>
      <c r="AQ767" s="19" t="s">
        <v>21</v>
      </c>
      <c r="AR767" s="20" t="s">
        <v>22</v>
      </c>
    </row>
    <row r="768" ht="15.75" customHeight="1">
      <c r="A768" s="21"/>
      <c r="B768" s="38">
        <v>7.0</v>
      </c>
      <c r="C768" s="38" t="s">
        <v>24</v>
      </c>
      <c r="D768" s="78">
        <v>44.0</v>
      </c>
      <c r="E768" s="54">
        <f>IFERROR(__xludf.DUMMYFUNCTION("COUNT(IMPORTRANGE(""https://docs.google.com/spreadsheets/d/1_7EEO26q9Yq-XhNFiy7I6Zh4Yg6uGjTs9y0UqNvPKcQ/edit"",""29!d2:d45""))"),43.0)</f>
        <v>43</v>
      </c>
      <c r="F768" s="55">
        <f>IFERROR(__xludf.DUMMYFUNCTION("SUM(IMPORTRANGE(""https://docs.google.com/spreadsheets/d/1_7EEO26q9Yq-XhNFiy7I6Zh4Yg6uGjTs9y0UqNvPKcQ/edit"",""29!Q2:Q45""))"),8590.100999999993)</f>
        <v>8590.101</v>
      </c>
      <c r="G768" s="54">
        <f>IFERROR(__xludf.DUMMYFUNCTION("IMPORTRANGE(""https://docs.google.com/spreadsheets/d/1_7EEO26q9Yq-XhNFiy7I6Zh4Yg6uGjTs9y0UqNvPKcQ/edit"",""29!e53"")"),1148.0)</f>
        <v>1148</v>
      </c>
      <c r="H768" s="54">
        <f>IFERROR(__xludf.DUMMYFUNCTION("IMPORTRANGE(""https://docs.google.com/spreadsheets/d/1_7EEO26q9Yq-XhNFiy7I6Zh4Yg6uGjTs9y0UqNvPKcQ/edit"",""29!e54"")"),0.0)</f>
        <v>0</v>
      </c>
      <c r="I768" s="54">
        <f t="shared" si="2115"/>
        <v>1148</v>
      </c>
      <c r="J768" s="54">
        <f>IFERROR(__xludf.DUMMYFUNCTION("IMPORTRANGE(""https://docs.google.com/spreadsheets/d/1_7EEO26q9Yq-XhNFiy7I6Zh4Yg6uGjTs9y0UqNvPKcQ/edit"",""29!e57"")"),1387.0)</f>
        <v>1387</v>
      </c>
      <c r="K768" s="54">
        <f>IFERROR(__xludf.DUMMYFUNCTION("IMPORTRANGE(""https://docs.google.com/spreadsheets/d/1_7EEO26q9Yq-XhNFiy7I6Zh4Yg6uGjTs9y0UqNvPKcQ/edit"",""29!e58"")"),48.0)</f>
        <v>48</v>
      </c>
      <c r="L768" s="40">
        <f t="shared" si="2116"/>
        <v>1435</v>
      </c>
      <c r="M768" s="40">
        <f t="shared" si="2117"/>
        <v>2583</v>
      </c>
      <c r="N768" s="41">
        <f t="shared" si="2118"/>
        <v>199.7697907</v>
      </c>
      <c r="O768" s="38">
        <v>1580.0</v>
      </c>
      <c r="P768" s="56">
        <f t="shared" si="2119"/>
        <v>1.634810127</v>
      </c>
      <c r="Q768" s="43">
        <v>1.5</v>
      </c>
      <c r="R768" s="42">
        <f t="shared" si="2120"/>
        <v>0.2004633007</v>
      </c>
      <c r="S768" s="44">
        <f t="shared" si="2121"/>
        <v>0.3006949511</v>
      </c>
      <c r="T768" s="43">
        <f>F768/26.805</f>
        <v>320.4663682</v>
      </c>
      <c r="U768" s="43">
        <f t="shared" si="2122"/>
        <v>7.452706238</v>
      </c>
      <c r="V768" s="40">
        <f t="shared" si="2123"/>
        <v>60.06976744</v>
      </c>
      <c r="X768" s="22">
        <v>1.0</v>
      </c>
      <c r="Y768" s="22" t="s">
        <v>28</v>
      </c>
      <c r="Z768" s="22">
        <f t="shared" ref="Z768:AI768" si="2132">SUM(D763)</f>
        <v>33</v>
      </c>
      <c r="AA768" s="23">
        <f t="shared" si="2132"/>
        <v>33</v>
      </c>
      <c r="AB768" s="25">
        <f t="shared" si="2132"/>
        <v>6374.348</v>
      </c>
      <c r="AC768" s="23">
        <f t="shared" si="2132"/>
        <v>2752</v>
      </c>
      <c r="AD768" s="23">
        <f t="shared" si="2132"/>
        <v>148</v>
      </c>
      <c r="AE768" s="23">
        <f t="shared" si="2132"/>
        <v>2900</v>
      </c>
      <c r="AF768" s="23">
        <f t="shared" si="2132"/>
        <v>3025</v>
      </c>
      <c r="AG768" s="23">
        <f t="shared" si="2132"/>
        <v>173</v>
      </c>
      <c r="AH768" s="23">
        <f t="shared" si="2132"/>
        <v>3198</v>
      </c>
      <c r="AI768" s="23">
        <f t="shared" si="2132"/>
        <v>6098</v>
      </c>
      <c r="AJ768" s="25">
        <f t="shared" ref="AJ768:AJ774" si="2135">AB768/AA768</f>
        <v>193.1620606</v>
      </c>
      <c r="AK768" s="22">
        <f t="shared" ref="AK768:AK769" si="2136">SUM(O763)</f>
        <v>7315</v>
      </c>
      <c r="AL768" s="26">
        <f t="shared" ref="AL768:AL774" si="2137">AI768/AK768</f>
        <v>0.8336295284</v>
      </c>
      <c r="AM768" s="27">
        <f t="shared" ref="AM768:AM769" si="2138">SUM(Q763)</f>
        <v>1.5</v>
      </c>
      <c r="AN768" s="26">
        <f t="shared" ref="AN768:AN774" si="2139">AO768/AM768</f>
        <v>0.6377645735</v>
      </c>
      <c r="AO768" s="28">
        <f t="shared" ref="AO768:AO774" si="2140">AI768/AB768</f>
        <v>0.9566468602</v>
      </c>
      <c r="AP768" s="27">
        <f t="shared" ref="AP768:AQ768" si="2133">SUM(T763)</f>
        <v>206.3096093</v>
      </c>
      <c r="AQ768" s="27">
        <f t="shared" si="2133"/>
        <v>6.251806344</v>
      </c>
      <c r="AR768" s="23">
        <f t="shared" ref="AR768:AR774" si="2142">AI768/AA768</f>
        <v>184.7878788</v>
      </c>
    </row>
    <row r="769" ht="15.75" customHeight="1">
      <c r="A769" s="21"/>
      <c r="B769" s="38">
        <v>8.0</v>
      </c>
      <c r="C769" s="38" t="s">
        <v>25</v>
      </c>
      <c r="D769" s="79">
        <v>32.0</v>
      </c>
      <c r="E769" s="40">
        <f>IFERROR(__xludf.DUMMYFUNCTION("COUNT(IMPORTRANGE(""https://docs.google.com/spreadsheets/d/1vLOLpiE-XsbnCnwWPcoi87PlUSXfqIAAQn3kvqHfO6s/edit"",""29!d2:D33""))"),32.0)</f>
        <v>32</v>
      </c>
      <c r="F769" s="45">
        <f>IFERROR(__xludf.DUMMYFUNCTION("SUM(IMPORTRANGE(""https://docs.google.com/spreadsheets/d/1vLOLpiE-XsbnCnwWPcoi87PlUSXfqIAAQn3kvqHfO6s/edit"",""29!Q2:Q33""))"),6029.752000000002)</f>
        <v>6029.752</v>
      </c>
      <c r="G769" s="40">
        <f>IFERROR(__xludf.DUMMYFUNCTION("IMPORTRANGE(""https://docs.google.com/spreadsheets/d/1vLOLpiE-XsbnCnwWPcoi87PlUSXfqIAAQn3kvqHfO6s/edit"",""29!e40"")"),2347.0)</f>
        <v>2347</v>
      </c>
      <c r="H769" s="40">
        <f>IFERROR(__xludf.DUMMYFUNCTION("IMPORTRANGE(""https://docs.google.com/spreadsheets/d/1vLOLpiE-XsbnCnwWPcoi87PlUSXfqIAAQn3kvqHfO6s/edit"",""29!e41"")"),386.0)</f>
        <v>386</v>
      </c>
      <c r="I769" s="40">
        <f t="shared" si="2115"/>
        <v>2733</v>
      </c>
      <c r="J769" s="40">
        <f>IFERROR(__xludf.DUMMYFUNCTION("IMPORTRANGE(""https://docs.google.com/spreadsheets/d/1vLOLpiE-XsbnCnwWPcoi87PlUSXfqIAAQn3kvqHfO6s/edit"",""29!e44"")"),3822.0)</f>
        <v>3822</v>
      </c>
      <c r="K769" s="40">
        <f>IFERROR(__xludf.DUMMYFUNCTION("IMPORTRANGE(""https://docs.google.com/spreadsheets/d/1vLOLpiE-XsbnCnwWPcoi87PlUSXfqIAAQn3kvqHfO6s/edit"",""29!e45"")"),501.0)</f>
        <v>501</v>
      </c>
      <c r="L769" s="40">
        <f>J769+K769</f>
        <v>4323</v>
      </c>
      <c r="M769" s="40">
        <f t="shared" si="2117"/>
        <v>7056</v>
      </c>
      <c r="N769" s="41">
        <f t="shared" si="2118"/>
        <v>188.42975</v>
      </c>
      <c r="O769" s="38">
        <v>6622.0</v>
      </c>
      <c r="P769" s="56">
        <f t="shared" si="2119"/>
        <v>1.065539112</v>
      </c>
      <c r="Q769" s="43">
        <v>1.5</v>
      </c>
      <c r="R769" s="42">
        <f t="shared" si="2120"/>
        <v>0.7801315875</v>
      </c>
      <c r="S769" s="44">
        <f t="shared" si="2121"/>
        <v>1.170197381</v>
      </c>
      <c r="T769" s="43">
        <f>F769/23.84</f>
        <v>252.9258389</v>
      </c>
      <c r="U769" s="43">
        <f t="shared" si="2122"/>
        <v>7.903932466</v>
      </c>
      <c r="V769" s="40">
        <f t="shared" si="2123"/>
        <v>220.5</v>
      </c>
      <c r="X769" s="31">
        <v>2.0</v>
      </c>
      <c r="Y769" s="31" t="s">
        <v>30</v>
      </c>
      <c r="Z769" s="31">
        <f t="shared" ref="Z769:AI769" si="2134">SUM(D764)</f>
        <v>60</v>
      </c>
      <c r="AA769" s="32">
        <f t="shared" si="2134"/>
        <v>58</v>
      </c>
      <c r="AB769" s="33">
        <f t="shared" si="2134"/>
        <v>11397.155</v>
      </c>
      <c r="AC769" s="32">
        <f t="shared" si="2134"/>
        <v>3586</v>
      </c>
      <c r="AD769" s="32">
        <f t="shared" si="2134"/>
        <v>10</v>
      </c>
      <c r="AE769" s="32">
        <f t="shared" si="2134"/>
        <v>3596</v>
      </c>
      <c r="AF769" s="32">
        <f t="shared" si="2134"/>
        <v>5651</v>
      </c>
      <c r="AG769" s="32">
        <f t="shared" si="2134"/>
        <v>0</v>
      </c>
      <c r="AH769" s="32">
        <f t="shared" si="2134"/>
        <v>5651</v>
      </c>
      <c r="AI769" s="32">
        <f t="shared" si="2134"/>
        <v>9247</v>
      </c>
      <c r="AJ769" s="34">
        <f t="shared" si="2135"/>
        <v>196.5026724</v>
      </c>
      <c r="AK769" s="31">
        <f t="shared" si="2136"/>
        <v>11164</v>
      </c>
      <c r="AL769" s="35">
        <f t="shared" si="2137"/>
        <v>0.8282873522</v>
      </c>
      <c r="AM769" s="36">
        <f t="shared" si="2138"/>
        <v>1.5</v>
      </c>
      <c r="AN769" s="35">
        <f t="shared" si="2139"/>
        <v>0.5408952205</v>
      </c>
      <c r="AO769" s="37">
        <f t="shared" si="2140"/>
        <v>0.8113428307</v>
      </c>
      <c r="AP769" s="36">
        <f t="shared" ref="AP769:AQ769" si="2141">SUM(T764)</f>
        <v>385</v>
      </c>
      <c r="AQ769" s="36">
        <f t="shared" si="2141"/>
        <v>6.637931034</v>
      </c>
      <c r="AR769" s="32">
        <f t="shared" si="2142"/>
        <v>159.4310345</v>
      </c>
    </row>
    <row r="770" ht="15.75" customHeight="1">
      <c r="A770" s="21"/>
      <c r="B770" s="38">
        <v>9.0</v>
      </c>
      <c r="C770" s="38" t="s">
        <v>36</v>
      </c>
      <c r="D770" s="79">
        <v>29.0</v>
      </c>
      <c r="E770" s="40">
        <f>IFERROR(__xludf.DUMMYFUNCTION("COUNT(IMPORTRANGE(""https://docs.google.com/spreadsheets/d/1WJJVq25XDtGjt-J2JPxeKs3jIvDZtkIREC0lFPXwf74/edit"",""29!d2:d31""))"),29.0)</f>
        <v>29</v>
      </c>
      <c r="F770" s="45">
        <f>IFERROR(__xludf.DUMMYFUNCTION("SUM(IMPORTRANGE(""https://docs.google.com/spreadsheets/d/1WJJVq25XDtGjt-J2JPxeKs3jIvDZtkIREC0lFPXwf74/edit"",""29!Q2:Q31""))"),5678.948)</f>
        <v>5678.948</v>
      </c>
      <c r="G770" s="40">
        <f>IFERROR(__xludf.DUMMYFUNCTION("IMPORTRANGE(""https://docs.google.com/spreadsheets/d/1WJJVq25XDtGjt-J2JPxeKs3jIvDZtkIREC0lFPXwf74/edit"",""29!e38"")"),1659.0)</f>
        <v>1659</v>
      </c>
      <c r="H770" s="40">
        <f>IFERROR(__xludf.DUMMYFUNCTION("IMPORTRANGE(""https://docs.google.com/spreadsheets/d/1WJJVq25XDtGjt-J2JPxeKs3jIvDZtkIREC0lFPXwf74/edit"",""29!e39"")"),0.0)</f>
        <v>0</v>
      </c>
      <c r="I770" s="40">
        <f t="shared" si="2115"/>
        <v>1659</v>
      </c>
      <c r="J770" s="40">
        <f>IFERROR(__xludf.DUMMYFUNCTION("IMPORTRANGE(""https://docs.google.com/spreadsheets/d/1WJJVq25XDtGjt-J2JPxeKs3jIvDZtkIREC0lFPXwf74/edit"",""29!e42"")"),2213.0)</f>
        <v>2213</v>
      </c>
      <c r="K770" s="40">
        <f>IFERROR(__xludf.DUMMYFUNCTION("IMPORTRANGE(""https://docs.google.com/spreadsheets/d/1WJJVq25XDtGjt-J2JPxeKs3jIvDZtkIREC0lFPXwf74/edit"",""29!e43"")"),0.0)</f>
        <v>0</v>
      </c>
      <c r="L770" s="40">
        <f t="shared" ref="L770:L779" si="2145">SUM(J770:K770)</f>
        <v>2213</v>
      </c>
      <c r="M770" s="40">
        <f t="shared" si="2117"/>
        <v>3872</v>
      </c>
      <c r="N770" s="41">
        <f t="shared" si="2118"/>
        <v>195.8257931</v>
      </c>
      <c r="O770" s="38">
        <v>4796.0</v>
      </c>
      <c r="P770" s="42">
        <f t="shared" si="2119"/>
        <v>0.8073394495</v>
      </c>
      <c r="Q770" s="43">
        <v>1.5</v>
      </c>
      <c r="R770" s="42">
        <f t="shared" si="2120"/>
        <v>0.4545442806</v>
      </c>
      <c r="S770" s="44">
        <f t="shared" si="2121"/>
        <v>0.6818164209</v>
      </c>
      <c r="T770" s="43">
        <f>F770/37.414</f>
        <v>151.7867109</v>
      </c>
      <c r="U770" s="43">
        <f t="shared" si="2122"/>
        <v>5.234024512</v>
      </c>
      <c r="V770" s="40">
        <f t="shared" si="2123"/>
        <v>133.5172414</v>
      </c>
      <c r="X770" s="22">
        <v>3.0</v>
      </c>
      <c r="Y770" s="22" t="s">
        <v>34</v>
      </c>
      <c r="Z770" s="22">
        <f t="shared" ref="Z770:AI770" si="2143">SUM(D766)</f>
        <v>40</v>
      </c>
      <c r="AA770" s="23">
        <f t="shared" si="2143"/>
        <v>39</v>
      </c>
      <c r="AB770" s="24">
        <f t="shared" si="2143"/>
        <v>7810.302</v>
      </c>
      <c r="AC770" s="23">
        <f t="shared" si="2143"/>
        <v>2977</v>
      </c>
      <c r="AD770" s="23">
        <f t="shared" si="2143"/>
        <v>0</v>
      </c>
      <c r="AE770" s="23">
        <f t="shared" si="2143"/>
        <v>2977</v>
      </c>
      <c r="AF770" s="23">
        <f t="shared" si="2143"/>
        <v>3575</v>
      </c>
      <c r="AG770" s="23">
        <f t="shared" si="2143"/>
        <v>67</v>
      </c>
      <c r="AH770" s="23">
        <f t="shared" si="2143"/>
        <v>3642</v>
      </c>
      <c r="AI770" s="23">
        <f t="shared" si="2143"/>
        <v>6619</v>
      </c>
      <c r="AJ770" s="25">
        <f t="shared" si="2135"/>
        <v>200.2641538</v>
      </c>
      <c r="AK770" s="22">
        <f>SUM(O766)</f>
        <v>9354</v>
      </c>
      <c r="AL770" s="26">
        <f t="shared" si="2137"/>
        <v>0.7076117169</v>
      </c>
      <c r="AM770" s="27">
        <f>SUM(Q766)</f>
        <v>1.5</v>
      </c>
      <c r="AN770" s="26">
        <f t="shared" si="2139"/>
        <v>0.5649802871</v>
      </c>
      <c r="AO770" s="28">
        <f t="shared" si="2140"/>
        <v>0.8474704307</v>
      </c>
      <c r="AP770" s="27">
        <f t="shared" ref="AP770:AQ770" si="2144">SUM(T766)</f>
        <v>254.2995474</v>
      </c>
      <c r="AQ770" s="27">
        <f t="shared" si="2144"/>
        <v>6.520501216</v>
      </c>
      <c r="AR770" s="23">
        <f t="shared" si="2142"/>
        <v>169.7179487</v>
      </c>
    </row>
    <row r="771" ht="15.75" customHeight="1">
      <c r="A771" s="21"/>
      <c r="B771" s="38">
        <v>10.0</v>
      </c>
      <c r="C771" s="38" t="s">
        <v>37</v>
      </c>
      <c r="D771" s="78">
        <v>30.0</v>
      </c>
      <c r="E771" s="40">
        <f>IFERROR(__xludf.DUMMYFUNCTION("COUNT(IMPORTRANGE(""https://docs.google.com/spreadsheets/d/1rJyYfywRpWJW0zvDJHLOJtqUQqffoCGaqTVxxTDgV0k/edit"",""29!d2:d31""))"),29.0)</f>
        <v>29</v>
      </c>
      <c r="F771" s="45">
        <f>IFERROR(__xludf.DUMMYFUNCTION("SUM(IMPORTRANGE(""https://docs.google.com/spreadsheets/d/1rJyYfywRpWJW0zvDJHLOJtqUQqffoCGaqTVxxTDgV0k/edit"",""29!Q2:Q31""))"),5798.706000000004)</f>
        <v>5798.706</v>
      </c>
      <c r="G771" s="40">
        <f>IFERROR(__xludf.DUMMYFUNCTION("(IMPORTRANGE(""https://docs.google.com/spreadsheets/d/1rJyYfywRpWJW0zvDJHLOJtqUQqffoCGaqTVxxTDgV0k/edit"",""29!e38""))"),2187.0)</f>
        <v>2187</v>
      </c>
      <c r="H771" s="40">
        <f>IFERROR(__xludf.DUMMYFUNCTION("(IMPORTRANGE(""https://docs.google.com/spreadsheets/d/1rJyYfywRpWJW0zvDJHLOJtqUQqffoCGaqTVxxTDgV0k/edit"",""29!e39""))"),53.0)</f>
        <v>53</v>
      </c>
      <c r="I771" s="40">
        <f t="shared" si="2115"/>
        <v>2240</v>
      </c>
      <c r="J771" s="40">
        <f>IFERROR(__xludf.DUMMYFUNCTION("(IMPORTRANGE(""https://docs.google.com/spreadsheets/d/1rJyYfywRpWJW0zvDJHLOJtqUQqffoCGaqTVxxTDgV0k/edit"",""29!e42""))"),2944.0)</f>
        <v>2944</v>
      </c>
      <c r="K771" s="40">
        <f>IFERROR(__xludf.DUMMYFUNCTION("(IMPORTRANGE(""https://docs.google.com/spreadsheets/d/1rJyYfywRpWJW0zvDJHLOJtqUQqffoCGaqTVxxTDgV0k/edit"",""29!e43""))"),0.0)</f>
        <v>0</v>
      </c>
      <c r="L771" s="40">
        <f t="shared" si="2145"/>
        <v>2944</v>
      </c>
      <c r="M771" s="40">
        <f t="shared" si="2117"/>
        <v>5184</v>
      </c>
      <c r="N771" s="41">
        <f t="shared" si="2118"/>
        <v>199.9553793</v>
      </c>
      <c r="O771" s="38">
        <v>5887.0</v>
      </c>
      <c r="P771" s="42">
        <f t="shared" si="2119"/>
        <v>0.8805843384</v>
      </c>
      <c r="Q771" s="43">
        <v>1.5</v>
      </c>
      <c r="R771" s="42">
        <f t="shared" si="2120"/>
        <v>0.5959950375</v>
      </c>
      <c r="S771" s="44">
        <f t="shared" si="2121"/>
        <v>0.8939925563</v>
      </c>
      <c r="T771" s="43">
        <f>F771/24.792</f>
        <v>233.8942401</v>
      </c>
      <c r="U771" s="43">
        <f t="shared" si="2122"/>
        <v>8.065318623</v>
      </c>
      <c r="V771" s="40">
        <f t="shared" si="2123"/>
        <v>178.7586207</v>
      </c>
      <c r="X771" s="31">
        <v>4.0</v>
      </c>
      <c r="Y771" s="31" t="s">
        <v>38</v>
      </c>
      <c r="Z771" s="31">
        <f t="shared" ref="Z771:AI771" si="2146">SUM(D774)</f>
        <v>30</v>
      </c>
      <c r="AA771" s="32">
        <f t="shared" si="2146"/>
        <v>30</v>
      </c>
      <c r="AB771" s="33">
        <f t="shared" si="2146"/>
        <v>6284.278</v>
      </c>
      <c r="AC771" s="32">
        <f t="shared" si="2146"/>
        <v>2141</v>
      </c>
      <c r="AD771" s="32">
        <f t="shared" si="2146"/>
        <v>0</v>
      </c>
      <c r="AE771" s="32">
        <f t="shared" si="2146"/>
        <v>2141</v>
      </c>
      <c r="AF771" s="32">
        <f t="shared" si="2146"/>
        <v>2709</v>
      </c>
      <c r="AG771" s="32">
        <f t="shared" si="2146"/>
        <v>0</v>
      </c>
      <c r="AH771" s="32">
        <f t="shared" si="2146"/>
        <v>2709</v>
      </c>
      <c r="AI771" s="32">
        <f t="shared" si="2146"/>
        <v>4850</v>
      </c>
      <c r="AJ771" s="34">
        <f t="shared" si="2135"/>
        <v>209.4759333</v>
      </c>
      <c r="AK771" s="31">
        <v>7324.0</v>
      </c>
      <c r="AL771" s="35">
        <f t="shared" si="2137"/>
        <v>0.6622064446</v>
      </c>
      <c r="AM771" s="36">
        <f>SUM(Q774)</f>
        <v>1.5</v>
      </c>
      <c r="AN771" s="35">
        <f t="shared" si="2139"/>
        <v>0.5145115053</v>
      </c>
      <c r="AO771" s="37">
        <f t="shared" si="2140"/>
        <v>0.7717672579</v>
      </c>
      <c r="AP771" s="36">
        <f t="shared" ref="AP771:AQ771" si="2147">SUM(T774)</f>
        <v>152.5125106</v>
      </c>
      <c r="AQ771" s="36">
        <f t="shared" si="2147"/>
        <v>5.083750354</v>
      </c>
      <c r="AR771" s="32">
        <f t="shared" si="2142"/>
        <v>161.6666667</v>
      </c>
    </row>
    <row r="772" ht="15.75" customHeight="1">
      <c r="A772" s="21"/>
      <c r="B772" s="38">
        <v>12.0</v>
      </c>
      <c r="C772" s="38" t="s">
        <v>39</v>
      </c>
      <c r="D772" s="78">
        <v>28.0</v>
      </c>
      <c r="E772" s="40">
        <f>IFERROR(__xludf.DUMMYFUNCTION("COUNT(IMPORTRANGE(""https://docs.google.com/spreadsheets/d/1uaTn2DZCfr7O1PvovOd0wElzVz8kpl_iPfnrkNPp0Is/edit"",""29!d2:d29""))"),28.0)</f>
        <v>28</v>
      </c>
      <c r="F772" s="45">
        <f>IFERROR(__xludf.DUMMYFUNCTION("SUM(IMPORTRANGE(""https://docs.google.com/spreadsheets/d/1uaTn2DZCfr7O1PvovOd0wElzVz8kpl_iPfnrkNPp0Is/edit"",""29!Q2:Q29""))"),5415.952000000003)</f>
        <v>5415.952</v>
      </c>
      <c r="G772" s="40">
        <f>IFERROR(__xludf.DUMMYFUNCTION("IMPORTRANGE(""https://docs.google.com/spreadsheets/d/1uaTn2DZCfr7O1PvovOd0wElzVz8kpl_iPfnrkNPp0Is/edit"",""29!e36"")"),1221.0)</f>
        <v>1221</v>
      </c>
      <c r="H772" s="40">
        <f>IFERROR(__xludf.DUMMYFUNCTION("(IMPORTRANGE(""https://docs.google.com/spreadsheets/d/1uaTn2DZCfr7O1PvovOd0wElzVz8kpl_iPfnrkNPp0Is/edit"",""29!e37""))"),51.0)</f>
        <v>51</v>
      </c>
      <c r="I772" s="40">
        <f t="shared" si="2115"/>
        <v>1272</v>
      </c>
      <c r="J772" s="40">
        <f>IFERROR(__xludf.DUMMYFUNCTION("IMPORTRANGE(""https://docs.google.com/spreadsheets/d/1uaTn2DZCfr7O1PvovOd0wElzVz8kpl_iPfnrkNPp0Is/edit"",""29!e40"")"),1454.0)</f>
        <v>1454</v>
      </c>
      <c r="K772" s="40">
        <f>IFERROR(__xludf.DUMMYFUNCTION("IMPORTRANGE(""https://docs.google.com/spreadsheets/d/1uaTn2DZCfr7O1PvovOd0wElzVz8kpl_iPfnrkNPp0Is/edit"",""29!e41"")"),417.0)</f>
        <v>417</v>
      </c>
      <c r="L772" s="40">
        <f t="shared" si="2145"/>
        <v>1871</v>
      </c>
      <c r="M772" s="40">
        <f t="shared" si="2117"/>
        <v>3143</v>
      </c>
      <c r="N772" s="41">
        <f t="shared" si="2118"/>
        <v>193.4268571</v>
      </c>
      <c r="O772" s="38">
        <v>3569.0</v>
      </c>
      <c r="P772" s="42">
        <f t="shared" si="2119"/>
        <v>0.8806388344</v>
      </c>
      <c r="Q772" s="43">
        <v>1.5</v>
      </c>
      <c r="R772" s="42">
        <f t="shared" si="2120"/>
        <v>0.3868818138</v>
      </c>
      <c r="S772" s="44">
        <f t="shared" si="2121"/>
        <v>0.5803227207</v>
      </c>
      <c r="T772" s="43">
        <f>F772/21.463</f>
        <v>252.339002</v>
      </c>
      <c r="U772" s="43">
        <f t="shared" si="2122"/>
        <v>9.012107214</v>
      </c>
      <c r="V772" s="40">
        <f t="shared" si="2123"/>
        <v>112.25</v>
      </c>
      <c r="X772" s="31">
        <v>5.0</v>
      </c>
      <c r="Y772" s="31" t="s">
        <v>40</v>
      </c>
      <c r="Z772" s="31">
        <f t="shared" ref="Z772:AI772" si="2148">SUM(D776)</f>
        <v>30</v>
      </c>
      <c r="AA772" s="32">
        <f t="shared" si="2148"/>
        <v>30</v>
      </c>
      <c r="AB772" s="33">
        <f t="shared" si="2148"/>
        <v>5958.142</v>
      </c>
      <c r="AC772" s="32">
        <f t="shared" si="2148"/>
        <v>3481</v>
      </c>
      <c r="AD772" s="32">
        <f t="shared" si="2148"/>
        <v>0</v>
      </c>
      <c r="AE772" s="32">
        <f t="shared" si="2148"/>
        <v>3481</v>
      </c>
      <c r="AF772" s="32">
        <f t="shared" si="2148"/>
        <v>3974</v>
      </c>
      <c r="AG772" s="32">
        <f t="shared" si="2148"/>
        <v>0</v>
      </c>
      <c r="AH772" s="32">
        <f t="shared" si="2148"/>
        <v>3974</v>
      </c>
      <c r="AI772" s="32">
        <f t="shared" si="2148"/>
        <v>7455</v>
      </c>
      <c r="AJ772" s="34">
        <f t="shared" si="2135"/>
        <v>198.6047333</v>
      </c>
      <c r="AK772" s="31">
        <f t="shared" ref="AK772:AK773" si="2151">SUM(O776)</f>
        <v>8239</v>
      </c>
      <c r="AL772" s="35">
        <f t="shared" si="2137"/>
        <v>0.9048428207</v>
      </c>
      <c r="AM772" s="36">
        <f t="shared" ref="AM772:AM773" si="2152">SUM(Q776)</f>
        <v>1.5</v>
      </c>
      <c r="AN772" s="35">
        <f t="shared" si="2139"/>
        <v>0.8341526603</v>
      </c>
      <c r="AO772" s="37">
        <f t="shared" si="2140"/>
        <v>1.251228991</v>
      </c>
      <c r="AP772" s="36">
        <f t="shared" ref="AP772:AQ772" si="2149">SUM(T776)</f>
        <v>209.4765672</v>
      </c>
      <c r="AQ772" s="36">
        <f t="shared" si="2149"/>
        <v>6.982552239</v>
      </c>
      <c r="AR772" s="32">
        <f t="shared" si="2142"/>
        <v>248.5</v>
      </c>
    </row>
    <row r="773" ht="15.75" customHeight="1">
      <c r="A773" s="21"/>
      <c r="B773" s="38">
        <v>12.0</v>
      </c>
      <c r="C773" s="38" t="s">
        <v>41</v>
      </c>
      <c r="D773" s="78">
        <v>24.0</v>
      </c>
      <c r="E773" s="40">
        <f>IFERROR(__xludf.DUMMYFUNCTION("COUNT(IMPORTRANGE(""https://docs.google.com/spreadsheets/d/1oYscvfOJW7GMkxt8QcupWuzb3ohaYePd3Mt2V2ufHok/edit"",""29!d2:d25""))"),24.0)</f>
        <v>24</v>
      </c>
      <c r="F773" s="45">
        <f>IFERROR(__xludf.DUMMYFUNCTION("SUM(IMPORTRANGE(""https://docs.google.com/spreadsheets/d/1oYscvfOJW7GMkxt8QcupWuzb3ohaYePd3Mt2V2ufHok/edit"",""29!Q2:Q25""))"),4658.180000000001)</f>
        <v>4658.18</v>
      </c>
      <c r="G773" s="40">
        <f>IFERROR(__xludf.DUMMYFUNCTION("IMPORTRANGE(""https://docs.google.com/spreadsheets/d/1oYscvfOJW7GMkxt8QcupWuzb3ohaYePd3Mt2V2ufHok/edit"",""29!e32"")"),1233.0)</f>
        <v>1233</v>
      </c>
      <c r="H773" s="40">
        <f>IFERROR(__xludf.DUMMYFUNCTION("IMPORTRANGE(""https://docs.google.com/spreadsheets/d/1oYscvfOJW7GMkxt8QcupWuzb3ohaYePd3Mt2V2ufHok/edit"",""29!e33"")"),0.0)</f>
        <v>0</v>
      </c>
      <c r="I773" s="40">
        <f t="shared" si="2115"/>
        <v>1233</v>
      </c>
      <c r="J773" s="40">
        <f>IFERROR(__xludf.DUMMYFUNCTION("IMPORTRANGE(""https://docs.google.com/spreadsheets/d/1oYscvfOJW7GMkxt8QcupWuzb3ohaYePd3Mt2V2ufHok/edit"",""29!e36"")"),1580.0)</f>
        <v>1580</v>
      </c>
      <c r="K773" s="40">
        <f>IFERROR(__xludf.DUMMYFUNCTION("IMPORTRANGE(""https://docs.google.com/spreadsheets/d/1oYscvfOJW7GMkxt8QcupWuzb3ohaYePd3Mt2V2ufHok/edit"",""29!e37"")"),263.0)</f>
        <v>263</v>
      </c>
      <c r="L773" s="40">
        <f t="shared" si="2145"/>
        <v>1843</v>
      </c>
      <c r="M773" s="40">
        <f t="shared" si="2117"/>
        <v>3076</v>
      </c>
      <c r="N773" s="41">
        <f t="shared" si="2118"/>
        <v>194.0908333</v>
      </c>
      <c r="O773" s="38">
        <v>3801.0</v>
      </c>
      <c r="P773" s="42">
        <f t="shared" si="2119"/>
        <v>0.8092607209</v>
      </c>
      <c r="Q773" s="43">
        <v>1.5</v>
      </c>
      <c r="R773" s="42">
        <f t="shared" si="2120"/>
        <v>0.4402291596</v>
      </c>
      <c r="S773" s="44">
        <f t="shared" si="2121"/>
        <v>0.6603437394</v>
      </c>
      <c r="T773" s="43">
        <f>F773/29.628</f>
        <v>157.2222222</v>
      </c>
      <c r="U773" s="43">
        <f t="shared" si="2122"/>
        <v>6.550925926</v>
      </c>
      <c r="V773" s="40">
        <f t="shared" si="2123"/>
        <v>128.1666667</v>
      </c>
      <c r="X773" s="22">
        <v>6.0</v>
      </c>
      <c r="Y773" s="22" t="s">
        <v>42</v>
      </c>
      <c r="Z773" s="22">
        <f t="shared" ref="Z773:AI773" si="2150">SUM(D777)</f>
        <v>33</v>
      </c>
      <c r="AA773" s="23">
        <f t="shared" si="2150"/>
        <v>32</v>
      </c>
      <c r="AB773" s="24">
        <f t="shared" si="2150"/>
        <v>6309.51</v>
      </c>
      <c r="AC773" s="23">
        <f t="shared" si="2150"/>
        <v>3491</v>
      </c>
      <c r="AD773" s="23">
        <f t="shared" si="2150"/>
        <v>0</v>
      </c>
      <c r="AE773" s="23">
        <f t="shared" si="2150"/>
        <v>3491</v>
      </c>
      <c r="AF773" s="23">
        <f t="shared" si="2150"/>
        <v>4319</v>
      </c>
      <c r="AG773" s="23">
        <f t="shared" si="2150"/>
        <v>0</v>
      </c>
      <c r="AH773" s="23">
        <f t="shared" si="2150"/>
        <v>4319</v>
      </c>
      <c r="AI773" s="23">
        <f t="shared" si="2150"/>
        <v>7810</v>
      </c>
      <c r="AJ773" s="25">
        <f t="shared" si="2135"/>
        <v>197.1721875</v>
      </c>
      <c r="AK773" s="22">
        <f t="shared" si="2151"/>
        <v>9877</v>
      </c>
      <c r="AL773" s="26">
        <f t="shared" si="2137"/>
        <v>0.7907259289</v>
      </c>
      <c r="AM773" s="27">
        <f t="shared" si="2152"/>
        <v>1.5</v>
      </c>
      <c r="AN773" s="26">
        <f t="shared" si="2139"/>
        <v>0.8252093533</v>
      </c>
      <c r="AO773" s="28">
        <f t="shared" si="2140"/>
        <v>1.23781403</v>
      </c>
      <c r="AP773" s="27">
        <f t="shared" ref="AP773:AQ773" si="2153">SUM(T777)</f>
        <v>241.2353279</v>
      </c>
      <c r="AQ773" s="27">
        <f t="shared" si="2153"/>
        <v>7.538603995</v>
      </c>
      <c r="AR773" s="23">
        <f t="shared" si="2142"/>
        <v>244.0625</v>
      </c>
    </row>
    <row r="774" ht="15.75" customHeight="1">
      <c r="A774" s="21"/>
      <c r="B774" s="38">
        <v>13.0</v>
      </c>
      <c r="C774" s="38" t="s">
        <v>43</v>
      </c>
      <c r="D774" s="78">
        <v>30.0</v>
      </c>
      <c r="E774" s="40">
        <f>IFERROR(__xludf.DUMMYFUNCTION("COUNT(IMPORTRANGE(""https://docs.google.com/spreadsheets/d/1AxBmuQEdOYAeRnZ4C8vO6kuTNp7X_SGhpLXuY0n4ln4/edit"",""29!d2:d31""))"),30.0)</f>
        <v>30</v>
      </c>
      <c r="F774" s="45">
        <f>IFERROR(__xludf.DUMMYFUNCTION("SUM(IMPORTRANGE(""https://docs.google.com/spreadsheets/d/1AxBmuQEdOYAeRnZ4C8vO6kuTNp7X_SGhpLXuY0n4ln4/edit"",""29!Q2:Q31""))"),6284.278)</f>
        <v>6284.278</v>
      </c>
      <c r="G774" s="40">
        <f>IFERROR(__xludf.DUMMYFUNCTION("IMPORTRANGE(""https://docs.google.com/spreadsheets/d/1AxBmuQEdOYAeRnZ4C8vO6kuTNp7X_SGhpLXuY0n4ln4/edit"",""29!e38"")"),2141.0)</f>
        <v>2141</v>
      </c>
      <c r="H774" s="40">
        <f>IFERROR(__xludf.DUMMYFUNCTION("IMPORTRANGE(""https://docs.google.com/spreadsheets/d/1AxBmuQEdOYAeRnZ4C8vO6kuTNp7X_SGhpLXuY0n4ln4/edit"",""29!e39"")"),0.0)</f>
        <v>0</v>
      </c>
      <c r="I774" s="40">
        <f t="shared" si="2115"/>
        <v>2141</v>
      </c>
      <c r="J774" s="40">
        <f>IFERROR(__xludf.DUMMYFUNCTION("IMPORTRANGE(""https://docs.google.com/spreadsheets/d/1AxBmuQEdOYAeRnZ4C8vO6kuTNp7X_SGhpLXuY0n4ln4/edit"",""29!e42"")"),2709.0)</f>
        <v>2709</v>
      </c>
      <c r="K774" s="40">
        <f>IFERROR(__xludf.DUMMYFUNCTION("IMPORTRANGE(""https://docs.google.com/spreadsheets/d/1AxBmuQEdOYAeRnZ4C8vO6kuTNp7X_SGhpLXuY0n4ln4/edit"",""29!e43"")"),0.0)</f>
        <v>0</v>
      </c>
      <c r="L774" s="40">
        <f t="shared" si="2145"/>
        <v>2709</v>
      </c>
      <c r="M774" s="40">
        <f t="shared" si="2117"/>
        <v>4850</v>
      </c>
      <c r="N774" s="41">
        <f t="shared" si="2118"/>
        <v>209.4759333</v>
      </c>
      <c r="O774" s="38">
        <v>8345.0</v>
      </c>
      <c r="P774" s="42">
        <f t="shared" si="2119"/>
        <v>0.5811863391</v>
      </c>
      <c r="Q774" s="43">
        <v>1.5</v>
      </c>
      <c r="R774" s="42">
        <f t="shared" si="2120"/>
        <v>0.5145115053</v>
      </c>
      <c r="S774" s="44">
        <f t="shared" si="2121"/>
        <v>0.7717672579</v>
      </c>
      <c r="T774" s="43">
        <f>F774/41.205</f>
        <v>152.5125106</v>
      </c>
      <c r="U774" s="43">
        <f t="shared" si="2122"/>
        <v>5.083750354</v>
      </c>
      <c r="V774" s="40">
        <f t="shared" si="2123"/>
        <v>161.6666667</v>
      </c>
      <c r="X774" s="46" t="s">
        <v>33</v>
      </c>
      <c r="Y774" s="46">
        <v>6.0</v>
      </c>
      <c r="Z774" s="46">
        <f t="shared" ref="Z774:AI774" si="2154">SUM(Z768:Z773)</f>
        <v>226</v>
      </c>
      <c r="AA774" s="47">
        <f t="shared" si="2154"/>
        <v>222</v>
      </c>
      <c r="AB774" s="49">
        <f t="shared" si="2154"/>
        <v>44133.735</v>
      </c>
      <c r="AC774" s="47">
        <f t="shared" si="2154"/>
        <v>18428</v>
      </c>
      <c r="AD774" s="47">
        <f t="shared" si="2154"/>
        <v>158</v>
      </c>
      <c r="AE774" s="47">
        <f t="shared" si="2154"/>
        <v>18586</v>
      </c>
      <c r="AF774" s="47">
        <f t="shared" si="2154"/>
        <v>23253</v>
      </c>
      <c r="AG774" s="47">
        <f t="shared" si="2154"/>
        <v>240</v>
      </c>
      <c r="AH774" s="47">
        <f t="shared" si="2154"/>
        <v>23493</v>
      </c>
      <c r="AI774" s="47">
        <f t="shared" si="2154"/>
        <v>42079</v>
      </c>
      <c r="AJ774" s="49">
        <f t="shared" si="2135"/>
        <v>198.8006081</v>
      </c>
      <c r="AK774" s="46">
        <f>SUM(AK768:AK773)</f>
        <v>53273</v>
      </c>
      <c r="AL774" s="50">
        <f t="shared" si="2137"/>
        <v>0.7898747959</v>
      </c>
      <c r="AM774" s="51">
        <v>1.5</v>
      </c>
      <c r="AN774" s="50">
        <f t="shared" si="2139"/>
        <v>0.6356286561</v>
      </c>
      <c r="AO774" s="52">
        <f t="shared" si="2140"/>
        <v>0.9534429841</v>
      </c>
      <c r="AP774" s="51">
        <f>SUM(AP768:AP773)</f>
        <v>1448.833562</v>
      </c>
      <c r="AQ774" s="51">
        <f>AP774/AA774</f>
        <v>6.526277308</v>
      </c>
      <c r="AR774" s="47">
        <f t="shared" si="2142"/>
        <v>189.545045</v>
      </c>
    </row>
    <row r="775" ht="15.75" customHeight="1">
      <c r="A775" s="21"/>
      <c r="B775" s="38">
        <v>14.0</v>
      </c>
      <c r="C775" s="38" t="s">
        <v>27</v>
      </c>
      <c r="D775" s="78">
        <v>30.0</v>
      </c>
      <c r="E775" s="40">
        <f>IFERROR(__xludf.DUMMYFUNCTION("COUNT(IMPORTRANGE(""https://docs.google.com/spreadsheets/d/1LsL4JuXvBtfJ-TVi4NFml9lV_pmd61b789A_nbO-QrA/edit"",""29!d2:d31""))"),28.0)</f>
        <v>28</v>
      </c>
      <c r="F775" s="45">
        <f>IFERROR(__xludf.DUMMYFUNCTION("SUM(IMPORTRANGE(""https://docs.google.com/spreadsheets/d/1LsL4JuXvBtfJ-TVi4NFml9lV_pmd61b789A_nbO-QrA/edit"",""29!Q2:Q31""))"),5231.963)</f>
        <v>5231.963</v>
      </c>
      <c r="G775" s="40">
        <f>IFERROR(__xludf.DUMMYFUNCTION("IMPORTRANGE(""https://docs.google.com/spreadsheets/d/1LsL4JuXvBtfJ-TVi4NFml9lV_pmd61b789A_nbO-QrA/edit"",""29!e38"")"),2609.0)</f>
        <v>2609</v>
      </c>
      <c r="H775" s="40">
        <f>IFERROR(__xludf.DUMMYFUNCTION("IMPORTRANGE(""https://docs.google.com/spreadsheets/d/1LsL4JuXvBtfJ-TVi4NFml9lV_pmd61b789A_nbO-QrA/edit"",""29!e39"")"),0.0)</f>
        <v>0</v>
      </c>
      <c r="I775" s="40">
        <f t="shared" si="2115"/>
        <v>2609</v>
      </c>
      <c r="J775" s="40">
        <f>IFERROR(__xludf.DUMMYFUNCTION("IMPORTRANGE(""https://docs.google.com/spreadsheets/d/1LsL4JuXvBtfJ-TVi4NFml9lV_pmd61b789A_nbO-QrA/edit"",""29!e42"")"),3255.0)</f>
        <v>3255</v>
      </c>
      <c r="K775" s="40">
        <f>IFERROR(__xludf.DUMMYFUNCTION("IMPORTRANGE(""https://docs.google.com/spreadsheets/d/1LsL4JuXvBtfJ-TVi4NFml9lV_pmd61b789A_nbO-QrA/edit"",""29!e43"")"),0.0)</f>
        <v>0</v>
      </c>
      <c r="L775" s="40">
        <f t="shared" si="2145"/>
        <v>3255</v>
      </c>
      <c r="M775" s="40">
        <f t="shared" si="2117"/>
        <v>5864</v>
      </c>
      <c r="N775" s="41">
        <f t="shared" si="2118"/>
        <v>186.8558214</v>
      </c>
      <c r="O775" s="38">
        <v>8101.0</v>
      </c>
      <c r="P775" s="42">
        <f t="shared" si="2119"/>
        <v>0.7238612517</v>
      </c>
      <c r="Q775" s="43">
        <v>1.5</v>
      </c>
      <c r="R775" s="42">
        <f t="shared" si="2120"/>
        <v>0.7472020221</v>
      </c>
      <c r="S775" s="44">
        <f t="shared" si="2121"/>
        <v>1.120803033</v>
      </c>
      <c r="T775" s="43">
        <f>F775/19.985</f>
        <v>261.7944959</v>
      </c>
      <c r="U775" s="43">
        <f t="shared" si="2122"/>
        <v>9.349803424</v>
      </c>
      <c r="V775" s="40">
        <f t="shared" si="2123"/>
        <v>209.4285714</v>
      </c>
      <c r="X775" s="59" t="s">
        <v>44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6"/>
    </row>
    <row r="776" ht="15.75" customHeight="1">
      <c r="A776" s="21"/>
      <c r="B776" s="38">
        <v>15.0</v>
      </c>
      <c r="C776" s="38" t="s">
        <v>40</v>
      </c>
      <c r="D776" s="78">
        <v>30.0</v>
      </c>
      <c r="E776" s="40">
        <f>IFERROR(__xludf.DUMMYFUNCTION("COUNT(IMPORTRANGE(""https://docs.google.com/spreadsheets/d/1Krav0MVlY0vbUNsFRDnb_kR72_tyuGnWBYbGjNZrl18/edit"",""29!d2:d31""))"),30.0)</f>
        <v>30</v>
      </c>
      <c r="F776" s="45">
        <f>IFERROR(__xludf.DUMMYFUNCTION("SUM(IMPORTRANGE(""https://docs.google.com/spreadsheets/d/1Krav0MVlY0vbUNsFRDnb_kR72_tyuGnWBYbGjNZrl18/edit"",""29!Q2:Q31""))"),5958.141999999998)</f>
        <v>5958.142</v>
      </c>
      <c r="G776" s="40">
        <f>IFERROR(__xludf.DUMMYFUNCTION("IMPORTRANGE(""https://docs.google.com/spreadsheets/d/1Krav0MVlY0vbUNsFRDnb_kR72_tyuGnWBYbGjNZrl18/edit"",""29!e38"")"),3481.0)</f>
        <v>3481</v>
      </c>
      <c r="H776" s="40">
        <f>IFERROR(__xludf.DUMMYFUNCTION("IMPORTRANGE(""https://docs.google.com/spreadsheets/d/1Krav0MVlY0vbUNsFRDnb_kR72_tyuGnWBYbGjNZrl18/edit"",""29!e39"")"),0.0)</f>
        <v>0</v>
      </c>
      <c r="I776" s="40">
        <f t="shared" si="2115"/>
        <v>3481</v>
      </c>
      <c r="J776" s="40">
        <f>IFERROR(__xludf.DUMMYFUNCTION("IMPORTRANGE(""https://docs.google.com/spreadsheets/d/1Krav0MVlY0vbUNsFRDnb_kR72_tyuGnWBYbGjNZrl18/edit"",""29!e42"")"),3974.0)</f>
        <v>3974</v>
      </c>
      <c r="K776" s="40">
        <f>IFERROR(__xludf.DUMMYFUNCTION("IMPORTRANGE(""https://docs.google.com/spreadsheets/d/1Krav0MVlY0vbUNsFRDnb_kR72_tyuGnWBYbGjNZrl18/edit"",""29!e43"")"),0.0)</f>
        <v>0</v>
      </c>
      <c r="L776" s="40">
        <f t="shared" si="2145"/>
        <v>3974</v>
      </c>
      <c r="M776" s="40">
        <f t="shared" si="2117"/>
        <v>7455</v>
      </c>
      <c r="N776" s="41">
        <f t="shared" si="2118"/>
        <v>198.6047333</v>
      </c>
      <c r="O776" s="38">
        <v>8239.0</v>
      </c>
      <c r="P776" s="42">
        <f t="shared" si="2119"/>
        <v>0.9048428207</v>
      </c>
      <c r="Q776" s="43">
        <v>1.5</v>
      </c>
      <c r="R776" s="42">
        <f t="shared" si="2120"/>
        <v>0.8341526603</v>
      </c>
      <c r="S776" s="44">
        <f t="shared" si="2121"/>
        <v>1.251228991</v>
      </c>
      <c r="T776" s="43">
        <f>F776/28.443</f>
        <v>209.4765672</v>
      </c>
      <c r="U776" s="43">
        <f t="shared" si="2122"/>
        <v>6.982552239</v>
      </c>
      <c r="V776" s="40">
        <f t="shared" si="2123"/>
        <v>248.5</v>
      </c>
      <c r="X776" s="14" t="s">
        <v>2</v>
      </c>
      <c r="Y776" s="14" t="s">
        <v>3</v>
      </c>
      <c r="Z776" s="14" t="s">
        <v>4</v>
      </c>
      <c r="AA776" s="14" t="s">
        <v>5</v>
      </c>
      <c r="AB776" s="15" t="s">
        <v>6</v>
      </c>
      <c r="AC776" s="14" t="s">
        <v>7</v>
      </c>
      <c r="AD776" s="14" t="s">
        <v>8</v>
      </c>
      <c r="AE776" s="14" t="s">
        <v>9</v>
      </c>
      <c r="AF776" s="14" t="s">
        <v>10</v>
      </c>
      <c r="AG776" s="14" t="s">
        <v>11</v>
      </c>
      <c r="AH776" s="14" t="s">
        <v>12</v>
      </c>
      <c r="AI776" s="14" t="s">
        <v>13</v>
      </c>
      <c r="AJ776" s="15" t="s">
        <v>14</v>
      </c>
      <c r="AK776" s="14" t="s">
        <v>15</v>
      </c>
      <c r="AL776" s="14" t="s">
        <v>16</v>
      </c>
      <c r="AM776" s="16" t="s">
        <v>17</v>
      </c>
      <c r="AN776" s="17" t="s">
        <v>18</v>
      </c>
      <c r="AO776" s="18" t="s">
        <v>19</v>
      </c>
      <c r="AP776" s="19" t="s">
        <v>20</v>
      </c>
      <c r="AQ776" s="19" t="s">
        <v>21</v>
      </c>
      <c r="AR776" s="20" t="s">
        <v>22</v>
      </c>
    </row>
    <row r="777" ht="15.75" customHeight="1">
      <c r="A777" s="21"/>
      <c r="B777" s="38">
        <v>16.0</v>
      </c>
      <c r="C777" s="38" t="s">
        <v>42</v>
      </c>
      <c r="D777" s="78">
        <v>33.0</v>
      </c>
      <c r="E777" s="40">
        <f>IFERROR(__xludf.DUMMYFUNCTION("COUNT(IMPORTRANGE(""https://docs.google.com/spreadsheets/d/1uXtm-E8PG0CetlFmSpTX3RK0LNEMnpR-mxbET9AGD6w/edit"",""29!d2:d34""))"),32.0)</f>
        <v>32</v>
      </c>
      <c r="F777" s="45">
        <f>IFERROR(__xludf.DUMMYFUNCTION("SUM(IMPORTRANGE(""https://docs.google.com/spreadsheets/d/1uXtm-E8PG0CetlFmSpTX3RK0LNEMnpR-mxbET9AGD6w/edit"",""29!Q2:Q34""))"),6309.5099999999975)</f>
        <v>6309.51</v>
      </c>
      <c r="G777" s="40">
        <f>IFERROR(__xludf.DUMMYFUNCTION("IMPORTRANGE(""https://docs.google.com/spreadsheets/d/1uXtm-E8PG0CetlFmSpTX3RK0LNEMnpR-mxbET9AGD6w/edit"",""29!e41"")"),3491.0)</f>
        <v>3491</v>
      </c>
      <c r="H777" s="40">
        <f>IFERROR(__xludf.DUMMYFUNCTION("IMPORTRANGE(""https://docs.google.com/spreadsheets/d/1uXtm-E8PG0CetlFmSpTX3RK0LNEMnpR-mxbET9AGD6w/edit"",""29!e42"")"),0.0)</f>
        <v>0</v>
      </c>
      <c r="I777" s="40">
        <f t="shared" si="2115"/>
        <v>3491</v>
      </c>
      <c r="J777" s="40">
        <f>IFERROR(__xludf.DUMMYFUNCTION("IMPORTRANGE(""https://docs.google.com/spreadsheets/d/1uXtm-E8PG0CetlFmSpTX3RK0LNEMnpR-mxbET9AGD6w/edit"",""29!e45"")"),4319.0)</f>
        <v>4319</v>
      </c>
      <c r="K777" s="40">
        <f>IFERROR(__xludf.DUMMYFUNCTION("IMPORTRANGE(""https://docs.google.com/spreadsheets/d/1uXtm-E8PG0CetlFmSpTX3RK0LNEMnpR-mxbET9AGD6w/edit"",""29!e46"")"),0.0)</f>
        <v>0</v>
      </c>
      <c r="L777" s="40">
        <f t="shared" si="2145"/>
        <v>4319</v>
      </c>
      <c r="M777" s="40">
        <f t="shared" si="2117"/>
        <v>7810</v>
      </c>
      <c r="N777" s="41">
        <f t="shared" si="2118"/>
        <v>197.1721875</v>
      </c>
      <c r="O777" s="38">
        <v>9877.0</v>
      </c>
      <c r="P777" s="42">
        <f t="shared" si="2119"/>
        <v>0.7907259289</v>
      </c>
      <c r="Q777" s="43">
        <v>1.5</v>
      </c>
      <c r="R777" s="42">
        <f t="shared" si="2120"/>
        <v>0.8252093533</v>
      </c>
      <c r="S777" s="44">
        <f t="shared" si="2121"/>
        <v>1.23781403</v>
      </c>
      <c r="T777" s="43">
        <f>F777/26.155</f>
        <v>241.2353279</v>
      </c>
      <c r="U777" s="43">
        <f t="shared" si="2122"/>
        <v>7.538603995</v>
      </c>
      <c r="V777" s="40">
        <f t="shared" si="2123"/>
        <v>244.0625</v>
      </c>
      <c r="X777" s="31">
        <v>1.0</v>
      </c>
      <c r="Y777" s="31" t="s">
        <v>26</v>
      </c>
      <c r="Z777" s="31">
        <f t="shared" ref="Z777:AI777" si="2155">SUM(D762)</f>
        <v>20</v>
      </c>
      <c r="AA777" s="32">
        <f t="shared" si="2155"/>
        <v>20</v>
      </c>
      <c r="AB777" s="34">
        <f t="shared" si="2155"/>
        <v>3755.643</v>
      </c>
      <c r="AC777" s="32">
        <f t="shared" si="2155"/>
        <v>2241</v>
      </c>
      <c r="AD777" s="32">
        <f t="shared" si="2155"/>
        <v>0</v>
      </c>
      <c r="AE777" s="32">
        <f t="shared" si="2155"/>
        <v>2241</v>
      </c>
      <c r="AF777" s="32">
        <f t="shared" si="2155"/>
        <v>2899</v>
      </c>
      <c r="AG777" s="32">
        <f t="shared" si="2155"/>
        <v>0</v>
      </c>
      <c r="AH777" s="32">
        <f t="shared" si="2155"/>
        <v>2899</v>
      </c>
      <c r="AI777" s="32">
        <f t="shared" si="2155"/>
        <v>5140</v>
      </c>
      <c r="AJ777" s="34">
        <f t="shared" ref="AJ777:AJ783" si="2158">AB777/AA777</f>
        <v>187.78215</v>
      </c>
      <c r="AK777" s="31">
        <f>SUM(O762)</f>
        <v>5161</v>
      </c>
      <c r="AL777" s="35">
        <f t="shared" ref="AL777:AL783" si="2159">AI777/AK777</f>
        <v>0.9959310211</v>
      </c>
      <c r="AM777" s="36">
        <f>SUM(Q762)</f>
        <v>1.5</v>
      </c>
      <c r="AN777" s="35">
        <f t="shared" ref="AN777:AN783" si="2160">AO777/AM777</f>
        <v>0.912404791</v>
      </c>
      <c r="AO777" s="37">
        <f t="shared" ref="AO777:AO783" si="2161">AI777/AB777</f>
        <v>1.368607187</v>
      </c>
      <c r="AP777" s="36">
        <f t="shared" ref="AP777:AQ777" si="2156">SUM(T762)</f>
        <v>260.5371488</v>
      </c>
      <c r="AQ777" s="36">
        <f t="shared" si="2156"/>
        <v>13.02685744</v>
      </c>
      <c r="AR777" s="32">
        <f t="shared" ref="AR777:AR783" si="2163">AI777/AA777</f>
        <v>257</v>
      </c>
    </row>
    <row r="778" ht="15.75" customHeight="1">
      <c r="A778" s="21"/>
      <c r="B778" s="38">
        <v>17.0</v>
      </c>
      <c r="C778" s="38" t="s">
        <v>29</v>
      </c>
      <c r="D778" s="78">
        <v>30.0</v>
      </c>
      <c r="E778" s="40">
        <f>IFERROR(__xludf.DUMMYFUNCTION("COUNT(IMPORTRANGE(""https://docs.google.com/spreadsheets/d/12xcKI0lSnAsjEsxfm9K8Qx0B_89Gzsh816mowItkQao/edit"",""29!d2:d31""))"),30.0)</f>
        <v>30</v>
      </c>
      <c r="F778" s="45">
        <f>IFERROR(__xludf.DUMMYFUNCTION("SUM(IMPORTRANGE(""https://docs.google.com/spreadsheets/d/12xcKI0lSnAsjEsxfm9K8Qx0B_89Gzsh816mowItkQao/edit"",""29!Q2:Q31""))"),6066.854000000002)</f>
        <v>6066.854</v>
      </c>
      <c r="G778" s="40">
        <f>IFERROR(__xludf.DUMMYFUNCTION("IMPORTRANGE(""https://docs.google.com/spreadsheets/d/12xcKI0lSnAsjEsxfm9K8Qx0B_89Gzsh816mowItkQao/edit"",""29!e38"")"),2439.0)</f>
        <v>2439</v>
      </c>
      <c r="H778" s="40">
        <f>IFERROR(__xludf.DUMMYFUNCTION("IMPORTRANGE(""https://docs.google.com/spreadsheets/d/12xcKI0lSnAsjEsxfm9K8Qx0B_89Gzsh816mowItkQao/edit"",""29!e39"")"),0.0)</f>
        <v>0</v>
      </c>
      <c r="I778" s="40">
        <f t="shared" si="2115"/>
        <v>2439</v>
      </c>
      <c r="J778" s="40">
        <f>IFERROR(__xludf.DUMMYFUNCTION("IMPORTRANGE(""https://docs.google.com/spreadsheets/d/12xcKI0lSnAsjEsxfm9K8Qx0B_89Gzsh816mowItkQao/edit"",""29!e42"")"),5031.0)</f>
        <v>5031</v>
      </c>
      <c r="K778" s="40">
        <f>IFERROR(__xludf.DUMMYFUNCTION("IMPORTRANGE(""https://docs.google.com/spreadsheets/d/12xcKI0lSnAsjEsxfm9K8Qx0B_89Gzsh816mowItkQao/edit"",""29!e43"")"),0.0)</f>
        <v>0</v>
      </c>
      <c r="L778" s="40">
        <f t="shared" si="2145"/>
        <v>5031</v>
      </c>
      <c r="M778" s="40">
        <f t="shared" si="2117"/>
        <v>7470</v>
      </c>
      <c r="N778" s="41">
        <f t="shared" si="2118"/>
        <v>202.2284667</v>
      </c>
      <c r="O778" s="38">
        <v>9201.0</v>
      </c>
      <c r="P778" s="42">
        <f t="shared" si="2119"/>
        <v>0.8118682752</v>
      </c>
      <c r="Q778" s="43">
        <v>1.5</v>
      </c>
      <c r="R778" s="42">
        <f t="shared" si="2120"/>
        <v>0.8208537736</v>
      </c>
      <c r="S778" s="44">
        <f t="shared" si="2121"/>
        <v>1.23128066</v>
      </c>
      <c r="T778" s="43">
        <f>F778/26.038</f>
        <v>233</v>
      </c>
      <c r="U778" s="43">
        <f t="shared" si="2122"/>
        <v>7.766666667</v>
      </c>
      <c r="V778" s="40">
        <f t="shared" si="2123"/>
        <v>249</v>
      </c>
      <c r="X778" s="31">
        <v>2.0</v>
      </c>
      <c r="Y778" s="31" t="s">
        <v>32</v>
      </c>
      <c r="Z778" s="31">
        <f t="shared" ref="Z778:AI778" si="2157">SUM(D765)</f>
        <v>42</v>
      </c>
      <c r="AA778" s="32">
        <f t="shared" si="2157"/>
        <v>40</v>
      </c>
      <c r="AB778" s="33">
        <f t="shared" si="2157"/>
        <v>7766.12</v>
      </c>
      <c r="AC778" s="31">
        <f t="shared" si="2157"/>
        <v>4690</v>
      </c>
      <c r="AD778" s="31">
        <f t="shared" si="2157"/>
        <v>40</v>
      </c>
      <c r="AE778" s="32">
        <f t="shared" si="2157"/>
        <v>4730</v>
      </c>
      <c r="AF778" s="31">
        <f t="shared" si="2157"/>
        <v>5751</v>
      </c>
      <c r="AG778" s="31">
        <f t="shared" si="2157"/>
        <v>0</v>
      </c>
      <c r="AH778" s="32">
        <f t="shared" si="2157"/>
        <v>5751</v>
      </c>
      <c r="AI778" s="32">
        <f t="shared" si="2157"/>
        <v>10481</v>
      </c>
      <c r="AJ778" s="34">
        <f t="shared" si="2158"/>
        <v>194.153</v>
      </c>
      <c r="AK778" s="31">
        <f>SUM(O765)</f>
        <v>13817</v>
      </c>
      <c r="AL778" s="35">
        <f t="shared" si="2159"/>
        <v>0.7585582977</v>
      </c>
      <c r="AM778" s="36">
        <f>SUM(Q765)</f>
        <v>1.5</v>
      </c>
      <c r="AN778" s="35">
        <f t="shared" si="2160"/>
        <v>0.8997199803</v>
      </c>
      <c r="AO778" s="37">
        <f t="shared" si="2161"/>
        <v>1.34957997</v>
      </c>
      <c r="AP778" s="36">
        <f t="shared" ref="AP778:AQ778" si="2162">SUM(T765)</f>
        <v>309.5428275</v>
      </c>
      <c r="AQ778" s="36">
        <f t="shared" si="2162"/>
        <v>7.738570688</v>
      </c>
      <c r="AR778" s="32">
        <f t="shared" si="2163"/>
        <v>262.025</v>
      </c>
    </row>
    <row r="779" ht="15.75" customHeight="1">
      <c r="A779" s="21"/>
      <c r="B779" s="38">
        <v>18.0</v>
      </c>
      <c r="C779" s="38" t="s">
        <v>31</v>
      </c>
      <c r="D779" s="78">
        <v>15.0</v>
      </c>
      <c r="E779" s="40">
        <f>IFERROR(__xludf.DUMMYFUNCTION("COUNT(IMPORTRANGE(""https://docs.google.com/spreadsheets/d/1fgCFOFzOla4Qim6_-zG-lbYhLCItqv_kZiAHoErRgcM/edit"",""29!d2:d16""))"),13.0)</f>
        <v>13</v>
      </c>
      <c r="F779" s="41">
        <f>IFERROR(__xludf.DUMMYFUNCTION("SUM(IMPORTRANGE(""https://docs.google.com/spreadsheets/d/1fgCFOFzOla4Qim6_-zG-lbYhLCItqv_kZiAHoErRgcM/edit"",""29!Q2:Q16""))"),2651.3650000000002)</f>
        <v>2651.365</v>
      </c>
      <c r="G779" s="40">
        <f>IFERROR(__xludf.DUMMYFUNCTION("IMPORTRANGE(""https://docs.google.com/spreadsheets/d/1fgCFOFzOla4Qim6_-zG-lbYhLCItqv_kZiAHoErRgcM/edit"",""29!e23"")"),920.0)</f>
        <v>920</v>
      </c>
      <c r="H779" s="40">
        <f>IFERROR(__xludf.DUMMYFUNCTION("IMPORTRANGE(""https://docs.google.com/spreadsheets/d/1fgCFOFzOla4Qim6_-zG-lbYhLCItqv_kZiAHoErRgcM/edit"",""29!e24"")"),9.0)</f>
        <v>9</v>
      </c>
      <c r="I779" s="40">
        <f t="shared" si="2115"/>
        <v>929</v>
      </c>
      <c r="J779" s="40">
        <f>IFERROR(__xludf.DUMMYFUNCTION("IMPORTRANGE(""https://docs.google.com/spreadsheets/d/1fgCFOFzOla4Qim6_-zG-lbYhLCItqv_kZiAHoErRgcM/edit"",""29!e27"")"),1187.0)</f>
        <v>1187</v>
      </c>
      <c r="K779" s="40">
        <f>IFERROR(__xludf.DUMMYFUNCTION("IMPORTRANGE(""https://docs.google.com/spreadsheets/d/1fgCFOFzOla4Qim6_-zG-lbYhLCItqv_kZiAHoErRgcM/edit"",""29!e28"")"),0.0)</f>
        <v>0</v>
      </c>
      <c r="L779" s="40">
        <f t="shared" si="2145"/>
        <v>1187</v>
      </c>
      <c r="M779" s="40">
        <f t="shared" si="2117"/>
        <v>2116</v>
      </c>
      <c r="N779" s="41">
        <f t="shared" si="2118"/>
        <v>203.9511538</v>
      </c>
      <c r="O779" s="38">
        <v>2717.0</v>
      </c>
      <c r="P779" s="42">
        <f t="shared" si="2119"/>
        <v>0.7788001472</v>
      </c>
      <c r="Q779" s="43">
        <v>1.5</v>
      </c>
      <c r="R779" s="42">
        <f t="shared" si="2120"/>
        <v>0.5320529865</v>
      </c>
      <c r="S779" s="44">
        <f t="shared" si="2121"/>
        <v>0.7980794798</v>
      </c>
      <c r="T779" s="43">
        <f>F779/43.465</f>
        <v>61</v>
      </c>
      <c r="U779" s="43">
        <f t="shared" si="2122"/>
        <v>4.692307692</v>
      </c>
      <c r="V779" s="40">
        <f t="shared" si="2123"/>
        <v>162.7692308</v>
      </c>
      <c r="X779" s="31">
        <v>3.0</v>
      </c>
      <c r="Y779" s="31" t="s">
        <v>36</v>
      </c>
      <c r="Z779" s="31">
        <f t="shared" ref="Z779:AI779" si="2164">SUM(D770)</f>
        <v>29</v>
      </c>
      <c r="AA779" s="32">
        <f t="shared" si="2164"/>
        <v>29</v>
      </c>
      <c r="AB779" s="33">
        <f t="shared" si="2164"/>
        <v>5678.948</v>
      </c>
      <c r="AC779" s="32">
        <f t="shared" si="2164"/>
        <v>1659</v>
      </c>
      <c r="AD779" s="32">
        <f t="shared" si="2164"/>
        <v>0</v>
      </c>
      <c r="AE779" s="32">
        <f t="shared" si="2164"/>
        <v>1659</v>
      </c>
      <c r="AF779" s="32">
        <f t="shared" si="2164"/>
        <v>2213</v>
      </c>
      <c r="AG779" s="32">
        <f t="shared" si="2164"/>
        <v>0</v>
      </c>
      <c r="AH779" s="32">
        <f t="shared" si="2164"/>
        <v>2213</v>
      </c>
      <c r="AI779" s="32">
        <f t="shared" si="2164"/>
        <v>3872</v>
      </c>
      <c r="AJ779" s="34">
        <f t="shared" si="2158"/>
        <v>195.8257931</v>
      </c>
      <c r="AK779" s="31">
        <f t="shared" ref="AK779:AK782" si="2168">SUM(O770)</f>
        <v>4796</v>
      </c>
      <c r="AL779" s="35">
        <f t="shared" si="2159"/>
        <v>0.8073394495</v>
      </c>
      <c r="AM779" s="36">
        <f t="shared" ref="AM779:AM782" si="2169">SUM(Q770)</f>
        <v>1.5</v>
      </c>
      <c r="AN779" s="35">
        <f t="shared" si="2160"/>
        <v>0.4545442806</v>
      </c>
      <c r="AO779" s="37">
        <f t="shared" si="2161"/>
        <v>0.6818164209</v>
      </c>
      <c r="AP779" s="36">
        <f t="shared" ref="AP779:AQ779" si="2165">SUM(T770)</f>
        <v>151.7867109</v>
      </c>
      <c r="AQ779" s="36">
        <f t="shared" si="2165"/>
        <v>5.234024512</v>
      </c>
      <c r="AR779" s="32">
        <f t="shared" si="2163"/>
        <v>133.5172414</v>
      </c>
    </row>
    <row r="780" ht="15.75" customHeight="1">
      <c r="A780" s="21"/>
      <c r="B780" s="60" t="s">
        <v>33</v>
      </c>
      <c r="C780" s="60">
        <v>18.0</v>
      </c>
      <c r="D780" s="60">
        <f t="shared" ref="D780:M780" si="2166">SUM(D762:D779)</f>
        <v>585</v>
      </c>
      <c r="E780" s="61">
        <f t="shared" si="2166"/>
        <v>573</v>
      </c>
      <c r="F780" s="62">
        <f t="shared" si="2166"/>
        <v>112660.279</v>
      </c>
      <c r="G780" s="61">
        <f t="shared" si="2166"/>
        <v>42880</v>
      </c>
      <c r="H780" s="61">
        <f t="shared" si="2166"/>
        <v>697</v>
      </c>
      <c r="I780" s="61">
        <f t="shared" si="2166"/>
        <v>43577</v>
      </c>
      <c r="J780" s="61">
        <f t="shared" si="2166"/>
        <v>58069</v>
      </c>
      <c r="K780" s="61">
        <f t="shared" si="2166"/>
        <v>1469</v>
      </c>
      <c r="L780" s="61">
        <f t="shared" si="2166"/>
        <v>59538</v>
      </c>
      <c r="M780" s="61">
        <f t="shared" si="2166"/>
        <v>103115</v>
      </c>
      <c r="N780" s="62">
        <f t="shared" si="2118"/>
        <v>196.6147976</v>
      </c>
      <c r="O780" s="60">
        <f>SUM(O762:O779)</f>
        <v>126399</v>
      </c>
      <c r="P780" s="63">
        <f t="shared" si="2119"/>
        <v>0.8157896819</v>
      </c>
      <c r="Q780" s="64">
        <v>1.5</v>
      </c>
      <c r="R780" s="63">
        <f t="shared" si="2120"/>
        <v>0.6101825235</v>
      </c>
      <c r="S780" s="65">
        <f t="shared" si="2121"/>
        <v>0.9152737852</v>
      </c>
      <c r="T780" s="64">
        <f>SUM(T762:T779)</f>
        <v>4147.342417</v>
      </c>
      <c r="U780" s="64">
        <f t="shared" si="2122"/>
        <v>7.237944881</v>
      </c>
      <c r="V780" s="61">
        <f t="shared" si="2123"/>
        <v>179.95637</v>
      </c>
      <c r="X780" s="31">
        <v>4.0</v>
      </c>
      <c r="Y780" s="31" t="s">
        <v>37</v>
      </c>
      <c r="Z780" s="31">
        <f t="shared" ref="Z780:AI780" si="2167">SUM(D771)</f>
        <v>30</v>
      </c>
      <c r="AA780" s="32">
        <f t="shared" si="2167"/>
        <v>29</v>
      </c>
      <c r="AB780" s="33">
        <f t="shared" si="2167"/>
        <v>5798.706</v>
      </c>
      <c r="AC780" s="32">
        <f t="shared" si="2167"/>
        <v>2187</v>
      </c>
      <c r="AD780" s="32">
        <f t="shared" si="2167"/>
        <v>53</v>
      </c>
      <c r="AE780" s="32">
        <f t="shared" si="2167"/>
        <v>2240</v>
      </c>
      <c r="AF780" s="32">
        <f t="shared" si="2167"/>
        <v>2944</v>
      </c>
      <c r="AG780" s="32">
        <f t="shared" si="2167"/>
        <v>0</v>
      </c>
      <c r="AH780" s="32">
        <f t="shared" si="2167"/>
        <v>2944</v>
      </c>
      <c r="AI780" s="32">
        <f t="shared" si="2167"/>
        <v>5184</v>
      </c>
      <c r="AJ780" s="34">
        <f t="shared" si="2158"/>
        <v>199.9553793</v>
      </c>
      <c r="AK780" s="31">
        <f t="shared" si="2168"/>
        <v>5887</v>
      </c>
      <c r="AL780" s="35">
        <f t="shared" si="2159"/>
        <v>0.8805843384</v>
      </c>
      <c r="AM780" s="36">
        <f t="shared" si="2169"/>
        <v>1.5</v>
      </c>
      <c r="AN780" s="35">
        <f t="shared" si="2160"/>
        <v>0.5959950375</v>
      </c>
      <c r="AO780" s="37">
        <f t="shared" si="2161"/>
        <v>0.8939925563</v>
      </c>
      <c r="AP780" s="36">
        <f t="shared" ref="AP780:AQ780" si="2170">SUM(T771)</f>
        <v>233.8942401</v>
      </c>
      <c r="AQ780" s="36">
        <f t="shared" si="2170"/>
        <v>8.065318623</v>
      </c>
      <c r="AR780" s="32">
        <f t="shared" si="2163"/>
        <v>178.7586207</v>
      </c>
    </row>
    <row r="781" ht="15.7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X781" s="31">
        <v>5.0</v>
      </c>
      <c r="Y781" s="31" t="s">
        <v>39</v>
      </c>
      <c r="Z781" s="31">
        <f t="shared" ref="Z781:AI781" si="2171">SUM(D772)</f>
        <v>28</v>
      </c>
      <c r="AA781" s="32">
        <f t="shared" si="2171"/>
        <v>28</v>
      </c>
      <c r="AB781" s="33">
        <f t="shared" si="2171"/>
        <v>5415.952</v>
      </c>
      <c r="AC781" s="32">
        <f t="shared" si="2171"/>
        <v>1221</v>
      </c>
      <c r="AD781" s="32">
        <f t="shared" si="2171"/>
        <v>51</v>
      </c>
      <c r="AE781" s="32">
        <f t="shared" si="2171"/>
        <v>1272</v>
      </c>
      <c r="AF781" s="32">
        <f t="shared" si="2171"/>
        <v>1454</v>
      </c>
      <c r="AG781" s="32">
        <f t="shared" si="2171"/>
        <v>417</v>
      </c>
      <c r="AH781" s="32">
        <f t="shared" si="2171"/>
        <v>1871</v>
      </c>
      <c r="AI781" s="32">
        <f t="shared" si="2171"/>
        <v>3143</v>
      </c>
      <c r="AJ781" s="34">
        <f t="shared" si="2158"/>
        <v>193.4268571</v>
      </c>
      <c r="AK781" s="31">
        <f t="shared" si="2168"/>
        <v>3569</v>
      </c>
      <c r="AL781" s="35">
        <f t="shared" si="2159"/>
        <v>0.8806388344</v>
      </c>
      <c r="AM781" s="36">
        <f t="shared" si="2169"/>
        <v>1.5</v>
      </c>
      <c r="AN781" s="35">
        <f t="shared" si="2160"/>
        <v>0.3868818138</v>
      </c>
      <c r="AO781" s="37">
        <f t="shared" si="2161"/>
        <v>0.5803227207</v>
      </c>
      <c r="AP781" s="36">
        <f t="shared" ref="AP781:AQ781" si="2172">SUM(T772)</f>
        <v>252.339002</v>
      </c>
      <c r="AQ781" s="36">
        <f t="shared" si="2172"/>
        <v>9.012107214</v>
      </c>
      <c r="AR781" s="32">
        <f t="shared" si="2163"/>
        <v>112.25</v>
      </c>
    </row>
    <row r="782" ht="15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X782" s="31">
        <v>6.0</v>
      </c>
      <c r="Y782" s="31" t="s">
        <v>41</v>
      </c>
      <c r="Z782" s="31">
        <f t="shared" ref="Z782:AI782" si="2173">SUM(D773)</f>
        <v>24</v>
      </c>
      <c r="AA782" s="32">
        <f t="shared" si="2173"/>
        <v>24</v>
      </c>
      <c r="AB782" s="33">
        <f t="shared" si="2173"/>
        <v>4658.18</v>
      </c>
      <c r="AC782" s="32">
        <f t="shared" si="2173"/>
        <v>1233</v>
      </c>
      <c r="AD782" s="32">
        <f t="shared" si="2173"/>
        <v>0</v>
      </c>
      <c r="AE782" s="32">
        <f t="shared" si="2173"/>
        <v>1233</v>
      </c>
      <c r="AF782" s="32">
        <f t="shared" si="2173"/>
        <v>1580</v>
      </c>
      <c r="AG782" s="32">
        <f t="shared" si="2173"/>
        <v>263</v>
      </c>
      <c r="AH782" s="32">
        <f t="shared" si="2173"/>
        <v>1843</v>
      </c>
      <c r="AI782" s="32">
        <f t="shared" si="2173"/>
        <v>3076</v>
      </c>
      <c r="AJ782" s="34">
        <f t="shared" si="2158"/>
        <v>194.0908333</v>
      </c>
      <c r="AK782" s="31">
        <f t="shared" si="2168"/>
        <v>3801</v>
      </c>
      <c r="AL782" s="35">
        <f t="shared" si="2159"/>
        <v>0.8092607209</v>
      </c>
      <c r="AM782" s="36">
        <f t="shared" si="2169"/>
        <v>1.5</v>
      </c>
      <c r="AN782" s="35">
        <f t="shared" si="2160"/>
        <v>0.4402291596</v>
      </c>
      <c r="AO782" s="37">
        <f t="shared" si="2161"/>
        <v>0.6603437394</v>
      </c>
      <c r="AP782" s="36">
        <f t="shared" ref="AP782:AQ782" si="2174">SUM(T773)</f>
        <v>157.2222222</v>
      </c>
      <c r="AQ782" s="36">
        <f t="shared" si="2174"/>
        <v>6.550925926</v>
      </c>
      <c r="AR782" s="32">
        <f t="shared" si="2163"/>
        <v>128.1666667</v>
      </c>
    </row>
    <row r="783" ht="15.75" customHeight="1">
      <c r="A783" s="1" t="s">
        <v>45</v>
      </c>
      <c r="D783" s="2"/>
      <c r="X783" s="46" t="s">
        <v>33</v>
      </c>
      <c r="Y783" s="46">
        <v>6.0</v>
      </c>
      <c r="Z783" s="46">
        <f t="shared" ref="Z783:AI783" si="2175">SUM(Z777:Z782)</f>
        <v>173</v>
      </c>
      <c r="AA783" s="47">
        <f t="shared" si="2175"/>
        <v>170</v>
      </c>
      <c r="AB783" s="49">
        <f t="shared" si="2175"/>
        <v>33073.549</v>
      </c>
      <c r="AC783" s="47">
        <f t="shared" si="2175"/>
        <v>13231</v>
      </c>
      <c r="AD783" s="47">
        <f t="shared" si="2175"/>
        <v>144</v>
      </c>
      <c r="AE783" s="47">
        <f t="shared" si="2175"/>
        <v>13375</v>
      </c>
      <c r="AF783" s="47">
        <f t="shared" si="2175"/>
        <v>16841</v>
      </c>
      <c r="AG783" s="47">
        <f t="shared" si="2175"/>
        <v>680</v>
      </c>
      <c r="AH783" s="47">
        <f t="shared" si="2175"/>
        <v>17521</v>
      </c>
      <c r="AI783" s="47">
        <f t="shared" si="2175"/>
        <v>30896</v>
      </c>
      <c r="AJ783" s="49">
        <f t="shared" si="2158"/>
        <v>194.5502882</v>
      </c>
      <c r="AK783" s="46">
        <f>SUM(AK777:AK782)</f>
        <v>37031</v>
      </c>
      <c r="AL783" s="50">
        <f t="shared" si="2159"/>
        <v>0.8343279955</v>
      </c>
      <c r="AM783" s="51">
        <v>1.5</v>
      </c>
      <c r="AN783" s="50">
        <f t="shared" si="2160"/>
        <v>0.6227736048</v>
      </c>
      <c r="AO783" s="52">
        <f t="shared" si="2161"/>
        <v>0.9341604072</v>
      </c>
      <c r="AP783" s="51">
        <f>SUM(AP777:AP782)</f>
        <v>1365.322151</v>
      </c>
      <c r="AQ783" s="51">
        <f>AP783/AA783</f>
        <v>8.031306774</v>
      </c>
      <c r="AR783" s="47">
        <f t="shared" si="2163"/>
        <v>181.7411765</v>
      </c>
    </row>
    <row r="784" ht="15.75" customHeight="1">
      <c r="A784" s="1" t="s">
        <v>45</v>
      </c>
      <c r="D784" s="2"/>
      <c r="X784" s="66" t="s">
        <v>1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6"/>
    </row>
    <row r="785" ht="15.75" customHeight="1">
      <c r="A785" s="7">
        <v>46233.0</v>
      </c>
      <c r="B785" s="8" t="s">
        <v>2</v>
      </c>
      <c r="C785" s="8" t="s">
        <v>3</v>
      </c>
      <c r="D785" s="8" t="s">
        <v>4</v>
      </c>
      <c r="E785" s="8" t="s">
        <v>5</v>
      </c>
      <c r="F785" s="9" t="s">
        <v>6</v>
      </c>
      <c r="G785" s="8" t="s">
        <v>7</v>
      </c>
      <c r="H785" s="8" t="s">
        <v>8</v>
      </c>
      <c r="I785" s="8" t="s">
        <v>9</v>
      </c>
      <c r="J785" s="8" t="s">
        <v>10</v>
      </c>
      <c r="K785" s="8" t="s">
        <v>11</v>
      </c>
      <c r="L785" s="8" t="s">
        <v>12</v>
      </c>
      <c r="M785" s="8" t="s">
        <v>13</v>
      </c>
      <c r="N785" s="9" t="s">
        <v>14</v>
      </c>
      <c r="O785" s="8" t="s">
        <v>15</v>
      </c>
      <c r="P785" s="8" t="s">
        <v>16</v>
      </c>
      <c r="Q785" s="8" t="s">
        <v>17</v>
      </c>
      <c r="R785" s="8" t="s">
        <v>18</v>
      </c>
      <c r="S785" s="11" t="s">
        <v>19</v>
      </c>
      <c r="T785" s="12" t="s">
        <v>20</v>
      </c>
      <c r="U785" s="12" t="s">
        <v>21</v>
      </c>
      <c r="V785" s="13" t="s">
        <v>22</v>
      </c>
      <c r="X785" s="14" t="s">
        <v>2</v>
      </c>
      <c r="Y785" s="14" t="s">
        <v>3</v>
      </c>
      <c r="Z785" s="14" t="s">
        <v>4</v>
      </c>
      <c r="AA785" s="14" t="s">
        <v>5</v>
      </c>
      <c r="AB785" s="15" t="s">
        <v>6</v>
      </c>
      <c r="AC785" s="14" t="s">
        <v>7</v>
      </c>
      <c r="AD785" s="14" t="s">
        <v>8</v>
      </c>
      <c r="AE785" s="14" t="s">
        <v>9</v>
      </c>
      <c r="AF785" s="14" t="s">
        <v>10</v>
      </c>
      <c r="AG785" s="14" t="s">
        <v>11</v>
      </c>
      <c r="AH785" s="14" t="s">
        <v>12</v>
      </c>
      <c r="AI785" s="14" t="s">
        <v>13</v>
      </c>
      <c r="AJ785" s="15" t="s">
        <v>14</v>
      </c>
      <c r="AK785" s="14" t="s">
        <v>15</v>
      </c>
      <c r="AL785" s="14" t="s">
        <v>16</v>
      </c>
      <c r="AM785" s="16" t="s">
        <v>17</v>
      </c>
      <c r="AN785" s="17" t="s">
        <v>18</v>
      </c>
      <c r="AO785" s="18" t="s">
        <v>19</v>
      </c>
      <c r="AP785" s="19" t="s">
        <v>20</v>
      </c>
      <c r="AQ785" s="19" t="s">
        <v>21</v>
      </c>
      <c r="AR785" s="20" t="s">
        <v>22</v>
      </c>
    </row>
    <row r="786" ht="15.7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X786" s="22">
        <v>1.0</v>
      </c>
      <c r="Y786" s="22" t="s">
        <v>23</v>
      </c>
      <c r="Z786" s="22">
        <f t="shared" ref="Z786:AI786" si="2176">SUM(D794)</f>
        <v>35</v>
      </c>
      <c r="AA786" s="23">
        <f t="shared" si="2176"/>
        <v>35</v>
      </c>
      <c r="AB786" s="24">
        <f t="shared" si="2176"/>
        <v>6984.18</v>
      </c>
      <c r="AC786" s="23">
        <f t="shared" si="2176"/>
        <v>1697</v>
      </c>
      <c r="AD786" s="23">
        <f t="shared" si="2176"/>
        <v>20</v>
      </c>
      <c r="AE786" s="23">
        <f t="shared" si="2176"/>
        <v>1717</v>
      </c>
      <c r="AF786" s="23">
        <f t="shared" si="2176"/>
        <v>3294</v>
      </c>
      <c r="AG786" s="23">
        <f t="shared" si="2176"/>
        <v>0</v>
      </c>
      <c r="AH786" s="23">
        <f t="shared" si="2176"/>
        <v>3294</v>
      </c>
      <c r="AI786" s="23">
        <f t="shared" si="2176"/>
        <v>5011</v>
      </c>
      <c r="AJ786" s="25">
        <f t="shared" ref="AJ786:AJ788" si="2179">AB786/AA786</f>
        <v>199.548</v>
      </c>
      <c r="AK786" s="22">
        <f>SUM(O794)</f>
        <v>6853</v>
      </c>
      <c r="AL786" s="26">
        <f t="shared" ref="AL786:AL792" si="2180">AI786/AK786</f>
        <v>0.7312126076</v>
      </c>
      <c r="AM786" s="27">
        <f t="shared" ref="AM786:AM788" si="2181">SUM(Q794)</f>
        <v>1.5</v>
      </c>
      <c r="AN786" s="26">
        <f t="shared" ref="AN786:AN792" si="2182">AO786/AM786</f>
        <v>0.4783190964</v>
      </c>
      <c r="AO786" s="28">
        <f t="shared" ref="AO786:AO792" si="2183">AI786/AB786</f>
        <v>0.7174786446</v>
      </c>
      <c r="AP786" s="27">
        <f t="shared" ref="AP786:AQ786" si="2177">SUM(T794)</f>
        <v>207</v>
      </c>
      <c r="AQ786" s="27">
        <f t="shared" si="2177"/>
        <v>5.914285714</v>
      </c>
      <c r="AR786" s="23">
        <f t="shared" ref="AR786:AR792" si="2185">AI786/AA786</f>
        <v>143.1714286</v>
      </c>
    </row>
    <row r="787" ht="15.7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X787" s="22">
        <v>2.0</v>
      </c>
      <c r="Y787" s="22" t="s">
        <v>24</v>
      </c>
      <c r="Z787" s="22">
        <f t="shared" ref="Z787:AI787" si="2178">SUM(D795)</f>
        <v>44</v>
      </c>
      <c r="AA787" s="23">
        <f t="shared" si="2178"/>
        <v>43</v>
      </c>
      <c r="AB787" s="24">
        <f t="shared" si="2178"/>
        <v>8503.184</v>
      </c>
      <c r="AC787" s="23">
        <f t="shared" si="2178"/>
        <v>1211</v>
      </c>
      <c r="AD787" s="23">
        <f t="shared" si="2178"/>
        <v>0</v>
      </c>
      <c r="AE787" s="23">
        <f t="shared" si="2178"/>
        <v>1211</v>
      </c>
      <c r="AF787" s="23">
        <f t="shared" si="2178"/>
        <v>1209</v>
      </c>
      <c r="AG787" s="23">
        <f t="shared" si="2178"/>
        <v>14</v>
      </c>
      <c r="AH787" s="23">
        <f t="shared" si="2178"/>
        <v>1223</v>
      </c>
      <c r="AI787" s="23">
        <f t="shared" si="2178"/>
        <v>2434</v>
      </c>
      <c r="AJ787" s="25">
        <f t="shared" si="2179"/>
        <v>197.7484651</v>
      </c>
      <c r="AK787" s="22">
        <v>1580.0</v>
      </c>
      <c r="AL787" s="29">
        <f t="shared" si="2180"/>
        <v>1.540506329</v>
      </c>
      <c r="AM787" s="27">
        <f t="shared" si="2181"/>
        <v>1.5</v>
      </c>
      <c r="AN787" s="26">
        <f t="shared" si="2182"/>
        <v>0.1908304779</v>
      </c>
      <c r="AO787" s="28">
        <f t="shared" si="2183"/>
        <v>0.2862457169</v>
      </c>
      <c r="AP787" s="27">
        <f t="shared" ref="AP787:AQ787" si="2184">SUM(T795)</f>
        <v>317.2238015</v>
      </c>
      <c r="AQ787" s="27">
        <f t="shared" si="2184"/>
        <v>7.37729771</v>
      </c>
      <c r="AR787" s="23">
        <f t="shared" si="2185"/>
        <v>56.60465116</v>
      </c>
    </row>
    <row r="788" ht="15.75" customHeight="1">
      <c r="A788" s="21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X788" s="31">
        <v>3.0</v>
      </c>
      <c r="Y788" s="31" t="s">
        <v>25</v>
      </c>
      <c r="Z788" s="31">
        <f t="shared" ref="Z788:AI788" si="2186">SUM(D796)</f>
        <v>32</v>
      </c>
      <c r="AA788" s="32">
        <f t="shared" si="2186"/>
        <v>31</v>
      </c>
      <c r="AB788" s="33">
        <f t="shared" si="2186"/>
        <v>6058.896</v>
      </c>
      <c r="AC788" s="32">
        <f t="shared" si="2186"/>
        <v>2345</v>
      </c>
      <c r="AD788" s="32">
        <f t="shared" si="2186"/>
        <v>526</v>
      </c>
      <c r="AE788" s="32">
        <f t="shared" si="2186"/>
        <v>2871</v>
      </c>
      <c r="AF788" s="32">
        <f t="shared" si="2186"/>
        <v>3448</v>
      </c>
      <c r="AG788" s="32">
        <f t="shared" si="2186"/>
        <v>336</v>
      </c>
      <c r="AH788" s="32">
        <f t="shared" si="2186"/>
        <v>3784</v>
      </c>
      <c r="AI788" s="32">
        <f t="shared" si="2186"/>
        <v>6655</v>
      </c>
      <c r="AJ788" s="34">
        <f t="shared" si="2179"/>
        <v>195.4482581</v>
      </c>
      <c r="AK788" s="31">
        <f>SUM(O796)</f>
        <v>6622</v>
      </c>
      <c r="AL788" s="67">
        <f t="shared" si="2180"/>
        <v>1.004983389</v>
      </c>
      <c r="AM788" s="36">
        <f t="shared" si="2181"/>
        <v>1.5</v>
      </c>
      <c r="AN788" s="35">
        <f t="shared" si="2182"/>
        <v>0.7322566135</v>
      </c>
      <c r="AO788" s="37">
        <f t="shared" si="2183"/>
        <v>1.09838492</v>
      </c>
      <c r="AP788" s="36">
        <f t="shared" ref="AP788:AQ788" si="2187">SUM(T796)</f>
        <v>254.1483221</v>
      </c>
      <c r="AQ788" s="36">
        <f t="shared" si="2187"/>
        <v>8.198332973</v>
      </c>
      <c r="AR788" s="32">
        <f t="shared" si="2185"/>
        <v>214.6774194</v>
      </c>
    </row>
    <row r="789" ht="15.75" customHeight="1">
      <c r="A789" s="21"/>
      <c r="B789" s="38">
        <v>1.0</v>
      </c>
      <c r="C789" s="38" t="s">
        <v>26</v>
      </c>
      <c r="D789" s="77">
        <v>20.0</v>
      </c>
      <c r="E789" s="40">
        <f>IFERROR(__xludf.DUMMYFUNCTION("COUNT(IMPORTRANGE(""https://docs.google.com/spreadsheets/d/1z0o91thOT38lgejTE_Bd2p3v_9VCDdQRkUsMIVqpQCk/edit"",""30!d2:d21""))"),20.0)</f>
        <v>20</v>
      </c>
      <c r="F789" s="41">
        <f>IFERROR(__xludf.DUMMYFUNCTION("SUM(IMPORTRANGE(""https://docs.google.com/spreadsheets/d/1z0o91thOT38lgejTE_Bd2p3v_9VCDdQRkUsMIVqpQCk/edit"",""30!Q2:Q21""))"),3820.5870000000004)</f>
        <v>3820.587</v>
      </c>
      <c r="G789" s="40">
        <f>IFERROR(__xludf.DUMMYFUNCTION("IMPORTRANGE(""https://docs.google.com/spreadsheets/d/1z0o91thOT38lgejTE_Bd2p3v_9VCDdQRkUsMIVqpQCk/edit"",""30!e28"")"),2260.0)</f>
        <v>2260</v>
      </c>
      <c r="H789" s="40">
        <f>IFERROR(__xludf.DUMMYFUNCTION("IMPORTRANGE(""https://docs.google.com/spreadsheets/d/1z0o91thOT38lgejTE_Bd2p3v_9VCDdQRkUsMIVqpQCk/edit"",""30!e29"")"),0.0)</f>
        <v>0</v>
      </c>
      <c r="I789" s="40">
        <f t="shared" ref="I789:I806" si="2190">SUM(G789:H789)</f>
        <v>2260</v>
      </c>
      <c r="J789" s="40">
        <f>IFERROR(__xludf.DUMMYFUNCTION("IMPORTRANGE(""https://docs.google.com/spreadsheets/d/1z0o91thOT38lgejTE_Bd2p3v_9VCDdQRkUsMIVqpQCk/edit"",""30!e32"")"),2463.0)</f>
        <v>2463</v>
      </c>
      <c r="K789" s="40">
        <f>IFERROR(__xludf.DUMMYFUNCTION("IMPORTRANGE(""https://docs.google.com/spreadsheets/d/1z0o91thOT38lgejTE_Bd2p3v_9VCDdQRkUsMIVqpQCk/edit"",""30!e33"")"),0.0)</f>
        <v>0</v>
      </c>
      <c r="L789" s="40">
        <f t="shared" ref="L789:L795" si="2191">SUM(J789:K789)</f>
        <v>2463</v>
      </c>
      <c r="M789" s="40">
        <f t="shared" ref="M789:M806" si="2192">SUM(I789+L789)</f>
        <v>4723</v>
      </c>
      <c r="N789" s="41">
        <f t="shared" ref="N789:N807" si="2193">F789/E789</f>
        <v>191.02935</v>
      </c>
      <c r="O789" s="38">
        <v>5161.0</v>
      </c>
      <c r="P789" s="42">
        <f t="shared" ref="P789:P807" si="2194">M789/O789</f>
        <v>0.9151327262</v>
      </c>
      <c r="Q789" s="43">
        <v>1.5</v>
      </c>
      <c r="R789" s="42">
        <f t="shared" ref="R789:R807" si="2195">S789/Q789</f>
        <v>0.8241316496</v>
      </c>
      <c r="S789" s="44">
        <f t="shared" ref="S789:S807" si="2196">M789/F789</f>
        <v>1.236197474</v>
      </c>
      <c r="T789" s="43">
        <f>F789/14.415</f>
        <v>265.0424558</v>
      </c>
      <c r="U789" s="43">
        <f t="shared" ref="U789:U807" si="2197">T789/E789</f>
        <v>13.25212279</v>
      </c>
      <c r="V789" s="40">
        <f t="shared" ref="V789:V807" si="2198">M789/E789</f>
        <v>236.15</v>
      </c>
      <c r="X789" s="22">
        <v>4.0</v>
      </c>
      <c r="Y789" s="22" t="s">
        <v>27</v>
      </c>
      <c r="Z789" s="22">
        <f t="shared" ref="Z789:AK789" si="2188">SUM(D802)</f>
        <v>30</v>
      </c>
      <c r="AA789" s="23">
        <f t="shared" si="2188"/>
        <v>28</v>
      </c>
      <c r="AB789" s="24">
        <f t="shared" si="2188"/>
        <v>5291.918</v>
      </c>
      <c r="AC789" s="23">
        <f t="shared" si="2188"/>
        <v>2756</v>
      </c>
      <c r="AD789" s="23">
        <f t="shared" si="2188"/>
        <v>0</v>
      </c>
      <c r="AE789" s="23">
        <f t="shared" si="2188"/>
        <v>2756</v>
      </c>
      <c r="AF789" s="23">
        <f t="shared" si="2188"/>
        <v>3105</v>
      </c>
      <c r="AG789" s="23">
        <f t="shared" si="2188"/>
        <v>0</v>
      </c>
      <c r="AH789" s="23">
        <f t="shared" si="2188"/>
        <v>3105</v>
      </c>
      <c r="AI789" s="23">
        <f t="shared" si="2188"/>
        <v>5861</v>
      </c>
      <c r="AJ789" s="25">
        <f t="shared" si="2188"/>
        <v>188.9970714</v>
      </c>
      <c r="AK789" s="22">
        <f t="shared" si="2188"/>
        <v>8101</v>
      </c>
      <c r="AL789" s="26">
        <f t="shared" si="2180"/>
        <v>0.723490927</v>
      </c>
      <c r="AM789" s="27">
        <f>SUM(Q802)</f>
        <v>1.5</v>
      </c>
      <c r="AN789" s="26">
        <f t="shared" si="2182"/>
        <v>0.7383586317</v>
      </c>
      <c r="AO789" s="28">
        <f t="shared" si="2183"/>
        <v>1.107537947</v>
      </c>
      <c r="AP789" s="27">
        <f t="shared" ref="AP789:AQ789" si="2189">SUM(T802)</f>
        <v>264.7944959</v>
      </c>
      <c r="AQ789" s="27">
        <f t="shared" si="2189"/>
        <v>9.456946281</v>
      </c>
      <c r="AR789" s="23">
        <f t="shared" si="2185"/>
        <v>209.3214286</v>
      </c>
    </row>
    <row r="790" ht="15.75" customHeight="1">
      <c r="A790" s="21"/>
      <c r="B790" s="38">
        <v>2.0</v>
      </c>
      <c r="C790" s="38" t="s">
        <v>28</v>
      </c>
      <c r="D790" s="78">
        <v>33.0</v>
      </c>
      <c r="E790" s="40">
        <f>IFERROR(__xludf.DUMMYFUNCTION("COUNT(IMPORTRANGE(""https://docs.google.com/spreadsheets/d/10a85iNN0y9GF6ngQfF1JXGAzFk-T7ywH4-TZtQcOTaE/edit"",""30!d2:d34""))"),33.0)</f>
        <v>33</v>
      </c>
      <c r="F790" s="41">
        <f>IFERROR(__xludf.DUMMYFUNCTION("SUM(IMPORTRANGE(""https://docs.google.com/spreadsheets/d/10a85iNN0y9GF6ngQfF1JXGAzFk-T7ywH4-TZtQcOTaE/edit"",""30!Q2:Q34""))"),6497.936)</f>
        <v>6497.936</v>
      </c>
      <c r="G790" s="40">
        <f>IFERROR(__xludf.DUMMYFUNCTION("IMPORTRANGE(""https://docs.google.com/spreadsheets/d/10a85iNN0y9GF6ngQfF1JXGAzFk-T7ywH4-TZtQcOTaE/edit"",""30!e41"")"),2757.0)</f>
        <v>2757</v>
      </c>
      <c r="H790" s="40">
        <f>IFERROR(__xludf.DUMMYFUNCTION("IMPORTRANGE(""https://docs.google.com/spreadsheets/d/10a85iNN0y9GF6ngQfF1JXGAzFk-T7ywH4-TZtQcOTaE/edit"",""30!e42"")"),192.0)</f>
        <v>192</v>
      </c>
      <c r="I790" s="40">
        <f t="shared" si="2190"/>
        <v>2949</v>
      </c>
      <c r="J790" s="40">
        <f>IFERROR(__xludf.DUMMYFUNCTION("IMPORTRANGE(""https://docs.google.com/spreadsheets/d/10a85iNN0y9GF6ngQfF1JXGAzFk-T7ywH4-TZtQcOTaE/edit"",""30!e45"")"),2820.0)</f>
        <v>2820</v>
      </c>
      <c r="K790" s="40">
        <f>IFERROR(__xludf.DUMMYFUNCTION("IMPORTRANGE(""https://docs.google.com/spreadsheets/d/10a85iNN0y9GF6ngQfF1JXGAzFk-T7ywH4-TZtQcOTaE/edit"",""30!e46"")"),315.0)</f>
        <v>315</v>
      </c>
      <c r="L790" s="40">
        <f t="shared" si="2191"/>
        <v>3135</v>
      </c>
      <c r="M790" s="40">
        <f t="shared" si="2192"/>
        <v>6084</v>
      </c>
      <c r="N790" s="41">
        <f t="shared" si="2193"/>
        <v>196.9071515</v>
      </c>
      <c r="O790" s="38">
        <v>7315.0</v>
      </c>
      <c r="P790" s="42">
        <f t="shared" si="2194"/>
        <v>0.8317156528</v>
      </c>
      <c r="Q790" s="43">
        <v>1.5</v>
      </c>
      <c r="R790" s="42">
        <f t="shared" si="2195"/>
        <v>0.6241982069</v>
      </c>
      <c r="S790" s="44">
        <f t="shared" si="2196"/>
        <v>0.9362973104</v>
      </c>
      <c r="T790" s="43">
        <f>F790/30.897</f>
        <v>210.3096093</v>
      </c>
      <c r="U790" s="43">
        <f t="shared" si="2197"/>
        <v>6.373018465</v>
      </c>
      <c r="V790" s="40">
        <f t="shared" si="2198"/>
        <v>184.3636364</v>
      </c>
      <c r="X790" s="22">
        <v>5.0</v>
      </c>
      <c r="Y790" s="22" t="s">
        <v>29</v>
      </c>
      <c r="Z790" s="22">
        <f t="shared" ref="Z790:AI790" si="2199">SUM(D805)</f>
        <v>30</v>
      </c>
      <c r="AA790" s="23">
        <f t="shared" si="2199"/>
        <v>30</v>
      </c>
      <c r="AB790" s="24">
        <f t="shared" si="2199"/>
        <v>5988.74</v>
      </c>
      <c r="AC790" s="23">
        <f t="shared" si="2199"/>
        <v>2721</v>
      </c>
      <c r="AD790" s="23">
        <f t="shared" si="2199"/>
        <v>0</v>
      </c>
      <c r="AE790" s="23">
        <f t="shared" si="2199"/>
        <v>2721</v>
      </c>
      <c r="AF790" s="23">
        <f t="shared" si="2199"/>
        <v>4405</v>
      </c>
      <c r="AG790" s="23">
        <f t="shared" si="2199"/>
        <v>0</v>
      </c>
      <c r="AH790" s="23">
        <f t="shared" si="2199"/>
        <v>4405</v>
      </c>
      <c r="AI790" s="23">
        <f t="shared" si="2199"/>
        <v>7126</v>
      </c>
      <c r="AJ790" s="25">
        <f t="shared" ref="AJ790:AJ792" si="2202">AB790/AA790</f>
        <v>199.6246667</v>
      </c>
      <c r="AK790" s="22">
        <f t="shared" ref="AK790:AK791" si="2203">SUM(O805)</f>
        <v>9201</v>
      </c>
      <c r="AL790" s="26">
        <f t="shared" si="2180"/>
        <v>0.7744810347</v>
      </c>
      <c r="AM790" s="27">
        <f t="shared" ref="AM790:AM791" si="2204">SUM(Q805)</f>
        <v>1.5</v>
      </c>
      <c r="AN790" s="26">
        <f t="shared" si="2182"/>
        <v>0.7932664745</v>
      </c>
      <c r="AO790" s="28">
        <f t="shared" si="2183"/>
        <v>1.189899712</v>
      </c>
      <c r="AP790" s="27">
        <f t="shared" ref="AP790:AQ790" si="2200">SUM(T805)</f>
        <v>230</v>
      </c>
      <c r="AQ790" s="27">
        <f t="shared" si="2200"/>
        <v>7.666666667</v>
      </c>
      <c r="AR790" s="23">
        <f t="shared" si="2185"/>
        <v>237.5333333</v>
      </c>
    </row>
    <row r="791" ht="15.75" customHeight="1">
      <c r="A791" s="21"/>
      <c r="B791" s="38">
        <v>3.0</v>
      </c>
      <c r="C791" s="38" t="s">
        <v>30</v>
      </c>
      <c r="D791" s="78">
        <v>60.0</v>
      </c>
      <c r="E791" s="40">
        <f>IFERROR(__xludf.DUMMYFUNCTION("COUNT(IMPORTRANGE(""https://docs.google.com/spreadsheets/d/1WojVzHhpzodJL1e5UDHeu3A3u5MTSZwvxHu0BrwvL9w/edit"",""30!d2:d61""))"),59.0)</f>
        <v>59</v>
      </c>
      <c r="F791" s="45">
        <f>IFERROR(__xludf.DUMMYFUNCTION("SUM(IMPORTRANGE(""https://docs.google.com/spreadsheets/d/1WojVzHhpzodJL1e5UDHeu3A3u5MTSZwvxHu0BrwvL9w/edit"",""30!Q2:Q61""))"),11739.691999999986)</f>
        <v>11739.692</v>
      </c>
      <c r="G791" s="40">
        <f>IFERROR(__xludf.DUMMYFUNCTION("IMPORTRANGE(""https://docs.google.com/spreadsheets/d/1WojVzHhpzodJL1e5UDHeu3A3u5MTSZwvxHu0BrwvL9w/edit"",""30!e68"")"),3258.0)</f>
        <v>3258</v>
      </c>
      <c r="H791" s="40">
        <f>IFERROR(__xludf.DUMMYFUNCTION("IMPORTRANGE(""https://docs.google.com/spreadsheets/d/1WojVzHhpzodJL1e5UDHeu3A3u5MTSZwvxHu0BrwvL9w/edit"",""30!e69"")"),0.0)</f>
        <v>0</v>
      </c>
      <c r="I791" s="40">
        <f t="shared" si="2190"/>
        <v>3258</v>
      </c>
      <c r="J791" s="40">
        <f>IFERROR(__xludf.DUMMYFUNCTION("IMPORTRANGE(""https://docs.google.com/spreadsheets/d/1WojVzHhpzodJL1e5UDHeu3A3u5MTSZwvxHu0BrwvL9w/edit"",""30!e72"")"),6172.0)</f>
        <v>6172</v>
      </c>
      <c r="K791" s="40">
        <f>IFERROR(__xludf.DUMMYFUNCTION("IMPORTRANGE(""https://docs.google.com/spreadsheets/d/1WojVzHhpzodJL1e5UDHeu3A3u5MTSZwvxHu0BrwvL9w/edit"",""30!e73"")"),13.0)</f>
        <v>13</v>
      </c>
      <c r="L791" s="40">
        <f t="shared" si="2191"/>
        <v>6185</v>
      </c>
      <c r="M791" s="40">
        <f t="shared" si="2192"/>
        <v>9443</v>
      </c>
      <c r="N791" s="41">
        <f t="shared" si="2193"/>
        <v>198.9778305</v>
      </c>
      <c r="O791" s="38">
        <v>11164.0</v>
      </c>
      <c r="P791" s="42">
        <f t="shared" si="2194"/>
        <v>0.8458437836</v>
      </c>
      <c r="Q791" s="43">
        <v>1.5</v>
      </c>
      <c r="R791" s="42">
        <f t="shared" si="2195"/>
        <v>0.5362434835</v>
      </c>
      <c r="S791" s="44">
        <f t="shared" si="2196"/>
        <v>0.8043652253</v>
      </c>
      <c r="T791" s="43">
        <f>F791/29.603</f>
        <v>396.5710232</v>
      </c>
      <c r="U791" s="43">
        <f t="shared" si="2197"/>
        <v>6.721542766</v>
      </c>
      <c r="V791" s="40">
        <f t="shared" si="2198"/>
        <v>160.0508475</v>
      </c>
      <c r="X791" s="22">
        <v>6.0</v>
      </c>
      <c r="Y791" s="22" t="s">
        <v>31</v>
      </c>
      <c r="Z791" s="22">
        <f t="shared" ref="Z791:AI791" si="2201">SUM(D806)</f>
        <v>15</v>
      </c>
      <c r="AA791" s="23">
        <f t="shared" si="2201"/>
        <v>14</v>
      </c>
      <c r="AB791" s="25">
        <f t="shared" si="2201"/>
        <v>2868.69</v>
      </c>
      <c r="AC791" s="23">
        <f t="shared" si="2201"/>
        <v>870</v>
      </c>
      <c r="AD791" s="23">
        <f t="shared" si="2201"/>
        <v>18</v>
      </c>
      <c r="AE791" s="23">
        <f t="shared" si="2201"/>
        <v>888</v>
      </c>
      <c r="AF791" s="23">
        <f t="shared" si="2201"/>
        <v>1199</v>
      </c>
      <c r="AG791" s="23">
        <f t="shared" si="2201"/>
        <v>0</v>
      </c>
      <c r="AH791" s="23">
        <f t="shared" si="2201"/>
        <v>1199</v>
      </c>
      <c r="AI791" s="23">
        <f t="shared" si="2201"/>
        <v>2087</v>
      </c>
      <c r="AJ791" s="25">
        <f t="shared" si="2202"/>
        <v>204.9064286</v>
      </c>
      <c r="AK791" s="22">
        <f t="shared" si="2203"/>
        <v>2717</v>
      </c>
      <c r="AL791" s="26">
        <f t="shared" si="2180"/>
        <v>0.7681266102</v>
      </c>
      <c r="AM791" s="27">
        <f t="shared" si="2204"/>
        <v>1.5</v>
      </c>
      <c r="AN791" s="26">
        <f t="shared" si="2182"/>
        <v>0.4850065128</v>
      </c>
      <c r="AO791" s="28">
        <f t="shared" si="2183"/>
        <v>0.7275097693</v>
      </c>
      <c r="AP791" s="27">
        <f t="shared" ref="AP791:AQ791" si="2205">SUM(T806)</f>
        <v>66</v>
      </c>
      <c r="AQ791" s="27">
        <f t="shared" si="2205"/>
        <v>4.714285714</v>
      </c>
      <c r="AR791" s="23">
        <f t="shared" si="2185"/>
        <v>149.0714286</v>
      </c>
    </row>
    <row r="792" ht="15.75" customHeight="1">
      <c r="A792" s="21"/>
      <c r="B792" s="38">
        <v>4.0</v>
      </c>
      <c r="C792" s="38" t="s">
        <v>32</v>
      </c>
      <c r="D792" s="78">
        <v>42.0</v>
      </c>
      <c r="E792" s="40">
        <f>IFERROR(__xludf.DUMMYFUNCTION("COUNT(IMPORTRANGE(""https://docs.google.com/spreadsheets/d/1vmCj5YcMSPHj1m64syDndQ6cqVL3yolcU03Y8KHmvdc/edit"",""30!d2:d43""))"),42.0)</f>
        <v>42</v>
      </c>
      <c r="F792" s="45">
        <f>IFERROR(__xludf.DUMMYFUNCTION("SUM(IMPORTRANGE(""https://docs.google.com/spreadsheets/d/1vmCj5YcMSPHj1m64syDndQ6cqVL3yolcU03Y8KHmvdc/edit"",""30!Q2:Q43""))"),8167.543999999991)</f>
        <v>8167.544</v>
      </c>
      <c r="G792" s="38">
        <f>IFERROR(__xludf.DUMMYFUNCTION("IMPORTRANGE(""https://docs.google.com/spreadsheets/d/1vmCj5YcMSPHj1m64syDndQ6cqVL3yolcU03Y8KHmvdc/edit"",""30!e50"")"),4855.0)</f>
        <v>4855</v>
      </c>
      <c r="H792" s="38">
        <f>IFERROR(__xludf.DUMMYFUNCTION("IMPORTRANGE(""https://docs.google.com/spreadsheets/d/1vmCj5YcMSPHj1m64syDndQ6cqVL3yolcU03Y8KHmvdc/edit"",""30!e51"")"),0.0)</f>
        <v>0</v>
      </c>
      <c r="I792" s="40">
        <f t="shared" si="2190"/>
        <v>4855</v>
      </c>
      <c r="J792" s="38">
        <f>IFERROR(__xludf.DUMMYFUNCTION("IMPORTRANGE(""https://docs.google.com/spreadsheets/d/1vmCj5YcMSPHj1m64syDndQ6cqVL3yolcU03Y8KHmvdc/edit"",""30!e54"")"),5953.0)</f>
        <v>5953</v>
      </c>
      <c r="K792" s="38">
        <f>IFERROR(__xludf.DUMMYFUNCTION("IMPORTRANGE(""https://docs.google.com/spreadsheets/d/1vmCj5YcMSPHj1m64syDndQ6cqVL3yolcU03Y8KHmvdc/edit"",""30!e55"")"),0.0)</f>
        <v>0</v>
      </c>
      <c r="L792" s="40">
        <f t="shared" si="2191"/>
        <v>5953</v>
      </c>
      <c r="M792" s="40">
        <f t="shared" si="2192"/>
        <v>10808</v>
      </c>
      <c r="N792" s="41">
        <f t="shared" si="2193"/>
        <v>194.4653333</v>
      </c>
      <c r="O792" s="38">
        <v>13817.0</v>
      </c>
      <c r="P792" s="42">
        <f t="shared" si="2194"/>
        <v>0.7822247955</v>
      </c>
      <c r="Q792" s="43">
        <v>1.5</v>
      </c>
      <c r="R792" s="42">
        <f t="shared" si="2195"/>
        <v>0.8821909418</v>
      </c>
      <c r="S792" s="44">
        <f t="shared" si="2196"/>
        <v>1.323286413</v>
      </c>
      <c r="T792" s="43">
        <f>F792/25.089</f>
        <v>325.5428275</v>
      </c>
      <c r="U792" s="43">
        <f t="shared" si="2197"/>
        <v>7.751019703</v>
      </c>
      <c r="V792" s="40">
        <f t="shared" si="2198"/>
        <v>257.3333333</v>
      </c>
      <c r="X792" s="46" t="s">
        <v>33</v>
      </c>
      <c r="Y792" s="46">
        <v>6.0</v>
      </c>
      <c r="Z792" s="46">
        <f t="shared" ref="Z792:AI792" si="2206">SUM(Z786:Z791)</f>
        <v>186</v>
      </c>
      <c r="AA792" s="47">
        <f t="shared" si="2206"/>
        <v>181</v>
      </c>
      <c r="AB792" s="48">
        <f t="shared" si="2206"/>
        <v>35695.608</v>
      </c>
      <c r="AC792" s="47">
        <f t="shared" si="2206"/>
        <v>11600</v>
      </c>
      <c r="AD792" s="47">
        <f t="shared" si="2206"/>
        <v>564</v>
      </c>
      <c r="AE792" s="47">
        <f t="shared" si="2206"/>
        <v>12164</v>
      </c>
      <c r="AF792" s="47">
        <f t="shared" si="2206"/>
        <v>16660</v>
      </c>
      <c r="AG792" s="47">
        <f t="shared" si="2206"/>
        <v>350</v>
      </c>
      <c r="AH792" s="47">
        <f t="shared" si="2206"/>
        <v>17010</v>
      </c>
      <c r="AI792" s="47">
        <f t="shared" si="2206"/>
        <v>29174</v>
      </c>
      <c r="AJ792" s="49">
        <f t="shared" si="2202"/>
        <v>197.2133039</v>
      </c>
      <c r="AK792" s="46">
        <f>SUM(AK786:AK791)</f>
        <v>35074</v>
      </c>
      <c r="AL792" s="50">
        <f t="shared" si="2180"/>
        <v>0.8317842276</v>
      </c>
      <c r="AM792" s="51">
        <v>1.5</v>
      </c>
      <c r="AN792" s="50">
        <f t="shared" si="2182"/>
        <v>0.5448662853</v>
      </c>
      <c r="AO792" s="52">
        <f t="shared" si="2183"/>
        <v>0.817299428</v>
      </c>
      <c r="AP792" s="51">
        <f>SUM(AP786:AP791)</f>
        <v>1339.16662</v>
      </c>
      <c r="AQ792" s="51">
        <f>AP792/AA792</f>
        <v>7.398710605</v>
      </c>
      <c r="AR792" s="47">
        <f t="shared" si="2185"/>
        <v>161.1823204</v>
      </c>
    </row>
    <row r="793" ht="15.75" customHeight="1">
      <c r="A793" s="21"/>
      <c r="B793" s="38">
        <v>5.0</v>
      </c>
      <c r="C793" s="38" t="s">
        <v>34</v>
      </c>
      <c r="D793" s="78">
        <v>40.0</v>
      </c>
      <c r="E793" s="40">
        <f>IFERROR(__xludf.DUMMYFUNCTION("COUNT(IMPORTRANGE(""https://docs.google.com/spreadsheets/d/14_Y-fpuq1wcec3DlT_1PBYekOC0YblQMrWVfO12YO3k/edit"",""30!d2:d41""))"),38.0)</f>
        <v>38</v>
      </c>
      <c r="F793" s="45">
        <f>IFERROR(__xludf.DUMMYFUNCTION("SUM(IMPORTRANGE(""https://docs.google.com/spreadsheets/d/14_Y-fpuq1wcec3DlT_1PBYekOC0YblQMrWVfO12YO3k/edit"",""30!Q2:Q41""))"),7540.3020000000015)</f>
        <v>7540.302</v>
      </c>
      <c r="G793" s="40">
        <f>IFERROR(__xludf.DUMMYFUNCTION("IMPORTRANGE(""https://docs.google.com/spreadsheets/d/14_Y-fpuq1wcec3DlT_1PBYekOC0YblQMrWVfO12YO3k/edit"",""30!e48"")"),2969.0)</f>
        <v>2969</v>
      </c>
      <c r="H793" s="40">
        <f>IFERROR(__xludf.DUMMYFUNCTION("IMPORTRANGE(""https://docs.google.com/spreadsheets/d/14_Y-fpuq1wcec3DlT_1PBYekOC0YblQMrWVfO12YO3k/edit"",""30!e49"")"),0.0)</f>
        <v>0</v>
      </c>
      <c r="I793" s="40">
        <f t="shared" si="2190"/>
        <v>2969</v>
      </c>
      <c r="J793" s="40">
        <f>IFERROR(__xludf.DUMMYFUNCTION("IMPORTRANGE(""https://docs.google.com/spreadsheets/d/14_Y-fpuq1wcec3DlT_1PBYekOC0YblQMrWVfO12YO3k/edit"",""30!e52"")"),2961.0)</f>
        <v>2961</v>
      </c>
      <c r="K793" s="40">
        <f>IFERROR(__xludf.DUMMYFUNCTION("IMPORTRANGE(""https://docs.google.com/spreadsheets/d/14_Y-fpuq1wcec3DlT_1PBYekOC0YblQMrWVfO12YO3k/edit"",""30!e53"")"),138.0)</f>
        <v>138</v>
      </c>
      <c r="L793" s="40">
        <f t="shared" si="2191"/>
        <v>3099</v>
      </c>
      <c r="M793" s="40">
        <f t="shared" si="2192"/>
        <v>6068</v>
      </c>
      <c r="N793" s="41">
        <f t="shared" si="2193"/>
        <v>198.429</v>
      </c>
      <c r="O793" s="38">
        <v>9354.0</v>
      </c>
      <c r="P793" s="42">
        <f t="shared" si="2194"/>
        <v>0.6487064357</v>
      </c>
      <c r="Q793" s="43">
        <v>1.5</v>
      </c>
      <c r="R793" s="42">
        <f t="shared" si="2195"/>
        <v>0.5364948689</v>
      </c>
      <c r="S793" s="44">
        <f t="shared" si="2196"/>
        <v>0.8047423034</v>
      </c>
      <c r="T793" s="43">
        <f>F793/30.713</f>
        <v>245.5084818</v>
      </c>
      <c r="U793" s="43">
        <f t="shared" si="2197"/>
        <v>6.46074952</v>
      </c>
      <c r="V793" s="40">
        <f t="shared" si="2198"/>
        <v>159.6842105</v>
      </c>
      <c r="X793" s="53" t="s">
        <v>35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6"/>
    </row>
    <row r="794" ht="15.75" customHeight="1">
      <c r="A794" s="21"/>
      <c r="B794" s="38">
        <v>6.0</v>
      </c>
      <c r="C794" s="38" t="s">
        <v>23</v>
      </c>
      <c r="D794" s="78">
        <v>35.0</v>
      </c>
      <c r="E794" s="40">
        <f>IFERROR(__xludf.DUMMYFUNCTION("COUNT(IMPORTRANGE(""https://docs.google.com/spreadsheets/d/1lJqjdj05V4LOXuBOiTdE65GV4ZITyx1cMLcDdcuoUnE/edit"",""30!d2:d36""))"),35.0)</f>
        <v>35</v>
      </c>
      <c r="F794" s="45">
        <f>IFERROR(__xludf.DUMMYFUNCTION("SUM(IMPORTRANGE(""https://docs.google.com/spreadsheets/d/1lJqjdj05V4LOXuBOiTdE65GV4ZITyx1cMLcDdcuoUnE/edit"",""30!Q2:Q36""))"),6984.179999999996)</f>
        <v>6984.18</v>
      </c>
      <c r="G794" s="40">
        <f>IFERROR(__xludf.DUMMYFUNCTION("IMPORTRANGE(""https://docs.google.com/spreadsheets/d/1lJqjdj05V4LOXuBOiTdE65GV4ZITyx1cMLcDdcuoUnE/edit"",""30!e43"")"),1697.0)</f>
        <v>1697</v>
      </c>
      <c r="H794" s="40">
        <f>IFERROR(__xludf.DUMMYFUNCTION("IMPORTRANGE(""https://docs.google.com/spreadsheets/d/1lJqjdj05V4LOXuBOiTdE65GV4ZITyx1cMLcDdcuoUnE/edit"",""30!e44"")"),20.0)</f>
        <v>20</v>
      </c>
      <c r="I794" s="40">
        <f t="shared" si="2190"/>
        <v>1717</v>
      </c>
      <c r="J794" s="40">
        <f>IFERROR(__xludf.DUMMYFUNCTION("IMPORTRANGE(""https://docs.google.com/spreadsheets/d/1lJqjdj05V4LOXuBOiTdE65GV4ZITyx1cMLcDdcuoUnE/edit"",""30!e47"")"),3294.0)</f>
        <v>3294</v>
      </c>
      <c r="K794" s="40">
        <f>IFERROR(__xludf.DUMMYFUNCTION("IMPORTRANGE(""https://docs.google.com/spreadsheets/d/1lJqjdj05V4LOXuBOiTdE65GV4ZITyx1cMLcDdcuoUnE/edit"",""30!e48"")"),0.0)</f>
        <v>0</v>
      </c>
      <c r="L794" s="40">
        <f t="shared" si="2191"/>
        <v>3294</v>
      </c>
      <c r="M794" s="40">
        <f t="shared" si="2192"/>
        <v>5011</v>
      </c>
      <c r="N794" s="41">
        <f t="shared" si="2193"/>
        <v>199.548</v>
      </c>
      <c r="O794" s="38">
        <v>6853.0</v>
      </c>
      <c r="P794" s="42">
        <f t="shared" si="2194"/>
        <v>0.7312126076</v>
      </c>
      <c r="Q794" s="43">
        <v>1.5</v>
      </c>
      <c r="R794" s="42">
        <f t="shared" si="2195"/>
        <v>0.4783190964</v>
      </c>
      <c r="S794" s="44">
        <f t="shared" si="2196"/>
        <v>0.7174786446</v>
      </c>
      <c r="T794" s="43">
        <f>F794/33.74</f>
        <v>207</v>
      </c>
      <c r="U794" s="43">
        <f t="shared" si="2197"/>
        <v>5.914285714</v>
      </c>
      <c r="V794" s="40">
        <f t="shared" si="2198"/>
        <v>143.1714286</v>
      </c>
      <c r="X794" s="14" t="s">
        <v>2</v>
      </c>
      <c r="Y794" s="14" t="s">
        <v>3</v>
      </c>
      <c r="Z794" s="14" t="s">
        <v>4</v>
      </c>
      <c r="AA794" s="14" t="s">
        <v>5</v>
      </c>
      <c r="AB794" s="15" t="s">
        <v>6</v>
      </c>
      <c r="AC794" s="14" t="s">
        <v>7</v>
      </c>
      <c r="AD794" s="14" t="s">
        <v>8</v>
      </c>
      <c r="AE794" s="14" t="s">
        <v>9</v>
      </c>
      <c r="AF794" s="14" t="s">
        <v>10</v>
      </c>
      <c r="AG794" s="14" t="s">
        <v>11</v>
      </c>
      <c r="AH794" s="14" t="s">
        <v>12</v>
      </c>
      <c r="AI794" s="14" t="s">
        <v>13</v>
      </c>
      <c r="AJ794" s="15" t="s">
        <v>14</v>
      </c>
      <c r="AK794" s="14" t="s">
        <v>15</v>
      </c>
      <c r="AL794" s="14" t="s">
        <v>16</v>
      </c>
      <c r="AM794" s="16" t="s">
        <v>17</v>
      </c>
      <c r="AN794" s="17" t="s">
        <v>18</v>
      </c>
      <c r="AO794" s="18" t="s">
        <v>19</v>
      </c>
      <c r="AP794" s="19" t="s">
        <v>20</v>
      </c>
      <c r="AQ794" s="19" t="s">
        <v>21</v>
      </c>
      <c r="AR794" s="20" t="s">
        <v>22</v>
      </c>
    </row>
    <row r="795" ht="15.75" customHeight="1">
      <c r="A795" s="21"/>
      <c r="B795" s="38">
        <v>7.0</v>
      </c>
      <c r="C795" s="38" t="s">
        <v>24</v>
      </c>
      <c r="D795" s="78">
        <v>44.0</v>
      </c>
      <c r="E795" s="54">
        <f>IFERROR(__xludf.DUMMYFUNCTION("COUNT(IMPORTRANGE(""https://docs.google.com/spreadsheets/d/1_7EEO26q9Yq-XhNFiy7I6Zh4Yg6uGjTs9y0UqNvPKcQ/edit"",""30!d2:d45""))"),43.0)</f>
        <v>43</v>
      </c>
      <c r="F795" s="55">
        <f>IFERROR(__xludf.DUMMYFUNCTION("SUM(IMPORTRANGE(""https://docs.google.com/spreadsheets/d/1_7EEO26q9Yq-XhNFiy7I6Zh4Yg6uGjTs9y0UqNvPKcQ/edit"",""30!Q2:Q45""))"),8503.183999999994)</f>
        <v>8503.184</v>
      </c>
      <c r="G795" s="54">
        <f>IFERROR(__xludf.DUMMYFUNCTION("IMPORTRANGE(""https://docs.google.com/spreadsheets/d/1_7EEO26q9Yq-XhNFiy7I6Zh4Yg6uGjTs9y0UqNvPKcQ/edit"",""30!e53"")"),1211.0)</f>
        <v>1211</v>
      </c>
      <c r="H795" s="54">
        <f>IFERROR(__xludf.DUMMYFUNCTION("IMPORTRANGE(""https://docs.google.com/spreadsheets/d/1_7EEO26q9Yq-XhNFiy7I6Zh4Yg6uGjTs9y0UqNvPKcQ/edit"",""30!e54"")"),0.0)</f>
        <v>0</v>
      </c>
      <c r="I795" s="54">
        <f t="shared" si="2190"/>
        <v>1211</v>
      </c>
      <c r="J795" s="54">
        <f>IFERROR(__xludf.DUMMYFUNCTION("IMPORTRANGE(""https://docs.google.com/spreadsheets/d/1_7EEO26q9Yq-XhNFiy7I6Zh4Yg6uGjTs9y0UqNvPKcQ/edit"",""30!e57"")"),1209.0)</f>
        <v>1209</v>
      </c>
      <c r="K795" s="54">
        <f>IFERROR(__xludf.DUMMYFUNCTION("IMPORTRANGE(""https://docs.google.com/spreadsheets/d/1_7EEO26q9Yq-XhNFiy7I6Zh4Yg6uGjTs9y0UqNvPKcQ/edit"",""30!e58"")"),14.0)</f>
        <v>14</v>
      </c>
      <c r="L795" s="40">
        <f t="shared" si="2191"/>
        <v>1223</v>
      </c>
      <c r="M795" s="40">
        <f t="shared" si="2192"/>
        <v>2434</v>
      </c>
      <c r="N795" s="41">
        <f t="shared" si="2193"/>
        <v>197.7484651</v>
      </c>
      <c r="O795" s="38">
        <v>1580.0</v>
      </c>
      <c r="P795" s="56">
        <f t="shared" si="2194"/>
        <v>1.540506329</v>
      </c>
      <c r="Q795" s="43">
        <v>1.5</v>
      </c>
      <c r="R795" s="42">
        <f t="shared" si="2195"/>
        <v>0.1908304779</v>
      </c>
      <c r="S795" s="44">
        <f t="shared" si="2196"/>
        <v>0.2862457169</v>
      </c>
      <c r="T795" s="43">
        <f>F795/26.805</f>
        <v>317.2238015</v>
      </c>
      <c r="U795" s="43">
        <f t="shared" si="2197"/>
        <v>7.37729771</v>
      </c>
      <c r="V795" s="40">
        <f t="shared" si="2198"/>
        <v>56.60465116</v>
      </c>
      <c r="X795" s="22">
        <v>1.0</v>
      </c>
      <c r="Y795" s="22" t="s">
        <v>28</v>
      </c>
      <c r="Z795" s="22">
        <f t="shared" ref="Z795:AI795" si="2207">SUM(D790)</f>
        <v>33</v>
      </c>
      <c r="AA795" s="23">
        <f t="shared" si="2207"/>
        <v>33</v>
      </c>
      <c r="AB795" s="25">
        <f t="shared" si="2207"/>
        <v>6497.936</v>
      </c>
      <c r="AC795" s="23">
        <f t="shared" si="2207"/>
        <v>2757</v>
      </c>
      <c r="AD795" s="23">
        <f t="shared" si="2207"/>
        <v>192</v>
      </c>
      <c r="AE795" s="23">
        <f t="shared" si="2207"/>
        <v>2949</v>
      </c>
      <c r="AF795" s="23">
        <f t="shared" si="2207"/>
        <v>2820</v>
      </c>
      <c r="AG795" s="23">
        <f t="shared" si="2207"/>
        <v>315</v>
      </c>
      <c r="AH795" s="23">
        <f t="shared" si="2207"/>
        <v>3135</v>
      </c>
      <c r="AI795" s="23">
        <f t="shared" si="2207"/>
        <v>6084</v>
      </c>
      <c r="AJ795" s="25">
        <f t="shared" ref="AJ795:AJ801" si="2210">AB795/AA795</f>
        <v>196.9071515</v>
      </c>
      <c r="AK795" s="22">
        <f t="shared" ref="AK795:AK796" si="2211">SUM(O790)</f>
        <v>7315</v>
      </c>
      <c r="AL795" s="26">
        <f t="shared" ref="AL795:AL801" si="2212">AI795/AK795</f>
        <v>0.8317156528</v>
      </c>
      <c r="AM795" s="27">
        <f t="shared" ref="AM795:AM796" si="2213">SUM(Q790)</f>
        <v>1.5</v>
      </c>
      <c r="AN795" s="26">
        <f t="shared" ref="AN795:AN801" si="2214">AO795/AM795</f>
        <v>0.6241982069</v>
      </c>
      <c r="AO795" s="28">
        <f t="shared" ref="AO795:AO801" si="2215">AI795/AB795</f>
        <v>0.9362973104</v>
      </c>
      <c r="AP795" s="27">
        <f t="shared" ref="AP795:AQ795" si="2208">SUM(T790)</f>
        <v>210.3096093</v>
      </c>
      <c r="AQ795" s="27">
        <f t="shared" si="2208"/>
        <v>6.373018465</v>
      </c>
      <c r="AR795" s="23">
        <f t="shared" ref="AR795:AR801" si="2217">AI795/AA795</f>
        <v>184.3636364</v>
      </c>
    </row>
    <row r="796" ht="15.75" customHeight="1">
      <c r="A796" s="21"/>
      <c r="B796" s="38">
        <v>8.0</v>
      </c>
      <c r="C796" s="38" t="s">
        <v>25</v>
      </c>
      <c r="D796" s="79">
        <v>32.0</v>
      </c>
      <c r="E796" s="40">
        <f>IFERROR(__xludf.DUMMYFUNCTION("COUNT(IMPORTRANGE(""https://docs.google.com/spreadsheets/d/1vLOLpiE-XsbnCnwWPcoi87PlUSXfqIAAQn3kvqHfO6s/edit"",""30!d2:D33""))"),31.0)</f>
        <v>31</v>
      </c>
      <c r="F796" s="45">
        <f>IFERROR(__xludf.DUMMYFUNCTION("SUM(IMPORTRANGE(""https://docs.google.com/spreadsheets/d/1vLOLpiE-XsbnCnwWPcoi87PlUSXfqIAAQn3kvqHfO6s/edit"",""30!Q2:Q33""))"),6058.896000000002)</f>
        <v>6058.896</v>
      </c>
      <c r="G796" s="40">
        <f>IFERROR(__xludf.DUMMYFUNCTION("IMPORTRANGE(""https://docs.google.com/spreadsheets/d/1vLOLpiE-XsbnCnwWPcoi87PlUSXfqIAAQn3kvqHfO6s/edit"",""30!e40"")"),2345.0)</f>
        <v>2345</v>
      </c>
      <c r="H796" s="40">
        <f>IFERROR(__xludf.DUMMYFUNCTION("IMPORTRANGE(""https://docs.google.com/spreadsheets/d/1vLOLpiE-XsbnCnwWPcoi87PlUSXfqIAAQn3kvqHfO6s/edit"",""30!e41"")"),526.0)</f>
        <v>526</v>
      </c>
      <c r="I796" s="40">
        <f t="shared" si="2190"/>
        <v>2871</v>
      </c>
      <c r="J796" s="40">
        <f>IFERROR(__xludf.DUMMYFUNCTION("IMPORTRANGE(""https://docs.google.com/spreadsheets/d/1vLOLpiE-XsbnCnwWPcoi87PlUSXfqIAAQn3kvqHfO6s/edit"",""30!e44"")"),3448.0)</f>
        <v>3448</v>
      </c>
      <c r="K796" s="40">
        <f>IFERROR(__xludf.DUMMYFUNCTION("IMPORTRANGE(""https://docs.google.com/spreadsheets/d/1vLOLpiE-XsbnCnwWPcoi87PlUSXfqIAAQn3kvqHfO6s/edit"",""30!e45"")"),336.0)</f>
        <v>336</v>
      </c>
      <c r="L796" s="40">
        <f>J796+K796</f>
        <v>3784</v>
      </c>
      <c r="M796" s="40">
        <f t="shared" si="2192"/>
        <v>6655</v>
      </c>
      <c r="N796" s="41">
        <f t="shared" si="2193"/>
        <v>195.4482581</v>
      </c>
      <c r="O796" s="38">
        <v>6622.0</v>
      </c>
      <c r="P796" s="56">
        <f t="shared" si="2194"/>
        <v>1.004983389</v>
      </c>
      <c r="Q796" s="43">
        <v>1.5</v>
      </c>
      <c r="R796" s="42">
        <f t="shared" si="2195"/>
        <v>0.7322566135</v>
      </c>
      <c r="S796" s="44">
        <f t="shared" si="2196"/>
        <v>1.09838492</v>
      </c>
      <c r="T796" s="43">
        <f>F796/23.84</f>
        <v>254.1483221</v>
      </c>
      <c r="U796" s="43">
        <f t="shared" si="2197"/>
        <v>8.198332973</v>
      </c>
      <c r="V796" s="40">
        <f t="shared" si="2198"/>
        <v>214.6774194</v>
      </c>
      <c r="X796" s="31">
        <v>2.0</v>
      </c>
      <c r="Y796" s="31" t="s">
        <v>30</v>
      </c>
      <c r="Z796" s="31">
        <f t="shared" ref="Z796:AI796" si="2209">SUM(D791)</f>
        <v>60</v>
      </c>
      <c r="AA796" s="32">
        <f t="shared" si="2209"/>
        <v>59</v>
      </c>
      <c r="AB796" s="33">
        <f t="shared" si="2209"/>
        <v>11739.692</v>
      </c>
      <c r="AC796" s="32">
        <f t="shared" si="2209"/>
        <v>3258</v>
      </c>
      <c r="AD796" s="32">
        <f t="shared" si="2209"/>
        <v>0</v>
      </c>
      <c r="AE796" s="32">
        <f t="shared" si="2209"/>
        <v>3258</v>
      </c>
      <c r="AF796" s="32">
        <f t="shared" si="2209"/>
        <v>6172</v>
      </c>
      <c r="AG796" s="32">
        <f t="shared" si="2209"/>
        <v>13</v>
      </c>
      <c r="AH796" s="32">
        <f t="shared" si="2209"/>
        <v>6185</v>
      </c>
      <c r="AI796" s="32">
        <f t="shared" si="2209"/>
        <v>9443</v>
      </c>
      <c r="AJ796" s="34">
        <f t="shared" si="2210"/>
        <v>198.9778305</v>
      </c>
      <c r="AK796" s="31">
        <f t="shared" si="2211"/>
        <v>11164</v>
      </c>
      <c r="AL796" s="35">
        <f t="shared" si="2212"/>
        <v>0.8458437836</v>
      </c>
      <c r="AM796" s="36">
        <f t="shared" si="2213"/>
        <v>1.5</v>
      </c>
      <c r="AN796" s="35">
        <f t="shared" si="2214"/>
        <v>0.5362434835</v>
      </c>
      <c r="AO796" s="37">
        <f t="shared" si="2215"/>
        <v>0.8043652253</v>
      </c>
      <c r="AP796" s="36">
        <f t="shared" ref="AP796:AQ796" si="2216">SUM(T791)</f>
        <v>396.5710232</v>
      </c>
      <c r="AQ796" s="36">
        <f t="shared" si="2216"/>
        <v>6.721542766</v>
      </c>
      <c r="AR796" s="32">
        <f t="shared" si="2217"/>
        <v>160.0508475</v>
      </c>
    </row>
    <row r="797" ht="15.75" customHeight="1">
      <c r="A797" s="21"/>
      <c r="B797" s="38">
        <v>9.0</v>
      </c>
      <c r="C797" s="38" t="s">
        <v>36</v>
      </c>
      <c r="D797" s="79">
        <v>29.0</v>
      </c>
      <c r="E797" s="40">
        <f>IFERROR(__xludf.DUMMYFUNCTION("COUNT(IMPORTRANGE(""https://docs.google.com/spreadsheets/d/1WJJVq25XDtGjt-J2JPxeKs3jIvDZtkIREC0lFPXwf74/edit"",""30!d2:d31""))"),28.0)</f>
        <v>28</v>
      </c>
      <c r="F797" s="45">
        <f>IFERROR(__xludf.DUMMYFUNCTION("SUM(IMPORTRANGE(""https://docs.google.com/spreadsheets/d/1WJJVq25XDtGjt-J2JPxeKs3jIvDZtkIREC0lFPXwf74/edit"",""30!Q2:Q31""))"),5548.797)</f>
        <v>5548.797</v>
      </c>
      <c r="G797" s="40">
        <f>IFERROR(__xludf.DUMMYFUNCTION("IMPORTRANGE(""https://docs.google.com/spreadsheets/d/1WJJVq25XDtGjt-J2JPxeKs3jIvDZtkIREC0lFPXwf74/edit"",""30!e38"")"),1569.0)</f>
        <v>1569</v>
      </c>
      <c r="H797" s="40">
        <f>IFERROR(__xludf.DUMMYFUNCTION("IMPORTRANGE(""https://docs.google.com/spreadsheets/d/1WJJVq25XDtGjt-J2JPxeKs3jIvDZtkIREC0lFPXwf74/edit"",""30!e39"")"),0.0)</f>
        <v>0</v>
      </c>
      <c r="I797" s="40">
        <f t="shared" si="2190"/>
        <v>1569</v>
      </c>
      <c r="J797" s="40">
        <f>IFERROR(__xludf.DUMMYFUNCTION("IMPORTRANGE(""https://docs.google.com/spreadsheets/d/1WJJVq25XDtGjt-J2JPxeKs3jIvDZtkIREC0lFPXwf74/edit"",""30!e42"")"),2231.0)</f>
        <v>2231</v>
      </c>
      <c r="K797" s="40">
        <f>IFERROR(__xludf.DUMMYFUNCTION("IMPORTRANGE(""https://docs.google.com/spreadsheets/d/1WJJVq25XDtGjt-J2JPxeKs3jIvDZtkIREC0lFPXwf74/edit"",""30!e43"")"),0.0)</f>
        <v>0</v>
      </c>
      <c r="L797" s="40">
        <f t="shared" ref="L797:L806" si="2220">SUM(J797:K797)</f>
        <v>2231</v>
      </c>
      <c r="M797" s="40">
        <f t="shared" si="2192"/>
        <v>3800</v>
      </c>
      <c r="N797" s="41">
        <f t="shared" si="2193"/>
        <v>198.1713214</v>
      </c>
      <c r="O797" s="38">
        <v>4796.0</v>
      </c>
      <c r="P797" s="42">
        <f t="shared" si="2194"/>
        <v>0.7923269391</v>
      </c>
      <c r="Q797" s="43">
        <v>1.5</v>
      </c>
      <c r="R797" s="42">
        <f t="shared" si="2195"/>
        <v>0.4565554179</v>
      </c>
      <c r="S797" s="44">
        <f t="shared" si="2196"/>
        <v>0.6848331269</v>
      </c>
      <c r="T797" s="43">
        <f>F797/37.414</f>
        <v>148.3080398</v>
      </c>
      <c r="U797" s="43">
        <f t="shared" si="2197"/>
        <v>5.296715706</v>
      </c>
      <c r="V797" s="40">
        <f t="shared" si="2198"/>
        <v>135.7142857</v>
      </c>
      <c r="X797" s="22">
        <v>3.0</v>
      </c>
      <c r="Y797" s="22" t="s">
        <v>34</v>
      </c>
      <c r="Z797" s="22">
        <f t="shared" ref="Z797:AI797" si="2218">SUM(D793)</f>
        <v>40</v>
      </c>
      <c r="AA797" s="23">
        <f t="shared" si="2218"/>
        <v>38</v>
      </c>
      <c r="AB797" s="24">
        <f t="shared" si="2218"/>
        <v>7540.302</v>
      </c>
      <c r="AC797" s="23">
        <f t="shared" si="2218"/>
        <v>2969</v>
      </c>
      <c r="AD797" s="23">
        <f t="shared" si="2218"/>
        <v>0</v>
      </c>
      <c r="AE797" s="23">
        <f t="shared" si="2218"/>
        <v>2969</v>
      </c>
      <c r="AF797" s="23">
        <f t="shared" si="2218"/>
        <v>2961</v>
      </c>
      <c r="AG797" s="23">
        <f t="shared" si="2218"/>
        <v>138</v>
      </c>
      <c r="AH797" s="23">
        <f t="shared" si="2218"/>
        <v>3099</v>
      </c>
      <c r="AI797" s="23">
        <f t="shared" si="2218"/>
        <v>6068</v>
      </c>
      <c r="AJ797" s="25">
        <f t="shared" si="2210"/>
        <v>198.429</v>
      </c>
      <c r="AK797" s="22">
        <f>SUM(O793)</f>
        <v>9354</v>
      </c>
      <c r="AL797" s="26">
        <f t="shared" si="2212"/>
        <v>0.6487064357</v>
      </c>
      <c r="AM797" s="27">
        <f>SUM(Q793)</f>
        <v>1.5</v>
      </c>
      <c r="AN797" s="26">
        <f t="shared" si="2214"/>
        <v>0.5364948689</v>
      </c>
      <c r="AO797" s="28">
        <f t="shared" si="2215"/>
        <v>0.8047423034</v>
      </c>
      <c r="AP797" s="27">
        <f t="shared" ref="AP797:AQ797" si="2219">SUM(T793)</f>
        <v>245.5084818</v>
      </c>
      <c r="AQ797" s="27">
        <f t="shared" si="2219"/>
        <v>6.46074952</v>
      </c>
      <c r="AR797" s="23">
        <f t="shared" si="2217"/>
        <v>159.6842105</v>
      </c>
    </row>
    <row r="798" ht="15.75" customHeight="1">
      <c r="A798" s="21"/>
      <c r="B798" s="38">
        <v>10.0</v>
      </c>
      <c r="C798" s="38" t="s">
        <v>37</v>
      </c>
      <c r="D798" s="78">
        <v>30.0</v>
      </c>
      <c r="E798" s="40">
        <f>IFERROR(__xludf.DUMMYFUNCTION("COUNT(IMPORTRANGE(""https://docs.google.com/spreadsheets/d/1rJyYfywRpWJW0zvDJHLOJtqUQqffoCGaqTVxxTDgV0k/edit"",""30!d2:d31""))"),30.0)</f>
        <v>30</v>
      </c>
      <c r="F798" s="45">
        <f>IFERROR(__xludf.DUMMYFUNCTION("SUM(IMPORTRANGE(""https://docs.google.com/spreadsheets/d/1rJyYfywRpWJW0zvDJHLOJtqUQqffoCGaqTVxxTDgV0k/edit"",""30!Q2:Q31""))"),5773.914000000004)</f>
        <v>5773.914</v>
      </c>
      <c r="G798" s="40">
        <f>IFERROR(__xludf.DUMMYFUNCTION("(IMPORTRANGE(""https://docs.google.com/spreadsheets/d/1rJyYfywRpWJW0zvDJHLOJtqUQqffoCGaqTVxxTDgV0k/edit"",""30!e38""))"),2212.0)</f>
        <v>2212</v>
      </c>
      <c r="H798" s="40">
        <f>IFERROR(__xludf.DUMMYFUNCTION("(IMPORTRANGE(""https://docs.google.com/spreadsheets/d/1rJyYfywRpWJW0zvDJHLOJtqUQqffoCGaqTVxxTDgV0k/edit"",""30!e39""))"),0.0)</f>
        <v>0</v>
      </c>
      <c r="I798" s="40">
        <f t="shared" si="2190"/>
        <v>2212</v>
      </c>
      <c r="J798" s="40">
        <f>IFERROR(__xludf.DUMMYFUNCTION("(IMPORTRANGE(""https://docs.google.com/spreadsheets/d/1rJyYfywRpWJW0zvDJHLOJtqUQqffoCGaqTVxxTDgV0k/edit"",""30!e42""))"),2860.0)</f>
        <v>2860</v>
      </c>
      <c r="K798" s="40">
        <f>IFERROR(__xludf.DUMMYFUNCTION("(IMPORTRANGE(""https://docs.google.com/spreadsheets/d/1rJyYfywRpWJW0zvDJHLOJtqUQqffoCGaqTVxxTDgV0k/edit"",""30!e43""))"),0.0)</f>
        <v>0</v>
      </c>
      <c r="L798" s="40">
        <f t="shared" si="2220"/>
        <v>2860</v>
      </c>
      <c r="M798" s="40">
        <f t="shared" si="2192"/>
        <v>5072</v>
      </c>
      <c r="N798" s="41">
        <f t="shared" si="2193"/>
        <v>192.4638</v>
      </c>
      <c r="O798" s="38">
        <v>5887.0</v>
      </c>
      <c r="P798" s="42">
        <f t="shared" si="2194"/>
        <v>0.8615593681</v>
      </c>
      <c r="Q798" s="43">
        <v>1.5</v>
      </c>
      <c r="R798" s="42">
        <f t="shared" si="2195"/>
        <v>0.5856223929</v>
      </c>
      <c r="S798" s="44">
        <f t="shared" si="2196"/>
        <v>0.8784335894</v>
      </c>
      <c r="T798" s="43">
        <f>F798/24.792</f>
        <v>232.8942401</v>
      </c>
      <c r="U798" s="43">
        <f t="shared" si="2197"/>
        <v>7.763141336</v>
      </c>
      <c r="V798" s="40">
        <f t="shared" si="2198"/>
        <v>169.0666667</v>
      </c>
      <c r="X798" s="31">
        <v>4.0</v>
      </c>
      <c r="Y798" s="31" t="s">
        <v>38</v>
      </c>
      <c r="Z798" s="31">
        <f t="shared" ref="Z798:AI798" si="2221">SUM(D801)</f>
        <v>30</v>
      </c>
      <c r="AA798" s="32">
        <f t="shared" si="2221"/>
        <v>30</v>
      </c>
      <c r="AB798" s="33">
        <f t="shared" si="2221"/>
        <v>6243.073</v>
      </c>
      <c r="AC798" s="32">
        <f t="shared" si="2221"/>
        <v>2320</v>
      </c>
      <c r="AD798" s="32">
        <f t="shared" si="2221"/>
        <v>0</v>
      </c>
      <c r="AE798" s="32">
        <f t="shared" si="2221"/>
        <v>2320</v>
      </c>
      <c r="AF798" s="32">
        <f t="shared" si="2221"/>
        <v>2881</v>
      </c>
      <c r="AG798" s="32">
        <f t="shared" si="2221"/>
        <v>129</v>
      </c>
      <c r="AH798" s="32">
        <f t="shared" si="2221"/>
        <v>3010</v>
      </c>
      <c r="AI798" s="32">
        <f t="shared" si="2221"/>
        <v>5330</v>
      </c>
      <c r="AJ798" s="34">
        <f t="shared" si="2210"/>
        <v>208.1024333</v>
      </c>
      <c r="AK798" s="31">
        <v>7324.0</v>
      </c>
      <c r="AL798" s="35">
        <f t="shared" si="2212"/>
        <v>0.727744402</v>
      </c>
      <c r="AM798" s="36">
        <f>SUM(Q801)</f>
        <v>1.5</v>
      </c>
      <c r="AN798" s="35">
        <f t="shared" si="2214"/>
        <v>0.5691641493</v>
      </c>
      <c r="AO798" s="37">
        <f t="shared" si="2215"/>
        <v>0.853746224</v>
      </c>
      <c r="AP798" s="36">
        <f t="shared" ref="AP798:AQ798" si="2222">SUM(T801)</f>
        <v>151.5125106</v>
      </c>
      <c r="AQ798" s="36">
        <f t="shared" si="2222"/>
        <v>5.050417021</v>
      </c>
      <c r="AR798" s="32">
        <f t="shared" si="2217"/>
        <v>177.6666667</v>
      </c>
    </row>
    <row r="799" ht="15.75" customHeight="1">
      <c r="A799" s="21"/>
      <c r="B799" s="38">
        <v>12.0</v>
      </c>
      <c r="C799" s="38" t="s">
        <v>39</v>
      </c>
      <c r="D799" s="78">
        <v>28.0</v>
      </c>
      <c r="E799" s="40">
        <f>IFERROR(__xludf.DUMMYFUNCTION("COUNT(IMPORTRANGE(""https://docs.google.com/spreadsheets/d/1uaTn2DZCfr7O1PvovOd0wElzVz8kpl_iPfnrkNPp0Is/edit"",""30!d2:d29""))"),27.0)</f>
        <v>27</v>
      </c>
      <c r="F799" s="45">
        <f>IFERROR(__xludf.DUMMYFUNCTION("SUM(IMPORTRANGE(""https://docs.google.com/spreadsheets/d/1uaTn2DZCfr7O1PvovOd0wElzVz8kpl_iPfnrkNPp0Is/edit"",""30!Q2:Q29""))"),5232.607000000004)</f>
        <v>5232.607</v>
      </c>
      <c r="G799" s="40">
        <f>IFERROR(__xludf.DUMMYFUNCTION("IMPORTRANGE(""https://docs.google.com/spreadsheets/d/1uaTn2DZCfr7O1PvovOd0wElzVz8kpl_iPfnrkNPp0Is/edit"",""30!e36"")"),1238.0)</f>
        <v>1238</v>
      </c>
      <c r="H799" s="40">
        <f>IFERROR(__xludf.DUMMYFUNCTION("(IMPORTRANGE(""https://docs.google.com/spreadsheets/d/1uaTn2DZCfr7O1PvovOd0wElzVz8kpl_iPfnrkNPp0Is/edit"",""30!e37""))"),0.0)</f>
        <v>0</v>
      </c>
      <c r="I799" s="40">
        <f t="shared" si="2190"/>
        <v>1238</v>
      </c>
      <c r="J799" s="40">
        <f>IFERROR(__xludf.DUMMYFUNCTION("IMPORTRANGE(""https://docs.google.com/spreadsheets/d/1uaTn2DZCfr7O1PvovOd0wElzVz8kpl_iPfnrkNPp0Is/edit"",""30!e40"")"),1433.0)</f>
        <v>1433</v>
      </c>
      <c r="K799" s="40">
        <f>IFERROR(__xludf.DUMMYFUNCTION("IMPORTRANGE(""https://docs.google.com/spreadsheets/d/1uaTn2DZCfr7O1PvovOd0wElzVz8kpl_iPfnrkNPp0Is/edit"",""30!e41"")"),153.0)</f>
        <v>153</v>
      </c>
      <c r="L799" s="40">
        <f t="shared" si="2220"/>
        <v>1586</v>
      </c>
      <c r="M799" s="40">
        <f t="shared" si="2192"/>
        <v>2824</v>
      </c>
      <c r="N799" s="41">
        <f t="shared" si="2193"/>
        <v>193.8002593</v>
      </c>
      <c r="O799" s="38">
        <v>3569.0</v>
      </c>
      <c r="P799" s="42">
        <f t="shared" si="2194"/>
        <v>0.7912580555</v>
      </c>
      <c r="Q799" s="43">
        <v>1.5</v>
      </c>
      <c r="R799" s="42">
        <f t="shared" si="2195"/>
        <v>0.3597951588</v>
      </c>
      <c r="S799" s="44">
        <f t="shared" si="2196"/>
        <v>0.5396927382</v>
      </c>
      <c r="T799" s="43">
        <f>F799/21.463</f>
        <v>243.7966268</v>
      </c>
      <c r="U799" s="43">
        <f t="shared" si="2197"/>
        <v>9.029504695</v>
      </c>
      <c r="V799" s="40">
        <f t="shared" si="2198"/>
        <v>104.5925926</v>
      </c>
      <c r="X799" s="31">
        <v>5.0</v>
      </c>
      <c r="Y799" s="31" t="s">
        <v>40</v>
      </c>
      <c r="Z799" s="31">
        <f t="shared" ref="Z799:AI799" si="2223">SUM(D803)</f>
        <v>30</v>
      </c>
      <c r="AA799" s="32">
        <f t="shared" si="2223"/>
        <v>29</v>
      </c>
      <c r="AB799" s="33">
        <f t="shared" si="2223"/>
        <v>5688.6</v>
      </c>
      <c r="AC799" s="32">
        <f t="shared" si="2223"/>
        <v>3404</v>
      </c>
      <c r="AD799" s="32">
        <f t="shared" si="2223"/>
        <v>35</v>
      </c>
      <c r="AE799" s="32">
        <f t="shared" si="2223"/>
        <v>3439</v>
      </c>
      <c r="AF799" s="32">
        <f t="shared" si="2223"/>
        <v>3994</v>
      </c>
      <c r="AG799" s="32">
        <f t="shared" si="2223"/>
        <v>0</v>
      </c>
      <c r="AH799" s="32">
        <f t="shared" si="2223"/>
        <v>3994</v>
      </c>
      <c r="AI799" s="32">
        <f t="shared" si="2223"/>
        <v>7433</v>
      </c>
      <c r="AJ799" s="34">
        <f t="shared" si="2210"/>
        <v>196.1586207</v>
      </c>
      <c r="AK799" s="31">
        <f t="shared" ref="AK799:AK800" si="2226">SUM(O803)</f>
        <v>8239</v>
      </c>
      <c r="AL799" s="35">
        <f t="shared" si="2212"/>
        <v>0.9021725938</v>
      </c>
      <c r="AM799" s="36">
        <f t="shared" ref="AM799:AM800" si="2227">SUM(Q803)</f>
        <v>1.5</v>
      </c>
      <c r="AN799" s="35">
        <f t="shared" si="2214"/>
        <v>0.871098923</v>
      </c>
      <c r="AO799" s="37">
        <f t="shared" si="2215"/>
        <v>1.306648384</v>
      </c>
      <c r="AP799" s="36">
        <f t="shared" ref="AP799:AQ799" si="2224">SUM(T803)</f>
        <v>200</v>
      </c>
      <c r="AQ799" s="36">
        <f t="shared" si="2224"/>
        <v>6.896551724</v>
      </c>
      <c r="AR799" s="32">
        <f t="shared" si="2217"/>
        <v>256.3103448</v>
      </c>
    </row>
    <row r="800" ht="15.75" customHeight="1">
      <c r="A800" s="21"/>
      <c r="B800" s="38">
        <v>12.0</v>
      </c>
      <c r="C800" s="38" t="s">
        <v>41</v>
      </c>
      <c r="D800" s="78">
        <v>24.0</v>
      </c>
      <c r="E800" s="40">
        <f>IFERROR(__xludf.DUMMYFUNCTION("COUNT(IMPORTRANGE(""https://docs.google.com/spreadsheets/d/1oYscvfOJW7GMkxt8QcupWuzb3ohaYePd3Mt2V2ufHok/edit"",""30!d2:d25""))"),23.0)</f>
        <v>23</v>
      </c>
      <c r="F800" s="45">
        <f>IFERROR(__xludf.DUMMYFUNCTION("SUM(IMPORTRANGE(""https://docs.google.com/spreadsheets/d/1oYscvfOJW7GMkxt8QcupWuzb3ohaYePd3Mt2V2ufHok/edit"",""30!Q2:Q25""))"),4569.296)</f>
        <v>4569.296</v>
      </c>
      <c r="G800" s="40">
        <f>IFERROR(__xludf.DUMMYFUNCTION("IMPORTRANGE(""https://docs.google.com/spreadsheets/d/1oYscvfOJW7GMkxt8QcupWuzb3ohaYePd3Mt2V2ufHok/edit"",""30!e32"")"),1202.0)</f>
        <v>1202</v>
      </c>
      <c r="H800" s="40">
        <f>IFERROR(__xludf.DUMMYFUNCTION("IMPORTRANGE(""https://docs.google.com/spreadsheets/d/1oYscvfOJW7GMkxt8QcupWuzb3ohaYePd3Mt2V2ufHok/edit"",""30!e33"")"),0.0)</f>
        <v>0</v>
      </c>
      <c r="I800" s="40">
        <f t="shared" si="2190"/>
        <v>1202</v>
      </c>
      <c r="J800" s="40">
        <f>IFERROR(__xludf.DUMMYFUNCTION("IMPORTRANGE(""https://docs.google.com/spreadsheets/d/1oYscvfOJW7GMkxt8QcupWuzb3ohaYePd3Mt2V2ufHok/edit"",""30!e36"")"),1401.0)</f>
        <v>1401</v>
      </c>
      <c r="K800" s="40">
        <f>IFERROR(__xludf.DUMMYFUNCTION("IMPORTRANGE(""https://docs.google.com/spreadsheets/d/1oYscvfOJW7GMkxt8QcupWuzb3ohaYePd3Mt2V2ufHok/edit"",""30!e37"")"),295.0)</f>
        <v>295</v>
      </c>
      <c r="L800" s="40">
        <f t="shared" si="2220"/>
        <v>1696</v>
      </c>
      <c r="M800" s="40">
        <f t="shared" si="2192"/>
        <v>2898</v>
      </c>
      <c r="N800" s="41">
        <f t="shared" si="2193"/>
        <v>198.6650435</v>
      </c>
      <c r="O800" s="38">
        <v>3801.0</v>
      </c>
      <c r="P800" s="42">
        <f t="shared" si="2194"/>
        <v>0.7624309392</v>
      </c>
      <c r="Q800" s="43">
        <v>1.5</v>
      </c>
      <c r="R800" s="42">
        <f t="shared" si="2195"/>
        <v>0.4228222466</v>
      </c>
      <c r="S800" s="44">
        <f t="shared" si="2196"/>
        <v>0.6342333699</v>
      </c>
      <c r="T800" s="43">
        <f>F800/29.628</f>
        <v>154.2222222</v>
      </c>
      <c r="U800" s="43">
        <f t="shared" si="2197"/>
        <v>6.70531401</v>
      </c>
      <c r="V800" s="40">
        <f t="shared" si="2198"/>
        <v>126</v>
      </c>
      <c r="X800" s="22">
        <v>6.0</v>
      </c>
      <c r="Y800" s="22" t="s">
        <v>42</v>
      </c>
      <c r="Z800" s="22">
        <f t="shared" ref="Z800:AI800" si="2225">SUM(D804)</f>
        <v>33</v>
      </c>
      <c r="AA800" s="23">
        <f t="shared" si="2225"/>
        <v>33</v>
      </c>
      <c r="AB800" s="24">
        <f t="shared" si="2225"/>
        <v>6387.975</v>
      </c>
      <c r="AC800" s="23">
        <f t="shared" si="2225"/>
        <v>3646</v>
      </c>
      <c r="AD800" s="23">
        <f t="shared" si="2225"/>
        <v>0</v>
      </c>
      <c r="AE800" s="23">
        <f t="shared" si="2225"/>
        <v>3646</v>
      </c>
      <c r="AF800" s="23">
        <f t="shared" si="2225"/>
        <v>4369</v>
      </c>
      <c r="AG800" s="23">
        <f t="shared" si="2225"/>
        <v>172</v>
      </c>
      <c r="AH800" s="23">
        <f t="shared" si="2225"/>
        <v>4541</v>
      </c>
      <c r="AI800" s="23">
        <f t="shared" si="2225"/>
        <v>8187</v>
      </c>
      <c r="AJ800" s="25">
        <f t="shared" si="2210"/>
        <v>193.575</v>
      </c>
      <c r="AK800" s="22">
        <f t="shared" si="2226"/>
        <v>9877</v>
      </c>
      <c r="AL800" s="26">
        <f t="shared" si="2212"/>
        <v>0.8288954136</v>
      </c>
      <c r="AM800" s="27">
        <f t="shared" si="2227"/>
        <v>1.5</v>
      </c>
      <c r="AN800" s="26">
        <f t="shared" si="2214"/>
        <v>0.8544178711</v>
      </c>
      <c r="AO800" s="28">
        <f t="shared" si="2215"/>
        <v>1.281626807</v>
      </c>
      <c r="AP800" s="27">
        <f t="shared" ref="AP800:AQ800" si="2228">SUM(T804)</f>
        <v>244.2353279</v>
      </c>
      <c r="AQ800" s="27">
        <f t="shared" si="2228"/>
        <v>7.401070541</v>
      </c>
      <c r="AR800" s="23">
        <f t="shared" si="2217"/>
        <v>248.0909091</v>
      </c>
    </row>
    <row r="801" ht="15.75" customHeight="1">
      <c r="A801" s="21"/>
      <c r="B801" s="38">
        <v>13.0</v>
      </c>
      <c r="C801" s="38" t="s">
        <v>43</v>
      </c>
      <c r="D801" s="78">
        <v>30.0</v>
      </c>
      <c r="E801" s="40">
        <f>IFERROR(__xludf.DUMMYFUNCTION("COUNT(IMPORTRANGE(""https://docs.google.com/spreadsheets/d/1AxBmuQEdOYAeRnZ4C8vO6kuTNp7X_SGhpLXuY0n4ln4/edit"",""30!d2:d31""))"),30.0)</f>
        <v>30</v>
      </c>
      <c r="F801" s="45">
        <f>IFERROR(__xludf.DUMMYFUNCTION("SUM(IMPORTRANGE(""https://docs.google.com/spreadsheets/d/1AxBmuQEdOYAeRnZ4C8vO6kuTNp7X_SGhpLXuY0n4ln4/edit"",""30!Q2:Q31""))"),6243.073)</f>
        <v>6243.073</v>
      </c>
      <c r="G801" s="40">
        <f>IFERROR(__xludf.DUMMYFUNCTION("IMPORTRANGE(""https://docs.google.com/spreadsheets/d/1AxBmuQEdOYAeRnZ4C8vO6kuTNp7X_SGhpLXuY0n4ln4/edit"",""30!e38"")"),2320.0)</f>
        <v>2320</v>
      </c>
      <c r="H801" s="40">
        <f>IFERROR(__xludf.DUMMYFUNCTION("IMPORTRANGE(""https://docs.google.com/spreadsheets/d/1AxBmuQEdOYAeRnZ4C8vO6kuTNp7X_SGhpLXuY0n4ln4/edit"",""30!e39"")"),0.0)</f>
        <v>0</v>
      </c>
      <c r="I801" s="40">
        <f t="shared" si="2190"/>
        <v>2320</v>
      </c>
      <c r="J801" s="40">
        <f>IFERROR(__xludf.DUMMYFUNCTION("IMPORTRANGE(""https://docs.google.com/spreadsheets/d/1AxBmuQEdOYAeRnZ4C8vO6kuTNp7X_SGhpLXuY0n4ln4/edit"",""30!e42"")"),2881.0)</f>
        <v>2881</v>
      </c>
      <c r="K801" s="40">
        <f>IFERROR(__xludf.DUMMYFUNCTION("IMPORTRANGE(""https://docs.google.com/spreadsheets/d/1AxBmuQEdOYAeRnZ4C8vO6kuTNp7X_SGhpLXuY0n4ln4/edit"",""30!e43"")"),129.0)</f>
        <v>129</v>
      </c>
      <c r="L801" s="40">
        <f t="shared" si="2220"/>
        <v>3010</v>
      </c>
      <c r="M801" s="40">
        <f t="shared" si="2192"/>
        <v>5330</v>
      </c>
      <c r="N801" s="41">
        <f t="shared" si="2193"/>
        <v>208.1024333</v>
      </c>
      <c r="O801" s="38">
        <v>8345.0</v>
      </c>
      <c r="P801" s="42">
        <f t="shared" si="2194"/>
        <v>0.6387058119</v>
      </c>
      <c r="Q801" s="43">
        <v>1.5</v>
      </c>
      <c r="R801" s="42">
        <f t="shared" si="2195"/>
        <v>0.5691641493</v>
      </c>
      <c r="S801" s="44">
        <f t="shared" si="2196"/>
        <v>0.853746224</v>
      </c>
      <c r="T801" s="43">
        <f>F801/41.205</f>
        <v>151.5125106</v>
      </c>
      <c r="U801" s="43">
        <f t="shared" si="2197"/>
        <v>5.050417021</v>
      </c>
      <c r="V801" s="40">
        <f t="shared" si="2198"/>
        <v>177.6666667</v>
      </c>
      <c r="X801" s="46" t="s">
        <v>33</v>
      </c>
      <c r="Y801" s="46">
        <v>6.0</v>
      </c>
      <c r="Z801" s="46">
        <f t="shared" ref="Z801:AI801" si="2229">SUM(Z795:Z800)</f>
        <v>226</v>
      </c>
      <c r="AA801" s="47">
        <f t="shared" si="2229"/>
        <v>222</v>
      </c>
      <c r="AB801" s="49">
        <f t="shared" si="2229"/>
        <v>44097.578</v>
      </c>
      <c r="AC801" s="47">
        <f t="shared" si="2229"/>
        <v>18354</v>
      </c>
      <c r="AD801" s="47">
        <f t="shared" si="2229"/>
        <v>227</v>
      </c>
      <c r="AE801" s="47">
        <f t="shared" si="2229"/>
        <v>18581</v>
      </c>
      <c r="AF801" s="47">
        <f t="shared" si="2229"/>
        <v>23197</v>
      </c>
      <c r="AG801" s="47">
        <f t="shared" si="2229"/>
        <v>767</v>
      </c>
      <c r="AH801" s="47">
        <f t="shared" si="2229"/>
        <v>23964</v>
      </c>
      <c r="AI801" s="47">
        <f t="shared" si="2229"/>
        <v>42545</v>
      </c>
      <c r="AJ801" s="49">
        <f t="shared" si="2210"/>
        <v>198.6377387</v>
      </c>
      <c r="AK801" s="46">
        <f>SUM(AK795:AK800)</f>
        <v>53273</v>
      </c>
      <c r="AL801" s="50">
        <f t="shared" si="2212"/>
        <v>0.7986221914</v>
      </c>
      <c r="AM801" s="51">
        <v>1.5</v>
      </c>
      <c r="AN801" s="50">
        <f t="shared" si="2214"/>
        <v>0.6431948107</v>
      </c>
      <c r="AO801" s="52">
        <f t="shared" si="2215"/>
        <v>0.964792216</v>
      </c>
      <c r="AP801" s="51">
        <f>SUM(AP795:AP800)</f>
        <v>1448.136953</v>
      </c>
      <c r="AQ801" s="51">
        <f>AP801/AA801</f>
        <v>6.523139427</v>
      </c>
      <c r="AR801" s="47">
        <f t="shared" si="2217"/>
        <v>191.6441441</v>
      </c>
    </row>
    <row r="802" ht="15.75" customHeight="1">
      <c r="A802" s="21"/>
      <c r="B802" s="38">
        <v>14.0</v>
      </c>
      <c r="C802" s="38" t="s">
        <v>27</v>
      </c>
      <c r="D802" s="78">
        <v>30.0</v>
      </c>
      <c r="E802" s="40">
        <f>IFERROR(__xludf.DUMMYFUNCTION("COUNT(IMPORTRANGE(""https://docs.google.com/spreadsheets/d/1LsL4JuXvBtfJ-TVi4NFml9lV_pmd61b789A_nbO-QrA/edit"",""30!d2:d31""))"),28.0)</f>
        <v>28</v>
      </c>
      <c r="F802" s="45">
        <f>IFERROR(__xludf.DUMMYFUNCTION("SUM(IMPORTRANGE(""https://docs.google.com/spreadsheets/d/1LsL4JuXvBtfJ-TVi4NFml9lV_pmd61b789A_nbO-QrA/edit"",""30!Q2:Q31""))"),5291.918000000001)</f>
        <v>5291.918</v>
      </c>
      <c r="G802" s="40">
        <f>IFERROR(__xludf.DUMMYFUNCTION("IMPORTRANGE(""https://docs.google.com/spreadsheets/d/1LsL4JuXvBtfJ-TVi4NFml9lV_pmd61b789A_nbO-QrA/edit"",""30!e38"")"),2756.0)</f>
        <v>2756</v>
      </c>
      <c r="H802" s="40">
        <f>IFERROR(__xludf.DUMMYFUNCTION("IMPORTRANGE(""https://docs.google.com/spreadsheets/d/1LsL4JuXvBtfJ-TVi4NFml9lV_pmd61b789A_nbO-QrA/edit"",""30!e39"")"),0.0)</f>
        <v>0</v>
      </c>
      <c r="I802" s="40">
        <f t="shared" si="2190"/>
        <v>2756</v>
      </c>
      <c r="J802" s="40">
        <f>IFERROR(__xludf.DUMMYFUNCTION("IMPORTRANGE(""https://docs.google.com/spreadsheets/d/1LsL4JuXvBtfJ-TVi4NFml9lV_pmd61b789A_nbO-QrA/edit"",""30!e42"")"),3105.0)</f>
        <v>3105</v>
      </c>
      <c r="K802" s="40">
        <f>IFERROR(__xludf.DUMMYFUNCTION("IMPORTRANGE(""https://docs.google.com/spreadsheets/d/1LsL4JuXvBtfJ-TVi4NFml9lV_pmd61b789A_nbO-QrA/edit"",""30!e43"")"),0.0)</f>
        <v>0</v>
      </c>
      <c r="L802" s="40">
        <f t="shared" si="2220"/>
        <v>3105</v>
      </c>
      <c r="M802" s="40">
        <f t="shared" si="2192"/>
        <v>5861</v>
      </c>
      <c r="N802" s="41">
        <f t="shared" si="2193"/>
        <v>188.9970714</v>
      </c>
      <c r="O802" s="38">
        <v>8101.0</v>
      </c>
      <c r="P802" s="42">
        <f t="shared" si="2194"/>
        <v>0.723490927</v>
      </c>
      <c r="Q802" s="43">
        <v>1.5</v>
      </c>
      <c r="R802" s="42">
        <f t="shared" si="2195"/>
        <v>0.7383586317</v>
      </c>
      <c r="S802" s="44">
        <f t="shared" si="2196"/>
        <v>1.107537947</v>
      </c>
      <c r="T802" s="43">
        <f>F802/19.985</f>
        <v>264.7944959</v>
      </c>
      <c r="U802" s="43">
        <f t="shared" si="2197"/>
        <v>9.456946281</v>
      </c>
      <c r="V802" s="40">
        <f t="shared" si="2198"/>
        <v>209.3214286</v>
      </c>
      <c r="X802" s="59" t="s">
        <v>44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6"/>
    </row>
    <row r="803" ht="15.75" customHeight="1">
      <c r="A803" s="21"/>
      <c r="B803" s="38">
        <v>15.0</v>
      </c>
      <c r="C803" s="38" t="s">
        <v>40</v>
      </c>
      <c r="D803" s="78">
        <v>30.0</v>
      </c>
      <c r="E803" s="40">
        <f>IFERROR(__xludf.DUMMYFUNCTION("COUNT(IMPORTRANGE(""https://docs.google.com/spreadsheets/d/1Krav0MVlY0vbUNsFRDnb_kR72_tyuGnWBYbGjNZrl18/edit"",""30!d2:d31""))"),29.0)</f>
        <v>29</v>
      </c>
      <c r="F803" s="45">
        <f>IFERROR(__xludf.DUMMYFUNCTION("SUM(IMPORTRANGE(""https://docs.google.com/spreadsheets/d/1Krav0MVlY0vbUNsFRDnb_kR72_tyuGnWBYbGjNZrl18/edit"",""30!Q2:Q31""))"),5688.599999999999)</f>
        <v>5688.6</v>
      </c>
      <c r="G803" s="40">
        <f>IFERROR(__xludf.DUMMYFUNCTION("IMPORTRANGE(""https://docs.google.com/spreadsheets/d/1Krav0MVlY0vbUNsFRDnb_kR72_tyuGnWBYbGjNZrl18/edit"",""30!e38"")"),3404.0)</f>
        <v>3404</v>
      </c>
      <c r="H803" s="40">
        <f>IFERROR(__xludf.DUMMYFUNCTION("IMPORTRANGE(""https://docs.google.com/spreadsheets/d/1Krav0MVlY0vbUNsFRDnb_kR72_tyuGnWBYbGjNZrl18/edit"",""30!e39"")"),35.0)</f>
        <v>35</v>
      </c>
      <c r="I803" s="40">
        <f t="shared" si="2190"/>
        <v>3439</v>
      </c>
      <c r="J803" s="40">
        <f>IFERROR(__xludf.DUMMYFUNCTION("IMPORTRANGE(""https://docs.google.com/spreadsheets/d/1Krav0MVlY0vbUNsFRDnb_kR72_tyuGnWBYbGjNZrl18/edit"",""30!e42"")"),3994.0)</f>
        <v>3994</v>
      </c>
      <c r="K803" s="40">
        <f>IFERROR(__xludf.DUMMYFUNCTION("IMPORTRANGE(""https://docs.google.com/spreadsheets/d/1Krav0MVlY0vbUNsFRDnb_kR72_tyuGnWBYbGjNZrl18/edit"",""30!e43"")"),0.0)</f>
        <v>0</v>
      </c>
      <c r="L803" s="40">
        <f t="shared" si="2220"/>
        <v>3994</v>
      </c>
      <c r="M803" s="40">
        <f t="shared" si="2192"/>
        <v>7433</v>
      </c>
      <c r="N803" s="41">
        <f t="shared" si="2193"/>
        <v>196.1586207</v>
      </c>
      <c r="O803" s="38">
        <v>8239.0</v>
      </c>
      <c r="P803" s="42">
        <f t="shared" si="2194"/>
        <v>0.9021725938</v>
      </c>
      <c r="Q803" s="43">
        <v>1.5</v>
      </c>
      <c r="R803" s="42">
        <f t="shared" si="2195"/>
        <v>0.871098923</v>
      </c>
      <c r="S803" s="44">
        <f t="shared" si="2196"/>
        <v>1.306648384</v>
      </c>
      <c r="T803" s="43">
        <f>F803/28.443</f>
        <v>200</v>
      </c>
      <c r="U803" s="43">
        <f t="shared" si="2197"/>
        <v>6.896551724</v>
      </c>
      <c r="V803" s="40">
        <f t="shared" si="2198"/>
        <v>256.3103448</v>
      </c>
      <c r="X803" s="14" t="s">
        <v>2</v>
      </c>
      <c r="Y803" s="14" t="s">
        <v>3</v>
      </c>
      <c r="Z803" s="14" t="s">
        <v>4</v>
      </c>
      <c r="AA803" s="14" t="s">
        <v>5</v>
      </c>
      <c r="AB803" s="15" t="s">
        <v>6</v>
      </c>
      <c r="AC803" s="14" t="s">
        <v>7</v>
      </c>
      <c r="AD803" s="14" t="s">
        <v>8</v>
      </c>
      <c r="AE803" s="14" t="s">
        <v>9</v>
      </c>
      <c r="AF803" s="14" t="s">
        <v>10</v>
      </c>
      <c r="AG803" s="14" t="s">
        <v>11</v>
      </c>
      <c r="AH803" s="14" t="s">
        <v>12</v>
      </c>
      <c r="AI803" s="14" t="s">
        <v>13</v>
      </c>
      <c r="AJ803" s="15" t="s">
        <v>14</v>
      </c>
      <c r="AK803" s="14" t="s">
        <v>15</v>
      </c>
      <c r="AL803" s="14" t="s">
        <v>16</v>
      </c>
      <c r="AM803" s="16" t="s">
        <v>17</v>
      </c>
      <c r="AN803" s="17" t="s">
        <v>18</v>
      </c>
      <c r="AO803" s="18" t="s">
        <v>19</v>
      </c>
      <c r="AP803" s="19" t="s">
        <v>20</v>
      </c>
      <c r="AQ803" s="19" t="s">
        <v>21</v>
      </c>
      <c r="AR803" s="20" t="s">
        <v>22</v>
      </c>
    </row>
    <row r="804" ht="15.75" customHeight="1">
      <c r="A804" s="21"/>
      <c r="B804" s="38">
        <v>16.0</v>
      </c>
      <c r="C804" s="38" t="s">
        <v>42</v>
      </c>
      <c r="D804" s="78">
        <v>33.0</v>
      </c>
      <c r="E804" s="40">
        <f>IFERROR(__xludf.DUMMYFUNCTION("COUNT(IMPORTRANGE(""https://docs.google.com/spreadsheets/d/1uXtm-E8PG0CetlFmSpTX3RK0LNEMnpR-mxbET9AGD6w/edit"",""30!d2:d34""))"),33.0)</f>
        <v>33</v>
      </c>
      <c r="F804" s="45">
        <f>IFERROR(__xludf.DUMMYFUNCTION("SUM(IMPORTRANGE(""https://docs.google.com/spreadsheets/d/1uXtm-E8PG0CetlFmSpTX3RK0LNEMnpR-mxbET9AGD6w/edit"",""30!Q2:Q34""))"),6387.974999999998)</f>
        <v>6387.975</v>
      </c>
      <c r="G804" s="40">
        <f>IFERROR(__xludf.DUMMYFUNCTION("IMPORTRANGE(""https://docs.google.com/spreadsheets/d/1uXtm-E8PG0CetlFmSpTX3RK0LNEMnpR-mxbET9AGD6w/edit"",""30!e41"")"),3646.0)</f>
        <v>3646</v>
      </c>
      <c r="H804" s="40">
        <f>IFERROR(__xludf.DUMMYFUNCTION("IMPORTRANGE(""https://docs.google.com/spreadsheets/d/1uXtm-E8PG0CetlFmSpTX3RK0LNEMnpR-mxbET9AGD6w/edit"",""30!e42"")"),0.0)</f>
        <v>0</v>
      </c>
      <c r="I804" s="40">
        <f t="shared" si="2190"/>
        <v>3646</v>
      </c>
      <c r="J804" s="40">
        <f>IFERROR(__xludf.DUMMYFUNCTION("IMPORTRANGE(""https://docs.google.com/spreadsheets/d/1uXtm-E8PG0CetlFmSpTX3RK0LNEMnpR-mxbET9AGD6w/edit"",""30!e45"")"),4369.0)</f>
        <v>4369</v>
      </c>
      <c r="K804" s="40">
        <f>IFERROR(__xludf.DUMMYFUNCTION("IMPORTRANGE(""https://docs.google.com/spreadsheets/d/1uXtm-E8PG0CetlFmSpTX3RK0LNEMnpR-mxbET9AGD6w/edit"",""30!e46"")"),172.0)</f>
        <v>172</v>
      </c>
      <c r="L804" s="40">
        <f t="shared" si="2220"/>
        <v>4541</v>
      </c>
      <c r="M804" s="40">
        <f t="shared" si="2192"/>
        <v>8187</v>
      </c>
      <c r="N804" s="41">
        <f t="shared" si="2193"/>
        <v>193.575</v>
      </c>
      <c r="O804" s="38">
        <v>9877.0</v>
      </c>
      <c r="P804" s="42">
        <f t="shared" si="2194"/>
        <v>0.8288954136</v>
      </c>
      <c r="Q804" s="43">
        <v>1.5</v>
      </c>
      <c r="R804" s="42">
        <f t="shared" si="2195"/>
        <v>0.8544178711</v>
      </c>
      <c r="S804" s="44">
        <f t="shared" si="2196"/>
        <v>1.281626807</v>
      </c>
      <c r="T804" s="43">
        <f>F804/26.155</f>
        <v>244.2353279</v>
      </c>
      <c r="U804" s="43">
        <f t="shared" si="2197"/>
        <v>7.401070541</v>
      </c>
      <c r="V804" s="40">
        <f t="shared" si="2198"/>
        <v>248.0909091</v>
      </c>
      <c r="X804" s="31">
        <v>1.0</v>
      </c>
      <c r="Y804" s="31" t="s">
        <v>26</v>
      </c>
      <c r="Z804" s="31">
        <f t="shared" ref="Z804:AI804" si="2230">SUM(D789)</f>
        <v>20</v>
      </c>
      <c r="AA804" s="32">
        <f t="shared" si="2230"/>
        <v>20</v>
      </c>
      <c r="AB804" s="34">
        <f t="shared" si="2230"/>
        <v>3820.587</v>
      </c>
      <c r="AC804" s="32">
        <f t="shared" si="2230"/>
        <v>2260</v>
      </c>
      <c r="AD804" s="32">
        <f t="shared" si="2230"/>
        <v>0</v>
      </c>
      <c r="AE804" s="32">
        <f t="shared" si="2230"/>
        <v>2260</v>
      </c>
      <c r="AF804" s="32">
        <f t="shared" si="2230"/>
        <v>2463</v>
      </c>
      <c r="AG804" s="32">
        <f t="shared" si="2230"/>
        <v>0</v>
      </c>
      <c r="AH804" s="32">
        <f t="shared" si="2230"/>
        <v>2463</v>
      </c>
      <c r="AI804" s="32">
        <f t="shared" si="2230"/>
        <v>4723</v>
      </c>
      <c r="AJ804" s="34">
        <f t="shared" ref="AJ804:AJ810" si="2233">AB804/AA804</f>
        <v>191.02935</v>
      </c>
      <c r="AK804" s="31">
        <f>SUM(O789)</f>
        <v>5161</v>
      </c>
      <c r="AL804" s="35">
        <f t="shared" ref="AL804:AL810" si="2234">AI804/AK804</f>
        <v>0.9151327262</v>
      </c>
      <c r="AM804" s="36">
        <f>SUM(Q789)</f>
        <v>1.5</v>
      </c>
      <c r="AN804" s="35">
        <f t="shared" ref="AN804:AN810" si="2235">AO804/AM804</f>
        <v>0.8241316496</v>
      </c>
      <c r="AO804" s="37">
        <f t="shared" ref="AO804:AO810" si="2236">AI804/AB804</f>
        <v>1.236197474</v>
      </c>
      <c r="AP804" s="36">
        <f t="shared" ref="AP804:AQ804" si="2231">SUM(T789)</f>
        <v>265.0424558</v>
      </c>
      <c r="AQ804" s="36">
        <f t="shared" si="2231"/>
        <v>13.25212279</v>
      </c>
      <c r="AR804" s="32">
        <f t="shared" ref="AR804:AR810" si="2238">AI804/AA804</f>
        <v>236.15</v>
      </c>
    </row>
    <row r="805" ht="15.75" customHeight="1">
      <c r="A805" s="21"/>
      <c r="B805" s="38">
        <v>17.0</v>
      </c>
      <c r="C805" s="38" t="s">
        <v>29</v>
      </c>
      <c r="D805" s="78">
        <v>30.0</v>
      </c>
      <c r="E805" s="40">
        <f>IFERROR(__xludf.DUMMYFUNCTION("COUNT(IMPORTRANGE(""https://docs.google.com/spreadsheets/d/12xcKI0lSnAsjEsxfm9K8Qx0B_89Gzsh816mowItkQao/edit"",""30!d2:d31""))"),30.0)</f>
        <v>30</v>
      </c>
      <c r="F805" s="45">
        <f>IFERROR(__xludf.DUMMYFUNCTION("SUM(IMPORTRANGE(""https://docs.google.com/spreadsheets/d/12xcKI0lSnAsjEsxfm9K8Qx0B_89Gzsh816mowItkQao/edit"",""30!Q2:Q31""))"),5988.740000000001)</f>
        <v>5988.74</v>
      </c>
      <c r="G805" s="40">
        <f>IFERROR(__xludf.DUMMYFUNCTION("IMPORTRANGE(""https://docs.google.com/spreadsheets/d/12xcKI0lSnAsjEsxfm9K8Qx0B_89Gzsh816mowItkQao/edit"",""30!e38"")"),2721.0)</f>
        <v>2721</v>
      </c>
      <c r="H805" s="40">
        <f>IFERROR(__xludf.DUMMYFUNCTION("IMPORTRANGE(""https://docs.google.com/spreadsheets/d/12xcKI0lSnAsjEsxfm9K8Qx0B_89Gzsh816mowItkQao/edit"",""30!e39"")"),0.0)</f>
        <v>0</v>
      </c>
      <c r="I805" s="40">
        <f t="shared" si="2190"/>
        <v>2721</v>
      </c>
      <c r="J805" s="40">
        <f>IFERROR(__xludf.DUMMYFUNCTION("IMPORTRANGE(""https://docs.google.com/spreadsheets/d/12xcKI0lSnAsjEsxfm9K8Qx0B_89Gzsh816mowItkQao/edit"",""30!e42"")"),4405.0)</f>
        <v>4405</v>
      </c>
      <c r="K805" s="40">
        <f>IFERROR(__xludf.DUMMYFUNCTION("IMPORTRANGE(""https://docs.google.com/spreadsheets/d/12xcKI0lSnAsjEsxfm9K8Qx0B_89Gzsh816mowItkQao/edit"",""30!e43"")"),0.0)</f>
        <v>0</v>
      </c>
      <c r="L805" s="40">
        <f t="shared" si="2220"/>
        <v>4405</v>
      </c>
      <c r="M805" s="40">
        <f t="shared" si="2192"/>
        <v>7126</v>
      </c>
      <c r="N805" s="41">
        <f t="shared" si="2193"/>
        <v>199.6246667</v>
      </c>
      <c r="O805" s="38">
        <v>9201.0</v>
      </c>
      <c r="P805" s="42">
        <f t="shared" si="2194"/>
        <v>0.7744810347</v>
      </c>
      <c r="Q805" s="43">
        <v>1.5</v>
      </c>
      <c r="R805" s="42">
        <f t="shared" si="2195"/>
        <v>0.7932664745</v>
      </c>
      <c r="S805" s="44">
        <f t="shared" si="2196"/>
        <v>1.189899712</v>
      </c>
      <c r="T805" s="43">
        <f>F805/26.038</f>
        <v>230</v>
      </c>
      <c r="U805" s="43">
        <f t="shared" si="2197"/>
        <v>7.666666667</v>
      </c>
      <c r="V805" s="40">
        <f t="shared" si="2198"/>
        <v>237.5333333</v>
      </c>
      <c r="X805" s="31">
        <v>2.0</v>
      </c>
      <c r="Y805" s="31" t="s">
        <v>32</v>
      </c>
      <c r="Z805" s="31">
        <f t="shared" ref="Z805:AI805" si="2232">SUM(D792)</f>
        <v>42</v>
      </c>
      <c r="AA805" s="32">
        <f t="shared" si="2232"/>
        <v>42</v>
      </c>
      <c r="AB805" s="33">
        <f t="shared" si="2232"/>
        <v>8167.544</v>
      </c>
      <c r="AC805" s="31">
        <f t="shared" si="2232"/>
        <v>4855</v>
      </c>
      <c r="AD805" s="31">
        <f t="shared" si="2232"/>
        <v>0</v>
      </c>
      <c r="AE805" s="32">
        <f t="shared" si="2232"/>
        <v>4855</v>
      </c>
      <c r="AF805" s="31">
        <f t="shared" si="2232"/>
        <v>5953</v>
      </c>
      <c r="AG805" s="31">
        <f t="shared" si="2232"/>
        <v>0</v>
      </c>
      <c r="AH805" s="32">
        <f t="shared" si="2232"/>
        <v>5953</v>
      </c>
      <c r="AI805" s="32">
        <f t="shared" si="2232"/>
        <v>10808</v>
      </c>
      <c r="AJ805" s="34">
        <f t="shared" si="2233"/>
        <v>194.4653333</v>
      </c>
      <c r="AK805" s="31">
        <f>SUM(O792)</f>
        <v>13817</v>
      </c>
      <c r="AL805" s="35">
        <f t="shared" si="2234"/>
        <v>0.7822247955</v>
      </c>
      <c r="AM805" s="36">
        <f>SUM(Q792)</f>
        <v>1.5</v>
      </c>
      <c r="AN805" s="35">
        <f t="shared" si="2235"/>
        <v>0.8821909418</v>
      </c>
      <c r="AO805" s="37">
        <f t="shared" si="2236"/>
        <v>1.323286413</v>
      </c>
      <c r="AP805" s="36">
        <f t="shared" ref="AP805:AQ805" si="2237">SUM(T792)</f>
        <v>325.5428275</v>
      </c>
      <c r="AQ805" s="36">
        <f t="shared" si="2237"/>
        <v>7.751019703</v>
      </c>
      <c r="AR805" s="32">
        <f t="shared" si="2238"/>
        <v>257.3333333</v>
      </c>
    </row>
    <row r="806" ht="15.75" customHeight="1">
      <c r="A806" s="21"/>
      <c r="B806" s="38">
        <v>18.0</v>
      </c>
      <c r="C806" s="38" t="s">
        <v>31</v>
      </c>
      <c r="D806" s="78">
        <v>15.0</v>
      </c>
      <c r="E806" s="40">
        <f>IFERROR(__xludf.DUMMYFUNCTION("COUNT(IMPORTRANGE(""https://docs.google.com/spreadsheets/d/1fgCFOFzOla4Qim6_-zG-lbYhLCItqv_kZiAHoErRgcM/edit"",""30!d2:d16""))"),14.0)</f>
        <v>14</v>
      </c>
      <c r="F806" s="41">
        <f>IFERROR(__xludf.DUMMYFUNCTION("SUM(IMPORTRANGE(""https://docs.google.com/spreadsheets/d/1fgCFOFzOla4Qim6_-zG-lbYhLCItqv_kZiAHoErRgcM/edit"",""30!Q2:Q16""))"),2868.69)</f>
        <v>2868.69</v>
      </c>
      <c r="G806" s="40">
        <f>IFERROR(__xludf.DUMMYFUNCTION("IMPORTRANGE(""https://docs.google.com/spreadsheets/d/1fgCFOFzOla4Qim6_-zG-lbYhLCItqv_kZiAHoErRgcM/edit"",""30!e23"")"),870.0)</f>
        <v>870</v>
      </c>
      <c r="H806" s="40">
        <f>IFERROR(__xludf.DUMMYFUNCTION("IMPORTRANGE(""https://docs.google.com/spreadsheets/d/1fgCFOFzOla4Qim6_-zG-lbYhLCItqv_kZiAHoErRgcM/edit"",""30!e24"")"),18.0)</f>
        <v>18</v>
      </c>
      <c r="I806" s="40">
        <f t="shared" si="2190"/>
        <v>888</v>
      </c>
      <c r="J806" s="40">
        <f>IFERROR(__xludf.DUMMYFUNCTION("IMPORTRANGE(""https://docs.google.com/spreadsheets/d/1fgCFOFzOla4Qim6_-zG-lbYhLCItqv_kZiAHoErRgcM/edit"",""30!e27"")"),1199.0)</f>
        <v>1199</v>
      </c>
      <c r="K806" s="40">
        <f>IFERROR(__xludf.DUMMYFUNCTION("IMPORTRANGE(""https://docs.google.com/spreadsheets/d/1fgCFOFzOla4Qim6_-zG-lbYhLCItqv_kZiAHoErRgcM/edit"",""30!e28"")"),0.0)</f>
        <v>0</v>
      </c>
      <c r="L806" s="40">
        <f t="shared" si="2220"/>
        <v>1199</v>
      </c>
      <c r="M806" s="40">
        <f t="shared" si="2192"/>
        <v>2087</v>
      </c>
      <c r="N806" s="41">
        <f t="shared" si="2193"/>
        <v>204.9064286</v>
      </c>
      <c r="O806" s="38">
        <v>2717.0</v>
      </c>
      <c r="P806" s="42">
        <f t="shared" si="2194"/>
        <v>0.7681266102</v>
      </c>
      <c r="Q806" s="43">
        <v>1.5</v>
      </c>
      <c r="R806" s="42">
        <f t="shared" si="2195"/>
        <v>0.4850065128</v>
      </c>
      <c r="S806" s="44">
        <f t="shared" si="2196"/>
        <v>0.7275097693</v>
      </c>
      <c r="T806" s="43">
        <f>F806/43.465</f>
        <v>66</v>
      </c>
      <c r="U806" s="43">
        <f t="shared" si="2197"/>
        <v>4.714285714</v>
      </c>
      <c r="V806" s="40">
        <f t="shared" si="2198"/>
        <v>149.0714286</v>
      </c>
      <c r="X806" s="31">
        <v>3.0</v>
      </c>
      <c r="Y806" s="31" t="s">
        <v>36</v>
      </c>
      <c r="Z806" s="31">
        <f t="shared" ref="Z806:AI806" si="2239">SUM(D797)</f>
        <v>29</v>
      </c>
      <c r="AA806" s="32">
        <f t="shared" si="2239"/>
        <v>28</v>
      </c>
      <c r="AB806" s="33">
        <f t="shared" si="2239"/>
        <v>5548.797</v>
      </c>
      <c r="AC806" s="32">
        <f t="shared" si="2239"/>
        <v>1569</v>
      </c>
      <c r="AD806" s="32">
        <f t="shared" si="2239"/>
        <v>0</v>
      </c>
      <c r="AE806" s="32">
        <f t="shared" si="2239"/>
        <v>1569</v>
      </c>
      <c r="AF806" s="32">
        <f t="shared" si="2239"/>
        <v>2231</v>
      </c>
      <c r="AG806" s="32">
        <f t="shared" si="2239"/>
        <v>0</v>
      </c>
      <c r="AH806" s="32">
        <f t="shared" si="2239"/>
        <v>2231</v>
      </c>
      <c r="AI806" s="32">
        <f t="shared" si="2239"/>
        <v>3800</v>
      </c>
      <c r="AJ806" s="34">
        <f t="shared" si="2233"/>
        <v>198.1713214</v>
      </c>
      <c r="AK806" s="31">
        <f t="shared" ref="AK806:AK809" si="2243">SUM(O797)</f>
        <v>4796</v>
      </c>
      <c r="AL806" s="35">
        <f t="shared" si="2234"/>
        <v>0.7923269391</v>
      </c>
      <c r="AM806" s="36">
        <f t="shared" ref="AM806:AM809" si="2244">SUM(Q797)</f>
        <v>1.5</v>
      </c>
      <c r="AN806" s="35">
        <f t="shared" si="2235"/>
        <v>0.4565554179</v>
      </c>
      <c r="AO806" s="37">
        <f t="shared" si="2236"/>
        <v>0.6848331269</v>
      </c>
      <c r="AP806" s="36">
        <f t="shared" ref="AP806:AQ806" si="2240">SUM(T797)</f>
        <v>148.3080398</v>
      </c>
      <c r="AQ806" s="36">
        <f t="shared" si="2240"/>
        <v>5.296715706</v>
      </c>
      <c r="AR806" s="32">
        <f t="shared" si="2238"/>
        <v>135.7142857</v>
      </c>
    </row>
    <row r="807" ht="15.75" customHeight="1">
      <c r="A807" s="21"/>
      <c r="B807" s="60" t="s">
        <v>33</v>
      </c>
      <c r="C807" s="60">
        <v>18.0</v>
      </c>
      <c r="D807" s="60">
        <f t="shared" ref="D807:M807" si="2241">SUM(D789:D806)</f>
        <v>585</v>
      </c>
      <c r="E807" s="61">
        <f t="shared" si="2241"/>
        <v>573</v>
      </c>
      <c r="F807" s="62">
        <f t="shared" si="2241"/>
        <v>112905.931</v>
      </c>
      <c r="G807" s="61">
        <f t="shared" si="2241"/>
        <v>43290</v>
      </c>
      <c r="H807" s="61">
        <f t="shared" si="2241"/>
        <v>791</v>
      </c>
      <c r="I807" s="61">
        <f t="shared" si="2241"/>
        <v>44081</v>
      </c>
      <c r="J807" s="61">
        <f t="shared" si="2241"/>
        <v>56198</v>
      </c>
      <c r="K807" s="61">
        <f t="shared" si="2241"/>
        <v>1565</v>
      </c>
      <c r="L807" s="61">
        <f t="shared" si="2241"/>
        <v>57763</v>
      </c>
      <c r="M807" s="61">
        <f t="shared" si="2241"/>
        <v>101844</v>
      </c>
      <c r="N807" s="62">
        <f t="shared" si="2193"/>
        <v>197.0435096</v>
      </c>
      <c r="O807" s="60">
        <f>SUM(O789:O806)</f>
        <v>126399</v>
      </c>
      <c r="P807" s="63">
        <f t="shared" si="2194"/>
        <v>0.8057342226</v>
      </c>
      <c r="Q807" s="64">
        <v>1.5</v>
      </c>
      <c r="R807" s="63">
        <f t="shared" si="2195"/>
        <v>0.6013501629</v>
      </c>
      <c r="S807" s="65">
        <f t="shared" si="2196"/>
        <v>0.9020252444</v>
      </c>
      <c r="T807" s="64">
        <f>SUM(T789:T806)</f>
        <v>4157.109984</v>
      </c>
      <c r="U807" s="64">
        <f t="shared" si="2197"/>
        <v>7.254991247</v>
      </c>
      <c r="V807" s="61">
        <f t="shared" si="2198"/>
        <v>177.7382199</v>
      </c>
      <c r="X807" s="31">
        <v>4.0</v>
      </c>
      <c r="Y807" s="31" t="s">
        <v>37</v>
      </c>
      <c r="Z807" s="31">
        <f t="shared" ref="Z807:AI807" si="2242">SUM(D798)</f>
        <v>30</v>
      </c>
      <c r="AA807" s="32">
        <f t="shared" si="2242"/>
        <v>30</v>
      </c>
      <c r="AB807" s="33">
        <f t="shared" si="2242"/>
        <v>5773.914</v>
      </c>
      <c r="AC807" s="32">
        <f t="shared" si="2242"/>
        <v>2212</v>
      </c>
      <c r="AD807" s="32">
        <f t="shared" si="2242"/>
        <v>0</v>
      </c>
      <c r="AE807" s="32">
        <f t="shared" si="2242"/>
        <v>2212</v>
      </c>
      <c r="AF807" s="32">
        <f t="shared" si="2242"/>
        <v>2860</v>
      </c>
      <c r="AG807" s="32">
        <f t="shared" si="2242"/>
        <v>0</v>
      </c>
      <c r="AH807" s="32">
        <f t="shared" si="2242"/>
        <v>2860</v>
      </c>
      <c r="AI807" s="32">
        <f t="shared" si="2242"/>
        <v>5072</v>
      </c>
      <c r="AJ807" s="34">
        <f t="shared" si="2233"/>
        <v>192.4638</v>
      </c>
      <c r="AK807" s="31">
        <f t="shared" si="2243"/>
        <v>5887</v>
      </c>
      <c r="AL807" s="35">
        <f t="shared" si="2234"/>
        <v>0.8615593681</v>
      </c>
      <c r="AM807" s="36">
        <f t="shared" si="2244"/>
        <v>1.5</v>
      </c>
      <c r="AN807" s="35">
        <f t="shared" si="2235"/>
        <v>0.5856223929</v>
      </c>
      <c r="AO807" s="37">
        <f t="shared" si="2236"/>
        <v>0.8784335894</v>
      </c>
      <c r="AP807" s="36">
        <f t="shared" ref="AP807:AQ807" si="2245">SUM(T798)</f>
        <v>232.8942401</v>
      </c>
      <c r="AQ807" s="36">
        <f t="shared" si="2245"/>
        <v>7.763141336</v>
      </c>
      <c r="AR807" s="32">
        <f t="shared" si="2238"/>
        <v>169.0666667</v>
      </c>
    </row>
    <row r="808" ht="15.7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X808" s="31">
        <v>5.0</v>
      </c>
      <c r="Y808" s="31" t="s">
        <v>39</v>
      </c>
      <c r="Z808" s="31">
        <f t="shared" ref="Z808:AI808" si="2246">SUM(D799)</f>
        <v>28</v>
      </c>
      <c r="AA808" s="32">
        <f t="shared" si="2246"/>
        <v>27</v>
      </c>
      <c r="AB808" s="33">
        <f t="shared" si="2246"/>
        <v>5232.607</v>
      </c>
      <c r="AC808" s="32">
        <f t="shared" si="2246"/>
        <v>1238</v>
      </c>
      <c r="AD808" s="32">
        <f t="shared" si="2246"/>
        <v>0</v>
      </c>
      <c r="AE808" s="32">
        <f t="shared" si="2246"/>
        <v>1238</v>
      </c>
      <c r="AF808" s="32">
        <f t="shared" si="2246"/>
        <v>1433</v>
      </c>
      <c r="AG808" s="32">
        <f t="shared" si="2246"/>
        <v>153</v>
      </c>
      <c r="AH808" s="32">
        <f t="shared" si="2246"/>
        <v>1586</v>
      </c>
      <c r="AI808" s="32">
        <f t="shared" si="2246"/>
        <v>2824</v>
      </c>
      <c r="AJ808" s="34">
        <f t="shared" si="2233"/>
        <v>193.8002593</v>
      </c>
      <c r="AK808" s="31">
        <f t="shared" si="2243"/>
        <v>3569</v>
      </c>
      <c r="AL808" s="35">
        <f t="shared" si="2234"/>
        <v>0.7912580555</v>
      </c>
      <c r="AM808" s="36">
        <f t="shared" si="2244"/>
        <v>1.5</v>
      </c>
      <c r="AN808" s="35">
        <f t="shared" si="2235"/>
        <v>0.3597951588</v>
      </c>
      <c r="AO808" s="37">
        <f t="shared" si="2236"/>
        <v>0.5396927382</v>
      </c>
      <c r="AP808" s="36">
        <f t="shared" ref="AP808:AQ808" si="2247">SUM(T799)</f>
        <v>243.7966268</v>
      </c>
      <c r="AQ808" s="36">
        <f t="shared" si="2247"/>
        <v>9.029504695</v>
      </c>
      <c r="AR808" s="32">
        <f t="shared" si="2238"/>
        <v>104.5925926</v>
      </c>
    </row>
    <row r="809" ht="15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X809" s="31">
        <v>6.0</v>
      </c>
      <c r="Y809" s="31" t="s">
        <v>41</v>
      </c>
      <c r="Z809" s="31">
        <f t="shared" ref="Z809:AI809" si="2248">SUM(D800)</f>
        <v>24</v>
      </c>
      <c r="AA809" s="32">
        <f t="shared" si="2248"/>
        <v>23</v>
      </c>
      <c r="AB809" s="33">
        <f t="shared" si="2248"/>
        <v>4569.296</v>
      </c>
      <c r="AC809" s="32">
        <f t="shared" si="2248"/>
        <v>1202</v>
      </c>
      <c r="AD809" s="32">
        <f t="shared" si="2248"/>
        <v>0</v>
      </c>
      <c r="AE809" s="32">
        <f t="shared" si="2248"/>
        <v>1202</v>
      </c>
      <c r="AF809" s="32">
        <f t="shared" si="2248"/>
        <v>1401</v>
      </c>
      <c r="AG809" s="32">
        <f t="shared" si="2248"/>
        <v>295</v>
      </c>
      <c r="AH809" s="32">
        <f t="shared" si="2248"/>
        <v>1696</v>
      </c>
      <c r="AI809" s="32">
        <f t="shared" si="2248"/>
        <v>2898</v>
      </c>
      <c r="AJ809" s="34">
        <f t="shared" si="2233"/>
        <v>198.6650435</v>
      </c>
      <c r="AK809" s="31">
        <f t="shared" si="2243"/>
        <v>3801</v>
      </c>
      <c r="AL809" s="35">
        <f t="shared" si="2234"/>
        <v>0.7624309392</v>
      </c>
      <c r="AM809" s="36">
        <f t="shared" si="2244"/>
        <v>1.5</v>
      </c>
      <c r="AN809" s="35">
        <f t="shared" si="2235"/>
        <v>0.4228222466</v>
      </c>
      <c r="AO809" s="37">
        <f t="shared" si="2236"/>
        <v>0.6342333699</v>
      </c>
      <c r="AP809" s="36">
        <f t="shared" ref="AP809:AQ809" si="2249">SUM(T800)</f>
        <v>154.2222222</v>
      </c>
      <c r="AQ809" s="36">
        <f t="shared" si="2249"/>
        <v>6.70531401</v>
      </c>
      <c r="AR809" s="32">
        <f t="shared" si="2238"/>
        <v>126</v>
      </c>
    </row>
    <row r="810" ht="15.75" customHeight="1">
      <c r="A810" s="1" t="s">
        <v>45</v>
      </c>
      <c r="D810" s="2"/>
      <c r="X810" s="46" t="s">
        <v>33</v>
      </c>
      <c r="Y810" s="46">
        <v>6.0</v>
      </c>
      <c r="Z810" s="46">
        <f t="shared" ref="Z810:AI810" si="2250">SUM(Z804:Z809)</f>
        <v>173</v>
      </c>
      <c r="AA810" s="47">
        <f t="shared" si="2250"/>
        <v>170</v>
      </c>
      <c r="AB810" s="49">
        <f t="shared" si="2250"/>
        <v>33112.745</v>
      </c>
      <c r="AC810" s="47">
        <f t="shared" si="2250"/>
        <v>13336</v>
      </c>
      <c r="AD810" s="47">
        <f t="shared" si="2250"/>
        <v>0</v>
      </c>
      <c r="AE810" s="47">
        <f t="shared" si="2250"/>
        <v>13336</v>
      </c>
      <c r="AF810" s="47">
        <f t="shared" si="2250"/>
        <v>16341</v>
      </c>
      <c r="AG810" s="47">
        <f t="shared" si="2250"/>
        <v>448</v>
      </c>
      <c r="AH810" s="47">
        <f t="shared" si="2250"/>
        <v>16789</v>
      </c>
      <c r="AI810" s="47">
        <f t="shared" si="2250"/>
        <v>30125</v>
      </c>
      <c r="AJ810" s="49">
        <f t="shared" si="2233"/>
        <v>194.7808529</v>
      </c>
      <c r="AK810" s="46">
        <f>SUM(AK804:AK809)</f>
        <v>37031</v>
      </c>
      <c r="AL810" s="50">
        <f t="shared" si="2234"/>
        <v>0.8135076017</v>
      </c>
      <c r="AM810" s="51">
        <v>1.5</v>
      </c>
      <c r="AN810" s="50">
        <f t="shared" si="2235"/>
        <v>0.6065136954</v>
      </c>
      <c r="AO810" s="52">
        <f t="shared" si="2236"/>
        <v>0.909770543</v>
      </c>
      <c r="AP810" s="51">
        <f>SUM(AP804:AP809)</f>
        <v>1369.806412</v>
      </c>
      <c r="AQ810" s="51">
        <f>AP810/AA810</f>
        <v>8.057684777</v>
      </c>
      <c r="AR810" s="47">
        <f t="shared" si="2238"/>
        <v>177.2058824</v>
      </c>
    </row>
    <row r="811" ht="15.75" customHeight="1">
      <c r="A811" s="1" t="s">
        <v>45</v>
      </c>
      <c r="D811" s="2"/>
      <c r="X811" s="66" t="s">
        <v>1</v>
      </c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6"/>
    </row>
    <row r="812" ht="15.75" customHeight="1">
      <c r="A812" s="7">
        <v>46234.0</v>
      </c>
      <c r="B812" s="8" t="s">
        <v>2</v>
      </c>
      <c r="C812" s="8" t="s">
        <v>3</v>
      </c>
      <c r="D812" s="8" t="s">
        <v>4</v>
      </c>
      <c r="E812" s="8" t="s">
        <v>5</v>
      </c>
      <c r="F812" s="9" t="s">
        <v>6</v>
      </c>
      <c r="G812" s="8" t="s">
        <v>7</v>
      </c>
      <c r="H812" s="8" t="s">
        <v>8</v>
      </c>
      <c r="I812" s="8" t="s">
        <v>9</v>
      </c>
      <c r="J812" s="8" t="s">
        <v>10</v>
      </c>
      <c r="K812" s="8" t="s">
        <v>11</v>
      </c>
      <c r="L812" s="8" t="s">
        <v>12</v>
      </c>
      <c r="M812" s="8" t="s">
        <v>13</v>
      </c>
      <c r="N812" s="9" t="s">
        <v>14</v>
      </c>
      <c r="O812" s="8" t="s">
        <v>15</v>
      </c>
      <c r="P812" s="8" t="s">
        <v>16</v>
      </c>
      <c r="Q812" s="8" t="s">
        <v>17</v>
      </c>
      <c r="R812" s="8" t="s">
        <v>18</v>
      </c>
      <c r="S812" s="11" t="s">
        <v>19</v>
      </c>
      <c r="T812" s="12" t="s">
        <v>20</v>
      </c>
      <c r="U812" s="12" t="s">
        <v>21</v>
      </c>
      <c r="V812" s="13" t="s">
        <v>22</v>
      </c>
      <c r="X812" s="14" t="s">
        <v>2</v>
      </c>
      <c r="Y812" s="14" t="s">
        <v>3</v>
      </c>
      <c r="Z812" s="14" t="s">
        <v>4</v>
      </c>
      <c r="AA812" s="14" t="s">
        <v>5</v>
      </c>
      <c r="AB812" s="15" t="s">
        <v>6</v>
      </c>
      <c r="AC812" s="14" t="s">
        <v>7</v>
      </c>
      <c r="AD812" s="14" t="s">
        <v>8</v>
      </c>
      <c r="AE812" s="14" t="s">
        <v>9</v>
      </c>
      <c r="AF812" s="14" t="s">
        <v>10</v>
      </c>
      <c r="AG812" s="14" t="s">
        <v>11</v>
      </c>
      <c r="AH812" s="14" t="s">
        <v>12</v>
      </c>
      <c r="AI812" s="14" t="s">
        <v>13</v>
      </c>
      <c r="AJ812" s="15" t="s">
        <v>14</v>
      </c>
      <c r="AK812" s="14" t="s">
        <v>15</v>
      </c>
      <c r="AL812" s="14" t="s">
        <v>16</v>
      </c>
      <c r="AM812" s="16" t="s">
        <v>17</v>
      </c>
      <c r="AN812" s="17" t="s">
        <v>18</v>
      </c>
      <c r="AO812" s="18" t="s">
        <v>19</v>
      </c>
      <c r="AP812" s="19" t="s">
        <v>20</v>
      </c>
      <c r="AQ812" s="19" t="s">
        <v>21</v>
      </c>
      <c r="AR812" s="20" t="s">
        <v>22</v>
      </c>
    </row>
    <row r="813" ht="15.7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X813" s="22">
        <v>1.0</v>
      </c>
      <c r="Y813" s="22" t="s">
        <v>23</v>
      </c>
      <c r="Z813" s="22">
        <f t="shared" ref="Z813:AI813" si="2251">SUM(D821)</f>
        <v>35</v>
      </c>
      <c r="AA813" s="23">
        <f t="shared" si="2251"/>
        <v>35</v>
      </c>
      <c r="AB813" s="24">
        <f t="shared" si="2251"/>
        <v>6849.22</v>
      </c>
      <c r="AC813" s="23">
        <f t="shared" si="2251"/>
        <v>1659</v>
      </c>
      <c r="AD813" s="23">
        <f t="shared" si="2251"/>
        <v>0</v>
      </c>
      <c r="AE813" s="23">
        <f t="shared" si="2251"/>
        <v>1659</v>
      </c>
      <c r="AF813" s="23">
        <f t="shared" si="2251"/>
        <v>3150</v>
      </c>
      <c r="AG813" s="23">
        <f t="shared" si="2251"/>
        <v>0</v>
      </c>
      <c r="AH813" s="23">
        <f t="shared" si="2251"/>
        <v>3150</v>
      </c>
      <c r="AI813" s="23">
        <f t="shared" si="2251"/>
        <v>4809</v>
      </c>
      <c r="AJ813" s="25">
        <f t="shared" ref="AJ813:AJ815" si="2254">AB813/AA813</f>
        <v>195.692</v>
      </c>
      <c r="AK813" s="22">
        <f>SUM(O821)</f>
        <v>6853</v>
      </c>
      <c r="AL813" s="26">
        <f t="shared" ref="AL813:AL819" si="2255">AI813/AK813</f>
        <v>0.7017364658</v>
      </c>
      <c r="AM813" s="27">
        <f t="shared" ref="AM813:AM815" si="2256">SUM(Q821)</f>
        <v>1.5</v>
      </c>
      <c r="AN813" s="26">
        <f t="shared" ref="AN813:AN819" si="2257">AO813/AM813</f>
        <v>0.468082497</v>
      </c>
      <c r="AO813" s="28">
        <f t="shared" ref="AO813:AO819" si="2258">AI813/AB813</f>
        <v>0.7021237455</v>
      </c>
      <c r="AP813" s="27">
        <f t="shared" ref="AP813:AQ813" si="2252">SUM(T821)</f>
        <v>203</v>
      </c>
      <c r="AQ813" s="27">
        <f t="shared" si="2252"/>
        <v>5.8</v>
      </c>
      <c r="AR813" s="23">
        <f t="shared" ref="AR813:AR819" si="2260">AI813/AA813</f>
        <v>137.4</v>
      </c>
    </row>
    <row r="814" ht="15.7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X814" s="22">
        <v>2.0</v>
      </c>
      <c r="Y814" s="22" t="s">
        <v>24</v>
      </c>
      <c r="Z814" s="22">
        <f t="shared" ref="Z814:AI814" si="2253">SUM(D822)</f>
        <v>44</v>
      </c>
      <c r="AA814" s="23">
        <f t="shared" si="2253"/>
        <v>43</v>
      </c>
      <c r="AB814" s="24">
        <f t="shared" si="2253"/>
        <v>8349.002</v>
      </c>
      <c r="AC814" s="23">
        <f t="shared" si="2253"/>
        <v>1814</v>
      </c>
      <c r="AD814" s="23">
        <f t="shared" si="2253"/>
        <v>0</v>
      </c>
      <c r="AE814" s="23">
        <f t="shared" si="2253"/>
        <v>1814</v>
      </c>
      <c r="AF814" s="23">
        <f t="shared" si="2253"/>
        <v>737</v>
      </c>
      <c r="AG814" s="23">
        <f t="shared" si="2253"/>
        <v>16</v>
      </c>
      <c r="AH814" s="23">
        <f t="shared" si="2253"/>
        <v>753</v>
      </c>
      <c r="AI814" s="23">
        <f t="shared" si="2253"/>
        <v>2567</v>
      </c>
      <c r="AJ814" s="25">
        <f t="shared" si="2254"/>
        <v>194.1628372</v>
      </c>
      <c r="AK814" s="22">
        <v>1580.0</v>
      </c>
      <c r="AL814" s="29">
        <f t="shared" si="2255"/>
        <v>1.624683544</v>
      </c>
      <c r="AM814" s="27">
        <f t="shared" si="2256"/>
        <v>1.5</v>
      </c>
      <c r="AN814" s="26">
        <f t="shared" si="2257"/>
        <v>0.2049745986</v>
      </c>
      <c r="AO814" s="28">
        <f t="shared" si="2258"/>
        <v>0.3074618978</v>
      </c>
      <c r="AP814" s="27">
        <f t="shared" ref="AP814:AQ814" si="2259">SUM(T822)</f>
        <v>311.471815</v>
      </c>
      <c r="AQ814" s="27">
        <f t="shared" si="2259"/>
        <v>7.24353058</v>
      </c>
      <c r="AR814" s="23">
        <f t="shared" si="2260"/>
        <v>59.69767442</v>
      </c>
    </row>
    <row r="815" ht="15.75" customHeight="1">
      <c r="A815" s="21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X815" s="31">
        <v>3.0</v>
      </c>
      <c r="Y815" s="31" t="s">
        <v>25</v>
      </c>
      <c r="Z815" s="31">
        <f t="shared" ref="Z815:AI815" si="2261">SUM(D823)</f>
        <v>32</v>
      </c>
      <c r="AA815" s="32">
        <f t="shared" si="2261"/>
        <v>32</v>
      </c>
      <c r="AB815" s="33">
        <f t="shared" si="2261"/>
        <v>6027.556</v>
      </c>
      <c r="AC815" s="32">
        <f t="shared" si="2261"/>
        <v>2255</v>
      </c>
      <c r="AD815" s="32">
        <f t="shared" si="2261"/>
        <v>314</v>
      </c>
      <c r="AE815" s="32">
        <f t="shared" si="2261"/>
        <v>2569</v>
      </c>
      <c r="AF815" s="32">
        <f t="shared" si="2261"/>
        <v>3799</v>
      </c>
      <c r="AG815" s="32">
        <f t="shared" si="2261"/>
        <v>407</v>
      </c>
      <c r="AH815" s="32">
        <f t="shared" si="2261"/>
        <v>4206</v>
      </c>
      <c r="AI815" s="32">
        <f t="shared" si="2261"/>
        <v>6775</v>
      </c>
      <c r="AJ815" s="34">
        <f t="shared" si="2254"/>
        <v>188.361125</v>
      </c>
      <c r="AK815" s="31">
        <f>SUM(O823)</f>
        <v>6622</v>
      </c>
      <c r="AL815" s="67">
        <f t="shared" si="2255"/>
        <v>1.023104802</v>
      </c>
      <c r="AM815" s="36">
        <f t="shared" si="2256"/>
        <v>1.5</v>
      </c>
      <c r="AN815" s="35">
        <f t="shared" si="2257"/>
        <v>0.7493363258</v>
      </c>
      <c r="AO815" s="37">
        <f t="shared" si="2258"/>
        <v>1.124004489</v>
      </c>
      <c r="AP815" s="36">
        <f t="shared" ref="AP815:AQ815" si="2262">SUM(T823)</f>
        <v>252.8337248</v>
      </c>
      <c r="AQ815" s="36">
        <f t="shared" si="2262"/>
        <v>7.901053901</v>
      </c>
      <c r="AR815" s="32">
        <f t="shared" si="2260"/>
        <v>211.71875</v>
      </c>
    </row>
    <row r="816" ht="15.75" customHeight="1">
      <c r="A816" s="21"/>
      <c r="B816" s="38">
        <v>1.0</v>
      </c>
      <c r="C816" s="38" t="s">
        <v>26</v>
      </c>
      <c r="D816" s="77">
        <v>20.0</v>
      </c>
      <c r="E816" s="40">
        <f>IFERROR(__xludf.DUMMYFUNCTION("COUNT(IMPORTRANGE(""https://docs.google.com/spreadsheets/d/1z0o91thOT38lgejTE_Bd2p3v_9VCDdQRkUsMIVqpQCk/edit"",""31!d2:d21""))"),19.0)</f>
        <v>19</v>
      </c>
      <c r="F816" s="41">
        <f>IFERROR(__xludf.DUMMYFUNCTION("SUM(IMPORTRANGE(""https://docs.google.com/spreadsheets/d/1z0o91thOT38lgejTE_Bd2p3v_9VCDdQRkUsMIVqpQCk/edit"",""31!Q2:Q21""))"),3568.248)</f>
        <v>3568.248</v>
      </c>
      <c r="G816" s="40">
        <f>IFERROR(__xludf.DUMMYFUNCTION("IMPORTRANGE(""https://docs.google.com/spreadsheets/d/1z0o91thOT38lgejTE_Bd2p3v_9VCDdQRkUsMIVqpQCk/edit"",""31!e28"")"),2378.0)</f>
        <v>2378</v>
      </c>
      <c r="H816" s="40">
        <f>IFERROR(__xludf.DUMMYFUNCTION("IMPORTRANGE(""https://docs.google.com/spreadsheets/d/1z0o91thOT38lgejTE_Bd2p3v_9VCDdQRkUsMIVqpQCk/edit"",""31!e29"")"),0.0)</f>
        <v>0</v>
      </c>
      <c r="I816" s="40">
        <f t="shared" ref="I816:I833" si="2265">SUM(G816:H816)</f>
        <v>2378</v>
      </c>
      <c r="J816" s="40">
        <f>IFERROR(__xludf.DUMMYFUNCTION("IMPORTRANGE(""https://docs.google.com/spreadsheets/d/1z0o91thOT38lgejTE_Bd2p3v_9VCDdQRkUsMIVqpQCk/edit"",""31!e32"")"),2818.0)</f>
        <v>2818</v>
      </c>
      <c r="K816" s="40">
        <f>IFERROR(__xludf.DUMMYFUNCTION("IMPORTRANGE(""https://docs.google.com/spreadsheets/d/1z0o91thOT38lgejTE_Bd2p3v_9VCDdQRkUsMIVqpQCk/edit"",""31!e33"")"),0.0)</f>
        <v>0</v>
      </c>
      <c r="L816" s="40">
        <f t="shared" ref="L816:L822" si="2266">SUM(J816:K816)</f>
        <v>2818</v>
      </c>
      <c r="M816" s="40">
        <f t="shared" ref="M816:M833" si="2267">SUM(I816+L816)</f>
        <v>5196</v>
      </c>
      <c r="N816" s="41">
        <f t="shared" ref="N816:N834" si="2268">F816/E816</f>
        <v>187.8025263</v>
      </c>
      <c r="O816" s="38">
        <v>5161.0</v>
      </c>
      <c r="P816" s="56">
        <f t="shared" ref="P816:P834" si="2269">M816/O816</f>
        <v>1.006781631</v>
      </c>
      <c r="Q816" s="43">
        <v>1.5</v>
      </c>
      <c r="R816" s="42">
        <f t="shared" ref="R816:R834" si="2270">S816/Q816</f>
        <v>0.9707845419</v>
      </c>
      <c r="S816" s="44">
        <f t="shared" ref="S816:S834" si="2271">M816/F816</f>
        <v>1.456176813</v>
      </c>
      <c r="T816" s="43">
        <f>F816/14.415</f>
        <v>247.5371488</v>
      </c>
      <c r="U816" s="43">
        <f t="shared" ref="U816:U834" si="2272">T816/E816</f>
        <v>13.02827099</v>
      </c>
      <c r="V816" s="40">
        <f t="shared" ref="V816:V834" si="2273">M816/E816</f>
        <v>273.4736842</v>
      </c>
      <c r="X816" s="22">
        <v>4.0</v>
      </c>
      <c r="Y816" s="22" t="s">
        <v>27</v>
      </c>
      <c r="Z816" s="22">
        <f t="shared" ref="Z816:AK816" si="2263">SUM(D829)</f>
        <v>30</v>
      </c>
      <c r="AA816" s="23">
        <f t="shared" si="2263"/>
        <v>28</v>
      </c>
      <c r="AB816" s="24">
        <f t="shared" si="2263"/>
        <v>5152.023</v>
      </c>
      <c r="AC816" s="23">
        <f t="shared" si="2263"/>
        <v>2406</v>
      </c>
      <c r="AD816" s="23">
        <f t="shared" si="2263"/>
        <v>0</v>
      </c>
      <c r="AE816" s="23">
        <f t="shared" si="2263"/>
        <v>2406</v>
      </c>
      <c r="AF816" s="23">
        <f t="shared" si="2263"/>
        <v>3035</v>
      </c>
      <c r="AG816" s="23">
        <f t="shared" si="2263"/>
        <v>0</v>
      </c>
      <c r="AH816" s="23">
        <f t="shared" si="2263"/>
        <v>3035</v>
      </c>
      <c r="AI816" s="23">
        <f t="shared" si="2263"/>
        <v>5441</v>
      </c>
      <c r="AJ816" s="25">
        <f t="shared" si="2263"/>
        <v>184.0008214</v>
      </c>
      <c r="AK816" s="22">
        <f t="shared" si="2263"/>
        <v>8101</v>
      </c>
      <c r="AL816" s="26">
        <f t="shared" si="2255"/>
        <v>0.6716454759</v>
      </c>
      <c r="AM816" s="27">
        <f>SUM(Q829)</f>
        <v>1.5</v>
      </c>
      <c r="AN816" s="26">
        <f t="shared" si="2257"/>
        <v>0.7040600039</v>
      </c>
      <c r="AO816" s="28">
        <f t="shared" si="2258"/>
        <v>1.056090006</v>
      </c>
      <c r="AP816" s="27">
        <f t="shared" ref="AP816:AQ816" si="2264">SUM(T829)</f>
        <v>257.7944959</v>
      </c>
      <c r="AQ816" s="27">
        <f t="shared" si="2264"/>
        <v>9.206946281</v>
      </c>
      <c r="AR816" s="23">
        <f t="shared" si="2260"/>
        <v>194.3214286</v>
      </c>
    </row>
    <row r="817" ht="15.75" customHeight="1">
      <c r="A817" s="21"/>
      <c r="B817" s="38">
        <v>2.0</v>
      </c>
      <c r="C817" s="38" t="s">
        <v>28</v>
      </c>
      <c r="D817" s="78">
        <v>33.0</v>
      </c>
      <c r="E817" s="40">
        <f>IFERROR(__xludf.DUMMYFUNCTION("COUNT(IMPORTRANGE(""https://docs.google.com/spreadsheets/d/10a85iNN0y9GF6ngQfF1JXGAzFk-T7ywH4-TZtQcOTaE/edit"",""31!d2:d34""))"),32.0)</f>
        <v>32</v>
      </c>
      <c r="F817" s="41">
        <f>IFERROR(__xludf.DUMMYFUNCTION("SUM(IMPORTRANGE(""https://docs.google.com/spreadsheets/d/10a85iNN0y9GF6ngQfF1JXGAzFk-T7ywH4-TZtQcOTaE/edit"",""31!Q2:Q34""))"),6343.450999999999)</f>
        <v>6343.451</v>
      </c>
      <c r="G817" s="40">
        <f>IFERROR(__xludf.DUMMYFUNCTION("IMPORTRANGE(""https://docs.google.com/spreadsheets/d/10a85iNN0y9GF6ngQfF1JXGAzFk-T7ywH4-TZtQcOTaE/edit"",""31!e41"")"),3000.0)</f>
        <v>3000</v>
      </c>
      <c r="H817" s="40">
        <f>IFERROR(__xludf.DUMMYFUNCTION("IMPORTRANGE(""https://docs.google.com/spreadsheets/d/10a85iNN0y9GF6ngQfF1JXGAzFk-T7ywH4-TZtQcOTaE/edit"",""31!e42"")"),141.0)</f>
        <v>141</v>
      </c>
      <c r="I817" s="40">
        <f t="shared" si="2265"/>
        <v>3141</v>
      </c>
      <c r="J817" s="40">
        <f>IFERROR(__xludf.DUMMYFUNCTION("IMPORTRANGE(""https://docs.google.com/spreadsheets/d/10a85iNN0y9GF6ngQfF1JXGAzFk-T7ywH4-TZtQcOTaE/edit"",""31!e45"")"),2808.0)</f>
        <v>2808</v>
      </c>
      <c r="K817" s="40">
        <f>IFERROR(__xludf.DUMMYFUNCTION("IMPORTRANGE(""https://docs.google.com/spreadsheets/d/10a85iNN0y9GF6ngQfF1JXGAzFk-T7ywH4-TZtQcOTaE/edit"",""31!e46"")"),116.0)</f>
        <v>116</v>
      </c>
      <c r="L817" s="40">
        <f t="shared" si="2266"/>
        <v>2924</v>
      </c>
      <c r="M817" s="40">
        <f t="shared" si="2267"/>
        <v>6065</v>
      </c>
      <c r="N817" s="41">
        <f t="shared" si="2268"/>
        <v>198.2328438</v>
      </c>
      <c r="O817" s="38">
        <v>7315.0</v>
      </c>
      <c r="P817" s="42">
        <f t="shared" si="2269"/>
        <v>0.8291182502</v>
      </c>
      <c r="Q817" s="43">
        <v>1.5</v>
      </c>
      <c r="R817" s="42">
        <f t="shared" si="2270"/>
        <v>0.6374027849</v>
      </c>
      <c r="S817" s="44">
        <f t="shared" si="2271"/>
        <v>0.9561041774</v>
      </c>
      <c r="T817" s="43">
        <f>F817/30.897</f>
        <v>205.3096093</v>
      </c>
      <c r="U817" s="43">
        <f t="shared" si="2272"/>
        <v>6.415925292</v>
      </c>
      <c r="V817" s="40">
        <f t="shared" si="2273"/>
        <v>189.53125</v>
      </c>
      <c r="X817" s="22">
        <v>5.0</v>
      </c>
      <c r="Y817" s="22" t="s">
        <v>29</v>
      </c>
      <c r="Z817" s="22">
        <f t="shared" ref="Z817:AI817" si="2274">SUM(D832)</f>
        <v>30</v>
      </c>
      <c r="AA817" s="23">
        <f t="shared" si="2274"/>
        <v>29</v>
      </c>
      <c r="AB817" s="24">
        <f t="shared" si="2274"/>
        <v>5520.056</v>
      </c>
      <c r="AC817" s="23">
        <f t="shared" si="2274"/>
        <v>2679</v>
      </c>
      <c r="AD817" s="23">
        <f t="shared" si="2274"/>
        <v>0</v>
      </c>
      <c r="AE817" s="23">
        <f t="shared" si="2274"/>
        <v>2679</v>
      </c>
      <c r="AF817" s="23">
        <f t="shared" si="2274"/>
        <v>4222</v>
      </c>
      <c r="AG817" s="23">
        <f t="shared" si="2274"/>
        <v>0</v>
      </c>
      <c r="AH817" s="23">
        <f t="shared" si="2274"/>
        <v>4222</v>
      </c>
      <c r="AI817" s="23">
        <f t="shared" si="2274"/>
        <v>6901</v>
      </c>
      <c r="AJ817" s="25">
        <f t="shared" ref="AJ817:AJ819" si="2277">AB817/AA817</f>
        <v>190.3467586</v>
      </c>
      <c r="AK817" s="22">
        <f t="shared" ref="AK817:AK818" si="2278">SUM(O832)</f>
        <v>9201</v>
      </c>
      <c r="AL817" s="26">
        <f t="shared" si="2255"/>
        <v>0.750027171</v>
      </c>
      <c r="AM817" s="27">
        <f t="shared" ref="AM817:AM818" si="2279">SUM(Q832)</f>
        <v>1.5</v>
      </c>
      <c r="AN817" s="26">
        <f t="shared" si="2257"/>
        <v>0.833445651</v>
      </c>
      <c r="AO817" s="28">
        <f t="shared" si="2258"/>
        <v>1.250168477</v>
      </c>
      <c r="AP817" s="27">
        <f t="shared" ref="AP817:AQ817" si="2275">SUM(T832)</f>
        <v>212</v>
      </c>
      <c r="AQ817" s="27">
        <f t="shared" si="2275"/>
        <v>7.310344828</v>
      </c>
      <c r="AR817" s="23">
        <f t="shared" si="2260"/>
        <v>237.9655172</v>
      </c>
    </row>
    <row r="818" ht="15.75" customHeight="1">
      <c r="A818" s="21"/>
      <c r="B818" s="38">
        <v>3.0</v>
      </c>
      <c r="C818" s="38" t="s">
        <v>30</v>
      </c>
      <c r="D818" s="78">
        <v>60.0</v>
      </c>
      <c r="E818" s="40">
        <f>IFERROR(__xludf.DUMMYFUNCTION("COUNT(IMPORTRANGE(""https://docs.google.com/spreadsheets/d/1WojVzHhpzodJL1e5UDHeu3A3u5MTSZwvxHu0BrwvL9w/edit"",""31!d2:d61""))"),59.0)</f>
        <v>59</v>
      </c>
      <c r="F818" s="45">
        <f>IFERROR(__xludf.DUMMYFUNCTION("SUM(IMPORTRANGE(""https://docs.google.com/spreadsheets/d/1WojVzHhpzodJL1e5UDHeu3A3u5MTSZwvxHu0BrwvL9w/edit"",""31!Q2:Q61""))"),11989.214999999986)</f>
        <v>11989.215</v>
      </c>
      <c r="G818" s="40">
        <f>IFERROR(__xludf.DUMMYFUNCTION("IMPORTRANGE(""https://docs.google.com/spreadsheets/d/1WojVzHhpzodJL1e5UDHeu3A3u5MTSZwvxHu0BrwvL9w/edit"",""31!e68"")"),3289.0)</f>
        <v>3289</v>
      </c>
      <c r="H818" s="40">
        <f>IFERROR(__xludf.DUMMYFUNCTION("IMPORTRANGE(""https://docs.google.com/spreadsheets/d/1WojVzHhpzodJL1e5UDHeu3A3u5MTSZwvxHu0BrwvL9w/edit"",""31!e69"")"),0.0)</f>
        <v>0</v>
      </c>
      <c r="I818" s="40">
        <f t="shared" si="2265"/>
        <v>3289</v>
      </c>
      <c r="J818" s="40">
        <f>IFERROR(__xludf.DUMMYFUNCTION("IMPORTRANGE(""https://docs.google.com/spreadsheets/d/1WojVzHhpzodJL1e5UDHeu3A3u5MTSZwvxHu0BrwvL9w/edit"",""31!e72"")"),5815.0)</f>
        <v>5815</v>
      </c>
      <c r="K818" s="40">
        <f>IFERROR(__xludf.DUMMYFUNCTION("IMPORTRANGE(""https://docs.google.com/spreadsheets/d/1WojVzHhpzodJL1e5UDHeu3A3u5MTSZwvxHu0BrwvL9w/edit"",""31!e73"")"),0.0)</f>
        <v>0</v>
      </c>
      <c r="L818" s="40">
        <f t="shared" si="2266"/>
        <v>5815</v>
      </c>
      <c r="M818" s="40">
        <f t="shared" si="2267"/>
        <v>9104</v>
      </c>
      <c r="N818" s="41">
        <f t="shared" si="2268"/>
        <v>203.2070339</v>
      </c>
      <c r="O818" s="38">
        <v>11164.0</v>
      </c>
      <c r="P818" s="42">
        <f t="shared" si="2269"/>
        <v>0.8154783232</v>
      </c>
      <c r="Q818" s="43">
        <v>1.5</v>
      </c>
      <c r="R818" s="42">
        <f t="shared" si="2270"/>
        <v>0.5062327545</v>
      </c>
      <c r="S818" s="44">
        <f t="shared" si="2271"/>
        <v>0.7593491317</v>
      </c>
      <c r="T818" s="43">
        <f>F818/29.603</f>
        <v>405</v>
      </c>
      <c r="U818" s="43">
        <f t="shared" si="2272"/>
        <v>6.86440678</v>
      </c>
      <c r="V818" s="40">
        <f t="shared" si="2273"/>
        <v>154.3050847</v>
      </c>
      <c r="X818" s="22">
        <v>6.0</v>
      </c>
      <c r="Y818" s="22" t="s">
        <v>31</v>
      </c>
      <c r="Z818" s="22">
        <f t="shared" ref="Z818:AI818" si="2276">SUM(D833)</f>
        <v>15</v>
      </c>
      <c r="AA818" s="23">
        <f t="shared" si="2276"/>
        <v>14</v>
      </c>
      <c r="AB818" s="25">
        <f t="shared" si="2276"/>
        <v>2868.69</v>
      </c>
      <c r="AC818" s="23">
        <f t="shared" si="2276"/>
        <v>859</v>
      </c>
      <c r="AD818" s="23">
        <f t="shared" si="2276"/>
        <v>11</v>
      </c>
      <c r="AE818" s="23">
        <f t="shared" si="2276"/>
        <v>870</v>
      </c>
      <c r="AF818" s="23">
        <f t="shared" si="2276"/>
        <v>1192</v>
      </c>
      <c r="AG818" s="23">
        <f t="shared" si="2276"/>
        <v>0</v>
      </c>
      <c r="AH818" s="23">
        <f t="shared" si="2276"/>
        <v>1192</v>
      </c>
      <c r="AI818" s="23">
        <f t="shared" si="2276"/>
        <v>2062</v>
      </c>
      <c r="AJ818" s="25">
        <f t="shared" si="2277"/>
        <v>204.9064286</v>
      </c>
      <c r="AK818" s="22">
        <f t="shared" si="2278"/>
        <v>2717</v>
      </c>
      <c r="AL818" s="26">
        <f t="shared" si="2255"/>
        <v>0.7589252852</v>
      </c>
      <c r="AM818" s="27">
        <f t="shared" si="2279"/>
        <v>1.5</v>
      </c>
      <c r="AN818" s="26">
        <f t="shared" si="2257"/>
        <v>0.47919666</v>
      </c>
      <c r="AO818" s="28">
        <f t="shared" si="2258"/>
        <v>0.71879499</v>
      </c>
      <c r="AP818" s="27">
        <f t="shared" ref="AP818:AQ818" si="2280">SUM(T833)</f>
        <v>66</v>
      </c>
      <c r="AQ818" s="27">
        <f t="shared" si="2280"/>
        <v>4.714285714</v>
      </c>
      <c r="AR818" s="23">
        <f t="shared" si="2260"/>
        <v>147.2857143</v>
      </c>
    </row>
    <row r="819" ht="15.75" customHeight="1">
      <c r="A819" s="21"/>
      <c r="B819" s="38">
        <v>4.0</v>
      </c>
      <c r="C819" s="38" t="s">
        <v>32</v>
      </c>
      <c r="D819" s="78">
        <v>42.0</v>
      </c>
      <c r="E819" s="40">
        <f>IFERROR(__xludf.DUMMYFUNCTION("COUNT(IMPORTRANGE(""https://docs.google.com/spreadsheets/d/1vmCj5YcMSPHj1m64syDndQ6cqVL3yolcU03Y8KHmvdc/edit"",""31!d2:d43""))"),41.0)</f>
        <v>41</v>
      </c>
      <c r="F819" s="45">
        <f>IFERROR(__xludf.DUMMYFUNCTION("SUM(IMPORTRANGE(""https://docs.google.com/spreadsheets/d/1vmCj5YcMSPHj1m64syDndQ6cqVL3yolcU03Y8KHmvdc/edit"",""31!Q2:Q43""))"),7928.123999999991)</f>
        <v>7928.124</v>
      </c>
      <c r="G819" s="38">
        <f>IFERROR(__xludf.DUMMYFUNCTION("IMPORTRANGE(""https://docs.google.com/spreadsheets/d/1vmCj5YcMSPHj1m64syDndQ6cqVL3yolcU03Y8KHmvdc/edit"",""31!e50"")"),4626.0)</f>
        <v>4626</v>
      </c>
      <c r="H819" s="38">
        <f>IFERROR(__xludf.DUMMYFUNCTION("IMPORTRANGE(""https://docs.google.com/spreadsheets/d/1vmCj5YcMSPHj1m64syDndQ6cqVL3yolcU03Y8KHmvdc/edit"",""31!e51"")"),0.0)</f>
        <v>0</v>
      </c>
      <c r="I819" s="40">
        <f t="shared" si="2265"/>
        <v>4626</v>
      </c>
      <c r="J819" s="38">
        <f>IFERROR(__xludf.DUMMYFUNCTION("IMPORTRANGE(""https://docs.google.com/spreadsheets/d/1vmCj5YcMSPHj1m64syDndQ6cqVL3yolcU03Y8KHmvdc/edit"",""31!e54"")"),5201.0)</f>
        <v>5201</v>
      </c>
      <c r="K819" s="38">
        <f>IFERROR(__xludf.DUMMYFUNCTION("IMPORTRANGE(""https://docs.google.com/spreadsheets/d/1vmCj5YcMSPHj1m64syDndQ6cqVL3yolcU03Y8KHmvdc/edit"",""31!e55"")"),0.0)</f>
        <v>0</v>
      </c>
      <c r="L819" s="40">
        <f t="shared" si="2266"/>
        <v>5201</v>
      </c>
      <c r="M819" s="40">
        <f t="shared" si="2267"/>
        <v>9827</v>
      </c>
      <c r="N819" s="41">
        <f t="shared" si="2268"/>
        <v>193.368878</v>
      </c>
      <c r="O819" s="38">
        <v>13817.0</v>
      </c>
      <c r="P819" s="42">
        <f t="shared" si="2269"/>
        <v>0.7112253022</v>
      </c>
      <c r="Q819" s="43">
        <v>1.5</v>
      </c>
      <c r="R819" s="42">
        <f t="shared" si="2270"/>
        <v>0.8263409267</v>
      </c>
      <c r="S819" s="44">
        <f t="shared" si="2271"/>
        <v>1.23951139</v>
      </c>
      <c r="T819" s="43">
        <f>F819/25.089</f>
        <v>316</v>
      </c>
      <c r="U819" s="43">
        <f t="shared" si="2272"/>
        <v>7.707317073</v>
      </c>
      <c r="V819" s="40">
        <f t="shared" si="2273"/>
        <v>239.6829268</v>
      </c>
      <c r="X819" s="46" t="s">
        <v>33</v>
      </c>
      <c r="Y819" s="46">
        <v>6.0</v>
      </c>
      <c r="Z819" s="46">
        <f t="shared" ref="Z819:AI819" si="2281">SUM(Z813:Z818)</f>
        <v>186</v>
      </c>
      <c r="AA819" s="47">
        <f t="shared" si="2281"/>
        <v>181</v>
      </c>
      <c r="AB819" s="48">
        <f t="shared" si="2281"/>
        <v>34766.547</v>
      </c>
      <c r="AC819" s="47">
        <f t="shared" si="2281"/>
        <v>11672</v>
      </c>
      <c r="AD819" s="47">
        <f t="shared" si="2281"/>
        <v>325</v>
      </c>
      <c r="AE819" s="47">
        <f t="shared" si="2281"/>
        <v>11997</v>
      </c>
      <c r="AF819" s="47">
        <f t="shared" si="2281"/>
        <v>16135</v>
      </c>
      <c r="AG819" s="47">
        <f t="shared" si="2281"/>
        <v>423</v>
      </c>
      <c r="AH819" s="47">
        <f t="shared" si="2281"/>
        <v>16558</v>
      </c>
      <c r="AI819" s="47">
        <f t="shared" si="2281"/>
        <v>28555</v>
      </c>
      <c r="AJ819" s="49">
        <f t="shared" si="2277"/>
        <v>192.0803702</v>
      </c>
      <c r="AK819" s="46">
        <f>SUM(AK813:AK818)</f>
        <v>35074</v>
      </c>
      <c r="AL819" s="50">
        <f t="shared" si="2255"/>
        <v>0.8141358271</v>
      </c>
      <c r="AM819" s="51">
        <v>1.5</v>
      </c>
      <c r="AN819" s="50">
        <f t="shared" si="2257"/>
        <v>0.5475570141</v>
      </c>
      <c r="AO819" s="52">
        <f t="shared" si="2258"/>
        <v>0.8213355212</v>
      </c>
      <c r="AP819" s="51">
        <f>SUM(AP813:AP818)</f>
        <v>1303.100036</v>
      </c>
      <c r="AQ819" s="51">
        <f>AP819/AA819</f>
        <v>7.199447711</v>
      </c>
      <c r="AR819" s="47">
        <f t="shared" si="2260"/>
        <v>157.7624309</v>
      </c>
    </row>
    <row r="820" ht="15.75" customHeight="1">
      <c r="A820" s="21"/>
      <c r="B820" s="38">
        <v>5.0</v>
      </c>
      <c r="C820" s="38" t="s">
        <v>34</v>
      </c>
      <c r="D820" s="78">
        <v>40.0</v>
      </c>
      <c r="E820" s="40">
        <f>IFERROR(__xludf.DUMMYFUNCTION("COUNT(IMPORTRANGE(""https://docs.google.com/spreadsheets/d/14_Y-fpuq1wcec3DlT_1PBYekOC0YblQMrWVfO12YO3k/edit"",""31!d2:d41""))"),40.0)</f>
        <v>40</v>
      </c>
      <c r="F820" s="45">
        <f>IFERROR(__xludf.DUMMYFUNCTION("SUM(IMPORTRANGE(""https://docs.google.com/spreadsheets/d/14_Y-fpuq1wcec3DlT_1PBYekOC0YblQMrWVfO12YO3k/edit"",""31!Q2:Q41""))"),7667.160000000003)</f>
        <v>7667.16</v>
      </c>
      <c r="G820" s="40">
        <f>IFERROR(__xludf.DUMMYFUNCTION("IMPORTRANGE(""https://docs.google.com/spreadsheets/d/14_Y-fpuq1wcec3DlT_1PBYekOC0YblQMrWVfO12YO3k/edit"",""31!e48"")"),3155.0)</f>
        <v>3155</v>
      </c>
      <c r="H820" s="40">
        <f>IFERROR(__xludf.DUMMYFUNCTION("IMPORTRANGE(""https://docs.google.com/spreadsheets/d/14_Y-fpuq1wcec3DlT_1PBYekOC0YblQMrWVfO12YO3k/edit"",""31!e49"")"),0.0)</f>
        <v>0</v>
      </c>
      <c r="I820" s="40">
        <f t="shared" si="2265"/>
        <v>3155</v>
      </c>
      <c r="J820" s="40">
        <f>IFERROR(__xludf.DUMMYFUNCTION("IMPORTRANGE(""https://docs.google.com/spreadsheets/d/14_Y-fpuq1wcec3DlT_1PBYekOC0YblQMrWVfO12YO3k/edit"",""31!e52"")"),3175.0)</f>
        <v>3175</v>
      </c>
      <c r="K820" s="40">
        <f>IFERROR(__xludf.DUMMYFUNCTION("IMPORTRANGE(""https://docs.google.com/spreadsheets/d/14_Y-fpuq1wcec3DlT_1PBYekOC0YblQMrWVfO12YO3k/edit"",""31!e53"")"),0.0)</f>
        <v>0</v>
      </c>
      <c r="L820" s="40">
        <f t="shared" si="2266"/>
        <v>3175</v>
      </c>
      <c r="M820" s="40">
        <f t="shared" si="2267"/>
        <v>6330</v>
      </c>
      <c r="N820" s="41">
        <f t="shared" si="2268"/>
        <v>191.679</v>
      </c>
      <c r="O820" s="38">
        <v>9354.0</v>
      </c>
      <c r="P820" s="42">
        <f t="shared" si="2269"/>
        <v>0.6767158435</v>
      </c>
      <c r="Q820" s="43">
        <v>1.5</v>
      </c>
      <c r="R820" s="42">
        <f t="shared" si="2270"/>
        <v>0.5503993656</v>
      </c>
      <c r="S820" s="44">
        <f t="shared" si="2271"/>
        <v>0.8255990484</v>
      </c>
      <c r="T820" s="43">
        <f>F820/30.713</f>
        <v>249.6389151</v>
      </c>
      <c r="U820" s="43">
        <f t="shared" si="2272"/>
        <v>6.240972878</v>
      </c>
      <c r="V820" s="40">
        <f t="shared" si="2273"/>
        <v>158.25</v>
      </c>
      <c r="X820" s="53" t="s">
        <v>35</v>
      </c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6"/>
    </row>
    <row r="821" ht="15.75" customHeight="1">
      <c r="A821" s="21"/>
      <c r="B821" s="38">
        <v>6.0</v>
      </c>
      <c r="C821" s="38" t="s">
        <v>23</v>
      </c>
      <c r="D821" s="78">
        <v>35.0</v>
      </c>
      <c r="E821" s="40">
        <f>IFERROR(__xludf.DUMMYFUNCTION("COUNT(IMPORTRANGE(""https://docs.google.com/spreadsheets/d/1lJqjdj05V4LOXuBOiTdE65GV4ZITyx1cMLcDdcuoUnE/edit"",""31!d2:d36""))"),35.0)</f>
        <v>35</v>
      </c>
      <c r="F821" s="45">
        <f>IFERROR(__xludf.DUMMYFUNCTION("SUM(IMPORTRANGE(""https://docs.google.com/spreadsheets/d/1lJqjdj05V4LOXuBOiTdE65GV4ZITyx1cMLcDdcuoUnE/edit"",""31!Q2:Q36""))"),6849.219999999995)</f>
        <v>6849.22</v>
      </c>
      <c r="G821" s="40">
        <f>IFERROR(__xludf.DUMMYFUNCTION("IMPORTRANGE(""https://docs.google.com/spreadsheets/d/1lJqjdj05V4LOXuBOiTdE65GV4ZITyx1cMLcDdcuoUnE/edit"",""31!e43"")"),1659.0)</f>
        <v>1659</v>
      </c>
      <c r="H821" s="40">
        <f>IFERROR(__xludf.DUMMYFUNCTION("IMPORTRANGE(""https://docs.google.com/spreadsheets/d/1lJqjdj05V4LOXuBOiTdE65GV4ZITyx1cMLcDdcuoUnE/edit"",""31!e44"")"),0.0)</f>
        <v>0</v>
      </c>
      <c r="I821" s="40">
        <f t="shared" si="2265"/>
        <v>1659</v>
      </c>
      <c r="J821" s="40">
        <f>IFERROR(__xludf.DUMMYFUNCTION("IMPORTRANGE(""https://docs.google.com/spreadsheets/d/1lJqjdj05V4LOXuBOiTdE65GV4ZITyx1cMLcDdcuoUnE/edit"",""31!e47"")"),3150.0)</f>
        <v>3150</v>
      </c>
      <c r="K821" s="40">
        <f>IFERROR(__xludf.DUMMYFUNCTION("IMPORTRANGE(""https://docs.google.com/spreadsheets/d/1lJqjdj05V4LOXuBOiTdE65GV4ZITyx1cMLcDdcuoUnE/edit"",""31!e48"")"),0.0)</f>
        <v>0</v>
      </c>
      <c r="L821" s="40">
        <f t="shared" si="2266"/>
        <v>3150</v>
      </c>
      <c r="M821" s="40">
        <f t="shared" si="2267"/>
        <v>4809</v>
      </c>
      <c r="N821" s="41">
        <f t="shared" si="2268"/>
        <v>195.692</v>
      </c>
      <c r="O821" s="38">
        <v>6853.0</v>
      </c>
      <c r="P821" s="42">
        <f t="shared" si="2269"/>
        <v>0.7017364658</v>
      </c>
      <c r="Q821" s="43">
        <v>1.5</v>
      </c>
      <c r="R821" s="42">
        <f t="shared" si="2270"/>
        <v>0.468082497</v>
      </c>
      <c r="S821" s="44">
        <f t="shared" si="2271"/>
        <v>0.7021237455</v>
      </c>
      <c r="T821" s="43">
        <f>F821/33.74</f>
        <v>203</v>
      </c>
      <c r="U821" s="43">
        <f t="shared" si="2272"/>
        <v>5.8</v>
      </c>
      <c r="V821" s="40">
        <f t="shared" si="2273"/>
        <v>137.4</v>
      </c>
      <c r="X821" s="14" t="s">
        <v>2</v>
      </c>
      <c r="Y821" s="14" t="s">
        <v>3</v>
      </c>
      <c r="Z821" s="14" t="s">
        <v>4</v>
      </c>
      <c r="AA821" s="14" t="s">
        <v>5</v>
      </c>
      <c r="AB821" s="15" t="s">
        <v>6</v>
      </c>
      <c r="AC821" s="14" t="s">
        <v>7</v>
      </c>
      <c r="AD821" s="14" t="s">
        <v>8</v>
      </c>
      <c r="AE821" s="14" t="s">
        <v>9</v>
      </c>
      <c r="AF821" s="14" t="s">
        <v>10</v>
      </c>
      <c r="AG821" s="14" t="s">
        <v>11</v>
      </c>
      <c r="AH821" s="14" t="s">
        <v>12</v>
      </c>
      <c r="AI821" s="14" t="s">
        <v>13</v>
      </c>
      <c r="AJ821" s="15" t="s">
        <v>14</v>
      </c>
      <c r="AK821" s="14" t="s">
        <v>15</v>
      </c>
      <c r="AL821" s="14" t="s">
        <v>16</v>
      </c>
      <c r="AM821" s="16" t="s">
        <v>17</v>
      </c>
      <c r="AN821" s="17" t="s">
        <v>18</v>
      </c>
      <c r="AO821" s="18" t="s">
        <v>19</v>
      </c>
      <c r="AP821" s="19" t="s">
        <v>20</v>
      </c>
      <c r="AQ821" s="19" t="s">
        <v>21</v>
      </c>
      <c r="AR821" s="20" t="s">
        <v>22</v>
      </c>
    </row>
    <row r="822" ht="15.75" customHeight="1">
      <c r="A822" s="21"/>
      <c r="B822" s="38">
        <v>7.0</v>
      </c>
      <c r="C822" s="38" t="s">
        <v>24</v>
      </c>
      <c r="D822" s="78">
        <v>44.0</v>
      </c>
      <c r="E822" s="54">
        <f>IFERROR(__xludf.DUMMYFUNCTION("COUNT(IMPORTRANGE(""https://docs.google.com/spreadsheets/d/1_7EEO26q9Yq-XhNFiy7I6Zh4Yg6uGjTs9y0UqNvPKcQ/edit"",""31!d2:d45""))"),43.0)</f>
        <v>43</v>
      </c>
      <c r="F822" s="55">
        <f>IFERROR(__xludf.DUMMYFUNCTION("SUM(IMPORTRANGE(""https://docs.google.com/spreadsheets/d/1_7EEO26q9Yq-XhNFiy7I6Zh4Yg6uGjTs9y0UqNvPKcQ/edit"",""31!Q2:Q45""))"),8349.001999999995)</f>
        <v>8349.002</v>
      </c>
      <c r="G822" s="54">
        <f>IFERROR(__xludf.DUMMYFUNCTION("IMPORTRANGE(""https://docs.google.com/spreadsheets/d/1_7EEO26q9Yq-XhNFiy7I6Zh4Yg6uGjTs9y0UqNvPKcQ/edit"",""31!e53"")"),1814.0)</f>
        <v>1814</v>
      </c>
      <c r="H822" s="54">
        <f>IFERROR(__xludf.DUMMYFUNCTION("IMPORTRANGE(""https://docs.google.com/spreadsheets/d/1_7EEO26q9Yq-XhNFiy7I6Zh4Yg6uGjTs9y0UqNvPKcQ/edit"",""31!e54"")"),0.0)</f>
        <v>0</v>
      </c>
      <c r="I822" s="54">
        <f t="shared" si="2265"/>
        <v>1814</v>
      </c>
      <c r="J822" s="54">
        <f>IFERROR(__xludf.DUMMYFUNCTION("IMPORTRANGE(""https://docs.google.com/spreadsheets/d/1_7EEO26q9Yq-XhNFiy7I6Zh4Yg6uGjTs9y0UqNvPKcQ/edit"",""31!e57"")"),737.0)</f>
        <v>737</v>
      </c>
      <c r="K822" s="54">
        <f>IFERROR(__xludf.DUMMYFUNCTION("IMPORTRANGE(""https://docs.google.com/spreadsheets/d/1_7EEO26q9Yq-XhNFiy7I6Zh4Yg6uGjTs9y0UqNvPKcQ/edit"",""31!e58"")"),16.0)</f>
        <v>16</v>
      </c>
      <c r="L822" s="40">
        <f t="shared" si="2266"/>
        <v>753</v>
      </c>
      <c r="M822" s="40">
        <f t="shared" si="2267"/>
        <v>2567</v>
      </c>
      <c r="N822" s="41">
        <f t="shared" si="2268"/>
        <v>194.1628372</v>
      </c>
      <c r="O822" s="38">
        <v>1580.0</v>
      </c>
      <c r="P822" s="56">
        <f t="shared" si="2269"/>
        <v>1.624683544</v>
      </c>
      <c r="Q822" s="43">
        <v>1.5</v>
      </c>
      <c r="R822" s="42">
        <f t="shared" si="2270"/>
        <v>0.2049745986</v>
      </c>
      <c r="S822" s="44">
        <f t="shared" si="2271"/>
        <v>0.3074618978</v>
      </c>
      <c r="T822" s="43">
        <f>F822/26.805</f>
        <v>311.471815</v>
      </c>
      <c r="U822" s="43">
        <f t="shared" si="2272"/>
        <v>7.24353058</v>
      </c>
      <c r="V822" s="40">
        <f t="shared" si="2273"/>
        <v>59.69767442</v>
      </c>
      <c r="X822" s="22">
        <v>1.0</v>
      </c>
      <c r="Y822" s="22" t="s">
        <v>28</v>
      </c>
      <c r="Z822" s="22">
        <f t="shared" ref="Z822:AI822" si="2282">SUM(D817)</f>
        <v>33</v>
      </c>
      <c r="AA822" s="23">
        <f t="shared" si="2282"/>
        <v>32</v>
      </c>
      <c r="AB822" s="25">
        <f t="shared" si="2282"/>
        <v>6343.451</v>
      </c>
      <c r="AC822" s="23">
        <f t="shared" si="2282"/>
        <v>3000</v>
      </c>
      <c r="AD822" s="23">
        <f t="shared" si="2282"/>
        <v>141</v>
      </c>
      <c r="AE822" s="23">
        <f t="shared" si="2282"/>
        <v>3141</v>
      </c>
      <c r="AF822" s="23">
        <f t="shared" si="2282"/>
        <v>2808</v>
      </c>
      <c r="AG822" s="23">
        <f t="shared" si="2282"/>
        <v>116</v>
      </c>
      <c r="AH822" s="23">
        <f t="shared" si="2282"/>
        <v>2924</v>
      </c>
      <c r="AI822" s="23">
        <f t="shared" si="2282"/>
        <v>6065</v>
      </c>
      <c r="AJ822" s="25">
        <f t="shared" ref="AJ822:AJ828" si="2285">AB822/AA822</f>
        <v>198.2328438</v>
      </c>
      <c r="AK822" s="22">
        <f t="shared" ref="AK822:AK823" si="2286">SUM(O817)</f>
        <v>7315</v>
      </c>
      <c r="AL822" s="26">
        <f t="shared" ref="AL822:AL828" si="2287">AI822/AK822</f>
        <v>0.8291182502</v>
      </c>
      <c r="AM822" s="27">
        <f t="shared" ref="AM822:AM823" si="2288">SUM(Q817)</f>
        <v>1.5</v>
      </c>
      <c r="AN822" s="26">
        <f t="shared" ref="AN822:AN828" si="2289">AO822/AM822</f>
        <v>0.6374027849</v>
      </c>
      <c r="AO822" s="28">
        <f t="shared" ref="AO822:AO828" si="2290">AI822/AB822</f>
        <v>0.9561041774</v>
      </c>
      <c r="AP822" s="27">
        <f t="shared" ref="AP822:AQ822" si="2283">SUM(T817)</f>
        <v>205.3096093</v>
      </c>
      <c r="AQ822" s="27">
        <f t="shared" si="2283"/>
        <v>6.415925292</v>
      </c>
      <c r="AR822" s="23">
        <f t="shared" ref="AR822:AR828" si="2292">AI822/AA822</f>
        <v>189.53125</v>
      </c>
    </row>
    <row r="823" ht="15.75" customHeight="1">
      <c r="A823" s="21"/>
      <c r="B823" s="38">
        <v>8.0</v>
      </c>
      <c r="C823" s="38" t="s">
        <v>25</v>
      </c>
      <c r="D823" s="79">
        <v>32.0</v>
      </c>
      <c r="E823" s="40">
        <f>IFERROR(__xludf.DUMMYFUNCTION("COUNT(IMPORTRANGE(""https://docs.google.com/spreadsheets/d/1vLOLpiE-XsbnCnwWPcoi87PlUSXfqIAAQn3kvqHfO6s/edit"",""31!d2:D33""))"),32.0)</f>
        <v>32</v>
      </c>
      <c r="F823" s="45">
        <f>IFERROR(__xludf.DUMMYFUNCTION("SUM(IMPORTRANGE(""https://docs.google.com/spreadsheets/d/1vLOLpiE-XsbnCnwWPcoi87PlUSXfqIAAQn3kvqHfO6s/edit"",""31!Q2:Q33""))"),6027.5560000000005)</f>
        <v>6027.556</v>
      </c>
      <c r="G823" s="40">
        <f>IFERROR(__xludf.DUMMYFUNCTION("IMPORTRANGE(""https://docs.google.com/spreadsheets/d/1vLOLpiE-XsbnCnwWPcoi87PlUSXfqIAAQn3kvqHfO6s/edit"",""31!e40"")"),2255.0)</f>
        <v>2255</v>
      </c>
      <c r="H823" s="40">
        <f>IFERROR(__xludf.DUMMYFUNCTION("IMPORTRANGE(""https://docs.google.com/spreadsheets/d/1vLOLpiE-XsbnCnwWPcoi87PlUSXfqIAAQn3kvqHfO6s/edit"",""31!e41"")"),314.0)</f>
        <v>314</v>
      </c>
      <c r="I823" s="40">
        <f t="shared" si="2265"/>
        <v>2569</v>
      </c>
      <c r="J823" s="40">
        <f>IFERROR(__xludf.DUMMYFUNCTION("IMPORTRANGE(""https://docs.google.com/spreadsheets/d/1vLOLpiE-XsbnCnwWPcoi87PlUSXfqIAAQn3kvqHfO6s/edit"",""31!e44"")"),3799.0)</f>
        <v>3799</v>
      </c>
      <c r="K823" s="40">
        <f>IFERROR(__xludf.DUMMYFUNCTION("IMPORTRANGE(""https://docs.google.com/spreadsheets/d/1vLOLpiE-XsbnCnwWPcoi87PlUSXfqIAAQn3kvqHfO6s/edit"",""31!e45"")"),407.0)</f>
        <v>407</v>
      </c>
      <c r="L823" s="40">
        <f>J823+K823</f>
        <v>4206</v>
      </c>
      <c r="M823" s="40">
        <f t="shared" si="2267"/>
        <v>6775</v>
      </c>
      <c r="N823" s="41">
        <f t="shared" si="2268"/>
        <v>188.361125</v>
      </c>
      <c r="O823" s="38">
        <v>6622.0</v>
      </c>
      <c r="P823" s="56">
        <f t="shared" si="2269"/>
        <v>1.023104802</v>
      </c>
      <c r="Q823" s="43">
        <v>1.5</v>
      </c>
      <c r="R823" s="42">
        <f t="shared" si="2270"/>
        <v>0.7493363258</v>
      </c>
      <c r="S823" s="44">
        <f t="shared" si="2271"/>
        <v>1.124004489</v>
      </c>
      <c r="T823" s="43">
        <f>F823/23.84</f>
        <v>252.8337248</v>
      </c>
      <c r="U823" s="43">
        <f t="shared" si="2272"/>
        <v>7.901053901</v>
      </c>
      <c r="V823" s="40">
        <f t="shared" si="2273"/>
        <v>211.71875</v>
      </c>
      <c r="X823" s="31">
        <v>2.0</v>
      </c>
      <c r="Y823" s="31" t="s">
        <v>30</v>
      </c>
      <c r="Z823" s="31">
        <f t="shared" ref="Z823:AI823" si="2284">SUM(D818)</f>
        <v>60</v>
      </c>
      <c r="AA823" s="32">
        <f t="shared" si="2284"/>
        <v>59</v>
      </c>
      <c r="AB823" s="33">
        <f t="shared" si="2284"/>
        <v>11989.215</v>
      </c>
      <c r="AC823" s="32">
        <f t="shared" si="2284"/>
        <v>3289</v>
      </c>
      <c r="AD823" s="32">
        <f t="shared" si="2284"/>
        <v>0</v>
      </c>
      <c r="AE823" s="32">
        <f t="shared" si="2284"/>
        <v>3289</v>
      </c>
      <c r="AF823" s="32">
        <f t="shared" si="2284"/>
        <v>5815</v>
      </c>
      <c r="AG823" s="32">
        <f t="shared" si="2284"/>
        <v>0</v>
      </c>
      <c r="AH823" s="32">
        <f t="shared" si="2284"/>
        <v>5815</v>
      </c>
      <c r="AI823" s="32">
        <f t="shared" si="2284"/>
        <v>9104</v>
      </c>
      <c r="AJ823" s="34">
        <f t="shared" si="2285"/>
        <v>203.2070339</v>
      </c>
      <c r="AK823" s="31">
        <f t="shared" si="2286"/>
        <v>11164</v>
      </c>
      <c r="AL823" s="35">
        <f t="shared" si="2287"/>
        <v>0.8154783232</v>
      </c>
      <c r="AM823" s="36">
        <f t="shared" si="2288"/>
        <v>1.5</v>
      </c>
      <c r="AN823" s="35">
        <f t="shared" si="2289"/>
        <v>0.5062327545</v>
      </c>
      <c r="AO823" s="37">
        <f t="shared" si="2290"/>
        <v>0.7593491317</v>
      </c>
      <c r="AP823" s="36">
        <f t="shared" ref="AP823:AQ823" si="2291">SUM(T818)</f>
        <v>405</v>
      </c>
      <c r="AQ823" s="36">
        <f t="shared" si="2291"/>
        <v>6.86440678</v>
      </c>
      <c r="AR823" s="32">
        <f t="shared" si="2292"/>
        <v>154.3050847</v>
      </c>
    </row>
    <row r="824" ht="15.75" customHeight="1">
      <c r="A824" s="21"/>
      <c r="B824" s="38">
        <v>9.0</v>
      </c>
      <c r="C824" s="38" t="s">
        <v>36</v>
      </c>
      <c r="D824" s="79">
        <v>29.0</v>
      </c>
      <c r="E824" s="40">
        <f>IFERROR(__xludf.DUMMYFUNCTION("COUNT(IMPORTRANGE(""https://docs.google.com/spreadsheets/d/1WJJVq25XDtGjt-J2JPxeKs3jIvDZtkIREC0lFPXwf74/edit"",""31!d2:d31""))"),29.0)</f>
        <v>29</v>
      </c>
      <c r="F824" s="45">
        <f>IFERROR(__xludf.DUMMYFUNCTION("SUM(IMPORTRANGE(""https://docs.google.com/spreadsheets/d/1WJJVq25XDtGjt-J2JPxeKs3jIvDZtkIREC0lFPXwf74/edit"",""31!Q2:Q31""))"),5571.494000000001)</f>
        <v>5571.494</v>
      </c>
      <c r="G824" s="40">
        <f>IFERROR(__xludf.DUMMYFUNCTION("IMPORTRANGE(""https://docs.google.com/spreadsheets/d/1WJJVq25XDtGjt-J2JPxeKs3jIvDZtkIREC0lFPXwf74/edit"",""31!e38"")"),1439.0)</f>
        <v>1439</v>
      </c>
      <c r="H824" s="40">
        <f>IFERROR(__xludf.DUMMYFUNCTION("IMPORTRANGE(""https://docs.google.com/spreadsheets/d/1WJJVq25XDtGjt-J2JPxeKs3jIvDZtkIREC0lFPXwf74/edit"",""31!e39"")"),0.0)</f>
        <v>0</v>
      </c>
      <c r="I824" s="40">
        <f t="shared" si="2265"/>
        <v>1439</v>
      </c>
      <c r="J824" s="40">
        <f>IFERROR(__xludf.DUMMYFUNCTION("IMPORTRANGE(""https://docs.google.com/spreadsheets/d/1WJJVq25XDtGjt-J2JPxeKs3jIvDZtkIREC0lFPXwf74/edit"",""31!e42"")"),2367.0)</f>
        <v>2367</v>
      </c>
      <c r="K824" s="40">
        <f>IFERROR(__xludf.DUMMYFUNCTION("IMPORTRANGE(""https://docs.google.com/spreadsheets/d/1WJJVq25XDtGjt-J2JPxeKs3jIvDZtkIREC0lFPXwf74/edit"",""31!e43"")"),0.0)</f>
        <v>0</v>
      </c>
      <c r="L824" s="40">
        <f t="shared" ref="L824:L833" si="2295">SUM(J824:K824)</f>
        <v>2367</v>
      </c>
      <c r="M824" s="40">
        <f t="shared" si="2267"/>
        <v>3806</v>
      </c>
      <c r="N824" s="41">
        <f t="shared" si="2268"/>
        <v>192.1204828</v>
      </c>
      <c r="O824" s="38">
        <v>4796.0</v>
      </c>
      <c r="P824" s="42">
        <f t="shared" si="2269"/>
        <v>0.7935779817</v>
      </c>
      <c r="Q824" s="43">
        <v>1.5</v>
      </c>
      <c r="R824" s="42">
        <f t="shared" si="2270"/>
        <v>0.4554134552</v>
      </c>
      <c r="S824" s="44">
        <f t="shared" si="2271"/>
        <v>0.6831201828</v>
      </c>
      <c r="T824" s="43">
        <f>F824/37.414</f>
        <v>148.9146843</v>
      </c>
      <c r="U824" s="43">
        <f t="shared" si="2272"/>
        <v>5.134989115</v>
      </c>
      <c r="V824" s="40">
        <f t="shared" si="2273"/>
        <v>131.2413793</v>
      </c>
      <c r="X824" s="22">
        <v>3.0</v>
      </c>
      <c r="Y824" s="22" t="s">
        <v>34</v>
      </c>
      <c r="Z824" s="22">
        <f t="shared" ref="Z824:AI824" si="2293">SUM(D820)</f>
        <v>40</v>
      </c>
      <c r="AA824" s="23">
        <f t="shared" si="2293"/>
        <v>40</v>
      </c>
      <c r="AB824" s="24">
        <f t="shared" si="2293"/>
        <v>7667.16</v>
      </c>
      <c r="AC824" s="23">
        <f t="shared" si="2293"/>
        <v>3155</v>
      </c>
      <c r="AD824" s="23">
        <f t="shared" si="2293"/>
        <v>0</v>
      </c>
      <c r="AE824" s="23">
        <f t="shared" si="2293"/>
        <v>3155</v>
      </c>
      <c r="AF824" s="23">
        <f t="shared" si="2293"/>
        <v>3175</v>
      </c>
      <c r="AG824" s="23">
        <f t="shared" si="2293"/>
        <v>0</v>
      </c>
      <c r="AH824" s="23">
        <f t="shared" si="2293"/>
        <v>3175</v>
      </c>
      <c r="AI824" s="23">
        <f t="shared" si="2293"/>
        <v>6330</v>
      </c>
      <c r="AJ824" s="25">
        <f t="shared" si="2285"/>
        <v>191.679</v>
      </c>
      <c r="AK824" s="22">
        <f>SUM(O820)</f>
        <v>9354</v>
      </c>
      <c r="AL824" s="26">
        <f t="shared" si="2287"/>
        <v>0.6767158435</v>
      </c>
      <c r="AM824" s="27">
        <f>SUM(Q820)</f>
        <v>1.5</v>
      </c>
      <c r="AN824" s="26">
        <f t="shared" si="2289"/>
        <v>0.5503993656</v>
      </c>
      <c r="AO824" s="28">
        <f t="shared" si="2290"/>
        <v>0.8255990484</v>
      </c>
      <c r="AP824" s="27">
        <f t="shared" ref="AP824:AQ824" si="2294">SUM(T820)</f>
        <v>249.6389151</v>
      </c>
      <c r="AQ824" s="27">
        <f t="shared" si="2294"/>
        <v>6.240972878</v>
      </c>
      <c r="AR824" s="23">
        <f t="shared" si="2292"/>
        <v>158.25</v>
      </c>
    </row>
    <row r="825" ht="15.75" customHeight="1">
      <c r="A825" s="21"/>
      <c r="B825" s="38">
        <v>10.0</v>
      </c>
      <c r="C825" s="38" t="s">
        <v>37</v>
      </c>
      <c r="D825" s="78">
        <v>30.0</v>
      </c>
      <c r="E825" s="40">
        <f>IFERROR(__xludf.DUMMYFUNCTION("COUNT(IMPORTRANGE(""https://docs.google.com/spreadsheets/d/1rJyYfywRpWJW0zvDJHLOJtqUQqffoCGaqTVxxTDgV0k/edit"",""31!d2:d31""))"),30.0)</f>
        <v>30</v>
      </c>
      <c r="F825" s="45">
        <f>IFERROR(__xludf.DUMMYFUNCTION("SUM(IMPORTRANGE(""https://docs.google.com/spreadsheets/d/1rJyYfywRpWJW0zvDJHLOJtqUQqffoCGaqTVxxTDgV0k/edit"",""31!Q2:Q31""))"),5787.396000000003)</f>
        <v>5787.396</v>
      </c>
      <c r="G825" s="40">
        <f>IFERROR(__xludf.DUMMYFUNCTION("(IMPORTRANGE(""https://docs.google.com/spreadsheets/d/1rJyYfywRpWJW0zvDJHLOJtqUQqffoCGaqTVxxTDgV0k/edit"",""31!e38""))"),2244.0)</f>
        <v>2244</v>
      </c>
      <c r="H825" s="40">
        <f>IFERROR(__xludf.DUMMYFUNCTION("(IMPORTRANGE(""https://docs.google.com/spreadsheets/d/1rJyYfywRpWJW0zvDJHLOJtqUQqffoCGaqTVxxTDgV0k/edit"",""31!e39""))"),0.0)</f>
        <v>0</v>
      </c>
      <c r="I825" s="40">
        <f t="shared" si="2265"/>
        <v>2244</v>
      </c>
      <c r="J825" s="40">
        <f>IFERROR(__xludf.DUMMYFUNCTION("(IMPORTRANGE(""https://docs.google.com/spreadsheets/d/1rJyYfywRpWJW0zvDJHLOJtqUQqffoCGaqTVxxTDgV0k/edit"",""31!e42""))"),2743.0)</f>
        <v>2743</v>
      </c>
      <c r="K825" s="40">
        <f>IFERROR(__xludf.DUMMYFUNCTION("(IMPORTRANGE(""https://docs.google.com/spreadsheets/d/1rJyYfywRpWJW0zvDJHLOJtqUQqffoCGaqTVxxTDgV0k/edit"",""31!e43""))"),0.0)</f>
        <v>0</v>
      </c>
      <c r="L825" s="40">
        <f t="shared" si="2295"/>
        <v>2743</v>
      </c>
      <c r="M825" s="40">
        <f t="shared" si="2267"/>
        <v>4987</v>
      </c>
      <c r="N825" s="41">
        <f t="shared" si="2268"/>
        <v>192.9132</v>
      </c>
      <c r="O825" s="38">
        <v>5887.0</v>
      </c>
      <c r="P825" s="42">
        <f t="shared" si="2269"/>
        <v>0.8471207746</v>
      </c>
      <c r="Q825" s="43">
        <v>1.5</v>
      </c>
      <c r="R825" s="42">
        <f t="shared" si="2270"/>
        <v>0.5744667665</v>
      </c>
      <c r="S825" s="44">
        <f t="shared" si="2271"/>
        <v>0.8617001498</v>
      </c>
      <c r="T825" s="43">
        <f>F825/24.792</f>
        <v>233.4380445</v>
      </c>
      <c r="U825" s="43">
        <f t="shared" si="2272"/>
        <v>7.781268151</v>
      </c>
      <c r="V825" s="40">
        <f t="shared" si="2273"/>
        <v>166.2333333</v>
      </c>
      <c r="X825" s="31">
        <v>4.0</v>
      </c>
      <c r="Y825" s="31" t="s">
        <v>38</v>
      </c>
      <c r="Z825" s="31">
        <f t="shared" ref="Z825:AI825" si="2296">SUM(D828)</f>
        <v>30</v>
      </c>
      <c r="AA825" s="32">
        <f t="shared" si="2296"/>
        <v>29</v>
      </c>
      <c r="AB825" s="33">
        <f t="shared" si="2296"/>
        <v>6166.849</v>
      </c>
      <c r="AC825" s="32">
        <f t="shared" si="2296"/>
        <v>2066</v>
      </c>
      <c r="AD825" s="32">
        <f t="shared" si="2296"/>
        <v>188</v>
      </c>
      <c r="AE825" s="32">
        <f t="shared" si="2296"/>
        <v>2254</v>
      </c>
      <c r="AF825" s="32">
        <f t="shared" si="2296"/>
        <v>2646</v>
      </c>
      <c r="AG825" s="32">
        <f t="shared" si="2296"/>
        <v>0</v>
      </c>
      <c r="AH825" s="32">
        <f t="shared" si="2296"/>
        <v>2646</v>
      </c>
      <c r="AI825" s="32">
        <f t="shared" si="2296"/>
        <v>4900</v>
      </c>
      <c r="AJ825" s="34">
        <f t="shared" si="2285"/>
        <v>212.6499655</v>
      </c>
      <c r="AK825" s="31">
        <v>7324.0</v>
      </c>
      <c r="AL825" s="35">
        <f t="shared" si="2287"/>
        <v>0.6690333151</v>
      </c>
      <c r="AM825" s="36">
        <f>SUM(Q828)</f>
        <v>1.5</v>
      </c>
      <c r="AN825" s="35">
        <f t="shared" si="2289"/>
        <v>0.5297140674</v>
      </c>
      <c r="AO825" s="37">
        <f t="shared" si="2290"/>
        <v>0.7945711011</v>
      </c>
      <c r="AP825" s="36">
        <f t="shared" ref="AP825:AQ825" si="2297">SUM(T828)</f>
        <v>149.662638</v>
      </c>
      <c r="AQ825" s="36">
        <f t="shared" si="2297"/>
        <v>5.160780622</v>
      </c>
      <c r="AR825" s="32">
        <f t="shared" si="2292"/>
        <v>168.9655172</v>
      </c>
    </row>
    <row r="826" ht="15.75" customHeight="1">
      <c r="A826" s="21"/>
      <c r="B826" s="38">
        <v>12.0</v>
      </c>
      <c r="C826" s="38" t="s">
        <v>39</v>
      </c>
      <c r="D826" s="78">
        <v>28.0</v>
      </c>
      <c r="E826" s="40">
        <f>IFERROR(__xludf.DUMMYFUNCTION("COUNT(IMPORTRANGE(""https://docs.google.com/spreadsheets/d/1uaTn2DZCfr7O1PvovOd0wElzVz8kpl_iPfnrkNPp0Is/edit"",""31!d2:d29""))"),27.0)</f>
        <v>27</v>
      </c>
      <c r="F826" s="45">
        <f>IFERROR(__xludf.DUMMYFUNCTION("SUM(IMPORTRANGE(""https://docs.google.com/spreadsheets/d/1uaTn2DZCfr7O1PvovOd0wElzVz8kpl_iPfnrkNPp0Is/edit"",""31!Q2:Q29""))"),5103.829000000002)</f>
        <v>5103.829</v>
      </c>
      <c r="G826" s="40">
        <f>IFERROR(__xludf.DUMMYFUNCTION("IMPORTRANGE(""https://docs.google.com/spreadsheets/d/1uaTn2DZCfr7O1PvovOd0wElzVz8kpl_iPfnrkNPp0Is/edit"",""31!e36"")"),1119.0)</f>
        <v>1119</v>
      </c>
      <c r="H826" s="40">
        <f>IFERROR(__xludf.DUMMYFUNCTION("(IMPORTRANGE(""https://docs.google.com/spreadsheets/d/1uaTn2DZCfr7O1PvovOd0wElzVz8kpl_iPfnrkNPp0Is/edit"",""31!e37""))"),0.0)</f>
        <v>0</v>
      </c>
      <c r="I826" s="40">
        <f t="shared" si="2265"/>
        <v>1119</v>
      </c>
      <c r="J826" s="40">
        <f>IFERROR(__xludf.DUMMYFUNCTION("IMPORTRANGE(""https://docs.google.com/spreadsheets/d/1uaTn2DZCfr7O1PvovOd0wElzVz8kpl_iPfnrkNPp0Is/edit"",""31!e40"")"),1558.0)</f>
        <v>1558</v>
      </c>
      <c r="K826" s="40">
        <f>IFERROR(__xludf.DUMMYFUNCTION("IMPORTRANGE(""https://docs.google.com/spreadsheets/d/1uaTn2DZCfr7O1PvovOd0wElzVz8kpl_iPfnrkNPp0Is/edit"",""31!e41"")"),737.0)</f>
        <v>737</v>
      </c>
      <c r="L826" s="40">
        <f t="shared" si="2295"/>
        <v>2295</v>
      </c>
      <c r="M826" s="40">
        <f t="shared" si="2267"/>
        <v>3414</v>
      </c>
      <c r="N826" s="41">
        <f t="shared" si="2268"/>
        <v>189.0307037</v>
      </c>
      <c r="O826" s="38">
        <v>3569.0</v>
      </c>
      <c r="P826" s="42">
        <f t="shared" si="2269"/>
        <v>0.9565704679</v>
      </c>
      <c r="Q826" s="43">
        <v>1.5</v>
      </c>
      <c r="R826" s="42">
        <f t="shared" si="2270"/>
        <v>0.4459397053</v>
      </c>
      <c r="S826" s="44">
        <f t="shared" si="2271"/>
        <v>0.6689095579</v>
      </c>
      <c r="T826" s="43">
        <f>F826/21.463</f>
        <v>237.7966268</v>
      </c>
      <c r="U826" s="43">
        <f t="shared" si="2272"/>
        <v>8.807282472</v>
      </c>
      <c r="V826" s="40">
        <f t="shared" si="2273"/>
        <v>126.4444444</v>
      </c>
      <c r="X826" s="31">
        <v>5.0</v>
      </c>
      <c r="Y826" s="31" t="s">
        <v>40</v>
      </c>
      <c r="Z826" s="31">
        <f t="shared" ref="Z826:AI826" si="2298">SUM(D830)</f>
        <v>30</v>
      </c>
      <c r="AA826" s="32">
        <f t="shared" si="2298"/>
        <v>29</v>
      </c>
      <c r="AB826" s="33">
        <f t="shared" si="2298"/>
        <v>5731.931</v>
      </c>
      <c r="AC826" s="32">
        <f t="shared" si="2298"/>
        <v>3721</v>
      </c>
      <c r="AD826" s="32">
        <f t="shared" si="2298"/>
        <v>0</v>
      </c>
      <c r="AE826" s="32">
        <f t="shared" si="2298"/>
        <v>3721</v>
      </c>
      <c r="AF826" s="32">
        <f t="shared" si="2298"/>
        <v>3854</v>
      </c>
      <c r="AG826" s="32">
        <f t="shared" si="2298"/>
        <v>0</v>
      </c>
      <c r="AH826" s="32">
        <f t="shared" si="2298"/>
        <v>3854</v>
      </c>
      <c r="AI826" s="32">
        <f t="shared" si="2298"/>
        <v>7575</v>
      </c>
      <c r="AJ826" s="34">
        <f t="shared" si="2285"/>
        <v>197.6527931</v>
      </c>
      <c r="AK826" s="31">
        <f t="shared" ref="AK826:AK827" si="2301">SUM(O830)</f>
        <v>8239</v>
      </c>
      <c r="AL826" s="35">
        <f t="shared" si="2287"/>
        <v>0.9194076951</v>
      </c>
      <c r="AM826" s="36">
        <f t="shared" ref="AM826:AM827" si="2302">SUM(Q830)</f>
        <v>1.5</v>
      </c>
      <c r="AN826" s="35">
        <f t="shared" si="2289"/>
        <v>0.8810294471</v>
      </c>
      <c r="AO826" s="37">
        <f t="shared" si="2290"/>
        <v>1.321544171</v>
      </c>
      <c r="AP826" s="36">
        <f t="shared" ref="AP826:AQ826" si="2299">SUM(T830)</f>
        <v>201.5234328</v>
      </c>
      <c r="AQ826" s="36">
        <f t="shared" si="2299"/>
        <v>6.949083891</v>
      </c>
      <c r="AR826" s="32">
        <f t="shared" si="2292"/>
        <v>261.2068966</v>
      </c>
    </row>
    <row r="827" ht="15.75" customHeight="1">
      <c r="A827" s="21"/>
      <c r="B827" s="38">
        <v>12.0</v>
      </c>
      <c r="C827" s="38" t="s">
        <v>41</v>
      </c>
      <c r="D827" s="78">
        <v>24.0</v>
      </c>
      <c r="E827" s="40">
        <f>IFERROR(__xludf.DUMMYFUNCTION("COUNT(IMPORTRANGE(""https://docs.google.com/spreadsheets/d/1oYscvfOJW7GMkxt8QcupWuzb3ohaYePd3Mt2V2ufHok/edit"",""31!d2:d25""))"),24.0)</f>
        <v>24</v>
      </c>
      <c r="F827" s="45">
        <f>IFERROR(__xludf.DUMMYFUNCTION("SUM(IMPORTRANGE(""https://docs.google.com/spreadsheets/d/1oYscvfOJW7GMkxt8QcupWuzb3ohaYePd3Mt2V2ufHok/edit"",""31!Q2:Q25""))"),4717.436000000001)</f>
        <v>4717.436</v>
      </c>
      <c r="G827" s="40">
        <f>IFERROR(__xludf.DUMMYFUNCTION("IMPORTRANGE(""https://docs.google.com/spreadsheets/d/1oYscvfOJW7GMkxt8QcupWuzb3ohaYePd3Mt2V2ufHok/edit"",""31!e32"")"),1226.0)</f>
        <v>1226</v>
      </c>
      <c r="H827" s="40">
        <f>IFERROR(__xludf.DUMMYFUNCTION("IMPORTRANGE(""https://docs.google.com/spreadsheets/d/1oYscvfOJW7GMkxt8QcupWuzb3ohaYePd3Mt2V2ufHok/edit"",""31!e33"")"),0.0)</f>
        <v>0</v>
      </c>
      <c r="I827" s="40">
        <f t="shared" si="2265"/>
        <v>1226</v>
      </c>
      <c r="J827" s="40">
        <f>IFERROR(__xludf.DUMMYFUNCTION("IMPORTRANGE(""https://docs.google.com/spreadsheets/d/1oYscvfOJW7GMkxt8QcupWuzb3ohaYePd3Mt2V2ufHok/edit"",""31!e36"")"),1634.0)</f>
        <v>1634</v>
      </c>
      <c r="K827" s="40">
        <f>IFERROR(__xludf.DUMMYFUNCTION("IMPORTRANGE(""https://docs.google.com/spreadsheets/d/1oYscvfOJW7GMkxt8QcupWuzb3ohaYePd3Mt2V2ufHok/edit"",""31!e37"")"),215.0)</f>
        <v>215</v>
      </c>
      <c r="L827" s="40">
        <f t="shared" si="2295"/>
        <v>1849</v>
      </c>
      <c r="M827" s="40">
        <f t="shared" si="2267"/>
        <v>3075</v>
      </c>
      <c r="N827" s="41">
        <f t="shared" si="2268"/>
        <v>196.5598333</v>
      </c>
      <c r="O827" s="38">
        <v>3801.0</v>
      </c>
      <c r="P827" s="42">
        <f t="shared" si="2269"/>
        <v>0.8089976322</v>
      </c>
      <c r="Q827" s="43">
        <v>1.5</v>
      </c>
      <c r="R827" s="42">
        <f t="shared" si="2270"/>
        <v>0.4345580947</v>
      </c>
      <c r="S827" s="44">
        <f t="shared" si="2271"/>
        <v>0.651837142</v>
      </c>
      <c r="T827" s="43">
        <f>F827/29.628</f>
        <v>159.2222222</v>
      </c>
      <c r="U827" s="43">
        <f t="shared" si="2272"/>
        <v>6.634259259</v>
      </c>
      <c r="V827" s="40">
        <f t="shared" si="2273"/>
        <v>128.125</v>
      </c>
      <c r="X827" s="22">
        <v>6.0</v>
      </c>
      <c r="Y827" s="22" t="s">
        <v>42</v>
      </c>
      <c r="Z827" s="22">
        <f t="shared" ref="Z827:AI827" si="2300">SUM(D831)</f>
        <v>33</v>
      </c>
      <c r="AA827" s="23">
        <f t="shared" si="2300"/>
        <v>33</v>
      </c>
      <c r="AB827" s="24">
        <f t="shared" si="2300"/>
        <v>6509.519</v>
      </c>
      <c r="AC827" s="23">
        <f t="shared" si="2300"/>
        <v>3509</v>
      </c>
      <c r="AD827" s="23">
        <f t="shared" si="2300"/>
        <v>0</v>
      </c>
      <c r="AE827" s="23">
        <f t="shared" si="2300"/>
        <v>3509</v>
      </c>
      <c r="AF827" s="23">
        <f t="shared" si="2300"/>
        <v>4491</v>
      </c>
      <c r="AG827" s="23">
        <f t="shared" si="2300"/>
        <v>52</v>
      </c>
      <c r="AH827" s="23">
        <f t="shared" si="2300"/>
        <v>4543</v>
      </c>
      <c r="AI827" s="23">
        <f t="shared" si="2300"/>
        <v>8052</v>
      </c>
      <c r="AJ827" s="25">
        <f t="shared" si="2285"/>
        <v>197.2581515</v>
      </c>
      <c r="AK827" s="22">
        <f t="shared" si="2301"/>
        <v>9877</v>
      </c>
      <c r="AL827" s="26">
        <f t="shared" si="2287"/>
        <v>0.8152272957</v>
      </c>
      <c r="AM827" s="27">
        <f t="shared" si="2302"/>
        <v>1.5</v>
      </c>
      <c r="AN827" s="26">
        <f t="shared" si="2289"/>
        <v>0.8246385025</v>
      </c>
      <c r="AO827" s="28">
        <f t="shared" si="2290"/>
        <v>1.236957754</v>
      </c>
      <c r="AP827" s="27">
        <f t="shared" ref="AP827:AQ827" si="2303">SUM(T831)</f>
        <v>248.8823934</v>
      </c>
      <c r="AQ827" s="27">
        <f t="shared" si="2303"/>
        <v>7.54189071</v>
      </c>
      <c r="AR827" s="23">
        <f t="shared" si="2292"/>
        <v>244</v>
      </c>
    </row>
    <row r="828" ht="15.75" customHeight="1">
      <c r="A828" s="21"/>
      <c r="B828" s="38">
        <v>13.0</v>
      </c>
      <c r="C828" s="38" t="s">
        <v>43</v>
      </c>
      <c r="D828" s="78">
        <v>30.0</v>
      </c>
      <c r="E828" s="40">
        <f>IFERROR(__xludf.DUMMYFUNCTION("COUNT(IMPORTRANGE(""https://docs.google.com/spreadsheets/d/1AxBmuQEdOYAeRnZ4C8vO6kuTNp7X_SGhpLXuY0n4ln4/edit"",""31!d2:d31""))"),29.0)</f>
        <v>29</v>
      </c>
      <c r="F828" s="45">
        <f>IFERROR(__xludf.DUMMYFUNCTION("SUM(IMPORTRANGE(""https://docs.google.com/spreadsheets/d/1AxBmuQEdOYAeRnZ4C8vO6kuTNp7X_SGhpLXuY0n4ln4/edit"",""31!Q2:Q31""))"),6166.848999999999)</f>
        <v>6166.849</v>
      </c>
      <c r="G828" s="40">
        <f>IFERROR(__xludf.DUMMYFUNCTION("IMPORTRANGE(""https://docs.google.com/spreadsheets/d/1AxBmuQEdOYAeRnZ4C8vO6kuTNp7X_SGhpLXuY0n4ln4/edit"",""31!e38"")"),2066.0)</f>
        <v>2066</v>
      </c>
      <c r="H828" s="40">
        <f>IFERROR(__xludf.DUMMYFUNCTION("IMPORTRANGE(""https://docs.google.com/spreadsheets/d/1AxBmuQEdOYAeRnZ4C8vO6kuTNp7X_SGhpLXuY0n4ln4/edit"",""31!e39"")"),188.0)</f>
        <v>188</v>
      </c>
      <c r="I828" s="40">
        <f t="shared" si="2265"/>
        <v>2254</v>
      </c>
      <c r="J828" s="40">
        <f>IFERROR(__xludf.DUMMYFUNCTION("IMPORTRANGE(""https://docs.google.com/spreadsheets/d/1AxBmuQEdOYAeRnZ4C8vO6kuTNp7X_SGhpLXuY0n4ln4/edit"",""31!e42"")"),2646.0)</f>
        <v>2646</v>
      </c>
      <c r="K828" s="40">
        <f>IFERROR(__xludf.DUMMYFUNCTION("IMPORTRANGE(""https://docs.google.com/spreadsheets/d/1AxBmuQEdOYAeRnZ4C8vO6kuTNp7X_SGhpLXuY0n4ln4/edit"",""31!e43"")"),0.0)</f>
        <v>0</v>
      </c>
      <c r="L828" s="40">
        <f t="shared" si="2295"/>
        <v>2646</v>
      </c>
      <c r="M828" s="40">
        <f t="shared" si="2267"/>
        <v>4900</v>
      </c>
      <c r="N828" s="41">
        <f t="shared" si="2268"/>
        <v>212.6499655</v>
      </c>
      <c r="O828" s="38">
        <v>8345.0</v>
      </c>
      <c r="P828" s="42">
        <f t="shared" si="2269"/>
        <v>0.5871779509</v>
      </c>
      <c r="Q828" s="43">
        <v>1.5</v>
      </c>
      <c r="R828" s="42">
        <f t="shared" si="2270"/>
        <v>0.5297140674</v>
      </c>
      <c r="S828" s="44">
        <f t="shared" si="2271"/>
        <v>0.7945711011</v>
      </c>
      <c r="T828" s="43">
        <f>F828/41.205</f>
        <v>149.662638</v>
      </c>
      <c r="U828" s="43">
        <f t="shared" si="2272"/>
        <v>5.160780622</v>
      </c>
      <c r="V828" s="40">
        <f t="shared" si="2273"/>
        <v>168.9655172</v>
      </c>
      <c r="X828" s="46" t="s">
        <v>33</v>
      </c>
      <c r="Y828" s="46">
        <v>6.0</v>
      </c>
      <c r="Z828" s="46">
        <f t="shared" ref="Z828:AI828" si="2304">SUM(Z822:Z827)</f>
        <v>226</v>
      </c>
      <c r="AA828" s="47">
        <f t="shared" si="2304"/>
        <v>222</v>
      </c>
      <c r="AB828" s="49">
        <f t="shared" si="2304"/>
        <v>44408.125</v>
      </c>
      <c r="AC828" s="47">
        <f t="shared" si="2304"/>
        <v>18740</v>
      </c>
      <c r="AD828" s="47">
        <f t="shared" si="2304"/>
        <v>329</v>
      </c>
      <c r="AE828" s="47">
        <f t="shared" si="2304"/>
        <v>19069</v>
      </c>
      <c r="AF828" s="47">
        <f t="shared" si="2304"/>
        <v>22789</v>
      </c>
      <c r="AG828" s="47">
        <f t="shared" si="2304"/>
        <v>168</v>
      </c>
      <c r="AH828" s="47">
        <f t="shared" si="2304"/>
        <v>22957</v>
      </c>
      <c r="AI828" s="47">
        <f t="shared" si="2304"/>
        <v>42026</v>
      </c>
      <c r="AJ828" s="49">
        <f t="shared" si="2285"/>
        <v>200.0365991</v>
      </c>
      <c r="AK828" s="46">
        <f>SUM(AK822:AK827)</f>
        <v>53273</v>
      </c>
      <c r="AL828" s="50">
        <f t="shared" si="2287"/>
        <v>0.7888799204</v>
      </c>
      <c r="AM828" s="51">
        <v>1.5</v>
      </c>
      <c r="AN828" s="50">
        <f t="shared" si="2289"/>
        <v>0.6309055681</v>
      </c>
      <c r="AO828" s="52">
        <f t="shared" si="2290"/>
        <v>0.9463583522</v>
      </c>
      <c r="AP828" s="51">
        <f>SUM(AP822:AP827)</f>
        <v>1460.016989</v>
      </c>
      <c r="AQ828" s="51">
        <f>AP828/AA828</f>
        <v>6.576653102</v>
      </c>
      <c r="AR828" s="47">
        <f t="shared" si="2292"/>
        <v>189.3063063</v>
      </c>
    </row>
    <row r="829" ht="15.75" customHeight="1">
      <c r="A829" s="21"/>
      <c r="B829" s="38">
        <v>14.0</v>
      </c>
      <c r="C829" s="38" t="s">
        <v>27</v>
      </c>
      <c r="D829" s="78">
        <v>30.0</v>
      </c>
      <c r="E829" s="40">
        <f>IFERROR(__xludf.DUMMYFUNCTION("COUNT(IMPORTRANGE(""https://docs.google.com/spreadsheets/d/1LsL4JuXvBtfJ-TVi4NFml9lV_pmd61b789A_nbO-QrA/edit"",""31!d2:d31""))"),28.0)</f>
        <v>28</v>
      </c>
      <c r="F829" s="45">
        <f>IFERROR(__xludf.DUMMYFUNCTION("SUM(IMPORTRANGE(""https://docs.google.com/spreadsheets/d/1LsL4JuXvBtfJ-TVi4NFml9lV_pmd61b789A_nbO-QrA/edit"",""31!Q2:Q31""))"),5152.023000000001)</f>
        <v>5152.023</v>
      </c>
      <c r="G829" s="40">
        <f>IFERROR(__xludf.DUMMYFUNCTION("IMPORTRANGE(""https://docs.google.com/spreadsheets/d/1LsL4JuXvBtfJ-TVi4NFml9lV_pmd61b789A_nbO-QrA/edit"",""31!e38"")"),2406.0)</f>
        <v>2406</v>
      </c>
      <c r="H829" s="40">
        <f>IFERROR(__xludf.DUMMYFUNCTION("IMPORTRANGE(""https://docs.google.com/spreadsheets/d/1LsL4JuXvBtfJ-TVi4NFml9lV_pmd61b789A_nbO-QrA/edit"",""31!e39"")"),0.0)</f>
        <v>0</v>
      </c>
      <c r="I829" s="40">
        <f t="shared" si="2265"/>
        <v>2406</v>
      </c>
      <c r="J829" s="40">
        <f>IFERROR(__xludf.DUMMYFUNCTION("IMPORTRANGE(""https://docs.google.com/spreadsheets/d/1LsL4JuXvBtfJ-TVi4NFml9lV_pmd61b789A_nbO-QrA/edit"",""31!e42"")"),3035.0)</f>
        <v>3035</v>
      </c>
      <c r="K829" s="40">
        <f>IFERROR(__xludf.DUMMYFUNCTION("IMPORTRANGE(""https://docs.google.com/spreadsheets/d/1LsL4JuXvBtfJ-TVi4NFml9lV_pmd61b789A_nbO-QrA/edit"",""31!e43"")"),0.0)</f>
        <v>0</v>
      </c>
      <c r="L829" s="40">
        <f t="shared" si="2295"/>
        <v>3035</v>
      </c>
      <c r="M829" s="40">
        <f t="shared" si="2267"/>
        <v>5441</v>
      </c>
      <c r="N829" s="41">
        <f t="shared" si="2268"/>
        <v>184.0008214</v>
      </c>
      <c r="O829" s="38">
        <v>8101.0</v>
      </c>
      <c r="P829" s="42">
        <f t="shared" si="2269"/>
        <v>0.6716454759</v>
      </c>
      <c r="Q829" s="43">
        <v>1.5</v>
      </c>
      <c r="R829" s="42">
        <f t="shared" si="2270"/>
        <v>0.7040600039</v>
      </c>
      <c r="S829" s="44">
        <f t="shared" si="2271"/>
        <v>1.056090006</v>
      </c>
      <c r="T829" s="43">
        <f>F829/19.985</f>
        <v>257.7944959</v>
      </c>
      <c r="U829" s="43">
        <f t="shared" si="2272"/>
        <v>9.206946281</v>
      </c>
      <c r="V829" s="40">
        <f t="shared" si="2273"/>
        <v>194.3214286</v>
      </c>
      <c r="X829" s="59" t="s">
        <v>44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6"/>
    </row>
    <row r="830" ht="15.75" customHeight="1">
      <c r="A830" s="21"/>
      <c r="B830" s="38">
        <v>15.0</v>
      </c>
      <c r="C830" s="38" t="s">
        <v>40</v>
      </c>
      <c r="D830" s="78">
        <v>30.0</v>
      </c>
      <c r="E830" s="40">
        <f>IFERROR(__xludf.DUMMYFUNCTION("COUNT(IMPORTRANGE(""https://docs.google.com/spreadsheets/d/1Krav0MVlY0vbUNsFRDnb_kR72_tyuGnWBYbGjNZrl18/edit"",""31!d2:d31""))"),29.0)</f>
        <v>29</v>
      </c>
      <c r="F830" s="45">
        <f>IFERROR(__xludf.DUMMYFUNCTION("SUM(IMPORTRANGE(""https://docs.google.com/spreadsheets/d/1Krav0MVlY0vbUNsFRDnb_kR72_tyuGnWBYbGjNZrl18/edit"",""31!Q2:Q31""))"),5731.930999999998)</f>
        <v>5731.931</v>
      </c>
      <c r="G830" s="40">
        <f>IFERROR(__xludf.DUMMYFUNCTION("IMPORTRANGE(""https://docs.google.com/spreadsheets/d/1Krav0MVlY0vbUNsFRDnb_kR72_tyuGnWBYbGjNZrl18/edit"",""31!e38"")"),3721.0)</f>
        <v>3721</v>
      </c>
      <c r="H830" s="40">
        <f>IFERROR(__xludf.DUMMYFUNCTION("IMPORTRANGE(""https://docs.google.com/spreadsheets/d/1Krav0MVlY0vbUNsFRDnb_kR72_tyuGnWBYbGjNZrl18/edit"",""31!e39"")"),0.0)</f>
        <v>0</v>
      </c>
      <c r="I830" s="40">
        <f t="shared" si="2265"/>
        <v>3721</v>
      </c>
      <c r="J830" s="40">
        <f>IFERROR(__xludf.DUMMYFUNCTION("IMPORTRANGE(""https://docs.google.com/spreadsheets/d/1Krav0MVlY0vbUNsFRDnb_kR72_tyuGnWBYbGjNZrl18/edit"",""31!e42"")"),3854.0)</f>
        <v>3854</v>
      </c>
      <c r="K830" s="40">
        <f>IFERROR(__xludf.DUMMYFUNCTION("IMPORTRANGE(""https://docs.google.com/spreadsheets/d/1Krav0MVlY0vbUNsFRDnb_kR72_tyuGnWBYbGjNZrl18/edit"",""31!e43"")"),0.0)</f>
        <v>0</v>
      </c>
      <c r="L830" s="40">
        <f t="shared" si="2295"/>
        <v>3854</v>
      </c>
      <c r="M830" s="40">
        <f t="shared" si="2267"/>
        <v>7575</v>
      </c>
      <c r="N830" s="41">
        <f t="shared" si="2268"/>
        <v>197.6527931</v>
      </c>
      <c r="O830" s="38">
        <v>8239.0</v>
      </c>
      <c r="P830" s="42">
        <f t="shared" si="2269"/>
        <v>0.9194076951</v>
      </c>
      <c r="Q830" s="43">
        <v>1.5</v>
      </c>
      <c r="R830" s="42">
        <f t="shared" si="2270"/>
        <v>0.8810294471</v>
      </c>
      <c r="S830" s="44">
        <f t="shared" si="2271"/>
        <v>1.321544171</v>
      </c>
      <c r="T830" s="43">
        <f>F830/28.443</f>
        <v>201.5234328</v>
      </c>
      <c r="U830" s="43">
        <f t="shared" si="2272"/>
        <v>6.949083891</v>
      </c>
      <c r="V830" s="40">
        <f t="shared" si="2273"/>
        <v>261.2068966</v>
      </c>
      <c r="X830" s="14" t="s">
        <v>2</v>
      </c>
      <c r="Y830" s="14" t="s">
        <v>3</v>
      </c>
      <c r="Z830" s="14" t="s">
        <v>4</v>
      </c>
      <c r="AA830" s="14" t="s">
        <v>5</v>
      </c>
      <c r="AB830" s="15" t="s">
        <v>6</v>
      </c>
      <c r="AC830" s="14" t="s">
        <v>7</v>
      </c>
      <c r="AD830" s="14" t="s">
        <v>8</v>
      </c>
      <c r="AE830" s="14" t="s">
        <v>9</v>
      </c>
      <c r="AF830" s="14" t="s">
        <v>10</v>
      </c>
      <c r="AG830" s="14" t="s">
        <v>11</v>
      </c>
      <c r="AH830" s="14" t="s">
        <v>12</v>
      </c>
      <c r="AI830" s="14" t="s">
        <v>13</v>
      </c>
      <c r="AJ830" s="15" t="s">
        <v>14</v>
      </c>
      <c r="AK830" s="14" t="s">
        <v>15</v>
      </c>
      <c r="AL830" s="14" t="s">
        <v>16</v>
      </c>
      <c r="AM830" s="16" t="s">
        <v>17</v>
      </c>
      <c r="AN830" s="17" t="s">
        <v>18</v>
      </c>
      <c r="AO830" s="18" t="s">
        <v>19</v>
      </c>
      <c r="AP830" s="19" t="s">
        <v>20</v>
      </c>
      <c r="AQ830" s="19" t="s">
        <v>21</v>
      </c>
      <c r="AR830" s="20" t="s">
        <v>22</v>
      </c>
    </row>
    <row r="831" ht="15.75" customHeight="1">
      <c r="A831" s="21"/>
      <c r="B831" s="38">
        <v>16.0</v>
      </c>
      <c r="C831" s="38" t="s">
        <v>42</v>
      </c>
      <c r="D831" s="78">
        <v>33.0</v>
      </c>
      <c r="E831" s="40">
        <f>IFERROR(__xludf.DUMMYFUNCTION("COUNT(IMPORTRANGE(""https://docs.google.com/spreadsheets/d/1uXtm-E8PG0CetlFmSpTX3RK0LNEMnpR-mxbET9AGD6w/edit"",""31!d2:d34""))"),33.0)</f>
        <v>33</v>
      </c>
      <c r="F831" s="45">
        <f>IFERROR(__xludf.DUMMYFUNCTION("SUM(IMPORTRANGE(""https://docs.google.com/spreadsheets/d/1uXtm-E8PG0CetlFmSpTX3RK0LNEMnpR-mxbET9AGD6w/edit"",""31!Q2:Q34""))"),6509.5189999999975)</f>
        <v>6509.519</v>
      </c>
      <c r="G831" s="40">
        <f>IFERROR(__xludf.DUMMYFUNCTION("IMPORTRANGE(""https://docs.google.com/spreadsheets/d/1uXtm-E8PG0CetlFmSpTX3RK0LNEMnpR-mxbET9AGD6w/edit"",""31!e41"")"),3509.0)</f>
        <v>3509</v>
      </c>
      <c r="H831" s="40">
        <f>IFERROR(__xludf.DUMMYFUNCTION("IMPORTRANGE(""https://docs.google.com/spreadsheets/d/1uXtm-E8PG0CetlFmSpTX3RK0LNEMnpR-mxbET9AGD6w/edit"",""31!e42"")"),0.0)</f>
        <v>0</v>
      </c>
      <c r="I831" s="40">
        <f t="shared" si="2265"/>
        <v>3509</v>
      </c>
      <c r="J831" s="40">
        <f>IFERROR(__xludf.DUMMYFUNCTION("IMPORTRANGE(""https://docs.google.com/spreadsheets/d/1uXtm-E8PG0CetlFmSpTX3RK0LNEMnpR-mxbET9AGD6w/edit"",""31!e45"")"),4491.0)</f>
        <v>4491</v>
      </c>
      <c r="K831" s="40">
        <f>IFERROR(__xludf.DUMMYFUNCTION("IMPORTRANGE(""https://docs.google.com/spreadsheets/d/1uXtm-E8PG0CetlFmSpTX3RK0LNEMnpR-mxbET9AGD6w/edit"",""31!e46"")"),52.0)</f>
        <v>52</v>
      </c>
      <c r="L831" s="40">
        <f t="shared" si="2295"/>
        <v>4543</v>
      </c>
      <c r="M831" s="40">
        <f t="shared" si="2267"/>
        <v>8052</v>
      </c>
      <c r="N831" s="41">
        <f t="shared" si="2268"/>
        <v>197.2581515</v>
      </c>
      <c r="O831" s="38">
        <v>9877.0</v>
      </c>
      <c r="P831" s="42">
        <f t="shared" si="2269"/>
        <v>0.8152272957</v>
      </c>
      <c r="Q831" s="43">
        <v>1.5</v>
      </c>
      <c r="R831" s="42">
        <f t="shared" si="2270"/>
        <v>0.8246385025</v>
      </c>
      <c r="S831" s="44">
        <f t="shared" si="2271"/>
        <v>1.236957754</v>
      </c>
      <c r="T831" s="43">
        <f>F831/26.155</f>
        <v>248.8823934</v>
      </c>
      <c r="U831" s="43">
        <f t="shared" si="2272"/>
        <v>7.54189071</v>
      </c>
      <c r="V831" s="40">
        <f t="shared" si="2273"/>
        <v>244</v>
      </c>
      <c r="X831" s="31">
        <v>1.0</v>
      </c>
      <c r="Y831" s="31" t="s">
        <v>26</v>
      </c>
      <c r="Z831" s="31">
        <f t="shared" ref="Z831:AI831" si="2305">SUM(D816)</f>
        <v>20</v>
      </c>
      <c r="AA831" s="32">
        <f t="shared" si="2305"/>
        <v>19</v>
      </c>
      <c r="AB831" s="34">
        <f t="shared" si="2305"/>
        <v>3568.248</v>
      </c>
      <c r="AC831" s="32">
        <f t="shared" si="2305"/>
        <v>2378</v>
      </c>
      <c r="AD831" s="32">
        <f t="shared" si="2305"/>
        <v>0</v>
      </c>
      <c r="AE831" s="32">
        <f t="shared" si="2305"/>
        <v>2378</v>
      </c>
      <c r="AF831" s="32">
        <f t="shared" si="2305"/>
        <v>2818</v>
      </c>
      <c r="AG831" s="32">
        <f t="shared" si="2305"/>
        <v>0</v>
      </c>
      <c r="AH831" s="32">
        <f t="shared" si="2305"/>
        <v>2818</v>
      </c>
      <c r="AI831" s="32">
        <f t="shared" si="2305"/>
        <v>5196</v>
      </c>
      <c r="AJ831" s="34">
        <f t="shared" ref="AJ831:AJ837" si="2308">AB831/AA831</f>
        <v>187.8025263</v>
      </c>
      <c r="AK831" s="31">
        <f>SUM(O816)</f>
        <v>5161</v>
      </c>
      <c r="AL831" s="67">
        <f t="shared" ref="AL831:AL837" si="2309">AI831/AK831</f>
        <v>1.006781631</v>
      </c>
      <c r="AM831" s="36">
        <f>SUM(Q816)</f>
        <v>1.5</v>
      </c>
      <c r="AN831" s="35">
        <f t="shared" ref="AN831:AN837" si="2310">AO831/AM831</f>
        <v>0.9707845419</v>
      </c>
      <c r="AO831" s="37">
        <f t="shared" ref="AO831:AO837" si="2311">AI831/AB831</f>
        <v>1.456176813</v>
      </c>
      <c r="AP831" s="36">
        <f t="shared" ref="AP831:AQ831" si="2306">SUM(T816)</f>
        <v>247.5371488</v>
      </c>
      <c r="AQ831" s="36">
        <f t="shared" si="2306"/>
        <v>13.02827099</v>
      </c>
      <c r="AR831" s="32">
        <f t="shared" ref="AR831:AR837" si="2313">AI831/AA831</f>
        <v>273.4736842</v>
      </c>
    </row>
    <row r="832" ht="15.75" customHeight="1">
      <c r="A832" s="21"/>
      <c r="B832" s="38">
        <v>17.0</v>
      </c>
      <c r="C832" s="38" t="s">
        <v>29</v>
      </c>
      <c r="D832" s="78">
        <v>30.0</v>
      </c>
      <c r="E832" s="40">
        <f>IFERROR(__xludf.DUMMYFUNCTION("COUNT(IMPORTRANGE(""https://docs.google.com/spreadsheets/d/12xcKI0lSnAsjEsxfm9K8Qx0B_89Gzsh816mowItkQao/edit"",""31!d2:d31""))"),29.0)</f>
        <v>29</v>
      </c>
      <c r="F832" s="45">
        <f>IFERROR(__xludf.DUMMYFUNCTION("SUM(IMPORTRANGE(""https://docs.google.com/spreadsheets/d/12xcKI0lSnAsjEsxfm9K8Qx0B_89Gzsh816mowItkQao/edit"",""31!Q2:Q31""))"),5520.056000000001)</f>
        <v>5520.056</v>
      </c>
      <c r="G832" s="40">
        <f>IFERROR(__xludf.DUMMYFUNCTION("IMPORTRANGE(""https://docs.google.com/spreadsheets/d/12xcKI0lSnAsjEsxfm9K8Qx0B_89Gzsh816mowItkQao/edit"",""31!e38"")"),2679.0)</f>
        <v>2679</v>
      </c>
      <c r="H832" s="40">
        <f>IFERROR(__xludf.DUMMYFUNCTION("IMPORTRANGE(""https://docs.google.com/spreadsheets/d/12xcKI0lSnAsjEsxfm9K8Qx0B_89Gzsh816mowItkQao/edit"",""31!e39"")"),0.0)</f>
        <v>0</v>
      </c>
      <c r="I832" s="40">
        <f t="shared" si="2265"/>
        <v>2679</v>
      </c>
      <c r="J832" s="40">
        <f>IFERROR(__xludf.DUMMYFUNCTION("IMPORTRANGE(""https://docs.google.com/spreadsheets/d/12xcKI0lSnAsjEsxfm9K8Qx0B_89Gzsh816mowItkQao/edit"",""31!e42"")"),4222.0)</f>
        <v>4222</v>
      </c>
      <c r="K832" s="40">
        <f>IFERROR(__xludf.DUMMYFUNCTION("IMPORTRANGE(""https://docs.google.com/spreadsheets/d/12xcKI0lSnAsjEsxfm9K8Qx0B_89Gzsh816mowItkQao/edit"",""31!e43"")"),0.0)</f>
        <v>0</v>
      </c>
      <c r="L832" s="40">
        <f t="shared" si="2295"/>
        <v>4222</v>
      </c>
      <c r="M832" s="40">
        <f t="shared" si="2267"/>
        <v>6901</v>
      </c>
      <c r="N832" s="41">
        <f t="shared" si="2268"/>
        <v>190.3467586</v>
      </c>
      <c r="O832" s="38">
        <v>9201.0</v>
      </c>
      <c r="P832" s="42">
        <f t="shared" si="2269"/>
        <v>0.750027171</v>
      </c>
      <c r="Q832" s="43">
        <v>1.5</v>
      </c>
      <c r="R832" s="42">
        <f t="shared" si="2270"/>
        <v>0.833445651</v>
      </c>
      <c r="S832" s="44">
        <f t="shared" si="2271"/>
        <v>1.250168477</v>
      </c>
      <c r="T832" s="43">
        <f>F832/26.038</f>
        <v>212</v>
      </c>
      <c r="U832" s="43">
        <f t="shared" si="2272"/>
        <v>7.310344828</v>
      </c>
      <c r="V832" s="40">
        <f t="shared" si="2273"/>
        <v>237.9655172</v>
      </c>
      <c r="X832" s="31">
        <v>2.0</v>
      </c>
      <c r="Y832" s="31" t="s">
        <v>32</v>
      </c>
      <c r="Z832" s="31">
        <f t="shared" ref="Z832:AI832" si="2307">SUM(D819)</f>
        <v>42</v>
      </c>
      <c r="AA832" s="32">
        <f t="shared" si="2307"/>
        <v>41</v>
      </c>
      <c r="AB832" s="33">
        <f t="shared" si="2307"/>
        <v>7928.124</v>
      </c>
      <c r="AC832" s="31">
        <f t="shared" si="2307"/>
        <v>4626</v>
      </c>
      <c r="AD832" s="31">
        <f t="shared" si="2307"/>
        <v>0</v>
      </c>
      <c r="AE832" s="32">
        <f t="shared" si="2307"/>
        <v>4626</v>
      </c>
      <c r="AF832" s="31">
        <f t="shared" si="2307"/>
        <v>5201</v>
      </c>
      <c r="AG832" s="31">
        <f t="shared" si="2307"/>
        <v>0</v>
      </c>
      <c r="AH832" s="32">
        <f t="shared" si="2307"/>
        <v>5201</v>
      </c>
      <c r="AI832" s="32">
        <f t="shared" si="2307"/>
        <v>9827</v>
      </c>
      <c r="AJ832" s="34">
        <f t="shared" si="2308"/>
        <v>193.368878</v>
      </c>
      <c r="AK832" s="31">
        <f>SUM(O819)</f>
        <v>13817</v>
      </c>
      <c r="AL832" s="35">
        <f t="shared" si="2309"/>
        <v>0.7112253022</v>
      </c>
      <c r="AM832" s="36">
        <f>SUM(Q819)</f>
        <v>1.5</v>
      </c>
      <c r="AN832" s="35">
        <f t="shared" si="2310"/>
        <v>0.8263409267</v>
      </c>
      <c r="AO832" s="37">
        <f t="shared" si="2311"/>
        <v>1.23951139</v>
      </c>
      <c r="AP832" s="36">
        <f t="shared" ref="AP832:AQ832" si="2312">SUM(T819)</f>
        <v>316</v>
      </c>
      <c r="AQ832" s="36">
        <f t="shared" si="2312"/>
        <v>7.707317073</v>
      </c>
      <c r="AR832" s="32">
        <f t="shared" si="2313"/>
        <v>239.6829268</v>
      </c>
    </row>
    <row r="833" ht="15.75" customHeight="1">
      <c r="A833" s="21"/>
      <c r="B833" s="38">
        <v>18.0</v>
      </c>
      <c r="C833" s="38" t="s">
        <v>31</v>
      </c>
      <c r="D833" s="78">
        <v>15.0</v>
      </c>
      <c r="E833" s="40">
        <f>IFERROR(__xludf.DUMMYFUNCTION("COUNT(IMPORTRANGE(""https://docs.google.com/spreadsheets/d/1fgCFOFzOla4Qim6_-zG-lbYhLCItqv_kZiAHoErRgcM/edit"",""31!d2:d16""))"),14.0)</f>
        <v>14</v>
      </c>
      <c r="F833" s="41">
        <f>IFERROR(__xludf.DUMMYFUNCTION("SUM(IMPORTRANGE(""https://docs.google.com/spreadsheets/d/1fgCFOFzOla4Qim6_-zG-lbYhLCItqv_kZiAHoErRgcM/edit"",""31!Q2:Q16""))"),2868.69)</f>
        <v>2868.69</v>
      </c>
      <c r="G833" s="40">
        <f>IFERROR(__xludf.DUMMYFUNCTION("IMPORTRANGE(""https://docs.google.com/spreadsheets/d/1fgCFOFzOla4Qim6_-zG-lbYhLCItqv_kZiAHoErRgcM/edit"",""31!e23"")"),859.0)</f>
        <v>859</v>
      </c>
      <c r="H833" s="40">
        <f>IFERROR(__xludf.DUMMYFUNCTION("IMPORTRANGE(""https://docs.google.com/spreadsheets/d/1fgCFOFzOla4Qim6_-zG-lbYhLCItqv_kZiAHoErRgcM/edit"",""31!e24"")"),11.0)</f>
        <v>11</v>
      </c>
      <c r="I833" s="40">
        <f t="shared" si="2265"/>
        <v>870</v>
      </c>
      <c r="J833" s="40">
        <f>IFERROR(__xludf.DUMMYFUNCTION("IMPORTRANGE(""https://docs.google.com/spreadsheets/d/1fgCFOFzOla4Qim6_-zG-lbYhLCItqv_kZiAHoErRgcM/edit"",""31!e27"")"),1192.0)</f>
        <v>1192</v>
      </c>
      <c r="K833" s="40">
        <f>IFERROR(__xludf.DUMMYFUNCTION("IMPORTRANGE(""https://docs.google.com/spreadsheets/d/1fgCFOFzOla4Qim6_-zG-lbYhLCItqv_kZiAHoErRgcM/edit"",""31!e28"")"),0.0)</f>
        <v>0</v>
      </c>
      <c r="L833" s="40">
        <f t="shared" si="2295"/>
        <v>1192</v>
      </c>
      <c r="M833" s="40">
        <f t="shared" si="2267"/>
        <v>2062</v>
      </c>
      <c r="N833" s="41">
        <f t="shared" si="2268"/>
        <v>204.9064286</v>
      </c>
      <c r="O833" s="38">
        <v>2717.0</v>
      </c>
      <c r="P833" s="42">
        <f t="shared" si="2269"/>
        <v>0.7589252852</v>
      </c>
      <c r="Q833" s="43">
        <v>1.5</v>
      </c>
      <c r="R833" s="42">
        <f t="shared" si="2270"/>
        <v>0.47919666</v>
      </c>
      <c r="S833" s="44">
        <f t="shared" si="2271"/>
        <v>0.71879499</v>
      </c>
      <c r="T833" s="43">
        <f>F833/43.465</f>
        <v>66</v>
      </c>
      <c r="U833" s="43">
        <f t="shared" si="2272"/>
        <v>4.714285714</v>
      </c>
      <c r="V833" s="40">
        <f t="shared" si="2273"/>
        <v>147.2857143</v>
      </c>
      <c r="X833" s="31">
        <v>3.0</v>
      </c>
      <c r="Y833" s="31" t="s">
        <v>36</v>
      </c>
      <c r="Z833" s="31">
        <f t="shared" ref="Z833:AI833" si="2314">SUM(D824)</f>
        <v>29</v>
      </c>
      <c r="AA833" s="32">
        <f t="shared" si="2314"/>
        <v>29</v>
      </c>
      <c r="AB833" s="33">
        <f t="shared" si="2314"/>
        <v>5571.494</v>
      </c>
      <c r="AC833" s="32">
        <f t="shared" si="2314"/>
        <v>1439</v>
      </c>
      <c r="AD833" s="32">
        <f t="shared" si="2314"/>
        <v>0</v>
      </c>
      <c r="AE833" s="32">
        <f t="shared" si="2314"/>
        <v>1439</v>
      </c>
      <c r="AF833" s="32">
        <f t="shared" si="2314"/>
        <v>2367</v>
      </c>
      <c r="AG833" s="32">
        <f t="shared" si="2314"/>
        <v>0</v>
      </c>
      <c r="AH833" s="32">
        <f t="shared" si="2314"/>
        <v>2367</v>
      </c>
      <c r="AI833" s="32">
        <f t="shared" si="2314"/>
        <v>3806</v>
      </c>
      <c r="AJ833" s="34">
        <f t="shared" si="2308"/>
        <v>192.1204828</v>
      </c>
      <c r="AK833" s="31">
        <f t="shared" ref="AK833:AK836" si="2318">SUM(O824)</f>
        <v>4796</v>
      </c>
      <c r="AL833" s="35">
        <f t="shared" si="2309"/>
        <v>0.7935779817</v>
      </c>
      <c r="AM833" s="36">
        <f t="shared" ref="AM833:AM836" si="2319">SUM(Q824)</f>
        <v>1.5</v>
      </c>
      <c r="AN833" s="35">
        <f t="shared" si="2310"/>
        <v>0.4554134552</v>
      </c>
      <c r="AO833" s="37">
        <f t="shared" si="2311"/>
        <v>0.6831201828</v>
      </c>
      <c r="AP833" s="36">
        <f t="shared" ref="AP833:AQ833" si="2315">SUM(T824)</f>
        <v>148.9146843</v>
      </c>
      <c r="AQ833" s="36">
        <f t="shared" si="2315"/>
        <v>5.134989115</v>
      </c>
      <c r="AR833" s="32">
        <f t="shared" si="2313"/>
        <v>131.2413793</v>
      </c>
    </row>
    <row r="834" ht="15.75" customHeight="1">
      <c r="A834" s="21"/>
      <c r="B834" s="60" t="s">
        <v>33</v>
      </c>
      <c r="C834" s="60">
        <v>18.0</v>
      </c>
      <c r="D834" s="60">
        <f t="shared" ref="D834:M834" si="2316">SUM(D816:D833)</f>
        <v>585</v>
      </c>
      <c r="E834" s="61">
        <f t="shared" si="2316"/>
        <v>573</v>
      </c>
      <c r="F834" s="62">
        <f t="shared" si="2316"/>
        <v>111851.199</v>
      </c>
      <c r="G834" s="61">
        <f t="shared" si="2316"/>
        <v>43444</v>
      </c>
      <c r="H834" s="61">
        <f t="shared" si="2316"/>
        <v>654</v>
      </c>
      <c r="I834" s="61">
        <f t="shared" si="2316"/>
        <v>44098</v>
      </c>
      <c r="J834" s="61">
        <f t="shared" si="2316"/>
        <v>55245</v>
      </c>
      <c r="K834" s="61">
        <f t="shared" si="2316"/>
        <v>1543</v>
      </c>
      <c r="L834" s="61">
        <f t="shared" si="2316"/>
        <v>56788</v>
      </c>
      <c r="M834" s="61">
        <f t="shared" si="2316"/>
        <v>100886</v>
      </c>
      <c r="N834" s="62">
        <f t="shared" si="2268"/>
        <v>195.2027906</v>
      </c>
      <c r="O834" s="60">
        <f>SUM(O816:O833)</f>
        <v>126399</v>
      </c>
      <c r="P834" s="63">
        <f t="shared" si="2269"/>
        <v>0.7981550487</v>
      </c>
      <c r="Q834" s="64">
        <v>1.5</v>
      </c>
      <c r="R834" s="63">
        <f t="shared" si="2270"/>
        <v>0.6013107945</v>
      </c>
      <c r="S834" s="65">
        <f t="shared" si="2271"/>
        <v>0.9019661917</v>
      </c>
      <c r="T834" s="64">
        <f>SUM(T816:T833)</f>
        <v>4106.025751</v>
      </c>
      <c r="U834" s="64">
        <f t="shared" si="2272"/>
        <v>7.165839007</v>
      </c>
      <c r="V834" s="61">
        <f t="shared" si="2273"/>
        <v>176.0663176</v>
      </c>
      <c r="X834" s="31">
        <v>4.0</v>
      </c>
      <c r="Y834" s="31" t="s">
        <v>37</v>
      </c>
      <c r="Z834" s="31">
        <f t="shared" ref="Z834:AI834" si="2317">SUM(D825)</f>
        <v>30</v>
      </c>
      <c r="AA834" s="32">
        <f t="shared" si="2317"/>
        <v>30</v>
      </c>
      <c r="AB834" s="33">
        <f t="shared" si="2317"/>
        <v>5787.396</v>
      </c>
      <c r="AC834" s="32">
        <f t="shared" si="2317"/>
        <v>2244</v>
      </c>
      <c r="AD834" s="32">
        <f t="shared" si="2317"/>
        <v>0</v>
      </c>
      <c r="AE834" s="32">
        <f t="shared" si="2317"/>
        <v>2244</v>
      </c>
      <c r="AF834" s="32">
        <f t="shared" si="2317"/>
        <v>2743</v>
      </c>
      <c r="AG834" s="32">
        <f t="shared" si="2317"/>
        <v>0</v>
      </c>
      <c r="AH834" s="32">
        <f t="shared" si="2317"/>
        <v>2743</v>
      </c>
      <c r="AI834" s="32">
        <f t="shared" si="2317"/>
        <v>4987</v>
      </c>
      <c r="AJ834" s="34">
        <f t="shared" si="2308"/>
        <v>192.9132</v>
      </c>
      <c r="AK834" s="31">
        <f t="shared" si="2318"/>
        <v>5887</v>
      </c>
      <c r="AL834" s="35">
        <f t="shared" si="2309"/>
        <v>0.8471207746</v>
      </c>
      <c r="AM834" s="36">
        <f t="shared" si="2319"/>
        <v>1.5</v>
      </c>
      <c r="AN834" s="35">
        <f t="shared" si="2310"/>
        <v>0.5744667665</v>
      </c>
      <c r="AO834" s="37">
        <f t="shared" si="2311"/>
        <v>0.8617001498</v>
      </c>
      <c r="AP834" s="36">
        <f t="shared" ref="AP834:AQ834" si="2320">SUM(T825)</f>
        <v>233.4380445</v>
      </c>
      <c r="AQ834" s="36">
        <f t="shared" si="2320"/>
        <v>7.781268151</v>
      </c>
      <c r="AR834" s="32">
        <f t="shared" si="2313"/>
        <v>166.2333333</v>
      </c>
    </row>
    <row r="835" ht="15.7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X835" s="31">
        <v>5.0</v>
      </c>
      <c r="Y835" s="31" t="s">
        <v>39</v>
      </c>
      <c r="Z835" s="31">
        <f t="shared" ref="Z835:AI835" si="2321">SUM(D826)</f>
        <v>28</v>
      </c>
      <c r="AA835" s="32">
        <f t="shared" si="2321"/>
        <v>27</v>
      </c>
      <c r="AB835" s="33">
        <f t="shared" si="2321"/>
        <v>5103.829</v>
      </c>
      <c r="AC835" s="32">
        <f t="shared" si="2321"/>
        <v>1119</v>
      </c>
      <c r="AD835" s="32">
        <f t="shared" si="2321"/>
        <v>0</v>
      </c>
      <c r="AE835" s="32">
        <f t="shared" si="2321"/>
        <v>1119</v>
      </c>
      <c r="AF835" s="32">
        <f t="shared" si="2321"/>
        <v>1558</v>
      </c>
      <c r="AG835" s="32">
        <f t="shared" si="2321"/>
        <v>737</v>
      </c>
      <c r="AH835" s="32">
        <f t="shared" si="2321"/>
        <v>2295</v>
      </c>
      <c r="AI835" s="32">
        <f t="shared" si="2321"/>
        <v>3414</v>
      </c>
      <c r="AJ835" s="34">
        <f t="shared" si="2308"/>
        <v>189.0307037</v>
      </c>
      <c r="AK835" s="31">
        <f t="shared" si="2318"/>
        <v>3569</v>
      </c>
      <c r="AL835" s="35">
        <f t="shared" si="2309"/>
        <v>0.9565704679</v>
      </c>
      <c r="AM835" s="36">
        <f t="shared" si="2319"/>
        <v>1.5</v>
      </c>
      <c r="AN835" s="35">
        <f t="shared" si="2310"/>
        <v>0.4459397053</v>
      </c>
      <c r="AO835" s="37">
        <f t="shared" si="2311"/>
        <v>0.6689095579</v>
      </c>
      <c r="AP835" s="36">
        <f t="shared" ref="AP835:AQ835" si="2322">SUM(T826)</f>
        <v>237.7966268</v>
      </c>
      <c r="AQ835" s="36">
        <f t="shared" si="2322"/>
        <v>8.807282472</v>
      </c>
      <c r="AR835" s="32">
        <f t="shared" si="2313"/>
        <v>126.4444444</v>
      </c>
    </row>
    <row r="836" ht="15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X836" s="31">
        <v>6.0</v>
      </c>
      <c r="Y836" s="31" t="s">
        <v>41</v>
      </c>
      <c r="Z836" s="31">
        <f t="shared" ref="Z836:AI836" si="2323">SUM(D827)</f>
        <v>24</v>
      </c>
      <c r="AA836" s="32">
        <f t="shared" si="2323"/>
        <v>24</v>
      </c>
      <c r="AB836" s="33">
        <f t="shared" si="2323"/>
        <v>4717.436</v>
      </c>
      <c r="AC836" s="32">
        <f t="shared" si="2323"/>
        <v>1226</v>
      </c>
      <c r="AD836" s="32">
        <f t="shared" si="2323"/>
        <v>0</v>
      </c>
      <c r="AE836" s="32">
        <f t="shared" si="2323"/>
        <v>1226</v>
      </c>
      <c r="AF836" s="32">
        <f t="shared" si="2323"/>
        <v>1634</v>
      </c>
      <c r="AG836" s="32">
        <f t="shared" si="2323"/>
        <v>215</v>
      </c>
      <c r="AH836" s="32">
        <f t="shared" si="2323"/>
        <v>1849</v>
      </c>
      <c r="AI836" s="32">
        <f t="shared" si="2323"/>
        <v>3075</v>
      </c>
      <c r="AJ836" s="34">
        <f t="shared" si="2308"/>
        <v>196.5598333</v>
      </c>
      <c r="AK836" s="31">
        <f t="shared" si="2318"/>
        <v>3801</v>
      </c>
      <c r="AL836" s="35">
        <f t="shared" si="2309"/>
        <v>0.8089976322</v>
      </c>
      <c r="AM836" s="36">
        <f t="shared" si="2319"/>
        <v>1.5</v>
      </c>
      <c r="AN836" s="35">
        <f t="shared" si="2310"/>
        <v>0.4345580947</v>
      </c>
      <c r="AO836" s="37">
        <f t="shared" si="2311"/>
        <v>0.651837142</v>
      </c>
      <c r="AP836" s="36">
        <f t="shared" ref="AP836:AQ836" si="2324">SUM(T827)</f>
        <v>159.2222222</v>
      </c>
      <c r="AQ836" s="36">
        <f t="shared" si="2324"/>
        <v>6.634259259</v>
      </c>
      <c r="AR836" s="32">
        <f t="shared" si="2313"/>
        <v>128.125</v>
      </c>
    </row>
    <row r="837" ht="15.75" customHeight="1">
      <c r="A837" s="1" t="s">
        <v>45</v>
      </c>
      <c r="D837" s="2"/>
      <c r="X837" s="46" t="s">
        <v>33</v>
      </c>
      <c r="Y837" s="46">
        <v>6.0</v>
      </c>
      <c r="Z837" s="46">
        <f t="shared" ref="Z837:AI837" si="2325">SUM(Z831:Z836)</f>
        <v>173</v>
      </c>
      <c r="AA837" s="47">
        <f t="shared" si="2325"/>
        <v>170</v>
      </c>
      <c r="AB837" s="49">
        <f t="shared" si="2325"/>
        <v>32676.527</v>
      </c>
      <c r="AC837" s="47">
        <f t="shared" si="2325"/>
        <v>13032</v>
      </c>
      <c r="AD837" s="47">
        <f t="shared" si="2325"/>
        <v>0</v>
      </c>
      <c r="AE837" s="47">
        <f t="shared" si="2325"/>
        <v>13032</v>
      </c>
      <c r="AF837" s="47">
        <f t="shared" si="2325"/>
        <v>16321</v>
      </c>
      <c r="AG837" s="47">
        <f t="shared" si="2325"/>
        <v>952</v>
      </c>
      <c r="AH837" s="47">
        <f t="shared" si="2325"/>
        <v>17273</v>
      </c>
      <c r="AI837" s="47">
        <f t="shared" si="2325"/>
        <v>30305</v>
      </c>
      <c r="AJ837" s="49">
        <f t="shared" si="2308"/>
        <v>192.2148647</v>
      </c>
      <c r="AK837" s="46">
        <f>SUM(AK831:AK836)</f>
        <v>37031</v>
      </c>
      <c r="AL837" s="50">
        <f t="shared" si="2309"/>
        <v>0.818368394</v>
      </c>
      <c r="AM837" s="51">
        <v>1.5</v>
      </c>
      <c r="AN837" s="50">
        <f t="shared" si="2310"/>
        <v>0.618282761</v>
      </c>
      <c r="AO837" s="52">
        <f t="shared" si="2311"/>
        <v>0.9274241415</v>
      </c>
      <c r="AP837" s="51">
        <f>SUM(AP831:AP836)</f>
        <v>1342.908727</v>
      </c>
      <c r="AQ837" s="51">
        <f>AP837/AA837</f>
        <v>7.899463098</v>
      </c>
      <c r="AR837" s="47">
        <f t="shared" si="2313"/>
        <v>178.2647059</v>
      </c>
    </row>
    <row r="838" ht="15.75" customHeight="1">
      <c r="A838" s="1" t="s">
        <v>45</v>
      </c>
      <c r="D838" s="2"/>
      <c r="X838" s="66" t="s">
        <v>1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6"/>
    </row>
    <row r="839" ht="15.75" customHeight="1">
      <c r="A839" s="80" t="s">
        <v>81</v>
      </c>
      <c r="B839" s="8" t="s">
        <v>2</v>
      </c>
      <c r="C839" s="8" t="s">
        <v>3</v>
      </c>
      <c r="D839" s="8" t="s">
        <v>4</v>
      </c>
      <c r="E839" s="8" t="s">
        <v>5</v>
      </c>
      <c r="F839" s="9" t="s">
        <v>6</v>
      </c>
      <c r="G839" s="8" t="s">
        <v>7</v>
      </c>
      <c r="H839" s="8" t="s">
        <v>8</v>
      </c>
      <c r="I839" s="8" t="s">
        <v>9</v>
      </c>
      <c r="J839" s="8" t="s">
        <v>10</v>
      </c>
      <c r="K839" s="8" t="s">
        <v>11</v>
      </c>
      <c r="L839" s="8" t="s">
        <v>12</v>
      </c>
      <c r="M839" s="8" t="s">
        <v>13</v>
      </c>
      <c r="N839" s="9" t="s">
        <v>14</v>
      </c>
      <c r="O839" s="8" t="s">
        <v>15</v>
      </c>
      <c r="P839" s="8" t="s">
        <v>16</v>
      </c>
      <c r="Q839" s="8" t="s">
        <v>17</v>
      </c>
      <c r="R839" s="8" t="s">
        <v>18</v>
      </c>
      <c r="S839" s="11" t="s">
        <v>19</v>
      </c>
      <c r="T839" s="12" t="s">
        <v>20</v>
      </c>
      <c r="U839" s="12" t="s">
        <v>21</v>
      </c>
      <c r="V839" s="13" t="s">
        <v>22</v>
      </c>
      <c r="X839" s="14" t="s">
        <v>2</v>
      </c>
      <c r="Y839" s="14" t="s">
        <v>3</v>
      </c>
      <c r="Z839" s="14" t="s">
        <v>4</v>
      </c>
      <c r="AA839" s="14" t="s">
        <v>5</v>
      </c>
      <c r="AB839" s="15" t="s">
        <v>6</v>
      </c>
      <c r="AC839" s="14" t="s">
        <v>7</v>
      </c>
      <c r="AD839" s="14" t="s">
        <v>8</v>
      </c>
      <c r="AE839" s="14" t="s">
        <v>9</v>
      </c>
      <c r="AF839" s="14" t="s">
        <v>10</v>
      </c>
      <c r="AG839" s="14" t="s">
        <v>11</v>
      </c>
      <c r="AH839" s="14" t="s">
        <v>12</v>
      </c>
      <c r="AI839" s="14" t="s">
        <v>13</v>
      </c>
      <c r="AJ839" s="15" t="s">
        <v>14</v>
      </c>
      <c r="AK839" s="14" t="s">
        <v>15</v>
      </c>
      <c r="AL839" s="14" t="s">
        <v>16</v>
      </c>
      <c r="AM839" s="16" t="s">
        <v>17</v>
      </c>
      <c r="AN839" s="17" t="s">
        <v>18</v>
      </c>
      <c r="AO839" s="18" t="s">
        <v>19</v>
      </c>
      <c r="AP839" s="19" t="s">
        <v>20</v>
      </c>
      <c r="AQ839" s="19" t="s">
        <v>21</v>
      </c>
      <c r="AR839" s="20" t="s">
        <v>22</v>
      </c>
      <c r="AS839" s="20" t="s">
        <v>47</v>
      </c>
      <c r="AT839" s="20" t="s">
        <v>48</v>
      </c>
    </row>
    <row r="840" ht="15.75" customHeight="1"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X840" s="22">
        <v>1.0</v>
      </c>
      <c r="Y840" s="22" t="s">
        <v>23</v>
      </c>
      <c r="Z840" s="23">
        <f t="shared" ref="Z840:AI840" si="2326">SUM(D848)</f>
        <v>1021</v>
      </c>
      <c r="AA840" s="23">
        <f t="shared" si="2326"/>
        <v>1001</v>
      </c>
      <c r="AB840" s="23">
        <f t="shared" si="2326"/>
        <v>196220.352</v>
      </c>
      <c r="AC840" s="23">
        <f t="shared" si="2326"/>
        <v>49910</v>
      </c>
      <c r="AD840" s="23">
        <f t="shared" si="2326"/>
        <v>70</v>
      </c>
      <c r="AE840" s="23">
        <f t="shared" si="2326"/>
        <v>49980</v>
      </c>
      <c r="AF840" s="23">
        <f t="shared" si="2326"/>
        <v>89997</v>
      </c>
      <c r="AG840" s="23">
        <f t="shared" si="2326"/>
        <v>186</v>
      </c>
      <c r="AH840" s="23">
        <f t="shared" si="2326"/>
        <v>90183</v>
      </c>
      <c r="AI840" s="23">
        <f t="shared" si="2326"/>
        <v>140163</v>
      </c>
      <c r="AJ840" s="25">
        <f t="shared" ref="AJ840:AJ846" si="2329">AB840/AA840</f>
        <v>196.0243277</v>
      </c>
      <c r="AK840" s="23">
        <f t="shared" ref="AK840:AK842" si="2330">SUM(O848)</f>
        <v>212443</v>
      </c>
      <c r="AL840" s="26">
        <f t="shared" ref="AL840:AL846" si="2331">AI840/AK840</f>
        <v>0.6597675612</v>
      </c>
      <c r="AM840" s="27">
        <f t="shared" ref="AM840:AM842" si="2332">SUM(Q848)</f>
        <v>1.5</v>
      </c>
      <c r="AN840" s="26">
        <f t="shared" ref="AN840:AN846" si="2333">AO840/AM840</f>
        <v>0.4762095218</v>
      </c>
      <c r="AO840" s="28">
        <f t="shared" ref="AO840:AO846" si="2334">AI840/AB840</f>
        <v>0.7143142828</v>
      </c>
      <c r="AP840" s="27">
        <f t="shared" ref="AP840:AQ840" si="2327">SUM(T848)</f>
        <v>5815.659514</v>
      </c>
      <c r="AQ840" s="27">
        <f t="shared" si="2327"/>
        <v>5.809849664</v>
      </c>
      <c r="AR840" s="23">
        <f t="shared" ref="AR840:AR846" si="2336">AI840/AA840</f>
        <v>140.022977</v>
      </c>
      <c r="AS840" s="94">
        <f t="shared" ref="AS840:AS842" si="2337">MAX(M11,M38,M65,M92,M119,M146,M173,M200,M227,M254,M281,M308,M335,M362,M389,M416,M443,M470,M497,M524,M551,M578,M605,M632,M659,M686,M713,M740,M767,M794,M821)</f>
        <v>5292</v>
      </c>
      <c r="AT840" s="95">
        <v>46227.0</v>
      </c>
    </row>
    <row r="841" ht="15.75" customHeight="1"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X841" s="22">
        <v>2.0</v>
      </c>
      <c r="Y841" s="22" t="s">
        <v>24</v>
      </c>
      <c r="Z841" s="23">
        <f t="shared" ref="Z841:AI841" si="2328">SUM(D849)</f>
        <v>1300</v>
      </c>
      <c r="AA841" s="23">
        <f t="shared" si="2328"/>
        <v>1262</v>
      </c>
      <c r="AB841" s="23">
        <f t="shared" si="2328"/>
        <v>242717.829</v>
      </c>
      <c r="AC841" s="23">
        <f t="shared" si="2328"/>
        <v>31461</v>
      </c>
      <c r="AD841" s="23">
        <f t="shared" si="2328"/>
        <v>126</v>
      </c>
      <c r="AE841" s="23">
        <f t="shared" si="2328"/>
        <v>31587</v>
      </c>
      <c r="AF841" s="23">
        <f t="shared" si="2328"/>
        <v>38090</v>
      </c>
      <c r="AG841" s="23">
        <f t="shared" si="2328"/>
        <v>388</v>
      </c>
      <c r="AH841" s="23">
        <f t="shared" si="2328"/>
        <v>38478</v>
      </c>
      <c r="AI841" s="23">
        <f t="shared" si="2328"/>
        <v>70065</v>
      </c>
      <c r="AJ841" s="25">
        <f t="shared" si="2329"/>
        <v>192.3279152</v>
      </c>
      <c r="AK841" s="23">
        <f t="shared" si="2330"/>
        <v>48980</v>
      </c>
      <c r="AL841" s="29">
        <f t="shared" si="2331"/>
        <v>1.430481829</v>
      </c>
      <c r="AM841" s="27">
        <f t="shared" si="2332"/>
        <v>1.5</v>
      </c>
      <c r="AN841" s="26">
        <f t="shared" si="2333"/>
        <v>0.1924456897</v>
      </c>
      <c r="AO841" s="28">
        <f t="shared" si="2334"/>
        <v>0.2886685345</v>
      </c>
      <c r="AP841" s="27">
        <f t="shared" ref="AP841:AQ841" si="2335">SUM(T849)</f>
        <v>9054.946055</v>
      </c>
      <c r="AQ841" s="27">
        <f t="shared" si="2335"/>
        <v>7.175076113</v>
      </c>
      <c r="AR841" s="23">
        <f t="shared" si="2336"/>
        <v>55.51901743</v>
      </c>
      <c r="AS841" s="94">
        <f t="shared" si="2337"/>
        <v>2756</v>
      </c>
      <c r="AT841" s="95">
        <v>46224.0</v>
      </c>
    </row>
    <row r="842" ht="15.75" customHeight="1"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X842" s="31">
        <v>3.0</v>
      </c>
      <c r="Y842" s="31" t="s">
        <v>25</v>
      </c>
      <c r="Z842" s="32">
        <f t="shared" ref="Z842:AI842" si="2338">SUM(D850)</f>
        <v>948</v>
      </c>
      <c r="AA842" s="32">
        <f t="shared" si="2338"/>
        <v>917</v>
      </c>
      <c r="AB842" s="32">
        <f t="shared" si="2338"/>
        <v>175432.308</v>
      </c>
      <c r="AC842" s="32">
        <f t="shared" si="2338"/>
        <v>65157</v>
      </c>
      <c r="AD842" s="32">
        <f t="shared" si="2338"/>
        <v>12403</v>
      </c>
      <c r="AE842" s="32">
        <f t="shared" si="2338"/>
        <v>77560</v>
      </c>
      <c r="AF842" s="32">
        <f t="shared" si="2338"/>
        <v>90176</v>
      </c>
      <c r="AG842" s="32">
        <f t="shared" si="2338"/>
        <v>10850</v>
      </c>
      <c r="AH842" s="32">
        <f t="shared" si="2338"/>
        <v>101026</v>
      </c>
      <c r="AI842" s="32">
        <f t="shared" si="2338"/>
        <v>178586</v>
      </c>
      <c r="AJ842" s="34">
        <f t="shared" si="2329"/>
        <v>191.311132</v>
      </c>
      <c r="AK842" s="32">
        <f t="shared" si="2330"/>
        <v>205282</v>
      </c>
      <c r="AL842" s="35">
        <f t="shared" si="2331"/>
        <v>0.8699545016</v>
      </c>
      <c r="AM842" s="36">
        <f t="shared" si="2332"/>
        <v>1.5</v>
      </c>
      <c r="AN842" s="35">
        <f t="shared" si="2333"/>
        <v>0.6786511258</v>
      </c>
      <c r="AO842" s="37">
        <f t="shared" si="2334"/>
        <v>1.017976689</v>
      </c>
      <c r="AP842" s="36">
        <f t="shared" ref="AP842:AQ842" si="2339">SUM(T850)</f>
        <v>7358.737752</v>
      </c>
      <c r="AQ842" s="36">
        <f t="shared" si="2339"/>
        <v>8.024795803</v>
      </c>
      <c r="AR842" s="32">
        <f t="shared" si="2336"/>
        <v>194.7502726</v>
      </c>
      <c r="AS842" s="94">
        <f t="shared" si="2337"/>
        <v>7056</v>
      </c>
      <c r="AT842" s="95">
        <v>46232.0</v>
      </c>
    </row>
    <row r="843" ht="15.75" customHeight="1">
      <c r="B843" s="38">
        <v>1.0</v>
      </c>
      <c r="C843" s="38" t="s">
        <v>26</v>
      </c>
      <c r="D843" s="40">
        <f t="shared" ref="D843:H843" si="2340">D6+D33+D60+D87+D114+D141+D168+D195+D222+D249+D276+D303+D330+D357+D384+D411+D438+D465+D492+D519+D546+D573+D600+D627+D654+D681+D708+D735+D762+D789+D816</f>
        <v>584</v>
      </c>
      <c r="E843" s="40">
        <f t="shared" si="2340"/>
        <v>570</v>
      </c>
      <c r="F843" s="40">
        <f t="shared" si="2340"/>
        <v>107603.106</v>
      </c>
      <c r="G843" s="40">
        <f t="shared" si="2340"/>
        <v>58781</v>
      </c>
      <c r="H843" s="40">
        <f t="shared" si="2340"/>
        <v>297</v>
      </c>
      <c r="I843" s="40">
        <f t="shared" ref="I843:I860" si="2345">SUM(G843:H843)</f>
        <v>59078</v>
      </c>
      <c r="J843" s="40">
        <f t="shared" ref="J843:K843" si="2341">J6+J33+J60+J87+J114+J141+J168+J195+J222+J249+J276+J303+J330+J357+J384+J411+J438+J465+J492+J519+J546+J573+J600+J627+J654+J681+J708+J735+J762+J789+J816</f>
        <v>77569</v>
      </c>
      <c r="K843" s="40">
        <f t="shared" si="2341"/>
        <v>1025</v>
      </c>
      <c r="L843" s="40">
        <f t="shared" ref="L843:L849" si="2347">SUM(J843:K843)</f>
        <v>78594</v>
      </c>
      <c r="M843" s="40">
        <f t="shared" ref="M843:M860" si="2348">SUM(I843+L843)</f>
        <v>137672</v>
      </c>
      <c r="N843" s="41">
        <f t="shared" ref="N843:N861" si="2349">F843/E843</f>
        <v>188.7773789</v>
      </c>
      <c r="O843" s="40">
        <f t="shared" ref="O843:O860" si="2350">O6+O33+O60+O87+O114+O141+O168+O195+O222+O249+O276+O303+O330+O357+O384+O411+O438+O465+O492+O519+O546+O573+O600+O627+O654+O681+O708+O735+O762+O789+O816</f>
        <v>159991</v>
      </c>
      <c r="P843" s="42">
        <f t="shared" ref="P843:P861" si="2351">M843/O843</f>
        <v>0.860498403</v>
      </c>
      <c r="Q843" s="43">
        <v>1.5</v>
      </c>
      <c r="R843" s="42">
        <f t="shared" ref="R843:R861" si="2352">S843/Q843</f>
        <v>0.8529617475</v>
      </c>
      <c r="S843" s="44">
        <f t="shared" ref="S843:S861" si="2353">M843/F843</f>
        <v>1.279442621</v>
      </c>
      <c r="T843" s="43">
        <f>F843/14.415</f>
        <v>7464.662227</v>
      </c>
      <c r="U843" s="43">
        <f t="shared" ref="U843:U861" si="2354">T843/E843</f>
        <v>13.09589864</v>
      </c>
      <c r="V843" s="40">
        <f t="shared" ref="V843:V861" si="2355">M843/E843</f>
        <v>241.5298246</v>
      </c>
      <c r="X843" s="22">
        <v>4.0</v>
      </c>
      <c r="Y843" s="22" t="s">
        <v>27</v>
      </c>
      <c r="Z843" s="23">
        <f t="shared" ref="Z843:AI843" si="2342">SUM(D856)</f>
        <v>878</v>
      </c>
      <c r="AA843" s="23">
        <f t="shared" si="2342"/>
        <v>846</v>
      </c>
      <c r="AB843" s="23">
        <f t="shared" si="2342"/>
        <v>158447.085</v>
      </c>
      <c r="AC843" s="23">
        <f t="shared" si="2342"/>
        <v>66445</v>
      </c>
      <c r="AD843" s="23">
        <f t="shared" si="2342"/>
        <v>963</v>
      </c>
      <c r="AE843" s="23">
        <f t="shared" si="2342"/>
        <v>67408</v>
      </c>
      <c r="AF843" s="23">
        <f t="shared" si="2342"/>
        <v>82998</v>
      </c>
      <c r="AG843" s="23">
        <f t="shared" si="2342"/>
        <v>873</v>
      </c>
      <c r="AH843" s="23">
        <f t="shared" si="2342"/>
        <v>83871</v>
      </c>
      <c r="AI843" s="23">
        <f t="shared" si="2342"/>
        <v>151279</v>
      </c>
      <c r="AJ843" s="25">
        <f t="shared" si="2329"/>
        <v>187.2896986</v>
      </c>
      <c r="AK843" s="23">
        <f>SUM(O856)</f>
        <v>251131</v>
      </c>
      <c r="AL843" s="26">
        <f t="shared" si="2331"/>
        <v>0.6023907841</v>
      </c>
      <c r="AM843" s="27">
        <f>SUM(Q856)</f>
        <v>1.5</v>
      </c>
      <c r="AN843" s="26">
        <f t="shared" si="2333"/>
        <v>0.6365069239</v>
      </c>
      <c r="AO843" s="28">
        <f t="shared" si="2334"/>
        <v>0.9547603858</v>
      </c>
      <c r="AP843" s="27">
        <f t="shared" ref="AP843:AQ843" si="2343">SUM(T856)</f>
        <v>7928.300475</v>
      </c>
      <c r="AQ843" s="27">
        <f t="shared" si="2343"/>
        <v>9.371513564</v>
      </c>
      <c r="AR843" s="23">
        <f t="shared" si="2336"/>
        <v>178.8167849</v>
      </c>
      <c r="AS843" s="94">
        <f>MAX(M19,M46,M73,M100,M127,M154,M181,M208,M235,M262,M289,M316,M343,M370,M397,M424,M451,M478,M505,M532,M559,M586,M613,M640,M667,M694,M721,M748,M775,M802,M829)</f>
        <v>6176</v>
      </c>
      <c r="AT843" s="95">
        <v>46230.0</v>
      </c>
    </row>
    <row r="844" ht="15.75" customHeight="1">
      <c r="B844" s="38">
        <v>2.0</v>
      </c>
      <c r="C844" s="38" t="s">
        <v>28</v>
      </c>
      <c r="D844" s="40">
        <f t="shared" ref="D844:H844" si="2344">D7+D34+D61+D88+D115+D142+D169+D196+D223+D250+D277+D304+D331+D358+D385+D412+D439+D466+D493+D520+D547+D574+D601+D628+D655+D682+D709+D736+D763+D790+D817</f>
        <v>959</v>
      </c>
      <c r="E844" s="40">
        <f t="shared" si="2344"/>
        <v>948</v>
      </c>
      <c r="F844" s="40">
        <f t="shared" si="2344"/>
        <v>178474.377</v>
      </c>
      <c r="G844" s="40">
        <f t="shared" si="2344"/>
        <v>69994</v>
      </c>
      <c r="H844" s="40">
        <f t="shared" si="2344"/>
        <v>4308</v>
      </c>
      <c r="I844" s="40">
        <f t="shared" si="2345"/>
        <v>74302</v>
      </c>
      <c r="J844" s="40">
        <f t="shared" ref="J844:K844" si="2346">J7+J34+J61+J88+J115+J142+J169+J196+J223+J250+J277+J304+J331+J358+J385+J412+J439+J466+J493+J520+J547+J574+J601+J628+J655+J682+J709+J736+J763+J790+J817</f>
        <v>79161</v>
      </c>
      <c r="K844" s="40">
        <f t="shared" si="2346"/>
        <v>6266</v>
      </c>
      <c r="L844" s="40">
        <f t="shared" si="2347"/>
        <v>85427</v>
      </c>
      <c r="M844" s="40">
        <f t="shared" si="2348"/>
        <v>159729</v>
      </c>
      <c r="N844" s="41">
        <f t="shared" si="2349"/>
        <v>188.2641108</v>
      </c>
      <c r="O844" s="40">
        <f t="shared" si="2350"/>
        <v>226765</v>
      </c>
      <c r="P844" s="42">
        <f t="shared" si="2351"/>
        <v>0.7043811876</v>
      </c>
      <c r="Q844" s="43">
        <v>1.5</v>
      </c>
      <c r="R844" s="42">
        <f t="shared" si="2352"/>
        <v>0.5966458703</v>
      </c>
      <c r="S844" s="44">
        <f t="shared" si="2353"/>
        <v>0.8949688055</v>
      </c>
      <c r="T844" s="43">
        <f>F844/30.897</f>
        <v>5776.430624</v>
      </c>
      <c r="U844" s="43">
        <f t="shared" si="2354"/>
        <v>6.093281249</v>
      </c>
      <c r="V844" s="40">
        <f t="shared" si="2355"/>
        <v>168.4905063</v>
      </c>
      <c r="X844" s="22">
        <v>5.0</v>
      </c>
      <c r="Y844" s="22" t="s">
        <v>29</v>
      </c>
      <c r="Z844" s="23">
        <f t="shared" ref="Z844:AI844" si="2356">SUM(D859)</f>
        <v>878</v>
      </c>
      <c r="AA844" s="23">
        <f t="shared" si="2356"/>
        <v>844</v>
      </c>
      <c r="AB844" s="23">
        <f t="shared" si="2356"/>
        <v>166823.244</v>
      </c>
      <c r="AC844" s="23">
        <f t="shared" si="2356"/>
        <v>74874</v>
      </c>
      <c r="AD844" s="23">
        <f t="shared" si="2356"/>
        <v>66</v>
      </c>
      <c r="AE844" s="23">
        <f t="shared" si="2356"/>
        <v>74940</v>
      </c>
      <c r="AF844" s="23">
        <f t="shared" si="2356"/>
        <v>113830</v>
      </c>
      <c r="AG844" s="23">
        <f t="shared" si="2356"/>
        <v>166</v>
      </c>
      <c r="AH844" s="23">
        <f t="shared" si="2356"/>
        <v>113996</v>
      </c>
      <c r="AI844" s="23">
        <f t="shared" si="2356"/>
        <v>188936</v>
      </c>
      <c r="AJ844" s="25">
        <f t="shared" si="2329"/>
        <v>197.657872</v>
      </c>
      <c r="AK844" s="23">
        <f t="shared" ref="AK844:AK845" si="2361">SUM(O859)</f>
        <v>285231</v>
      </c>
      <c r="AL844" s="26">
        <f t="shared" si="2331"/>
        <v>0.6623964436</v>
      </c>
      <c r="AM844" s="27">
        <f t="shared" ref="AM844:AM845" si="2362">SUM(Q859)</f>
        <v>1.5</v>
      </c>
      <c r="AN844" s="26">
        <f t="shared" si="2333"/>
        <v>0.7550346721</v>
      </c>
      <c r="AO844" s="28">
        <f t="shared" si="2334"/>
        <v>1.132552008</v>
      </c>
      <c r="AP844" s="27">
        <f t="shared" ref="AP844:AQ844" si="2357">SUM(T859)</f>
        <v>6406.914663</v>
      </c>
      <c r="AQ844" s="27">
        <f t="shared" si="2357"/>
        <v>7.591131118</v>
      </c>
      <c r="AR844" s="23">
        <f t="shared" si="2336"/>
        <v>223.8578199</v>
      </c>
      <c r="AS844" s="94">
        <f t="shared" ref="AS844:AS846" si="2364">MAX(M22,M49,M76,M103,M130,M157,M184,M211,M238,M265,M292,M319,M346,M373,M400,M427,M454,M481,M508,M535,M562,M589,M616,M643,M670,M697,M724,M751,M778,M805,M832)</f>
        <v>7470</v>
      </c>
      <c r="AT844" s="95">
        <v>46232.0</v>
      </c>
    </row>
    <row r="845" ht="15.75" customHeight="1">
      <c r="B845" s="38">
        <v>3.0</v>
      </c>
      <c r="C845" s="38" t="s">
        <v>30</v>
      </c>
      <c r="D845" s="40">
        <f t="shared" ref="D845:H845" si="2358">D8+D35+D62+D89+D116+D143+D170+D197+D224+D251+D278+D305+D332+D359+D386+D413+D440+D467+D494+D521+D548+D575+D602+D629+D656+D683+D710+D737+D764+D791+D818</f>
        <v>1752</v>
      </c>
      <c r="E845" s="40">
        <f t="shared" si="2358"/>
        <v>1695</v>
      </c>
      <c r="F845" s="40">
        <f t="shared" si="2358"/>
        <v>333714.283</v>
      </c>
      <c r="G845" s="40">
        <f t="shared" si="2358"/>
        <v>95460</v>
      </c>
      <c r="H845" s="40">
        <f t="shared" si="2358"/>
        <v>228</v>
      </c>
      <c r="I845" s="40">
        <f t="shared" si="2345"/>
        <v>95688</v>
      </c>
      <c r="J845" s="40">
        <f t="shared" ref="J845:K845" si="2359">J8+J35+J62+J89+J116+J143+J170+J197+J224+J251+J278+J305+J332+J359+J386+J413+J440+J467+J494+J521+J548+J575+J602+J629+J656+J683+J710+J737+J764+J791+J818</f>
        <v>150410</v>
      </c>
      <c r="K845" s="40">
        <f t="shared" si="2359"/>
        <v>1118</v>
      </c>
      <c r="L845" s="40">
        <f t="shared" si="2347"/>
        <v>151528</v>
      </c>
      <c r="M845" s="40">
        <f t="shared" si="2348"/>
        <v>247216</v>
      </c>
      <c r="N845" s="41">
        <f t="shared" si="2349"/>
        <v>196.8815829</v>
      </c>
      <c r="O845" s="40">
        <f t="shared" si="2350"/>
        <v>346084</v>
      </c>
      <c r="P845" s="42">
        <f t="shared" si="2351"/>
        <v>0.7143236902</v>
      </c>
      <c r="Q845" s="43">
        <v>1.5</v>
      </c>
      <c r="R845" s="42">
        <f t="shared" si="2352"/>
        <v>0.4938675839</v>
      </c>
      <c r="S845" s="44">
        <f t="shared" si="2353"/>
        <v>0.7408013759</v>
      </c>
      <c r="T845" s="43">
        <f>F845/29.603</f>
        <v>11272.98865</v>
      </c>
      <c r="U845" s="43">
        <f t="shared" si="2354"/>
        <v>6.650730767</v>
      </c>
      <c r="V845" s="40">
        <f t="shared" si="2355"/>
        <v>145.8501475</v>
      </c>
      <c r="X845" s="22">
        <v>6.0</v>
      </c>
      <c r="Y845" s="22" t="s">
        <v>31</v>
      </c>
      <c r="Z845" s="23">
        <f t="shared" ref="Z845:AI845" si="2360">SUM(D860)</f>
        <v>437</v>
      </c>
      <c r="AA845" s="23">
        <f t="shared" si="2360"/>
        <v>410</v>
      </c>
      <c r="AB845" s="23">
        <f t="shared" si="2360"/>
        <v>80824.889</v>
      </c>
      <c r="AC845" s="23">
        <f t="shared" si="2360"/>
        <v>24464</v>
      </c>
      <c r="AD845" s="23">
        <f t="shared" si="2360"/>
        <v>520</v>
      </c>
      <c r="AE845" s="23">
        <f t="shared" si="2360"/>
        <v>24984</v>
      </c>
      <c r="AF845" s="23">
        <f t="shared" si="2360"/>
        <v>31164</v>
      </c>
      <c r="AG845" s="23">
        <f t="shared" si="2360"/>
        <v>147</v>
      </c>
      <c r="AH845" s="23">
        <f t="shared" si="2360"/>
        <v>31311</v>
      </c>
      <c r="AI845" s="23">
        <f t="shared" si="2360"/>
        <v>56295</v>
      </c>
      <c r="AJ845" s="25">
        <f t="shared" si="2329"/>
        <v>197.1338756</v>
      </c>
      <c r="AK845" s="23">
        <f t="shared" si="2361"/>
        <v>84227</v>
      </c>
      <c r="AL845" s="26">
        <f t="shared" si="2331"/>
        <v>0.6683723747</v>
      </c>
      <c r="AM845" s="27">
        <f t="shared" si="2362"/>
        <v>1.5</v>
      </c>
      <c r="AN845" s="26">
        <f t="shared" si="2333"/>
        <v>0.4643371672</v>
      </c>
      <c r="AO845" s="28">
        <f t="shared" si="2334"/>
        <v>0.6965057508</v>
      </c>
      <c r="AP845" s="27">
        <f t="shared" ref="AP845:AQ845" si="2363">SUM(T860)</f>
        <v>1859.539607</v>
      </c>
      <c r="AQ845" s="27">
        <f t="shared" si="2363"/>
        <v>4.535462455</v>
      </c>
      <c r="AR845" s="23">
        <f t="shared" si="2336"/>
        <v>137.304878</v>
      </c>
      <c r="AS845" s="94">
        <f t="shared" si="2364"/>
        <v>2271</v>
      </c>
      <c r="AT845" s="95">
        <v>46225.0</v>
      </c>
    </row>
    <row r="846" ht="15.75" customHeight="1">
      <c r="B846" s="38">
        <v>4.0</v>
      </c>
      <c r="C846" s="38" t="s">
        <v>32</v>
      </c>
      <c r="D846" s="40">
        <f t="shared" ref="D846:H846" si="2365">D9+D36+D63+D90+D117+D144+D171+D198+D225+D252+D279+D306+D333+D360+D387+D414+D441+D468+D495+D522+D549+D576+D603+D630+D657+D684+D711+D738+D765+D792+D819</f>
        <v>1226</v>
      </c>
      <c r="E846" s="40">
        <f t="shared" si="2365"/>
        <v>1205</v>
      </c>
      <c r="F846" s="40">
        <f t="shared" si="2365"/>
        <v>236729.758</v>
      </c>
      <c r="G846" s="40">
        <f t="shared" si="2365"/>
        <v>131487</v>
      </c>
      <c r="H846" s="40">
        <f t="shared" si="2365"/>
        <v>1928</v>
      </c>
      <c r="I846" s="40">
        <f t="shared" si="2345"/>
        <v>133415</v>
      </c>
      <c r="J846" s="40">
        <f t="shared" ref="J846:K846" si="2366">J9+J36+J63+J90+J117+J144+J171+J198+J225+J252+J279+J306+J333+J360+J387+J414+J441+J468+J495+J522+J549+J576+J603+J630+J657+J684+J711+J738+J765+J792+J819</f>
        <v>153804</v>
      </c>
      <c r="K846" s="40">
        <f t="shared" si="2366"/>
        <v>1439</v>
      </c>
      <c r="L846" s="40">
        <f t="shared" si="2347"/>
        <v>155243</v>
      </c>
      <c r="M846" s="40">
        <f t="shared" si="2348"/>
        <v>288658</v>
      </c>
      <c r="N846" s="41">
        <f t="shared" si="2349"/>
        <v>196.4562307</v>
      </c>
      <c r="O846" s="40">
        <f t="shared" si="2350"/>
        <v>428327</v>
      </c>
      <c r="P846" s="42">
        <f t="shared" si="2351"/>
        <v>0.6739196922</v>
      </c>
      <c r="Q846" s="43">
        <v>1.5</v>
      </c>
      <c r="R846" s="42">
        <f t="shared" si="2352"/>
        <v>0.8129044202</v>
      </c>
      <c r="S846" s="44">
        <f t="shared" si="2353"/>
        <v>1.21935663</v>
      </c>
      <c r="T846" s="43">
        <f>F846/25.089</f>
        <v>9435.599585</v>
      </c>
      <c r="U846" s="43">
        <f t="shared" si="2354"/>
        <v>7.8303731</v>
      </c>
      <c r="V846" s="40">
        <f t="shared" si="2355"/>
        <v>239.5502075</v>
      </c>
      <c r="X846" s="46" t="s">
        <v>33</v>
      </c>
      <c r="Y846" s="46">
        <v>6.0</v>
      </c>
      <c r="Z846" s="47">
        <f t="shared" ref="Z846:AI846" si="2367">SUM(Z840:Z845)</f>
        <v>5462</v>
      </c>
      <c r="AA846" s="47">
        <f t="shared" si="2367"/>
        <v>5280</v>
      </c>
      <c r="AB846" s="47">
        <f t="shared" si="2367"/>
        <v>1020465.707</v>
      </c>
      <c r="AC846" s="47">
        <f t="shared" si="2367"/>
        <v>312311</v>
      </c>
      <c r="AD846" s="47">
        <f t="shared" si="2367"/>
        <v>14148</v>
      </c>
      <c r="AE846" s="47">
        <f t="shared" si="2367"/>
        <v>326459</v>
      </c>
      <c r="AF846" s="47">
        <f t="shared" si="2367"/>
        <v>446255</v>
      </c>
      <c r="AG846" s="47">
        <f t="shared" si="2367"/>
        <v>12610</v>
      </c>
      <c r="AH846" s="47">
        <f t="shared" si="2367"/>
        <v>458865</v>
      </c>
      <c r="AI846" s="47">
        <f t="shared" si="2367"/>
        <v>785324</v>
      </c>
      <c r="AJ846" s="49">
        <f t="shared" si="2329"/>
        <v>193.2700203</v>
      </c>
      <c r="AK846" s="47">
        <f>SUM(AK840:AK845)</f>
        <v>1087294</v>
      </c>
      <c r="AL846" s="50">
        <f t="shared" si="2331"/>
        <v>0.7222738284</v>
      </c>
      <c r="AM846" s="51">
        <v>1.5</v>
      </c>
      <c r="AN846" s="50">
        <f t="shared" si="2333"/>
        <v>0.5130494143</v>
      </c>
      <c r="AO846" s="52">
        <f t="shared" si="2334"/>
        <v>0.7695741215</v>
      </c>
      <c r="AP846" s="51">
        <f>SUM(AP840:AP845)</f>
        <v>38424.09807</v>
      </c>
      <c r="AQ846" s="51">
        <f>AP846/AA846</f>
        <v>7.2772913</v>
      </c>
      <c r="AR846" s="47">
        <f t="shared" si="2336"/>
        <v>148.7356061</v>
      </c>
      <c r="AS846" s="47">
        <f t="shared" si="2364"/>
        <v>103491</v>
      </c>
      <c r="AT846" s="108">
        <v>46230.0</v>
      </c>
    </row>
    <row r="847" ht="15.75" customHeight="1">
      <c r="B847" s="38">
        <v>5.0</v>
      </c>
      <c r="C847" s="38" t="s">
        <v>34</v>
      </c>
      <c r="D847" s="40">
        <f t="shared" ref="D847:H847" si="2368">D10+D37+D64+D91+D118+D145+D172+D199+D226+D253+D280+D307+D334+D361+D388+D415+D442+D469+D496+D523+D550+D577+D604+D631+D658+D685+D712+D739+D766+D793+D820</f>
        <v>1168</v>
      </c>
      <c r="E847" s="40">
        <f t="shared" si="2368"/>
        <v>1134</v>
      </c>
      <c r="F847" s="40">
        <f t="shared" si="2368"/>
        <v>221226.423</v>
      </c>
      <c r="G847" s="40">
        <f t="shared" si="2368"/>
        <v>78377</v>
      </c>
      <c r="H847" s="40">
        <f t="shared" si="2368"/>
        <v>79</v>
      </c>
      <c r="I847" s="40">
        <f t="shared" si="2345"/>
        <v>78456</v>
      </c>
      <c r="J847" s="40">
        <f t="shared" ref="J847:K847" si="2369">J10+J37+J64+J91+J118+J145+J172+J199+J226+J253+J280+J307+J334+J361+J388+J415+J442+J469+J496+J523+J550+J577+J604+J631+J658+J685+J712+J739+J766+J793+J820</f>
        <v>93816</v>
      </c>
      <c r="K847" s="40">
        <f t="shared" si="2369"/>
        <v>870</v>
      </c>
      <c r="L847" s="40">
        <f t="shared" si="2347"/>
        <v>94686</v>
      </c>
      <c r="M847" s="40">
        <f t="shared" si="2348"/>
        <v>173142</v>
      </c>
      <c r="N847" s="41">
        <f t="shared" si="2349"/>
        <v>195.0850291</v>
      </c>
      <c r="O847" s="40">
        <f t="shared" si="2350"/>
        <v>289974</v>
      </c>
      <c r="P847" s="42">
        <f t="shared" si="2351"/>
        <v>0.597094912</v>
      </c>
      <c r="Q847" s="43">
        <v>1.5</v>
      </c>
      <c r="R847" s="42">
        <f t="shared" si="2352"/>
        <v>0.5217640752</v>
      </c>
      <c r="S847" s="44">
        <f t="shared" si="2353"/>
        <v>0.7826461128</v>
      </c>
      <c r="T847" s="43">
        <f>F847/30.713</f>
        <v>7203.022271</v>
      </c>
      <c r="U847" s="43">
        <f t="shared" si="2354"/>
        <v>6.351871491</v>
      </c>
      <c r="V847" s="40">
        <f t="shared" si="2355"/>
        <v>152.6825397</v>
      </c>
      <c r="X847" s="53" t="s">
        <v>35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6"/>
    </row>
    <row r="848" ht="15.75" customHeight="1">
      <c r="B848" s="38">
        <v>6.0</v>
      </c>
      <c r="C848" s="38" t="s">
        <v>23</v>
      </c>
      <c r="D848" s="40">
        <f t="shared" ref="D848:H848" si="2370">D11+D38+D65+D92+D119+D146+D173+D200+D227+D254+D281+D308+D335+D362+D389+D416+D443+D470+D497+D524+D551+D578+D605+D632+D659+D686+D713+D740+D767+D794+D821</f>
        <v>1021</v>
      </c>
      <c r="E848" s="40">
        <f t="shared" si="2370"/>
        <v>1001</v>
      </c>
      <c r="F848" s="40">
        <f t="shared" si="2370"/>
        <v>196220.352</v>
      </c>
      <c r="G848" s="40">
        <f t="shared" si="2370"/>
        <v>49910</v>
      </c>
      <c r="H848" s="40">
        <f t="shared" si="2370"/>
        <v>70</v>
      </c>
      <c r="I848" s="40">
        <f t="shared" si="2345"/>
        <v>49980</v>
      </c>
      <c r="J848" s="40">
        <f t="shared" ref="J848:K848" si="2371">J11+J38+J65+J92+J119+J146+J173+J200+J227+J254+J281+J308+J335+J362+J389+J416+J443+J470+J497+J524+J551+J578+J605+J632+J659+J686+J713+J740+J767+J794+J821</f>
        <v>89997</v>
      </c>
      <c r="K848" s="40">
        <f t="shared" si="2371"/>
        <v>186</v>
      </c>
      <c r="L848" s="40">
        <f t="shared" si="2347"/>
        <v>90183</v>
      </c>
      <c r="M848" s="40">
        <f t="shared" si="2348"/>
        <v>140163</v>
      </c>
      <c r="N848" s="41">
        <f t="shared" si="2349"/>
        <v>196.0243277</v>
      </c>
      <c r="O848" s="40">
        <f t="shared" si="2350"/>
        <v>212443</v>
      </c>
      <c r="P848" s="42">
        <f t="shared" si="2351"/>
        <v>0.6597675612</v>
      </c>
      <c r="Q848" s="43">
        <v>1.5</v>
      </c>
      <c r="R848" s="42">
        <f t="shared" si="2352"/>
        <v>0.4762095218</v>
      </c>
      <c r="S848" s="44">
        <f t="shared" si="2353"/>
        <v>0.7143142828</v>
      </c>
      <c r="T848" s="43">
        <f>F848/33.74</f>
        <v>5815.659514</v>
      </c>
      <c r="U848" s="43">
        <f t="shared" si="2354"/>
        <v>5.809849664</v>
      </c>
      <c r="V848" s="40">
        <f t="shared" si="2355"/>
        <v>140.022977</v>
      </c>
      <c r="X848" s="14" t="s">
        <v>2</v>
      </c>
      <c r="Y848" s="14" t="s">
        <v>3</v>
      </c>
      <c r="Z848" s="14" t="s">
        <v>4</v>
      </c>
      <c r="AA848" s="14" t="s">
        <v>5</v>
      </c>
      <c r="AB848" s="15" t="s">
        <v>6</v>
      </c>
      <c r="AC848" s="14" t="s">
        <v>7</v>
      </c>
      <c r="AD848" s="14" t="s">
        <v>8</v>
      </c>
      <c r="AE848" s="14" t="s">
        <v>9</v>
      </c>
      <c r="AF848" s="14" t="s">
        <v>10</v>
      </c>
      <c r="AG848" s="14" t="s">
        <v>11</v>
      </c>
      <c r="AH848" s="14" t="s">
        <v>12</v>
      </c>
      <c r="AI848" s="14" t="s">
        <v>13</v>
      </c>
      <c r="AJ848" s="15" t="s">
        <v>14</v>
      </c>
      <c r="AK848" s="14" t="s">
        <v>15</v>
      </c>
      <c r="AL848" s="14" t="s">
        <v>16</v>
      </c>
      <c r="AM848" s="16" t="s">
        <v>17</v>
      </c>
      <c r="AN848" s="17" t="s">
        <v>18</v>
      </c>
      <c r="AO848" s="18" t="s">
        <v>19</v>
      </c>
      <c r="AP848" s="19" t="s">
        <v>20</v>
      </c>
      <c r="AQ848" s="19" t="s">
        <v>21</v>
      </c>
      <c r="AR848" s="20" t="s">
        <v>22</v>
      </c>
      <c r="AS848" s="20" t="s">
        <v>47</v>
      </c>
      <c r="AT848" s="20" t="s">
        <v>48</v>
      </c>
    </row>
    <row r="849" ht="15.75" customHeight="1">
      <c r="B849" s="38">
        <v>7.0</v>
      </c>
      <c r="C849" s="38" t="s">
        <v>24</v>
      </c>
      <c r="D849" s="40">
        <f t="shared" ref="D849:H849" si="2372">D12+D39+D66+D93+D120+D147+D174+D201+D228+D255+D282+D309+D336+D363+D390+D417+D444+D471+D498+D525+D552+D579+D606+D633+D660+D687+D714+D741+D768+D795+D822</f>
        <v>1300</v>
      </c>
      <c r="E849" s="40">
        <f t="shared" si="2372"/>
        <v>1262</v>
      </c>
      <c r="F849" s="40">
        <f t="shared" si="2372"/>
        <v>242717.829</v>
      </c>
      <c r="G849" s="40">
        <f t="shared" si="2372"/>
        <v>31461</v>
      </c>
      <c r="H849" s="40">
        <f t="shared" si="2372"/>
        <v>126</v>
      </c>
      <c r="I849" s="40">
        <f t="shared" si="2345"/>
        <v>31587</v>
      </c>
      <c r="J849" s="40">
        <f t="shared" ref="J849:K849" si="2373">J12+J39+J66+J93+J120+J147+J174+J201+J228+J255+J282+J309+J336+J363+J390+J417+J444+J471+J498+J525+J552+J579+J606+J633+J660+J687+J714+J741+J768+J795+J822</f>
        <v>38090</v>
      </c>
      <c r="K849" s="40">
        <f t="shared" si="2373"/>
        <v>388</v>
      </c>
      <c r="L849" s="40">
        <f t="shared" si="2347"/>
        <v>38478</v>
      </c>
      <c r="M849" s="40">
        <f t="shared" si="2348"/>
        <v>70065</v>
      </c>
      <c r="N849" s="41">
        <f t="shared" si="2349"/>
        <v>192.3279152</v>
      </c>
      <c r="O849" s="40">
        <f t="shared" si="2350"/>
        <v>48980</v>
      </c>
      <c r="P849" s="56">
        <f t="shared" si="2351"/>
        <v>1.430481829</v>
      </c>
      <c r="Q849" s="43">
        <v>1.5</v>
      </c>
      <c r="R849" s="42">
        <f t="shared" si="2352"/>
        <v>0.1924456897</v>
      </c>
      <c r="S849" s="44">
        <f t="shared" si="2353"/>
        <v>0.2886685345</v>
      </c>
      <c r="T849" s="43">
        <f>F849/26.805</f>
        <v>9054.946055</v>
      </c>
      <c r="U849" s="43">
        <f t="shared" si="2354"/>
        <v>7.175076113</v>
      </c>
      <c r="V849" s="40">
        <f t="shared" si="2355"/>
        <v>55.51901743</v>
      </c>
      <c r="X849" s="22">
        <v>1.0</v>
      </c>
      <c r="Y849" s="22" t="s">
        <v>28</v>
      </c>
      <c r="Z849" s="23">
        <f t="shared" ref="Z849:AI849" si="2374">SUM(D844)</f>
        <v>959</v>
      </c>
      <c r="AA849" s="23">
        <f t="shared" si="2374"/>
        <v>948</v>
      </c>
      <c r="AB849" s="23">
        <f t="shared" si="2374"/>
        <v>178474.377</v>
      </c>
      <c r="AC849" s="23">
        <f t="shared" si="2374"/>
        <v>69994</v>
      </c>
      <c r="AD849" s="23">
        <f t="shared" si="2374"/>
        <v>4308</v>
      </c>
      <c r="AE849" s="23">
        <f t="shared" si="2374"/>
        <v>74302</v>
      </c>
      <c r="AF849" s="23">
        <f t="shared" si="2374"/>
        <v>79161</v>
      </c>
      <c r="AG849" s="23">
        <f t="shared" si="2374"/>
        <v>6266</v>
      </c>
      <c r="AH849" s="23">
        <f t="shared" si="2374"/>
        <v>85427</v>
      </c>
      <c r="AI849" s="23">
        <f t="shared" si="2374"/>
        <v>159729</v>
      </c>
      <c r="AJ849" s="25">
        <f t="shared" ref="AJ849:AJ855" si="2379">AB849/AA849</f>
        <v>188.2641108</v>
      </c>
      <c r="AK849" s="23">
        <f t="shared" ref="AK849:AK850" si="2380">SUM(O844)</f>
        <v>226765</v>
      </c>
      <c r="AL849" s="26">
        <f t="shared" ref="AL849:AL855" si="2381">AI849/AK849</f>
        <v>0.7043811876</v>
      </c>
      <c r="AM849" s="27">
        <f t="shared" ref="AM849:AM850" si="2382">SUM(Q844)</f>
        <v>1.5</v>
      </c>
      <c r="AN849" s="26">
        <f t="shared" ref="AN849:AN855" si="2383">AO849/AM849</f>
        <v>0.5966458703</v>
      </c>
      <c r="AO849" s="28">
        <f t="shared" ref="AO849:AO855" si="2384">AI849/AB849</f>
        <v>0.8949688055</v>
      </c>
      <c r="AP849" s="27">
        <f t="shared" ref="AP849:AQ849" si="2375">SUM(T844)</f>
        <v>5776.430624</v>
      </c>
      <c r="AQ849" s="27">
        <f t="shared" si="2375"/>
        <v>6.093281249</v>
      </c>
      <c r="AR849" s="23">
        <f t="shared" ref="AR849:AR855" si="2386">AI849/AA849</f>
        <v>168.4905063</v>
      </c>
      <c r="AS849" s="97">
        <f t="shared" ref="AS849:AS850" si="2387">MAX(M7,M34,M61,M88,M115,M142,M169,M196,M223,M250,M277,M304,M331,M358,M385,M412,M439,M466,M493,M520,M547,M574,M601,M628,M655,M682,M709,M736,M763,M790,M817)</f>
        <v>6308</v>
      </c>
      <c r="AT849" s="95">
        <v>46226.0</v>
      </c>
    </row>
    <row r="850" ht="15.75" customHeight="1">
      <c r="B850" s="38">
        <v>8.0</v>
      </c>
      <c r="C850" s="38" t="s">
        <v>25</v>
      </c>
      <c r="D850" s="40">
        <f t="shared" ref="D850:H850" si="2376">D13+D40+D67+D94+D121+D148+D175+D202+D229+D256+D283+D310+D337+D364+D391+D418+D445+D472+D499+D526+D553+D580+D607+D634+D661+D688+D715+D742+D769+D796+D823</f>
        <v>948</v>
      </c>
      <c r="E850" s="40">
        <f t="shared" si="2376"/>
        <v>917</v>
      </c>
      <c r="F850" s="40">
        <f t="shared" si="2376"/>
        <v>175432.308</v>
      </c>
      <c r="G850" s="40">
        <f t="shared" si="2376"/>
        <v>65157</v>
      </c>
      <c r="H850" s="40">
        <f t="shared" si="2376"/>
        <v>12403</v>
      </c>
      <c r="I850" s="40">
        <f t="shared" si="2345"/>
        <v>77560</v>
      </c>
      <c r="J850" s="40">
        <f t="shared" ref="J850:K850" si="2377">J13+J40+J67+J94+J121+J148+J175+J202+J229+J256+J283+J310+J337+J364+J391+J418+J445+J472+J499+J526+J553+J580+J607+J634+J661+J688+J715+J742+J769+J796+J823</f>
        <v>90176</v>
      </c>
      <c r="K850" s="40">
        <f t="shared" si="2377"/>
        <v>10850</v>
      </c>
      <c r="L850" s="40">
        <f>J850+K850</f>
        <v>101026</v>
      </c>
      <c r="M850" s="40">
        <f t="shared" si="2348"/>
        <v>178586</v>
      </c>
      <c r="N850" s="41">
        <f t="shared" si="2349"/>
        <v>191.311132</v>
      </c>
      <c r="O850" s="40">
        <f t="shared" si="2350"/>
        <v>205282</v>
      </c>
      <c r="P850" s="42">
        <f t="shared" si="2351"/>
        <v>0.8699545016</v>
      </c>
      <c r="Q850" s="43">
        <v>1.5</v>
      </c>
      <c r="R850" s="42">
        <f t="shared" si="2352"/>
        <v>0.6786511258</v>
      </c>
      <c r="S850" s="44">
        <f t="shared" si="2353"/>
        <v>1.017976689</v>
      </c>
      <c r="T850" s="43">
        <f>F850/23.84</f>
        <v>7358.737752</v>
      </c>
      <c r="U850" s="43">
        <f t="shared" si="2354"/>
        <v>8.024795803</v>
      </c>
      <c r="V850" s="40">
        <f t="shared" si="2355"/>
        <v>194.7502726</v>
      </c>
      <c r="X850" s="31">
        <v>2.0</v>
      </c>
      <c r="Y850" s="31" t="s">
        <v>30</v>
      </c>
      <c r="Z850" s="32">
        <f t="shared" ref="Z850:AI850" si="2378">SUM(D845)</f>
        <v>1752</v>
      </c>
      <c r="AA850" s="32">
        <f t="shared" si="2378"/>
        <v>1695</v>
      </c>
      <c r="AB850" s="32">
        <f t="shared" si="2378"/>
        <v>333714.283</v>
      </c>
      <c r="AC850" s="32">
        <f t="shared" si="2378"/>
        <v>95460</v>
      </c>
      <c r="AD850" s="32">
        <f t="shared" si="2378"/>
        <v>228</v>
      </c>
      <c r="AE850" s="32">
        <f t="shared" si="2378"/>
        <v>95688</v>
      </c>
      <c r="AF850" s="32">
        <f t="shared" si="2378"/>
        <v>150410</v>
      </c>
      <c r="AG850" s="32">
        <f t="shared" si="2378"/>
        <v>1118</v>
      </c>
      <c r="AH850" s="32">
        <f t="shared" si="2378"/>
        <v>151528</v>
      </c>
      <c r="AI850" s="32">
        <f t="shared" si="2378"/>
        <v>247216</v>
      </c>
      <c r="AJ850" s="34">
        <f t="shared" si="2379"/>
        <v>196.8815829</v>
      </c>
      <c r="AK850" s="32">
        <f t="shared" si="2380"/>
        <v>346084</v>
      </c>
      <c r="AL850" s="35">
        <f t="shared" si="2381"/>
        <v>0.7143236902</v>
      </c>
      <c r="AM850" s="36">
        <f t="shared" si="2382"/>
        <v>1.5</v>
      </c>
      <c r="AN850" s="35">
        <f t="shared" si="2383"/>
        <v>0.4938675839</v>
      </c>
      <c r="AO850" s="37">
        <f t="shared" si="2384"/>
        <v>0.7408013759</v>
      </c>
      <c r="AP850" s="36">
        <f t="shared" ref="AP850:AQ850" si="2385">SUM(T845)</f>
        <v>11272.98865</v>
      </c>
      <c r="AQ850" s="36">
        <f t="shared" si="2385"/>
        <v>6.650730767</v>
      </c>
      <c r="AR850" s="32">
        <f t="shared" si="2386"/>
        <v>145.8501475</v>
      </c>
      <c r="AS850" s="94">
        <f t="shared" si="2387"/>
        <v>9443</v>
      </c>
      <c r="AT850" s="95">
        <v>46224.0</v>
      </c>
    </row>
    <row r="851" ht="15.75" customHeight="1">
      <c r="B851" s="38">
        <v>9.0</v>
      </c>
      <c r="C851" s="38" t="s">
        <v>36</v>
      </c>
      <c r="D851" s="40">
        <f t="shared" ref="D851:H851" si="2388">D14+D41+D68+D95+D122+D149+D176+D203+D230+D257+D284+D311+D338+D365+D392+D419+D446+D473+D500+D527+D554+D581+D608+D635+D662+D689+D716+D743+D770+D797+D824</f>
        <v>798</v>
      </c>
      <c r="E851" s="40">
        <f t="shared" si="2388"/>
        <v>788</v>
      </c>
      <c r="F851" s="40">
        <f t="shared" si="2388"/>
        <v>154990.227</v>
      </c>
      <c r="G851" s="40">
        <f t="shared" si="2388"/>
        <v>42411</v>
      </c>
      <c r="H851" s="40">
        <f t="shared" si="2388"/>
        <v>0</v>
      </c>
      <c r="I851" s="40">
        <f t="shared" si="2345"/>
        <v>42411</v>
      </c>
      <c r="J851" s="40">
        <f t="shared" ref="J851:K851" si="2389">J14+J41+J68+J95+J122+J149+J176+J203+J230+J257+J284+J311+J338+J365+J392+J419+J446+J473+J500+J527+J554+J581+J608+J635+J662+J689+J716+J743+J770+J797+J824</f>
        <v>60485</v>
      </c>
      <c r="K851" s="40">
        <f t="shared" si="2389"/>
        <v>18</v>
      </c>
      <c r="L851" s="40">
        <f t="shared" ref="L851:L860" si="2394">SUM(J851:K851)</f>
        <v>60503</v>
      </c>
      <c r="M851" s="40">
        <f t="shared" si="2348"/>
        <v>102914</v>
      </c>
      <c r="N851" s="41">
        <f t="shared" si="2349"/>
        <v>196.6881053</v>
      </c>
      <c r="O851" s="40">
        <f t="shared" si="2350"/>
        <v>148676</v>
      </c>
      <c r="P851" s="42">
        <f t="shared" si="2351"/>
        <v>0.6922031801</v>
      </c>
      <c r="Q851" s="43">
        <v>1.5</v>
      </c>
      <c r="R851" s="42">
        <f t="shared" si="2352"/>
        <v>0.4426687712</v>
      </c>
      <c r="S851" s="44">
        <f t="shared" si="2353"/>
        <v>0.6640031568</v>
      </c>
      <c r="T851" s="43">
        <f>F851/37.414</f>
        <v>4142.573021</v>
      </c>
      <c r="U851" s="43">
        <f t="shared" si="2354"/>
        <v>5.257072361</v>
      </c>
      <c r="V851" s="40">
        <f t="shared" si="2355"/>
        <v>130.6015228</v>
      </c>
      <c r="X851" s="22">
        <v>3.0</v>
      </c>
      <c r="Y851" s="22" t="s">
        <v>34</v>
      </c>
      <c r="Z851" s="23">
        <f t="shared" ref="Z851:AI851" si="2390">SUM(D847)</f>
        <v>1168</v>
      </c>
      <c r="AA851" s="23">
        <f t="shared" si="2390"/>
        <v>1134</v>
      </c>
      <c r="AB851" s="23">
        <f t="shared" si="2390"/>
        <v>221226.423</v>
      </c>
      <c r="AC851" s="23">
        <f t="shared" si="2390"/>
        <v>78377</v>
      </c>
      <c r="AD851" s="23">
        <f t="shared" si="2390"/>
        <v>79</v>
      </c>
      <c r="AE851" s="23">
        <f t="shared" si="2390"/>
        <v>78456</v>
      </c>
      <c r="AF851" s="23">
        <f t="shared" si="2390"/>
        <v>93816</v>
      </c>
      <c r="AG851" s="23">
        <f t="shared" si="2390"/>
        <v>870</v>
      </c>
      <c r="AH851" s="23">
        <f t="shared" si="2390"/>
        <v>94686</v>
      </c>
      <c r="AI851" s="23">
        <f t="shared" si="2390"/>
        <v>173142</v>
      </c>
      <c r="AJ851" s="25">
        <f t="shared" si="2379"/>
        <v>195.0850291</v>
      </c>
      <c r="AK851" s="23">
        <f>SUM(O847)</f>
        <v>289974</v>
      </c>
      <c r="AL851" s="26">
        <f t="shared" si="2381"/>
        <v>0.597094912</v>
      </c>
      <c r="AM851" s="27">
        <f>SUM(Q847)</f>
        <v>1.5</v>
      </c>
      <c r="AN851" s="26">
        <f t="shared" si="2383"/>
        <v>0.5217640752</v>
      </c>
      <c r="AO851" s="28">
        <f t="shared" si="2384"/>
        <v>0.7826461128</v>
      </c>
      <c r="AP851" s="27">
        <f t="shared" ref="AP851:AQ851" si="2391">SUM(T847)</f>
        <v>7203.022271</v>
      </c>
      <c r="AQ851" s="27">
        <f t="shared" si="2391"/>
        <v>6.351871491</v>
      </c>
      <c r="AR851" s="23">
        <f t="shared" si="2386"/>
        <v>152.6825397</v>
      </c>
      <c r="AS851" s="94">
        <f>MAX(M10,M37,M64,M91,M118,M145,M172,M199,M226,M253,M280,M307,M334,M361,M388,M415,M442,M469,M496,M523,M550,M577,M604,M631,M658,M685,M712,M739,M766,M793,M820)</f>
        <v>6745</v>
      </c>
      <c r="AT851" s="95">
        <v>46231.0</v>
      </c>
    </row>
    <row r="852" ht="15.75" customHeight="1">
      <c r="B852" s="38">
        <v>10.0</v>
      </c>
      <c r="C852" s="38" t="s">
        <v>37</v>
      </c>
      <c r="D852" s="40">
        <f t="shared" ref="D852:H852" si="2392">D15+D42+D69+D96+D123+D150+D177+D204+D231+D258+D285+D312+D339+D366+D393+D420+D447+D474+D501+D528+D555+D582+D609+D636+D663+D690+D717+D744+D771+D798+D825</f>
        <v>878</v>
      </c>
      <c r="E852" s="40">
        <f t="shared" si="2392"/>
        <v>849</v>
      </c>
      <c r="F852" s="40">
        <f t="shared" si="2392"/>
        <v>165524.484</v>
      </c>
      <c r="G852" s="40">
        <f t="shared" si="2392"/>
        <v>56615</v>
      </c>
      <c r="H852" s="40">
        <f t="shared" si="2392"/>
        <v>433</v>
      </c>
      <c r="I852" s="40">
        <f t="shared" si="2345"/>
        <v>57048</v>
      </c>
      <c r="J852" s="40">
        <f t="shared" ref="J852:K852" si="2393">J15+J42+J69+J96+J123+J150+J177+J204+J231+J258+J285+J312+J339+J366+J393+J420+J447+J474+J501+J528+J555+J582+J609+J636+J663+J690+J717+J744+J771+J798+J825</f>
        <v>82177</v>
      </c>
      <c r="K852" s="40">
        <f t="shared" si="2393"/>
        <v>654</v>
      </c>
      <c r="L852" s="40">
        <f t="shared" si="2394"/>
        <v>82831</v>
      </c>
      <c r="M852" s="40">
        <f t="shared" si="2348"/>
        <v>139879</v>
      </c>
      <c r="N852" s="41">
        <f t="shared" si="2349"/>
        <v>194.9640565</v>
      </c>
      <c r="O852" s="40">
        <f t="shared" si="2350"/>
        <v>182497</v>
      </c>
      <c r="P852" s="42">
        <f t="shared" si="2351"/>
        <v>0.7664728735</v>
      </c>
      <c r="Q852" s="43">
        <v>1.5</v>
      </c>
      <c r="R852" s="42">
        <f t="shared" si="2352"/>
        <v>0.5633768758</v>
      </c>
      <c r="S852" s="44">
        <f t="shared" si="2353"/>
        <v>0.8450653137</v>
      </c>
      <c r="T852" s="43">
        <f>F852/24.792</f>
        <v>6676.528074</v>
      </c>
      <c r="U852" s="43">
        <f t="shared" si="2354"/>
        <v>7.863990664</v>
      </c>
      <c r="V852" s="40">
        <f t="shared" si="2355"/>
        <v>164.7573616</v>
      </c>
      <c r="X852" s="31">
        <v>4.0</v>
      </c>
      <c r="Y852" s="31" t="s">
        <v>38</v>
      </c>
      <c r="Z852" s="32">
        <f t="shared" ref="Z852:AI852" si="2395">SUM(D855)</f>
        <v>878</v>
      </c>
      <c r="AA852" s="32">
        <f t="shared" si="2395"/>
        <v>865</v>
      </c>
      <c r="AB852" s="32">
        <f t="shared" si="2395"/>
        <v>179132.071</v>
      </c>
      <c r="AC852" s="32">
        <f t="shared" si="2395"/>
        <v>58252</v>
      </c>
      <c r="AD852" s="32">
        <f t="shared" si="2395"/>
        <v>1530</v>
      </c>
      <c r="AE852" s="32">
        <f t="shared" si="2395"/>
        <v>59782</v>
      </c>
      <c r="AF852" s="32">
        <f t="shared" si="2395"/>
        <v>79837</v>
      </c>
      <c r="AG852" s="32">
        <f t="shared" si="2395"/>
        <v>3242</v>
      </c>
      <c r="AH852" s="32">
        <f t="shared" si="2395"/>
        <v>83079</v>
      </c>
      <c r="AI852" s="32">
        <f t="shared" si="2395"/>
        <v>142861</v>
      </c>
      <c r="AJ852" s="34">
        <f t="shared" si="2379"/>
        <v>207.0890994</v>
      </c>
      <c r="AK852" s="32">
        <f>SUM(O855)</f>
        <v>258695</v>
      </c>
      <c r="AL852" s="35">
        <f t="shared" si="2381"/>
        <v>0.5522371905</v>
      </c>
      <c r="AM852" s="36">
        <f>SUM(Q855)</f>
        <v>1.5</v>
      </c>
      <c r="AN852" s="35">
        <f t="shared" si="2383"/>
        <v>0.5316784769</v>
      </c>
      <c r="AO852" s="37">
        <f t="shared" si="2384"/>
        <v>0.7975177153</v>
      </c>
      <c r="AP852" s="36">
        <f t="shared" ref="AP852:AQ852" si="2396">SUM(T855)</f>
        <v>4347.338211</v>
      </c>
      <c r="AQ852" s="36">
        <f t="shared" si="2396"/>
        <v>5.025824522</v>
      </c>
      <c r="AR852" s="32">
        <f t="shared" si="2386"/>
        <v>165.1572254</v>
      </c>
      <c r="AS852" s="94">
        <f>MAX(M18,M45,M72,M99,M126,M153,M180,M207,M234,M261,M288,M315,M342,M369,M396,M423,M450,M477,M504,M531,M558,M585,M612,M639,M666,M693,M720,M747,M774,M801,M828)</f>
        <v>5977</v>
      </c>
      <c r="AT852" s="95">
        <v>46231.0</v>
      </c>
    </row>
    <row r="853" ht="15.75" customHeight="1">
      <c r="B853" s="38">
        <v>12.0</v>
      </c>
      <c r="C853" s="38" t="s">
        <v>39</v>
      </c>
      <c r="D853" s="40">
        <f t="shared" ref="D853:H853" si="2397">D16+D43+D70+D97+D124+D151+D178+D205+D232+D259+D286+D313+D340+D367+D394+D421+D448+D475+D502+D529+D556+D583+D610+D637+D664+D691+D718+D745+D772+D799+D826</f>
        <v>816</v>
      </c>
      <c r="E853" s="40">
        <f t="shared" si="2397"/>
        <v>803</v>
      </c>
      <c r="F853" s="40">
        <f t="shared" si="2397"/>
        <v>152158.13</v>
      </c>
      <c r="G853" s="40">
        <f t="shared" si="2397"/>
        <v>33927</v>
      </c>
      <c r="H853" s="40">
        <f t="shared" si="2397"/>
        <v>592</v>
      </c>
      <c r="I853" s="40">
        <f t="shared" si="2345"/>
        <v>34519</v>
      </c>
      <c r="J853" s="40">
        <f t="shared" ref="J853:K853" si="2398">J16+J43+J70+J97+J124+J151+J178+J205+J232+J259+J286+J313+J340+J367+J394+J421+J448+J475+J502+J529+J556+J583+J610+J637+J664+J691+J718+J745+J772+J799+J826</f>
        <v>52177</v>
      </c>
      <c r="K853" s="40">
        <f t="shared" si="2398"/>
        <v>3072</v>
      </c>
      <c r="L853" s="40">
        <f t="shared" si="2394"/>
        <v>55249</v>
      </c>
      <c r="M853" s="40">
        <f t="shared" si="2348"/>
        <v>89768</v>
      </c>
      <c r="N853" s="41">
        <f t="shared" si="2349"/>
        <v>189.4870859</v>
      </c>
      <c r="O853" s="40">
        <f t="shared" si="2350"/>
        <v>110639</v>
      </c>
      <c r="P853" s="42">
        <f t="shared" si="2351"/>
        <v>0.8113594664</v>
      </c>
      <c r="Q853" s="43">
        <v>1.5</v>
      </c>
      <c r="R853" s="42">
        <f t="shared" si="2352"/>
        <v>0.3933101263</v>
      </c>
      <c r="S853" s="44">
        <f t="shared" si="2353"/>
        <v>0.5899651895</v>
      </c>
      <c r="T853" s="43">
        <f>F853/21.463</f>
        <v>7089.322555</v>
      </c>
      <c r="U853" s="43">
        <f t="shared" si="2354"/>
        <v>8.828546146</v>
      </c>
      <c r="V853" s="40">
        <f t="shared" si="2355"/>
        <v>111.7907846</v>
      </c>
      <c r="X853" s="31">
        <v>5.0</v>
      </c>
      <c r="Y853" s="31" t="s">
        <v>40</v>
      </c>
      <c r="Z853" s="32">
        <f t="shared" ref="Z853:AI853" si="2399">SUM(D857)</f>
        <v>878</v>
      </c>
      <c r="AA853" s="32">
        <f t="shared" si="2399"/>
        <v>865</v>
      </c>
      <c r="AB853" s="32">
        <f t="shared" si="2399"/>
        <v>168509.887</v>
      </c>
      <c r="AC853" s="32">
        <f t="shared" si="2399"/>
        <v>95371</v>
      </c>
      <c r="AD853" s="32">
        <f t="shared" si="2399"/>
        <v>1288</v>
      </c>
      <c r="AE853" s="32">
        <f t="shared" si="2399"/>
        <v>96659</v>
      </c>
      <c r="AF853" s="32">
        <f t="shared" si="2399"/>
        <v>111411</v>
      </c>
      <c r="AG853" s="32">
        <f t="shared" si="2399"/>
        <v>1443</v>
      </c>
      <c r="AH853" s="32">
        <f t="shared" si="2399"/>
        <v>112854</v>
      </c>
      <c r="AI853" s="32">
        <f t="shared" si="2399"/>
        <v>209513</v>
      </c>
      <c r="AJ853" s="34">
        <f t="shared" si="2379"/>
        <v>194.8091179</v>
      </c>
      <c r="AK853" s="32">
        <f t="shared" ref="AK853:AK854" si="2404">SUM(O857)</f>
        <v>255409</v>
      </c>
      <c r="AL853" s="35">
        <f t="shared" si="2381"/>
        <v>0.8203039047</v>
      </c>
      <c r="AM853" s="36">
        <f t="shared" ref="AM853:AM854" si="2405">SUM(Q857)</f>
        <v>1.5</v>
      </c>
      <c r="AN853" s="35">
        <f t="shared" si="2383"/>
        <v>0.8288850929</v>
      </c>
      <c r="AO853" s="37">
        <f t="shared" si="2384"/>
        <v>1.243327639</v>
      </c>
      <c r="AP853" s="36">
        <f t="shared" ref="AP853:AQ853" si="2400">SUM(T857)</f>
        <v>5924.476567</v>
      </c>
      <c r="AQ853" s="36">
        <f t="shared" si="2400"/>
        <v>6.849105858</v>
      </c>
      <c r="AR853" s="32">
        <f t="shared" si="2386"/>
        <v>242.2115607</v>
      </c>
      <c r="AS853" s="94">
        <f t="shared" ref="AS853:AS854" si="2407">MAX(M20,M47,M74,M101,M128,M155,M182,M209,M236,M263,M290,M317,M344,M371,M398,M425,M452,M479,M506,M533,M560,M587,M614,M641,M668,M695,M722,M749,M776,M803,M830)</f>
        <v>7663</v>
      </c>
      <c r="AT853" s="95">
        <v>46227.0</v>
      </c>
    </row>
    <row r="854" ht="15.75" customHeight="1">
      <c r="B854" s="38">
        <v>12.0</v>
      </c>
      <c r="C854" s="38" t="s">
        <v>41</v>
      </c>
      <c r="D854" s="40">
        <f t="shared" ref="D854:H854" si="2401">D17+D44+D71+D98+D125+D152+D179+D206+D233+D260+D287+D314+D341+D368+D395+D422+D449+D476+D503+D530+D557+D584+D611+D638+D665+D692+D719+D746+D773+D800+D827</f>
        <v>708</v>
      </c>
      <c r="E854" s="40">
        <f t="shared" si="2401"/>
        <v>699</v>
      </c>
      <c r="F854" s="40">
        <f t="shared" si="2401"/>
        <v>137990.764</v>
      </c>
      <c r="G854" s="40">
        <f t="shared" si="2401"/>
        <v>34388</v>
      </c>
      <c r="H854" s="40">
        <f t="shared" si="2401"/>
        <v>734</v>
      </c>
      <c r="I854" s="40">
        <f t="shared" si="2345"/>
        <v>35122</v>
      </c>
      <c r="J854" s="40">
        <f t="shared" ref="J854:K854" si="2402">J17+J44+J71+J98+J125+J152+J179+J206+J233+J260+J287+J314+J341+J368+J395+J422+J449+J476+J503+J530+J557+J584+J611+J638+J665+J692+J719+J746+J773+J800+J827</f>
        <v>46600</v>
      </c>
      <c r="K854" s="40">
        <f t="shared" si="2402"/>
        <v>3531</v>
      </c>
      <c r="L854" s="40">
        <f t="shared" si="2394"/>
        <v>50131</v>
      </c>
      <c r="M854" s="40">
        <f t="shared" si="2348"/>
        <v>85253</v>
      </c>
      <c r="N854" s="41">
        <f t="shared" si="2349"/>
        <v>197.4116795</v>
      </c>
      <c r="O854" s="40">
        <f t="shared" si="2350"/>
        <v>117831</v>
      </c>
      <c r="P854" s="42">
        <f t="shared" si="2351"/>
        <v>0.7235192776</v>
      </c>
      <c r="Q854" s="43">
        <v>1.5</v>
      </c>
      <c r="R854" s="42">
        <f t="shared" si="2352"/>
        <v>0.4118778075</v>
      </c>
      <c r="S854" s="44">
        <f t="shared" si="2353"/>
        <v>0.6178167113</v>
      </c>
      <c r="T854" s="43">
        <f>F854/29.628</f>
        <v>4657.444444</v>
      </c>
      <c r="U854" s="43">
        <f t="shared" si="2354"/>
        <v>6.66301065</v>
      </c>
      <c r="V854" s="40">
        <f t="shared" si="2355"/>
        <v>121.9642346</v>
      </c>
      <c r="X854" s="22">
        <v>6.0</v>
      </c>
      <c r="Y854" s="22" t="s">
        <v>42</v>
      </c>
      <c r="Z854" s="23">
        <f t="shared" ref="Z854:AI854" si="2403">SUM(D858)</f>
        <v>959</v>
      </c>
      <c r="AA854" s="23">
        <f t="shared" si="2403"/>
        <v>944</v>
      </c>
      <c r="AB854" s="23">
        <f t="shared" si="2403"/>
        <v>184634.315</v>
      </c>
      <c r="AC854" s="23">
        <f t="shared" si="2403"/>
        <v>90731</v>
      </c>
      <c r="AD854" s="23">
        <f t="shared" si="2403"/>
        <v>862</v>
      </c>
      <c r="AE854" s="23">
        <f t="shared" si="2403"/>
        <v>91593</v>
      </c>
      <c r="AF854" s="23">
        <f t="shared" si="2403"/>
        <v>121278</v>
      </c>
      <c r="AG854" s="23">
        <f t="shared" si="2403"/>
        <v>2876</v>
      </c>
      <c r="AH854" s="23">
        <f t="shared" si="2403"/>
        <v>124154</v>
      </c>
      <c r="AI854" s="23">
        <f t="shared" si="2403"/>
        <v>215747</v>
      </c>
      <c r="AJ854" s="25">
        <f t="shared" si="2379"/>
        <v>195.5871981</v>
      </c>
      <c r="AK854" s="23">
        <f t="shared" si="2404"/>
        <v>306187</v>
      </c>
      <c r="AL854" s="26">
        <f t="shared" si="2381"/>
        <v>0.7046249514</v>
      </c>
      <c r="AM854" s="27">
        <f t="shared" si="2405"/>
        <v>1.5</v>
      </c>
      <c r="AN854" s="26">
        <f t="shared" si="2383"/>
        <v>0.7790065099</v>
      </c>
      <c r="AO854" s="28">
        <f t="shared" si="2384"/>
        <v>1.168509765</v>
      </c>
      <c r="AP854" s="27">
        <f t="shared" ref="AP854:AQ854" si="2406">SUM(T858)</f>
        <v>7059.235901</v>
      </c>
      <c r="AQ854" s="27">
        <f t="shared" si="2406"/>
        <v>7.478004133</v>
      </c>
      <c r="AR854" s="23">
        <f t="shared" si="2386"/>
        <v>228.5455508</v>
      </c>
      <c r="AS854" s="94">
        <f t="shared" si="2407"/>
        <v>8187</v>
      </c>
      <c r="AT854" s="95">
        <v>46227.0</v>
      </c>
    </row>
    <row r="855" ht="15.75" customHeight="1">
      <c r="B855" s="38">
        <v>13.0</v>
      </c>
      <c r="C855" s="38" t="s">
        <v>43</v>
      </c>
      <c r="D855" s="40">
        <f t="shared" ref="D855:H855" si="2408">D18+D45+D72+D99+D126+D153+D180+D207+D234+D261+D288+D315+D342+D369+D396+D423+D450+D477+D504+D531+D558+D585+D612+D639+D666+D693+D720+D747+D774+D801+D828</f>
        <v>878</v>
      </c>
      <c r="E855" s="40">
        <f t="shared" si="2408"/>
        <v>865</v>
      </c>
      <c r="F855" s="40">
        <f t="shared" si="2408"/>
        <v>179132.071</v>
      </c>
      <c r="G855" s="40">
        <f t="shared" si="2408"/>
        <v>58252</v>
      </c>
      <c r="H855" s="40">
        <f t="shared" si="2408"/>
        <v>1530</v>
      </c>
      <c r="I855" s="40">
        <f t="shared" si="2345"/>
        <v>59782</v>
      </c>
      <c r="J855" s="40">
        <f t="shared" ref="J855:K855" si="2409">J18+J45+J72+J99+J126+J153+J180+J207+J234+J261+J288+J315+J342+J369+J396+J423+J450+J477+J504+J531+J558+J585+J612+J639+J666+J693+J720+J747+J774+J801+J828</f>
        <v>79837</v>
      </c>
      <c r="K855" s="40">
        <f t="shared" si="2409"/>
        <v>3242</v>
      </c>
      <c r="L855" s="40">
        <f t="shared" si="2394"/>
        <v>83079</v>
      </c>
      <c r="M855" s="40">
        <f t="shared" si="2348"/>
        <v>142861</v>
      </c>
      <c r="N855" s="41">
        <f t="shared" si="2349"/>
        <v>207.0890994</v>
      </c>
      <c r="O855" s="40">
        <f t="shared" si="2350"/>
        <v>258695</v>
      </c>
      <c r="P855" s="42">
        <f t="shared" si="2351"/>
        <v>0.5522371905</v>
      </c>
      <c r="Q855" s="43">
        <v>1.5</v>
      </c>
      <c r="R855" s="42">
        <f t="shared" si="2352"/>
        <v>0.5316784769</v>
      </c>
      <c r="S855" s="44">
        <f t="shared" si="2353"/>
        <v>0.7975177153</v>
      </c>
      <c r="T855" s="43">
        <f>F855/41.205</f>
        <v>4347.338211</v>
      </c>
      <c r="U855" s="43">
        <f t="shared" si="2354"/>
        <v>5.025824522</v>
      </c>
      <c r="V855" s="40">
        <f t="shared" si="2355"/>
        <v>165.1572254</v>
      </c>
      <c r="X855" s="46" t="s">
        <v>33</v>
      </c>
      <c r="Y855" s="46">
        <v>6.0</v>
      </c>
      <c r="Z855" s="47">
        <f t="shared" ref="Z855:AI855" si="2410">SUM(Z849:Z854)</f>
        <v>6594</v>
      </c>
      <c r="AA855" s="47">
        <f t="shared" si="2410"/>
        <v>6451</v>
      </c>
      <c r="AB855" s="47">
        <f t="shared" si="2410"/>
        <v>1265691.356</v>
      </c>
      <c r="AC855" s="47">
        <f t="shared" si="2410"/>
        <v>488185</v>
      </c>
      <c r="AD855" s="47">
        <f t="shared" si="2410"/>
        <v>8295</v>
      </c>
      <c r="AE855" s="47">
        <f t="shared" si="2410"/>
        <v>496480</v>
      </c>
      <c r="AF855" s="47">
        <f t="shared" si="2410"/>
        <v>635913</v>
      </c>
      <c r="AG855" s="47">
        <f t="shared" si="2410"/>
        <v>15815</v>
      </c>
      <c r="AH855" s="47">
        <f t="shared" si="2410"/>
        <v>651728</v>
      </c>
      <c r="AI855" s="47">
        <f t="shared" si="2410"/>
        <v>1148208</v>
      </c>
      <c r="AJ855" s="49">
        <f t="shared" si="2379"/>
        <v>196.2007993</v>
      </c>
      <c r="AK855" s="47">
        <f>SUM(AK849:AK854)</f>
        <v>1683114</v>
      </c>
      <c r="AL855" s="50">
        <f t="shared" si="2381"/>
        <v>0.6821926501</v>
      </c>
      <c r="AM855" s="51">
        <v>1.5</v>
      </c>
      <c r="AN855" s="50">
        <f t="shared" si="2383"/>
        <v>0.6047856741</v>
      </c>
      <c r="AO855" s="52">
        <f t="shared" si="2384"/>
        <v>0.9071785112</v>
      </c>
      <c r="AP855" s="51">
        <f>SUM(AP849:AP854)</f>
        <v>41583.49222</v>
      </c>
      <c r="AQ855" s="51">
        <f>AP855/AA855</f>
        <v>6.44605367</v>
      </c>
      <c r="AR855" s="47">
        <f t="shared" si="2386"/>
        <v>177.989149</v>
      </c>
      <c r="AS855" s="47">
        <f>MAX(M24,M51,M78,M105,M132,M159,M186,M213,M240,M267,M294,M321,M348,M375,M402,M429,M456,M483,M510,M537,M564,M591,M618,M645,M672,M699,M726,M753,M780,M807,M834)</f>
        <v>103491</v>
      </c>
      <c r="AT855" s="108">
        <v>46230.0</v>
      </c>
    </row>
    <row r="856" ht="15.75" customHeight="1">
      <c r="B856" s="38">
        <v>14.0</v>
      </c>
      <c r="C856" s="38" t="s">
        <v>27</v>
      </c>
      <c r="D856" s="40">
        <f t="shared" ref="D856:H856" si="2411">D19+D46+D73+D100+D127+D154+D181+D208+D235+D262+D289+D316+D343+D370+D397+D424+D451+D478+D505+D532+D559+D586+D613+D640+D667+D694+D721+D748+D775+D802+D829</f>
        <v>878</v>
      </c>
      <c r="E856" s="40">
        <f t="shared" si="2411"/>
        <v>846</v>
      </c>
      <c r="F856" s="40">
        <f t="shared" si="2411"/>
        <v>158447.085</v>
      </c>
      <c r="G856" s="40">
        <f t="shared" si="2411"/>
        <v>66445</v>
      </c>
      <c r="H856" s="40">
        <f t="shared" si="2411"/>
        <v>963</v>
      </c>
      <c r="I856" s="40">
        <f t="shared" si="2345"/>
        <v>67408</v>
      </c>
      <c r="J856" s="40">
        <f t="shared" ref="J856:K856" si="2412">J19+J46+J73+J100+J127+J154+J181+J208+J235+J262+J289+J316+J343+J370+J397+J424+J451+J478+J505+J532+J559+J586+J613+J640+J667+J694+J721+J748+J775+J802+J829</f>
        <v>82998</v>
      </c>
      <c r="K856" s="40">
        <f t="shared" si="2412"/>
        <v>873</v>
      </c>
      <c r="L856" s="40">
        <f t="shared" si="2394"/>
        <v>83871</v>
      </c>
      <c r="M856" s="40">
        <f t="shared" si="2348"/>
        <v>151279</v>
      </c>
      <c r="N856" s="41">
        <f t="shared" si="2349"/>
        <v>187.2896986</v>
      </c>
      <c r="O856" s="40">
        <f t="shared" si="2350"/>
        <v>251131</v>
      </c>
      <c r="P856" s="42">
        <f t="shared" si="2351"/>
        <v>0.6023907841</v>
      </c>
      <c r="Q856" s="43">
        <v>1.5</v>
      </c>
      <c r="R856" s="42">
        <f t="shared" si="2352"/>
        <v>0.6365069239</v>
      </c>
      <c r="S856" s="44">
        <f t="shared" si="2353"/>
        <v>0.9547603858</v>
      </c>
      <c r="T856" s="43">
        <f>F856/19.985</f>
        <v>7928.300475</v>
      </c>
      <c r="U856" s="43">
        <f t="shared" si="2354"/>
        <v>9.371513564</v>
      </c>
      <c r="V856" s="40">
        <f t="shared" si="2355"/>
        <v>178.8167849</v>
      </c>
      <c r="X856" s="59" t="s">
        <v>44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6"/>
    </row>
    <row r="857" ht="15.75" customHeight="1">
      <c r="B857" s="38">
        <v>15.0</v>
      </c>
      <c r="C857" s="38" t="s">
        <v>40</v>
      </c>
      <c r="D857" s="40">
        <f t="shared" ref="D857:H857" si="2413">D20+D47+D74+D101+D128+D155+D182+D209+D236+D263+D290+D317+D344+D371+D398+D425+D452+D479+D506+D533+D560+D587+D614+D641+D668+D695+D722+D749+D776+D803+D830</f>
        <v>878</v>
      </c>
      <c r="E857" s="40">
        <f t="shared" si="2413"/>
        <v>865</v>
      </c>
      <c r="F857" s="40">
        <f t="shared" si="2413"/>
        <v>168509.887</v>
      </c>
      <c r="G857" s="40">
        <f t="shared" si="2413"/>
        <v>95371</v>
      </c>
      <c r="H857" s="40">
        <f t="shared" si="2413"/>
        <v>1288</v>
      </c>
      <c r="I857" s="40">
        <f t="shared" si="2345"/>
        <v>96659</v>
      </c>
      <c r="J857" s="40">
        <f t="shared" ref="J857:K857" si="2414">J20+J47+J74+J101+J128+J155+J182+J209+J236+J263+J290+J317+J344+J371+J398+J425+J452+J479+J506+J533+J560+J587+J614+J641+J668+J695+J722+J749+J776+J803+J830</f>
        <v>111411</v>
      </c>
      <c r="K857" s="40">
        <f t="shared" si="2414"/>
        <v>1443</v>
      </c>
      <c r="L857" s="40">
        <f t="shared" si="2394"/>
        <v>112854</v>
      </c>
      <c r="M857" s="40">
        <f t="shared" si="2348"/>
        <v>209513</v>
      </c>
      <c r="N857" s="41">
        <f t="shared" si="2349"/>
        <v>194.8091179</v>
      </c>
      <c r="O857" s="40">
        <f t="shared" si="2350"/>
        <v>255409</v>
      </c>
      <c r="P857" s="42">
        <f t="shared" si="2351"/>
        <v>0.8203039047</v>
      </c>
      <c r="Q857" s="43">
        <v>1.5</v>
      </c>
      <c r="R857" s="42">
        <f t="shared" si="2352"/>
        <v>0.8288850929</v>
      </c>
      <c r="S857" s="44">
        <f t="shared" si="2353"/>
        <v>1.243327639</v>
      </c>
      <c r="T857" s="43">
        <f>F857/28.443</f>
        <v>5924.476567</v>
      </c>
      <c r="U857" s="43">
        <f t="shared" si="2354"/>
        <v>6.849105858</v>
      </c>
      <c r="V857" s="40">
        <f t="shared" si="2355"/>
        <v>242.2115607</v>
      </c>
      <c r="X857" s="14" t="s">
        <v>2</v>
      </c>
      <c r="Y857" s="14" t="s">
        <v>3</v>
      </c>
      <c r="Z857" s="14" t="s">
        <v>4</v>
      </c>
      <c r="AA857" s="14" t="s">
        <v>5</v>
      </c>
      <c r="AB857" s="15" t="s">
        <v>6</v>
      </c>
      <c r="AC857" s="14" t="s">
        <v>7</v>
      </c>
      <c r="AD857" s="14" t="s">
        <v>8</v>
      </c>
      <c r="AE857" s="14" t="s">
        <v>9</v>
      </c>
      <c r="AF857" s="14" t="s">
        <v>10</v>
      </c>
      <c r="AG857" s="14" t="s">
        <v>11</v>
      </c>
      <c r="AH857" s="14" t="s">
        <v>12</v>
      </c>
      <c r="AI857" s="14" t="s">
        <v>13</v>
      </c>
      <c r="AJ857" s="15" t="s">
        <v>14</v>
      </c>
      <c r="AK857" s="14" t="s">
        <v>15</v>
      </c>
      <c r="AL857" s="14" t="s">
        <v>16</v>
      </c>
      <c r="AM857" s="16" t="s">
        <v>17</v>
      </c>
      <c r="AN857" s="17" t="s">
        <v>18</v>
      </c>
      <c r="AO857" s="18" t="s">
        <v>19</v>
      </c>
      <c r="AP857" s="19" t="s">
        <v>20</v>
      </c>
      <c r="AQ857" s="19" t="s">
        <v>21</v>
      </c>
      <c r="AR857" s="20" t="s">
        <v>22</v>
      </c>
      <c r="AS857" s="20" t="s">
        <v>47</v>
      </c>
      <c r="AT857" s="20" t="s">
        <v>48</v>
      </c>
    </row>
    <row r="858" ht="15.75" customHeight="1">
      <c r="B858" s="38">
        <v>16.0</v>
      </c>
      <c r="C858" s="38" t="s">
        <v>42</v>
      </c>
      <c r="D858" s="40">
        <f t="shared" ref="D858:H858" si="2415">D21+D48+D75+D102+D129+D156+D183+D210+D237+D264+D291+D318+D345+D372+D399+D426+D453+D480+D507+D534+D561+D588+D615+D642+D669+D696+D723+D750+D777+D804+D831</f>
        <v>959</v>
      </c>
      <c r="E858" s="40">
        <f t="shared" si="2415"/>
        <v>944</v>
      </c>
      <c r="F858" s="40">
        <f t="shared" si="2415"/>
        <v>184634.315</v>
      </c>
      <c r="G858" s="40">
        <f t="shared" si="2415"/>
        <v>90731</v>
      </c>
      <c r="H858" s="40">
        <f t="shared" si="2415"/>
        <v>862</v>
      </c>
      <c r="I858" s="40">
        <f t="shared" si="2345"/>
        <v>91593</v>
      </c>
      <c r="J858" s="40">
        <f t="shared" ref="J858:K858" si="2416">J21+J48+J75+J102+J129+J156+J183+J210+J237+J264+J291+J318+J345+J372+J399+J426+J453+J480+J507+J534+J561+J588+J615+J642+J669+J696+J723+J750+J777+J804+J831</f>
        <v>121278</v>
      </c>
      <c r="K858" s="40">
        <f t="shared" si="2416"/>
        <v>2876</v>
      </c>
      <c r="L858" s="40">
        <f t="shared" si="2394"/>
        <v>124154</v>
      </c>
      <c r="M858" s="40">
        <f t="shared" si="2348"/>
        <v>215747</v>
      </c>
      <c r="N858" s="41">
        <f t="shared" si="2349"/>
        <v>195.5871981</v>
      </c>
      <c r="O858" s="40">
        <f t="shared" si="2350"/>
        <v>306187</v>
      </c>
      <c r="P858" s="42">
        <f t="shared" si="2351"/>
        <v>0.7046249514</v>
      </c>
      <c r="Q858" s="43">
        <v>1.5</v>
      </c>
      <c r="R858" s="42">
        <f t="shared" si="2352"/>
        <v>0.7790065099</v>
      </c>
      <c r="S858" s="44">
        <f t="shared" si="2353"/>
        <v>1.168509765</v>
      </c>
      <c r="T858" s="43">
        <f>F858/26.155</f>
        <v>7059.235901</v>
      </c>
      <c r="U858" s="43">
        <f t="shared" si="2354"/>
        <v>7.478004133</v>
      </c>
      <c r="V858" s="40">
        <f t="shared" si="2355"/>
        <v>228.5455508</v>
      </c>
      <c r="X858" s="31">
        <v>1.0</v>
      </c>
      <c r="Y858" s="31" t="s">
        <v>26</v>
      </c>
      <c r="Z858" s="32">
        <f t="shared" ref="Z858:AI858" si="2417">SUM(D843)</f>
        <v>584</v>
      </c>
      <c r="AA858" s="32">
        <f t="shared" si="2417"/>
        <v>570</v>
      </c>
      <c r="AB858" s="32">
        <f t="shared" si="2417"/>
        <v>107603.106</v>
      </c>
      <c r="AC858" s="32">
        <f t="shared" si="2417"/>
        <v>58781</v>
      </c>
      <c r="AD858" s="32">
        <f t="shared" si="2417"/>
        <v>297</v>
      </c>
      <c r="AE858" s="32">
        <f t="shared" si="2417"/>
        <v>59078</v>
      </c>
      <c r="AF858" s="32">
        <f t="shared" si="2417"/>
        <v>77569</v>
      </c>
      <c r="AG858" s="32">
        <f t="shared" si="2417"/>
        <v>1025</v>
      </c>
      <c r="AH858" s="32">
        <f t="shared" si="2417"/>
        <v>78594</v>
      </c>
      <c r="AI858" s="32">
        <f t="shared" si="2417"/>
        <v>137672</v>
      </c>
      <c r="AJ858" s="34">
        <f t="shared" ref="AJ858:AJ859" si="2422">AB858/AA858</f>
        <v>188.7773789</v>
      </c>
      <c r="AK858" s="32">
        <f>SUM(O843)</f>
        <v>159991</v>
      </c>
      <c r="AL858" s="35">
        <f t="shared" ref="AL858:AL864" si="2423">AI858/AK858</f>
        <v>0.860498403</v>
      </c>
      <c r="AM858" s="36">
        <f>SUM(Q843)</f>
        <v>1.5</v>
      </c>
      <c r="AN858" s="35">
        <f t="shared" ref="AN858:AN864" si="2424">AO858/AM858</f>
        <v>0.8529617475</v>
      </c>
      <c r="AO858" s="37">
        <f t="shared" ref="AO858:AO864" si="2425">AI858/AB858</f>
        <v>1.279442621</v>
      </c>
      <c r="AP858" s="36">
        <f t="shared" ref="AP858:AQ858" si="2418">SUM(T843)</f>
        <v>7464.662227</v>
      </c>
      <c r="AQ858" s="36">
        <f t="shared" si="2418"/>
        <v>13.09589864</v>
      </c>
      <c r="AR858" s="32">
        <f t="shared" ref="AR858:AR864" si="2427">AI858/AA858</f>
        <v>241.5298246</v>
      </c>
      <c r="AS858" s="94">
        <f>MAX(M6,M33,M60,M87,M114,M141,M168,M195,M222,M249,M276,M303,M330,M357,M384,M411,M438,M465,M492,M519,M546,M573,M600,M627,M654,M681,M708,M735,M762,M789,M816)</f>
        <v>5196</v>
      </c>
      <c r="AT858" s="95">
        <v>46234.0</v>
      </c>
    </row>
    <row r="859" ht="15.75" customHeight="1">
      <c r="B859" s="38">
        <v>17.0</v>
      </c>
      <c r="C859" s="38" t="s">
        <v>29</v>
      </c>
      <c r="D859" s="40">
        <f t="shared" ref="D859:H859" si="2419">D22+D49+D76+D103+D130+D157+D184+D211+D238+D265+D292+D319+D346+D373+D400+D427+D454+D481+D508+D535+D562+D589+D616+D643+D670+D697+D724+D751+D778+D805+D832</f>
        <v>878</v>
      </c>
      <c r="E859" s="40">
        <f t="shared" si="2419"/>
        <v>844</v>
      </c>
      <c r="F859" s="40">
        <f t="shared" si="2419"/>
        <v>166823.244</v>
      </c>
      <c r="G859" s="40">
        <f t="shared" si="2419"/>
        <v>74874</v>
      </c>
      <c r="H859" s="40">
        <f t="shared" si="2419"/>
        <v>66</v>
      </c>
      <c r="I859" s="40">
        <f t="shared" si="2345"/>
        <v>74940</v>
      </c>
      <c r="J859" s="40">
        <f t="shared" ref="J859:K859" si="2420">J22+J49+J76+J103+J130+J157+J184+J211+J238+J265+J292+J319+J346+J373+J400+J427+J454+J481+J508+J535+J562+J589+J616+J643+J670+J697+J724+J751+J778+J805+J832</f>
        <v>113830</v>
      </c>
      <c r="K859" s="40">
        <f t="shared" si="2420"/>
        <v>166</v>
      </c>
      <c r="L859" s="40">
        <f t="shared" si="2394"/>
        <v>113996</v>
      </c>
      <c r="M859" s="40">
        <f t="shared" si="2348"/>
        <v>188936</v>
      </c>
      <c r="N859" s="41">
        <f t="shared" si="2349"/>
        <v>197.657872</v>
      </c>
      <c r="O859" s="40">
        <f t="shared" si="2350"/>
        <v>285231</v>
      </c>
      <c r="P859" s="42">
        <f t="shared" si="2351"/>
        <v>0.6623964436</v>
      </c>
      <c r="Q859" s="43">
        <v>1.5</v>
      </c>
      <c r="R859" s="42">
        <f t="shared" si="2352"/>
        <v>0.7550346721</v>
      </c>
      <c r="S859" s="44">
        <f t="shared" si="2353"/>
        <v>1.132552008</v>
      </c>
      <c r="T859" s="43">
        <f>F859/26.038</f>
        <v>6406.914663</v>
      </c>
      <c r="U859" s="43">
        <f t="shared" si="2354"/>
        <v>7.591131118</v>
      </c>
      <c r="V859" s="40">
        <f t="shared" si="2355"/>
        <v>223.8578199</v>
      </c>
      <c r="X859" s="31">
        <v>2.0</v>
      </c>
      <c r="Y859" s="31" t="s">
        <v>32</v>
      </c>
      <c r="Z859" s="32">
        <f t="shared" ref="Z859:AI859" si="2421">SUM(D846)</f>
        <v>1226</v>
      </c>
      <c r="AA859" s="32">
        <f t="shared" si="2421"/>
        <v>1205</v>
      </c>
      <c r="AB859" s="32">
        <f t="shared" si="2421"/>
        <v>236729.758</v>
      </c>
      <c r="AC859" s="32">
        <f t="shared" si="2421"/>
        <v>131487</v>
      </c>
      <c r="AD859" s="32">
        <f t="shared" si="2421"/>
        <v>1928</v>
      </c>
      <c r="AE859" s="32">
        <f t="shared" si="2421"/>
        <v>133415</v>
      </c>
      <c r="AF859" s="32">
        <f t="shared" si="2421"/>
        <v>153804</v>
      </c>
      <c r="AG859" s="32">
        <f t="shared" si="2421"/>
        <v>1439</v>
      </c>
      <c r="AH859" s="32">
        <f t="shared" si="2421"/>
        <v>155243</v>
      </c>
      <c r="AI859" s="32">
        <f t="shared" si="2421"/>
        <v>288658</v>
      </c>
      <c r="AJ859" s="34">
        <f t="shared" si="2422"/>
        <v>196.4562307</v>
      </c>
      <c r="AK859" s="32">
        <f>SUM(O846)</f>
        <v>428327</v>
      </c>
      <c r="AL859" s="35">
        <f t="shared" si="2423"/>
        <v>0.6739196922</v>
      </c>
      <c r="AM859" s="36">
        <f>SUM(Q846)</f>
        <v>1.5</v>
      </c>
      <c r="AN859" s="35">
        <f t="shared" si="2424"/>
        <v>0.8129044202</v>
      </c>
      <c r="AO859" s="37">
        <f t="shared" si="2425"/>
        <v>1.21935663</v>
      </c>
      <c r="AP859" s="36">
        <f t="shared" ref="AP859:AQ859" si="2426">SUM(T846)</f>
        <v>9435.599585</v>
      </c>
      <c r="AQ859" s="36">
        <f t="shared" si="2426"/>
        <v>7.8303731</v>
      </c>
      <c r="AR859" s="32">
        <f t="shared" si="2427"/>
        <v>239.5502075</v>
      </c>
      <c r="AS859" s="94">
        <f>MAX(M9,M36,M63,M90,M117,M144,M171,M198,M225,M252,M279,M306,M333,M360,M387,M414,M441,M468,M495,M522,M549,M576,M603,M630,M657,M684,M711,M738,M765,M792,M819)</f>
        <v>11088</v>
      </c>
      <c r="AT859" s="95">
        <v>46230.0</v>
      </c>
    </row>
    <row r="860" ht="15.75" customHeight="1">
      <c r="B860" s="38">
        <v>18.0</v>
      </c>
      <c r="C860" s="38" t="s">
        <v>31</v>
      </c>
      <c r="D860" s="40">
        <f t="shared" ref="D860:H860" si="2428">D23+D50+D77+D104+D131+D158+D185+D212+D239+D266+D293+D320+D347+D374+D401+D428+D455+D482+D509+D536+D563+D590+D617+D644+D671+D698+D725+D752+D779+D806+D833</f>
        <v>437</v>
      </c>
      <c r="E860" s="40">
        <f t="shared" si="2428"/>
        <v>410</v>
      </c>
      <c r="F860" s="40">
        <f t="shared" si="2428"/>
        <v>80824.889</v>
      </c>
      <c r="G860" s="40">
        <f t="shared" si="2428"/>
        <v>24464</v>
      </c>
      <c r="H860" s="40">
        <f t="shared" si="2428"/>
        <v>520</v>
      </c>
      <c r="I860" s="40">
        <f t="shared" si="2345"/>
        <v>24984</v>
      </c>
      <c r="J860" s="40">
        <f t="shared" ref="J860:K860" si="2429">J23+J50+J77+J104+J131+J158+J185+J212+J239+J266+J293+J320+J347+J374+J401+J428+J455+J482+J509+J536+J563+J590+J617+J644+J671+J698+J725+J752+J779+J806+J833</f>
        <v>31164</v>
      </c>
      <c r="K860" s="40">
        <f t="shared" si="2429"/>
        <v>147</v>
      </c>
      <c r="L860" s="40">
        <f t="shared" si="2394"/>
        <v>31311</v>
      </c>
      <c r="M860" s="40">
        <f t="shared" si="2348"/>
        <v>56295</v>
      </c>
      <c r="N860" s="41">
        <f t="shared" si="2349"/>
        <v>197.1338756</v>
      </c>
      <c r="O860" s="40">
        <f t="shared" si="2350"/>
        <v>84227</v>
      </c>
      <c r="P860" s="42">
        <f t="shared" si="2351"/>
        <v>0.6683723747</v>
      </c>
      <c r="Q860" s="43">
        <v>1.5</v>
      </c>
      <c r="R860" s="42">
        <f t="shared" si="2352"/>
        <v>0.4643371672</v>
      </c>
      <c r="S860" s="44">
        <f t="shared" si="2353"/>
        <v>0.6965057508</v>
      </c>
      <c r="T860" s="43">
        <f>F860/43.465</f>
        <v>1859.539607</v>
      </c>
      <c r="U860" s="43">
        <f t="shared" si="2354"/>
        <v>4.535462455</v>
      </c>
      <c r="V860" s="40">
        <f t="shared" si="2355"/>
        <v>137.304878</v>
      </c>
      <c r="X860" s="31">
        <v>3.0</v>
      </c>
      <c r="Y860" s="31" t="s">
        <v>36</v>
      </c>
      <c r="Z860" s="32">
        <f t="shared" ref="Z860:AK860" si="2430">SUM(D851)</f>
        <v>798</v>
      </c>
      <c r="AA860" s="32">
        <f t="shared" si="2430"/>
        <v>788</v>
      </c>
      <c r="AB860" s="32">
        <f t="shared" si="2430"/>
        <v>154990.227</v>
      </c>
      <c r="AC860" s="32">
        <f t="shared" si="2430"/>
        <v>42411</v>
      </c>
      <c r="AD860" s="32">
        <f t="shared" si="2430"/>
        <v>0</v>
      </c>
      <c r="AE860" s="32">
        <f t="shared" si="2430"/>
        <v>42411</v>
      </c>
      <c r="AF860" s="32">
        <f t="shared" si="2430"/>
        <v>60485</v>
      </c>
      <c r="AG860" s="32">
        <f t="shared" si="2430"/>
        <v>18</v>
      </c>
      <c r="AH860" s="32">
        <f t="shared" si="2430"/>
        <v>60503</v>
      </c>
      <c r="AI860" s="32">
        <f t="shared" si="2430"/>
        <v>102914</v>
      </c>
      <c r="AJ860" s="34">
        <f t="shared" si="2430"/>
        <v>196.6881053</v>
      </c>
      <c r="AK860" s="32">
        <f t="shared" si="2430"/>
        <v>148676</v>
      </c>
      <c r="AL860" s="35">
        <f t="shared" si="2423"/>
        <v>0.6922031801</v>
      </c>
      <c r="AM860" s="32">
        <f t="shared" ref="AM860:AM863" si="2434">SUM(Q851)</f>
        <v>1.5</v>
      </c>
      <c r="AN860" s="35">
        <f t="shared" si="2424"/>
        <v>0.4426687712</v>
      </c>
      <c r="AO860" s="37">
        <f t="shared" si="2425"/>
        <v>0.6640031568</v>
      </c>
      <c r="AP860" s="32">
        <f t="shared" ref="AP860:AQ860" si="2431">SUM(T851)</f>
        <v>4142.573021</v>
      </c>
      <c r="AQ860" s="32">
        <f t="shared" si="2431"/>
        <v>5.257072361</v>
      </c>
      <c r="AR860" s="32">
        <f t="shared" si="2427"/>
        <v>130.6015228</v>
      </c>
      <c r="AS860" s="94">
        <f t="shared" ref="AS860:AS863" si="2436">MAX(M14,M41,M68,M95,M122,M149,M176,M203,M230,M257,M284,M311,M338,M365,M392,M419,M446,M473,M500,M527,M554,M581,M608,M635,M662,M689,M716,M743,M770,M797,M824)</f>
        <v>4100</v>
      </c>
      <c r="AT860" s="95">
        <v>46224.0</v>
      </c>
    </row>
    <row r="861" ht="15.75" customHeight="1">
      <c r="B861" s="60" t="s">
        <v>33</v>
      </c>
      <c r="C861" s="60">
        <v>18.0</v>
      </c>
      <c r="D861" s="61">
        <f t="shared" ref="D861:M861" si="2432">SUM(D843:D860)</f>
        <v>17066</v>
      </c>
      <c r="E861" s="61">
        <f t="shared" si="2432"/>
        <v>16645</v>
      </c>
      <c r="F861" s="62">
        <f t="shared" si="2432"/>
        <v>3241153.532</v>
      </c>
      <c r="G861" s="61">
        <f t="shared" si="2432"/>
        <v>1158105</v>
      </c>
      <c r="H861" s="61">
        <f t="shared" si="2432"/>
        <v>26427</v>
      </c>
      <c r="I861" s="61">
        <f t="shared" si="2432"/>
        <v>1184532</v>
      </c>
      <c r="J861" s="61">
        <f t="shared" si="2432"/>
        <v>1554980</v>
      </c>
      <c r="K861" s="61">
        <f t="shared" si="2432"/>
        <v>38164</v>
      </c>
      <c r="L861" s="61">
        <f t="shared" si="2432"/>
        <v>1593144</v>
      </c>
      <c r="M861" s="61">
        <f t="shared" si="2432"/>
        <v>2777676</v>
      </c>
      <c r="N861" s="62">
        <f t="shared" si="2349"/>
        <v>194.722351</v>
      </c>
      <c r="O861" s="61">
        <f>SUM(O843:O860)</f>
        <v>3918369</v>
      </c>
      <c r="P861" s="63">
        <f t="shared" si="2351"/>
        <v>0.7088857634</v>
      </c>
      <c r="Q861" s="64">
        <v>1.5</v>
      </c>
      <c r="R861" s="63">
        <f t="shared" si="2352"/>
        <v>0.5713348602</v>
      </c>
      <c r="S861" s="65">
        <f t="shared" si="2353"/>
        <v>0.8570022903</v>
      </c>
      <c r="T861" s="64">
        <f>SUM(T843:T860)</f>
        <v>119473.7202</v>
      </c>
      <c r="U861" s="64">
        <f t="shared" si="2354"/>
        <v>7.177754292</v>
      </c>
      <c r="V861" s="61">
        <f t="shared" si="2355"/>
        <v>166.8775008</v>
      </c>
      <c r="X861" s="31">
        <v>4.0</v>
      </c>
      <c r="Y861" s="31" t="s">
        <v>37</v>
      </c>
      <c r="Z861" s="32">
        <f t="shared" ref="Z861:AK861" si="2433">SUM(D852)</f>
        <v>878</v>
      </c>
      <c r="AA861" s="32">
        <f t="shared" si="2433"/>
        <v>849</v>
      </c>
      <c r="AB861" s="32">
        <f t="shared" si="2433"/>
        <v>165524.484</v>
      </c>
      <c r="AC861" s="32">
        <f t="shared" si="2433"/>
        <v>56615</v>
      </c>
      <c r="AD861" s="32">
        <f t="shared" si="2433"/>
        <v>433</v>
      </c>
      <c r="AE861" s="32">
        <f t="shared" si="2433"/>
        <v>57048</v>
      </c>
      <c r="AF861" s="32">
        <f t="shared" si="2433"/>
        <v>82177</v>
      </c>
      <c r="AG861" s="32">
        <f t="shared" si="2433"/>
        <v>654</v>
      </c>
      <c r="AH861" s="32">
        <f t="shared" si="2433"/>
        <v>82831</v>
      </c>
      <c r="AI861" s="32">
        <f t="shared" si="2433"/>
        <v>139879</v>
      </c>
      <c r="AJ861" s="34">
        <f t="shared" si="2433"/>
        <v>194.9640565</v>
      </c>
      <c r="AK861" s="32">
        <f t="shared" si="2433"/>
        <v>182497</v>
      </c>
      <c r="AL861" s="35">
        <f t="shared" si="2423"/>
        <v>0.7664728735</v>
      </c>
      <c r="AM861" s="32">
        <f t="shared" si="2434"/>
        <v>1.5</v>
      </c>
      <c r="AN861" s="35">
        <f t="shared" si="2424"/>
        <v>0.5633768758</v>
      </c>
      <c r="AO861" s="37">
        <f t="shared" si="2425"/>
        <v>0.8450653137</v>
      </c>
      <c r="AP861" s="32">
        <f t="shared" ref="AP861:AQ861" si="2435">SUM(T852)</f>
        <v>6676.528074</v>
      </c>
      <c r="AQ861" s="32">
        <f t="shared" si="2435"/>
        <v>7.863990664</v>
      </c>
      <c r="AR861" s="32">
        <f t="shared" si="2427"/>
        <v>164.7573616</v>
      </c>
      <c r="AS861" s="94">
        <f t="shared" si="2436"/>
        <v>5448</v>
      </c>
      <c r="AT861" s="95">
        <v>46223.0</v>
      </c>
    </row>
    <row r="862" ht="15.75" customHeight="1"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X862" s="31">
        <v>5.0</v>
      </c>
      <c r="Y862" s="31" t="s">
        <v>39</v>
      </c>
      <c r="Z862" s="32">
        <f t="shared" ref="Z862:AK862" si="2437">SUM(D853)</f>
        <v>816</v>
      </c>
      <c r="AA862" s="32">
        <f t="shared" si="2437"/>
        <v>803</v>
      </c>
      <c r="AB862" s="32">
        <f t="shared" si="2437"/>
        <v>152158.13</v>
      </c>
      <c r="AC862" s="32">
        <f t="shared" si="2437"/>
        <v>33927</v>
      </c>
      <c r="AD862" s="32">
        <f t="shared" si="2437"/>
        <v>592</v>
      </c>
      <c r="AE862" s="32">
        <f t="shared" si="2437"/>
        <v>34519</v>
      </c>
      <c r="AF862" s="32">
        <f t="shared" si="2437"/>
        <v>52177</v>
      </c>
      <c r="AG862" s="32">
        <f t="shared" si="2437"/>
        <v>3072</v>
      </c>
      <c r="AH862" s="32">
        <f t="shared" si="2437"/>
        <v>55249</v>
      </c>
      <c r="AI862" s="32">
        <f t="shared" si="2437"/>
        <v>89768</v>
      </c>
      <c r="AJ862" s="34">
        <f t="shared" si="2437"/>
        <v>189.4870859</v>
      </c>
      <c r="AK862" s="32">
        <f t="shared" si="2437"/>
        <v>110639</v>
      </c>
      <c r="AL862" s="35">
        <f t="shared" si="2423"/>
        <v>0.8113594664</v>
      </c>
      <c r="AM862" s="32">
        <f t="shared" si="2434"/>
        <v>1.5</v>
      </c>
      <c r="AN862" s="35">
        <f t="shared" si="2424"/>
        <v>0.3933101263</v>
      </c>
      <c r="AO862" s="37">
        <f t="shared" si="2425"/>
        <v>0.5899651895</v>
      </c>
      <c r="AP862" s="32">
        <f t="shared" ref="AP862:AQ862" si="2438">SUM(T853)</f>
        <v>7089.322555</v>
      </c>
      <c r="AQ862" s="32">
        <f t="shared" si="2438"/>
        <v>8.828546146</v>
      </c>
      <c r="AR862" s="32">
        <f t="shared" si="2427"/>
        <v>111.7907846</v>
      </c>
      <c r="AS862" s="94">
        <f t="shared" si="2436"/>
        <v>3414</v>
      </c>
      <c r="AT862" s="95">
        <v>46206.0</v>
      </c>
    </row>
    <row r="863" ht="15.75" customHeight="1">
      <c r="A863" s="109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X863" s="31">
        <v>6.0</v>
      </c>
      <c r="Y863" s="31" t="s">
        <v>41</v>
      </c>
      <c r="Z863" s="32">
        <f t="shared" ref="Z863:AK863" si="2439">SUM(D854)</f>
        <v>708</v>
      </c>
      <c r="AA863" s="32">
        <f t="shared" si="2439"/>
        <v>699</v>
      </c>
      <c r="AB863" s="32">
        <f t="shared" si="2439"/>
        <v>137990.764</v>
      </c>
      <c r="AC863" s="32">
        <f t="shared" si="2439"/>
        <v>34388</v>
      </c>
      <c r="AD863" s="32">
        <f t="shared" si="2439"/>
        <v>734</v>
      </c>
      <c r="AE863" s="32">
        <f t="shared" si="2439"/>
        <v>35122</v>
      </c>
      <c r="AF863" s="32">
        <f t="shared" si="2439"/>
        <v>46600</v>
      </c>
      <c r="AG863" s="32">
        <f t="shared" si="2439"/>
        <v>3531</v>
      </c>
      <c r="AH863" s="32">
        <f t="shared" si="2439"/>
        <v>50131</v>
      </c>
      <c r="AI863" s="32">
        <f t="shared" si="2439"/>
        <v>85253</v>
      </c>
      <c r="AJ863" s="34">
        <f t="shared" si="2439"/>
        <v>197.4116795</v>
      </c>
      <c r="AK863" s="32">
        <f t="shared" si="2439"/>
        <v>117831</v>
      </c>
      <c r="AL863" s="35">
        <f t="shared" si="2423"/>
        <v>0.7235192776</v>
      </c>
      <c r="AM863" s="32">
        <f t="shared" si="2434"/>
        <v>1.5</v>
      </c>
      <c r="AN863" s="35">
        <f t="shared" si="2424"/>
        <v>0.4118778075</v>
      </c>
      <c r="AO863" s="37">
        <f t="shared" si="2425"/>
        <v>0.6178167113</v>
      </c>
      <c r="AP863" s="32">
        <f t="shared" ref="AP863:AQ863" si="2440">SUM(T854)</f>
        <v>4657.444444</v>
      </c>
      <c r="AQ863" s="32">
        <f t="shared" si="2440"/>
        <v>6.66301065</v>
      </c>
      <c r="AR863" s="32">
        <f t="shared" si="2427"/>
        <v>121.9642346</v>
      </c>
      <c r="AS863" s="94">
        <f t="shared" si="2436"/>
        <v>3625</v>
      </c>
      <c r="AT863" s="95">
        <v>46217.0</v>
      </c>
    </row>
    <row r="864" ht="15.75" customHeight="1">
      <c r="A864" s="1" t="s">
        <v>45</v>
      </c>
      <c r="D864" s="2"/>
      <c r="X864" s="46" t="s">
        <v>33</v>
      </c>
      <c r="Y864" s="46">
        <v>6.0</v>
      </c>
      <c r="Z864" s="47">
        <f t="shared" ref="Z864:AI864" si="2441">SUM(Z858:Z863)</f>
        <v>5010</v>
      </c>
      <c r="AA864" s="47">
        <f t="shared" si="2441"/>
        <v>4914</v>
      </c>
      <c r="AB864" s="47">
        <f t="shared" si="2441"/>
        <v>954996.469</v>
      </c>
      <c r="AC864" s="47">
        <f t="shared" si="2441"/>
        <v>357609</v>
      </c>
      <c r="AD864" s="47">
        <f t="shared" si="2441"/>
        <v>3984</v>
      </c>
      <c r="AE864" s="47">
        <f t="shared" si="2441"/>
        <v>361593</v>
      </c>
      <c r="AF864" s="47">
        <f t="shared" si="2441"/>
        <v>472812</v>
      </c>
      <c r="AG864" s="47">
        <f t="shared" si="2441"/>
        <v>9739</v>
      </c>
      <c r="AH864" s="47">
        <f t="shared" si="2441"/>
        <v>482551</v>
      </c>
      <c r="AI864" s="47">
        <f t="shared" si="2441"/>
        <v>844144</v>
      </c>
      <c r="AJ864" s="49">
        <f>AB864/AA864</f>
        <v>194.3419758</v>
      </c>
      <c r="AK864" s="47">
        <f>SUM(AK858:AK863)</f>
        <v>1147961</v>
      </c>
      <c r="AL864" s="50">
        <f t="shared" si="2423"/>
        <v>0.7353420543</v>
      </c>
      <c r="AM864" s="51">
        <v>1.5</v>
      </c>
      <c r="AN864" s="50">
        <f t="shared" si="2424"/>
        <v>0.589282458</v>
      </c>
      <c r="AO864" s="52">
        <f t="shared" si="2425"/>
        <v>0.8839236871</v>
      </c>
      <c r="AP864" s="51">
        <f>SUM(AP858:AP863)</f>
        <v>39466.12991</v>
      </c>
      <c r="AQ864" s="51">
        <f>AP864/AA864</f>
        <v>8.031365467</v>
      </c>
      <c r="AR864" s="47">
        <f t="shared" si="2427"/>
        <v>171.7834758</v>
      </c>
      <c r="AS864" s="47">
        <f>MAX(M24,M51,M78,M105,M132,M159,M186,M213,M240,M267,M294,M321,M348,M375,M402,M429,M456,M483,M510,M537,M564,M591,M618,M645,M672,M699,M726,M753,M780,M807,M834)</f>
        <v>103491</v>
      </c>
      <c r="AT864" s="108">
        <v>46230.0</v>
      </c>
    </row>
    <row r="865" ht="15.75" customHeight="1">
      <c r="A865" s="110"/>
      <c r="D865" s="111" t="s">
        <v>49</v>
      </c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3"/>
      <c r="Q865" s="110"/>
    </row>
    <row r="866" ht="15.75" customHeight="1">
      <c r="D866" s="114"/>
      <c r="P866" s="115"/>
    </row>
    <row r="867" ht="15.75" customHeight="1">
      <c r="D867" s="116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8"/>
    </row>
    <row r="868" ht="15.75" customHeight="1">
      <c r="D868" s="119" t="s">
        <v>3</v>
      </c>
      <c r="E868" s="112"/>
      <c r="F868" s="112"/>
      <c r="G868" s="112"/>
      <c r="H868" s="112"/>
      <c r="I868" s="112"/>
      <c r="J868" s="113"/>
      <c r="K868" s="120" t="s">
        <v>50</v>
      </c>
      <c r="L868" s="112"/>
      <c r="M868" s="112"/>
      <c r="N868" s="112"/>
      <c r="O868" s="112"/>
      <c r="P868" s="113"/>
    </row>
    <row r="869" ht="15.75" customHeight="1">
      <c r="D869" s="116"/>
      <c r="E869" s="117"/>
      <c r="F869" s="117"/>
      <c r="G869" s="117"/>
      <c r="H869" s="117"/>
      <c r="I869" s="117"/>
      <c r="J869" s="118"/>
      <c r="K869" s="116"/>
      <c r="L869" s="117"/>
      <c r="M869" s="117"/>
      <c r="N869" s="117"/>
      <c r="O869" s="117"/>
      <c r="P869" s="118"/>
    </row>
    <row r="870" ht="15.75" customHeight="1">
      <c r="D870" s="121" t="s">
        <v>51</v>
      </c>
      <c r="E870" s="122"/>
      <c r="F870" s="122"/>
      <c r="G870" s="122"/>
      <c r="H870" s="122"/>
      <c r="I870" s="122"/>
      <c r="J870" s="123"/>
      <c r="K870" s="124">
        <v>14.415</v>
      </c>
      <c r="L870" s="122"/>
      <c r="M870" s="122"/>
      <c r="N870" s="122"/>
      <c r="O870" s="122"/>
      <c r="P870" s="123"/>
    </row>
    <row r="871" ht="15.75" customHeight="1">
      <c r="D871" s="121" t="s">
        <v>52</v>
      </c>
      <c r="E871" s="122"/>
      <c r="F871" s="122"/>
      <c r="G871" s="122"/>
      <c r="H871" s="122"/>
      <c r="I871" s="122"/>
      <c r="J871" s="123"/>
      <c r="K871" s="121">
        <v>30.897</v>
      </c>
      <c r="L871" s="122"/>
      <c r="M871" s="122"/>
      <c r="N871" s="122"/>
      <c r="O871" s="122"/>
      <c r="P871" s="123"/>
    </row>
    <row r="872" ht="15.75" customHeight="1">
      <c r="D872" s="121" t="s">
        <v>53</v>
      </c>
      <c r="E872" s="122"/>
      <c r="F872" s="122"/>
      <c r="G872" s="122"/>
      <c r="H872" s="122"/>
      <c r="I872" s="122"/>
      <c r="J872" s="123"/>
      <c r="K872" s="121">
        <v>29.603</v>
      </c>
      <c r="L872" s="122"/>
      <c r="M872" s="122"/>
      <c r="N872" s="122"/>
      <c r="O872" s="122"/>
      <c r="P872" s="123"/>
    </row>
    <row r="873" ht="15.75" customHeight="1">
      <c r="D873" s="121" t="s">
        <v>54</v>
      </c>
      <c r="E873" s="122"/>
      <c r="F873" s="122"/>
      <c r="G873" s="122"/>
      <c r="H873" s="122"/>
      <c r="I873" s="122"/>
      <c r="J873" s="123"/>
      <c r="K873" s="121">
        <v>25.089</v>
      </c>
      <c r="L873" s="122"/>
      <c r="M873" s="122"/>
      <c r="N873" s="122"/>
      <c r="O873" s="122"/>
      <c r="P873" s="123"/>
    </row>
    <row r="874" ht="15.75" customHeight="1">
      <c r="D874" s="121" t="s">
        <v>55</v>
      </c>
      <c r="E874" s="122"/>
      <c r="F874" s="122"/>
      <c r="G874" s="122"/>
      <c r="H874" s="122"/>
      <c r="I874" s="122"/>
      <c r="J874" s="123"/>
      <c r="K874" s="121">
        <v>28.347</v>
      </c>
      <c r="L874" s="122"/>
      <c r="M874" s="122"/>
      <c r="N874" s="122"/>
      <c r="O874" s="122"/>
      <c r="P874" s="123"/>
    </row>
    <row r="875" ht="15.75" customHeight="1">
      <c r="D875" s="121" t="s">
        <v>56</v>
      </c>
      <c r="E875" s="122"/>
      <c r="F875" s="122"/>
      <c r="G875" s="122"/>
      <c r="H875" s="122"/>
      <c r="I875" s="122"/>
      <c r="J875" s="123"/>
      <c r="K875" s="121">
        <v>33.74</v>
      </c>
      <c r="L875" s="122"/>
      <c r="M875" s="122"/>
      <c r="N875" s="122"/>
      <c r="O875" s="122"/>
      <c r="P875" s="123"/>
    </row>
    <row r="876" ht="15.75" customHeight="1">
      <c r="D876" s="121" t="s">
        <v>57</v>
      </c>
      <c r="E876" s="122"/>
      <c r="F876" s="122"/>
      <c r="G876" s="122"/>
      <c r="H876" s="122"/>
      <c r="I876" s="122"/>
      <c r="J876" s="123"/>
      <c r="K876" s="121">
        <v>26.805</v>
      </c>
      <c r="L876" s="122"/>
      <c r="M876" s="122"/>
      <c r="N876" s="122"/>
      <c r="O876" s="122"/>
      <c r="P876" s="123"/>
    </row>
    <row r="877" ht="15.75" customHeight="1">
      <c r="D877" s="121" t="s">
        <v>58</v>
      </c>
      <c r="E877" s="122"/>
      <c r="F877" s="122"/>
      <c r="G877" s="122"/>
      <c r="H877" s="122"/>
      <c r="I877" s="122"/>
      <c r="J877" s="123"/>
      <c r="K877" s="121">
        <v>23.84</v>
      </c>
      <c r="L877" s="122"/>
      <c r="M877" s="122"/>
      <c r="N877" s="122"/>
      <c r="O877" s="122"/>
      <c r="P877" s="123"/>
    </row>
    <row r="878" ht="15.75" customHeight="1">
      <c r="D878" s="121" t="s">
        <v>59</v>
      </c>
      <c r="E878" s="122"/>
      <c r="F878" s="122"/>
      <c r="G878" s="122"/>
      <c r="H878" s="122"/>
      <c r="I878" s="122"/>
      <c r="J878" s="123"/>
      <c r="K878" s="121">
        <v>37.414</v>
      </c>
      <c r="L878" s="122"/>
      <c r="M878" s="122"/>
      <c r="N878" s="122"/>
      <c r="O878" s="122"/>
      <c r="P878" s="123"/>
    </row>
    <row r="879" ht="15.75" customHeight="1">
      <c r="D879" s="121" t="s">
        <v>60</v>
      </c>
      <c r="E879" s="122"/>
      <c r="F879" s="122"/>
      <c r="G879" s="122"/>
      <c r="H879" s="122"/>
      <c r="I879" s="122"/>
      <c r="J879" s="123"/>
      <c r="K879" s="121">
        <v>24.792</v>
      </c>
      <c r="L879" s="122"/>
      <c r="M879" s="122"/>
      <c r="N879" s="122"/>
      <c r="O879" s="122"/>
      <c r="P879" s="123"/>
    </row>
    <row r="880" ht="15.75" customHeight="1">
      <c r="D880" s="121" t="s">
        <v>61</v>
      </c>
      <c r="E880" s="122"/>
      <c r="F880" s="122"/>
      <c r="G880" s="122"/>
      <c r="H880" s="122"/>
      <c r="I880" s="122"/>
      <c r="J880" s="123"/>
      <c r="K880" s="121">
        <v>21.463</v>
      </c>
      <c r="L880" s="122"/>
      <c r="M880" s="122"/>
      <c r="N880" s="122"/>
      <c r="O880" s="122"/>
      <c r="P880" s="123"/>
    </row>
    <row r="881" ht="15.75" customHeight="1">
      <c r="D881" s="121" t="s">
        <v>62</v>
      </c>
      <c r="E881" s="122"/>
      <c r="F881" s="122"/>
      <c r="G881" s="122"/>
      <c r="H881" s="122"/>
      <c r="I881" s="122"/>
      <c r="J881" s="123"/>
      <c r="K881" s="121">
        <v>29.628</v>
      </c>
      <c r="L881" s="122"/>
      <c r="M881" s="122"/>
      <c r="N881" s="122"/>
      <c r="O881" s="122"/>
      <c r="P881" s="123"/>
    </row>
    <row r="882" ht="15.75" customHeight="1">
      <c r="D882" s="121" t="s">
        <v>63</v>
      </c>
      <c r="E882" s="122"/>
      <c r="F882" s="122"/>
      <c r="G882" s="122"/>
      <c r="H882" s="122"/>
      <c r="I882" s="122"/>
      <c r="J882" s="123"/>
      <c r="K882" s="121">
        <v>41.205</v>
      </c>
      <c r="L882" s="122"/>
      <c r="M882" s="122"/>
      <c r="N882" s="122"/>
      <c r="O882" s="122"/>
      <c r="P882" s="123"/>
    </row>
    <row r="883" ht="15.75" customHeight="1">
      <c r="D883" s="121" t="s">
        <v>64</v>
      </c>
      <c r="E883" s="122"/>
      <c r="F883" s="122"/>
      <c r="G883" s="122"/>
      <c r="H883" s="122"/>
      <c r="I883" s="122"/>
      <c r="J883" s="123"/>
      <c r="K883" s="121">
        <v>19.985</v>
      </c>
      <c r="L883" s="122"/>
      <c r="M883" s="122"/>
      <c r="N883" s="122"/>
      <c r="O883" s="122"/>
      <c r="P883" s="123"/>
    </row>
    <row r="884" ht="15.75" customHeight="1">
      <c r="D884" s="121" t="s">
        <v>65</v>
      </c>
      <c r="E884" s="122"/>
      <c r="F884" s="122"/>
      <c r="G884" s="122"/>
      <c r="H884" s="122"/>
      <c r="I884" s="122"/>
      <c r="J884" s="123"/>
      <c r="K884" s="121">
        <v>28.443</v>
      </c>
      <c r="L884" s="122"/>
      <c r="M884" s="122"/>
      <c r="N884" s="122"/>
      <c r="O884" s="122"/>
      <c r="P884" s="123"/>
    </row>
    <row r="885" ht="15.75" customHeight="1">
      <c r="D885" s="121" t="s">
        <v>66</v>
      </c>
      <c r="E885" s="122"/>
      <c r="F885" s="122"/>
      <c r="G885" s="122"/>
      <c r="H885" s="122"/>
      <c r="I885" s="122"/>
      <c r="J885" s="123"/>
      <c r="K885" s="121">
        <v>26.155</v>
      </c>
      <c r="L885" s="122"/>
      <c r="M885" s="122"/>
      <c r="N885" s="122"/>
      <c r="O885" s="122"/>
      <c r="P885" s="123"/>
    </row>
    <row r="886" ht="15.75" customHeight="1">
      <c r="D886" s="121" t="s">
        <v>67</v>
      </c>
      <c r="E886" s="122"/>
      <c r="F886" s="122"/>
      <c r="G886" s="122"/>
      <c r="H886" s="122"/>
      <c r="I886" s="122"/>
      <c r="J886" s="123"/>
      <c r="K886" s="121">
        <v>26.038</v>
      </c>
      <c r="L886" s="122"/>
      <c r="M886" s="122"/>
      <c r="N886" s="122"/>
      <c r="O886" s="122"/>
      <c r="P886" s="123"/>
    </row>
    <row r="887" ht="15.75" customHeight="1">
      <c r="D887" s="121" t="s">
        <v>68</v>
      </c>
      <c r="E887" s="122"/>
      <c r="F887" s="122"/>
      <c r="G887" s="122"/>
      <c r="H887" s="122"/>
      <c r="I887" s="122"/>
      <c r="J887" s="123"/>
      <c r="K887" s="121">
        <v>43.465</v>
      </c>
      <c r="L887" s="122"/>
      <c r="M887" s="122"/>
      <c r="N887" s="122"/>
      <c r="O887" s="122"/>
      <c r="P887" s="123"/>
    </row>
    <row r="888" ht="15.75" customHeight="1">
      <c r="D888" s="126" t="s">
        <v>69</v>
      </c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3"/>
    </row>
    <row r="889" ht="15.75" customHeight="1">
      <c r="D889" s="114"/>
      <c r="P889" s="115"/>
    </row>
    <row r="890" ht="15.75" customHeight="1">
      <c r="D890" s="116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8"/>
    </row>
    <row r="891" ht="15.75" customHeight="1">
      <c r="D891" s="127" t="s">
        <v>3</v>
      </c>
      <c r="E891" s="112"/>
      <c r="F891" s="112"/>
      <c r="G891" s="112"/>
      <c r="H891" s="112"/>
      <c r="I891" s="112"/>
      <c r="J891" s="113"/>
      <c r="K891" s="128" t="s">
        <v>70</v>
      </c>
      <c r="L891" s="112"/>
      <c r="M891" s="112"/>
      <c r="N891" s="112"/>
      <c r="O891" s="112"/>
      <c r="P891" s="113"/>
    </row>
    <row r="892" ht="15.75" customHeight="1">
      <c r="D892" s="116"/>
      <c r="E892" s="117"/>
      <c r="F892" s="117"/>
      <c r="G892" s="117"/>
      <c r="H892" s="117"/>
      <c r="I892" s="117"/>
      <c r="J892" s="118"/>
      <c r="K892" s="116"/>
      <c r="L892" s="117"/>
      <c r="M892" s="117"/>
      <c r="N892" s="117"/>
      <c r="O892" s="117"/>
      <c r="P892" s="118"/>
    </row>
    <row r="893" ht="15.75" customHeight="1">
      <c r="D893" s="121" t="s">
        <v>51</v>
      </c>
      <c r="E893" s="122"/>
      <c r="F893" s="122"/>
      <c r="G893" s="122"/>
      <c r="H893" s="122"/>
      <c r="I893" s="122"/>
      <c r="J893" s="123"/>
      <c r="K893" s="124" t="s">
        <v>71</v>
      </c>
      <c r="L893" s="122"/>
      <c r="M893" s="122"/>
      <c r="N893" s="122"/>
      <c r="O893" s="122"/>
      <c r="P893" s="123"/>
    </row>
    <row r="894" ht="15.75" customHeight="1">
      <c r="D894" s="121" t="s">
        <v>52</v>
      </c>
      <c r="E894" s="122"/>
      <c r="F894" s="122"/>
      <c r="G894" s="122"/>
      <c r="H894" s="122"/>
      <c r="I894" s="122"/>
      <c r="J894" s="123"/>
      <c r="K894" s="124" t="s">
        <v>72</v>
      </c>
      <c r="L894" s="122"/>
      <c r="M894" s="122"/>
      <c r="N894" s="122"/>
      <c r="O894" s="122"/>
      <c r="P894" s="123"/>
    </row>
    <row r="895" ht="15.75" customHeight="1">
      <c r="D895" s="121" t="s">
        <v>53</v>
      </c>
      <c r="E895" s="122"/>
      <c r="F895" s="122"/>
      <c r="G895" s="122"/>
      <c r="H895" s="122"/>
      <c r="I895" s="122"/>
      <c r="J895" s="123"/>
      <c r="K895" s="124" t="s">
        <v>72</v>
      </c>
      <c r="L895" s="122"/>
      <c r="M895" s="122"/>
      <c r="N895" s="122"/>
      <c r="O895" s="122"/>
      <c r="P895" s="123"/>
    </row>
    <row r="896" ht="15.75" customHeight="1">
      <c r="D896" s="121" t="s">
        <v>54</v>
      </c>
      <c r="E896" s="122"/>
      <c r="F896" s="122"/>
      <c r="G896" s="122"/>
      <c r="H896" s="122"/>
      <c r="I896" s="122"/>
      <c r="J896" s="123"/>
      <c r="K896" s="124" t="s">
        <v>73</v>
      </c>
      <c r="L896" s="122"/>
      <c r="M896" s="122"/>
      <c r="N896" s="122"/>
      <c r="O896" s="122"/>
      <c r="P896" s="123"/>
    </row>
    <row r="897" ht="15.75" customHeight="1">
      <c r="D897" s="121" t="s">
        <v>55</v>
      </c>
      <c r="E897" s="122"/>
      <c r="F897" s="122"/>
      <c r="G897" s="122"/>
      <c r="H897" s="122"/>
      <c r="I897" s="122"/>
      <c r="J897" s="123"/>
      <c r="K897" s="124" t="s">
        <v>74</v>
      </c>
      <c r="L897" s="122"/>
      <c r="M897" s="122"/>
      <c r="N897" s="122"/>
      <c r="O897" s="122"/>
      <c r="P897" s="123"/>
    </row>
    <row r="898" ht="15.75" customHeight="1">
      <c r="D898" s="121" t="s">
        <v>56</v>
      </c>
      <c r="E898" s="122"/>
      <c r="F898" s="122"/>
      <c r="G898" s="122"/>
      <c r="H898" s="122"/>
      <c r="I898" s="122"/>
      <c r="J898" s="123"/>
      <c r="K898" s="124" t="s">
        <v>74</v>
      </c>
      <c r="L898" s="122"/>
      <c r="M898" s="122"/>
      <c r="N898" s="122"/>
      <c r="O898" s="122"/>
      <c r="P898" s="123"/>
    </row>
    <row r="899" ht="15.75" customHeight="1">
      <c r="D899" s="121" t="s">
        <v>75</v>
      </c>
      <c r="E899" s="122"/>
      <c r="F899" s="122"/>
      <c r="G899" s="122"/>
      <c r="H899" s="122"/>
      <c r="I899" s="122"/>
      <c r="J899" s="123"/>
      <c r="K899" s="124" t="s">
        <v>74</v>
      </c>
      <c r="L899" s="122"/>
      <c r="M899" s="122"/>
      <c r="N899" s="122"/>
      <c r="O899" s="122"/>
      <c r="P899" s="123"/>
    </row>
    <row r="900" ht="15.75" customHeight="1">
      <c r="D900" s="121" t="s">
        <v>58</v>
      </c>
      <c r="E900" s="122"/>
      <c r="F900" s="122"/>
      <c r="G900" s="122"/>
      <c r="H900" s="122"/>
      <c r="I900" s="122"/>
      <c r="J900" s="123"/>
      <c r="K900" s="124" t="s">
        <v>74</v>
      </c>
      <c r="L900" s="122"/>
      <c r="M900" s="122"/>
      <c r="N900" s="122"/>
      <c r="O900" s="122"/>
      <c r="P900" s="123"/>
    </row>
    <row r="901" ht="15.75" customHeight="1">
      <c r="D901" s="121" t="s">
        <v>76</v>
      </c>
      <c r="E901" s="122"/>
      <c r="F901" s="122"/>
      <c r="G901" s="122"/>
      <c r="H901" s="122"/>
      <c r="I901" s="122"/>
      <c r="J901" s="123"/>
      <c r="K901" s="124" t="s">
        <v>77</v>
      </c>
      <c r="L901" s="122"/>
      <c r="M901" s="122"/>
      <c r="N901" s="122"/>
      <c r="O901" s="122"/>
      <c r="P901" s="123"/>
    </row>
    <row r="902" ht="15.75" customHeight="1">
      <c r="D902" s="121" t="s">
        <v>60</v>
      </c>
      <c r="E902" s="122"/>
      <c r="F902" s="122"/>
      <c r="G902" s="122"/>
      <c r="H902" s="122"/>
      <c r="I902" s="122"/>
      <c r="J902" s="123"/>
      <c r="K902" s="124" t="s">
        <v>72</v>
      </c>
      <c r="L902" s="122"/>
      <c r="M902" s="122"/>
      <c r="N902" s="122"/>
      <c r="O902" s="122"/>
      <c r="P902" s="123"/>
    </row>
    <row r="903" ht="15.75" customHeight="1">
      <c r="D903" s="121" t="s">
        <v>61</v>
      </c>
      <c r="E903" s="122"/>
      <c r="F903" s="122"/>
      <c r="G903" s="122"/>
      <c r="H903" s="122"/>
      <c r="I903" s="122"/>
      <c r="J903" s="123"/>
      <c r="K903" s="124" t="s">
        <v>73</v>
      </c>
      <c r="L903" s="122"/>
      <c r="M903" s="122"/>
      <c r="N903" s="122"/>
      <c r="O903" s="122"/>
      <c r="P903" s="123"/>
    </row>
    <row r="904" ht="15.75" customHeight="1">
      <c r="D904" s="121" t="s">
        <v>62</v>
      </c>
      <c r="E904" s="122"/>
      <c r="F904" s="122"/>
      <c r="G904" s="122"/>
      <c r="H904" s="122"/>
      <c r="I904" s="122"/>
      <c r="J904" s="123"/>
      <c r="K904" s="124" t="s">
        <v>78</v>
      </c>
      <c r="L904" s="122"/>
      <c r="M904" s="122"/>
      <c r="N904" s="122"/>
      <c r="O904" s="122"/>
      <c r="P904" s="123"/>
    </row>
    <row r="905" ht="15.75" customHeight="1">
      <c r="D905" s="121" t="s">
        <v>79</v>
      </c>
      <c r="E905" s="122"/>
      <c r="F905" s="122"/>
      <c r="G905" s="122"/>
      <c r="H905" s="122"/>
      <c r="I905" s="122"/>
      <c r="J905" s="123"/>
      <c r="K905" s="124" t="s">
        <v>80</v>
      </c>
      <c r="L905" s="122"/>
      <c r="M905" s="122"/>
      <c r="N905" s="122"/>
      <c r="O905" s="122"/>
      <c r="P905" s="123"/>
    </row>
    <row r="906" ht="15.75" customHeight="1">
      <c r="D906" s="121" t="s">
        <v>64</v>
      </c>
      <c r="E906" s="122"/>
      <c r="F906" s="122"/>
      <c r="G906" s="122"/>
      <c r="H906" s="122"/>
      <c r="I906" s="122"/>
      <c r="J906" s="123"/>
      <c r="K906" s="124" t="s">
        <v>74</v>
      </c>
      <c r="L906" s="122"/>
      <c r="M906" s="122"/>
      <c r="N906" s="122"/>
      <c r="O906" s="122"/>
      <c r="P906" s="123"/>
    </row>
    <row r="907" ht="15.75" customHeight="1">
      <c r="D907" s="121" t="s">
        <v>65</v>
      </c>
      <c r="E907" s="122"/>
      <c r="F907" s="122"/>
      <c r="G907" s="122"/>
      <c r="H907" s="122"/>
      <c r="I907" s="122"/>
      <c r="J907" s="123"/>
      <c r="K907" s="124" t="s">
        <v>72</v>
      </c>
      <c r="L907" s="122"/>
      <c r="M907" s="122"/>
      <c r="N907" s="122"/>
      <c r="O907" s="122"/>
      <c r="P907" s="123"/>
    </row>
    <row r="908" ht="15.75" customHeight="1">
      <c r="D908" s="121" t="s">
        <v>66</v>
      </c>
      <c r="E908" s="122"/>
      <c r="F908" s="122"/>
      <c r="G908" s="122"/>
      <c r="H908" s="122"/>
      <c r="I908" s="122"/>
      <c r="J908" s="123"/>
      <c r="K908" s="124" t="s">
        <v>74</v>
      </c>
      <c r="L908" s="122"/>
      <c r="M908" s="122"/>
      <c r="N908" s="122"/>
      <c r="O908" s="122"/>
      <c r="P908" s="123"/>
    </row>
    <row r="909" ht="15.75" customHeight="1">
      <c r="D909" s="121" t="s">
        <v>67</v>
      </c>
      <c r="E909" s="122"/>
      <c r="F909" s="122"/>
      <c r="G909" s="122"/>
      <c r="H909" s="122"/>
      <c r="I909" s="122"/>
      <c r="J909" s="123"/>
      <c r="K909" s="124" t="s">
        <v>74</v>
      </c>
      <c r="L909" s="122"/>
      <c r="M909" s="122"/>
      <c r="N909" s="122"/>
      <c r="O909" s="122"/>
      <c r="P909" s="123"/>
    </row>
    <row r="910" ht="15.75" customHeight="1">
      <c r="D910" s="121" t="s">
        <v>68</v>
      </c>
      <c r="E910" s="122"/>
      <c r="F910" s="122"/>
      <c r="G910" s="122"/>
      <c r="H910" s="122"/>
      <c r="I910" s="122"/>
      <c r="J910" s="123"/>
      <c r="K910" s="124" t="s">
        <v>80</v>
      </c>
      <c r="L910" s="122"/>
      <c r="M910" s="122"/>
      <c r="N910" s="122"/>
      <c r="O910" s="122"/>
      <c r="P910" s="123"/>
    </row>
    <row r="911">
      <c r="D911" s="110"/>
    </row>
  </sheetData>
  <mergeCells count="1683">
    <mergeCell ref="P780:P782"/>
    <mergeCell ref="Q780:Q782"/>
    <mergeCell ref="R780:R782"/>
    <mergeCell ref="S780:S782"/>
    <mergeCell ref="T780:T782"/>
    <mergeCell ref="U780:U782"/>
    <mergeCell ref="V780:V782"/>
    <mergeCell ref="D783:V783"/>
    <mergeCell ref="D784:V784"/>
    <mergeCell ref="X784:AR784"/>
    <mergeCell ref="D785:D788"/>
    <mergeCell ref="E785:E788"/>
    <mergeCell ref="F785:F788"/>
    <mergeCell ref="G785:G788"/>
    <mergeCell ref="D882:J882"/>
    <mergeCell ref="D883:J883"/>
    <mergeCell ref="K883:P883"/>
    <mergeCell ref="D879:J879"/>
    <mergeCell ref="K879:P879"/>
    <mergeCell ref="D880:J880"/>
    <mergeCell ref="K880:P880"/>
    <mergeCell ref="D881:J881"/>
    <mergeCell ref="K881:P881"/>
    <mergeCell ref="K882:P882"/>
    <mergeCell ref="D887:J887"/>
    <mergeCell ref="D888:P890"/>
    <mergeCell ref="D884:J884"/>
    <mergeCell ref="K884:P884"/>
    <mergeCell ref="D885:J885"/>
    <mergeCell ref="K885:P885"/>
    <mergeCell ref="D886:J886"/>
    <mergeCell ref="K886:P886"/>
    <mergeCell ref="K887:P887"/>
    <mergeCell ref="D895:J895"/>
    <mergeCell ref="D896:J896"/>
    <mergeCell ref="K896:P896"/>
    <mergeCell ref="D891:J892"/>
    <mergeCell ref="K891:P892"/>
    <mergeCell ref="D893:J893"/>
    <mergeCell ref="K893:P893"/>
    <mergeCell ref="D894:J894"/>
    <mergeCell ref="K894:P894"/>
    <mergeCell ref="K895:P895"/>
    <mergeCell ref="D900:J900"/>
    <mergeCell ref="D901:J901"/>
    <mergeCell ref="K901:P901"/>
    <mergeCell ref="D897:J897"/>
    <mergeCell ref="K897:P897"/>
    <mergeCell ref="D898:J898"/>
    <mergeCell ref="K898:P898"/>
    <mergeCell ref="D899:J899"/>
    <mergeCell ref="K899:P899"/>
    <mergeCell ref="K900:P900"/>
    <mergeCell ref="D905:J905"/>
    <mergeCell ref="D906:J906"/>
    <mergeCell ref="K906:P906"/>
    <mergeCell ref="D902:J902"/>
    <mergeCell ref="K902:P902"/>
    <mergeCell ref="D903:J903"/>
    <mergeCell ref="K903:P903"/>
    <mergeCell ref="D904:J904"/>
    <mergeCell ref="K904:P904"/>
    <mergeCell ref="K905:P905"/>
    <mergeCell ref="D910:J910"/>
    <mergeCell ref="D911:P912"/>
    <mergeCell ref="D907:J907"/>
    <mergeCell ref="K907:P907"/>
    <mergeCell ref="D908:J908"/>
    <mergeCell ref="K908:P908"/>
    <mergeCell ref="D909:J909"/>
    <mergeCell ref="K909:P909"/>
    <mergeCell ref="K910:P910"/>
    <mergeCell ref="X532:AR532"/>
    <mergeCell ref="D537:D539"/>
    <mergeCell ref="E537:E539"/>
    <mergeCell ref="F537:F539"/>
    <mergeCell ref="G537:G539"/>
    <mergeCell ref="H537:H539"/>
    <mergeCell ref="I537:I539"/>
    <mergeCell ref="V537:V539"/>
    <mergeCell ref="X838:AT838"/>
    <mergeCell ref="X847:AT847"/>
    <mergeCell ref="X856:AT856"/>
    <mergeCell ref="R861:R863"/>
    <mergeCell ref="S861:S863"/>
    <mergeCell ref="T861:T863"/>
    <mergeCell ref="U861:U863"/>
    <mergeCell ref="V861:V863"/>
    <mergeCell ref="Q865:AT912"/>
    <mergeCell ref="D1:V1"/>
    <mergeCell ref="W1:W864"/>
    <mergeCell ref="X1:AR1"/>
    <mergeCell ref="AS1:AT837"/>
    <mergeCell ref="V24:V26"/>
    <mergeCell ref="X28:AR28"/>
    <mergeCell ref="X55:AR55"/>
    <mergeCell ref="D864:V864"/>
    <mergeCell ref="D868:J869"/>
    <mergeCell ref="K868:P869"/>
    <mergeCell ref="D870:J870"/>
    <mergeCell ref="K870:P870"/>
    <mergeCell ref="D871:J871"/>
    <mergeCell ref="K871:P871"/>
    <mergeCell ref="D872:J872"/>
    <mergeCell ref="K872:P872"/>
    <mergeCell ref="D873:J873"/>
    <mergeCell ref="K873:P873"/>
    <mergeCell ref="D874:J874"/>
    <mergeCell ref="K874:P874"/>
    <mergeCell ref="K875:P875"/>
    <mergeCell ref="D875:J875"/>
    <mergeCell ref="D876:J876"/>
    <mergeCell ref="K876:P876"/>
    <mergeCell ref="D877:J877"/>
    <mergeCell ref="K877:P877"/>
    <mergeCell ref="D878:J878"/>
    <mergeCell ref="K878:P878"/>
    <mergeCell ref="P699:P701"/>
    <mergeCell ref="Q699:Q701"/>
    <mergeCell ref="R699:R701"/>
    <mergeCell ref="S699:S701"/>
    <mergeCell ref="T699:T701"/>
    <mergeCell ref="U699:U701"/>
    <mergeCell ref="V704:V707"/>
    <mergeCell ref="V699:V701"/>
    <mergeCell ref="D702:V702"/>
    <mergeCell ref="D703:V703"/>
    <mergeCell ref="X703:AR703"/>
    <mergeCell ref="D704:D707"/>
    <mergeCell ref="E704:E707"/>
    <mergeCell ref="F704:F707"/>
    <mergeCell ref="G704:G707"/>
    <mergeCell ref="H704:H707"/>
    <mergeCell ref="I704:I707"/>
    <mergeCell ref="J704:J707"/>
    <mergeCell ref="K704:K707"/>
    <mergeCell ref="L704:L707"/>
    <mergeCell ref="M704:M707"/>
    <mergeCell ref="N704:N707"/>
    <mergeCell ref="O704:O707"/>
    <mergeCell ref="P704:P707"/>
    <mergeCell ref="Q704:Q707"/>
    <mergeCell ref="R704:R707"/>
    <mergeCell ref="S704:S707"/>
    <mergeCell ref="T704:T707"/>
    <mergeCell ref="U704:U707"/>
    <mergeCell ref="X712:AR712"/>
    <mergeCell ref="X721:AR721"/>
    <mergeCell ref="D726:D728"/>
    <mergeCell ref="E726:E728"/>
    <mergeCell ref="F726:F728"/>
    <mergeCell ref="G726:G728"/>
    <mergeCell ref="H726:H728"/>
    <mergeCell ref="I726:I728"/>
    <mergeCell ref="J726:J728"/>
    <mergeCell ref="K726:K728"/>
    <mergeCell ref="L726:L728"/>
    <mergeCell ref="M726:M728"/>
    <mergeCell ref="N726:N728"/>
    <mergeCell ref="O726:O728"/>
    <mergeCell ref="P726:P728"/>
    <mergeCell ref="Q726:Q728"/>
    <mergeCell ref="R726:R728"/>
    <mergeCell ref="S726:S728"/>
    <mergeCell ref="T726:T728"/>
    <mergeCell ref="U726:U728"/>
    <mergeCell ref="V731:V734"/>
    <mergeCell ref="V726:V728"/>
    <mergeCell ref="D729:V729"/>
    <mergeCell ref="D730:V730"/>
    <mergeCell ref="X730:AR730"/>
    <mergeCell ref="D731:D734"/>
    <mergeCell ref="E731:E734"/>
    <mergeCell ref="F731:F734"/>
    <mergeCell ref="G731:G734"/>
    <mergeCell ref="H731:H734"/>
    <mergeCell ref="I731:I734"/>
    <mergeCell ref="J731:J734"/>
    <mergeCell ref="K731:K734"/>
    <mergeCell ref="L731:L734"/>
    <mergeCell ref="M731:M734"/>
    <mergeCell ref="N731:N734"/>
    <mergeCell ref="O731:O734"/>
    <mergeCell ref="P731:P734"/>
    <mergeCell ref="Q731:Q734"/>
    <mergeCell ref="R731:R734"/>
    <mergeCell ref="S731:S734"/>
    <mergeCell ref="T731:T734"/>
    <mergeCell ref="U731:U734"/>
    <mergeCell ref="X739:AR739"/>
    <mergeCell ref="X748:AR748"/>
    <mergeCell ref="D753:D755"/>
    <mergeCell ref="E753:E755"/>
    <mergeCell ref="F753:F755"/>
    <mergeCell ref="G753:G755"/>
    <mergeCell ref="H753:H755"/>
    <mergeCell ref="I753:I755"/>
    <mergeCell ref="J753:J755"/>
    <mergeCell ref="K753:K755"/>
    <mergeCell ref="L753:L755"/>
    <mergeCell ref="M753:M755"/>
    <mergeCell ref="N753:N755"/>
    <mergeCell ref="O753:O755"/>
    <mergeCell ref="X766:AR766"/>
    <mergeCell ref="X775:AR775"/>
    <mergeCell ref="D780:D782"/>
    <mergeCell ref="E780:E782"/>
    <mergeCell ref="F780:F782"/>
    <mergeCell ref="G780:G782"/>
    <mergeCell ref="H780:H782"/>
    <mergeCell ref="I780:I782"/>
    <mergeCell ref="J780:J782"/>
    <mergeCell ref="K780:K782"/>
    <mergeCell ref="L780:L782"/>
    <mergeCell ref="M780:M782"/>
    <mergeCell ref="N780:N782"/>
    <mergeCell ref="O780:O782"/>
    <mergeCell ref="X325:AR325"/>
    <mergeCell ref="K326:K329"/>
    <mergeCell ref="L326:L329"/>
    <mergeCell ref="M326:M329"/>
    <mergeCell ref="N326:N329"/>
    <mergeCell ref="O326:O329"/>
    <mergeCell ref="P326:P329"/>
    <mergeCell ref="K348:K350"/>
    <mergeCell ref="L348:L350"/>
    <mergeCell ref="M348:M350"/>
    <mergeCell ref="N348:N350"/>
    <mergeCell ref="O348:O350"/>
    <mergeCell ref="P348:P350"/>
    <mergeCell ref="Q348:Q350"/>
    <mergeCell ref="R348:R350"/>
    <mergeCell ref="S348:S350"/>
    <mergeCell ref="T348:T350"/>
    <mergeCell ref="U348:U350"/>
    <mergeCell ref="V348:V350"/>
    <mergeCell ref="X334:AR334"/>
    <mergeCell ref="X343:AR343"/>
    <mergeCell ref="D351:V351"/>
    <mergeCell ref="D352:V352"/>
    <mergeCell ref="Q353:Q356"/>
    <mergeCell ref="R353:R356"/>
    <mergeCell ref="S353:S356"/>
    <mergeCell ref="T353:T356"/>
    <mergeCell ref="U353:U356"/>
    <mergeCell ref="V353:V356"/>
    <mergeCell ref="X352:AR352"/>
    <mergeCell ref="K353:K356"/>
    <mergeCell ref="L353:L356"/>
    <mergeCell ref="M353:M356"/>
    <mergeCell ref="N353:N356"/>
    <mergeCell ref="O353:O356"/>
    <mergeCell ref="P353:P356"/>
    <mergeCell ref="K375:K377"/>
    <mergeCell ref="L375:L377"/>
    <mergeCell ref="M375:M377"/>
    <mergeCell ref="N375:N377"/>
    <mergeCell ref="O375:O377"/>
    <mergeCell ref="P375:P377"/>
    <mergeCell ref="Q375:Q377"/>
    <mergeCell ref="R375:R377"/>
    <mergeCell ref="S375:S377"/>
    <mergeCell ref="T375:T377"/>
    <mergeCell ref="U375:U377"/>
    <mergeCell ref="V375:V377"/>
    <mergeCell ref="D378:V378"/>
    <mergeCell ref="D379:V379"/>
    <mergeCell ref="X379:AR379"/>
    <mergeCell ref="K380:K383"/>
    <mergeCell ref="X361:AR361"/>
    <mergeCell ref="X370:AR370"/>
    <mergeCell ref="L380:L383"/>
    <mergeCell ref="M380:M383"/>
    <mergeCell ref="N380:N383"/>
    <mergeCell ref="O380:O383"/>
    <mergeCell ref="P380:P383"/>
    <mergeCell ref="Q380:Q383"/>
    <mergeCell ref="R380:R383"/>
    <mergeCell ref="S380:S383"/>
    <mergeCell ref="T380:T383"/>
    <mergeCell ref="U380:U383"/>
    <mergeCell ref="V380:V383"/>
    <mergeCell ref="X388:AR388"/>
    <mergeCell ref="Q402:Q404"/>
    <mergeCell ref="R402:R404"/>
    <mergeCell ref="S402:S404"/>
    <mergeCell ref="T402:T404"/>
    <mergeCell ref="U402:U404"/>
    <mergeCell ref="V402:V404"/>
    <mergeCell ref="D405:V405"/>
    <mergeCell ref="D406:V406"/>
    <mergeCell ref="Q407:Q410"/>
    <mergeCell ref="R407:R410"/>
    <mergeCell ref="X406:AR406"/>
    <mergeCell ref="K407:K410"/>
    <mergeCell ref="L407:L410"/>
    <mergeCell ref="M407:M410"/>
    <mergeCell ref="N407:N410"/>
    <mergeCell ref="O407:O410"/>
    <mergeCell ref="P407:P410"/>
    <mergeCell ref="S407:S410"/>
    <mergeCell ref="T407:T410"/>
    <mergeCell ref="U407:U410"/>
    <mergeCell ref="V407:V410"/>
    <mergeCell ref="X415:AR415"/>
    <mergeCell ref="X424:AR424"/>
    <mergeCell ref="K429:K431"/>
    <mergeCell ref="L429:L431"/>
    <mergeCell ref="M429:M431"/>
    <mergeCell ref="N429:N431"/>
    <mergeCell ref="O429:O431"/>
    <mergeCell ref="P429:P431"/>
    <mergeCell ref="Q429:Q431"/>
    <mergeCell ref="R429:R431"/>
    <mergeCell ref="S429:S431"/>
    <mergeCell ref="T429:T431"/>
    <mergeCell ref="U429:U431"/>
    <mergeCell ref="V429:V431"/>
    <mergeCell ref="D432:V432"/>
    <mergeCell ref="D433:V433"/>
    <mergeCell ref="Q434:Q437"/>
    <mergeCell ref="R434:R437"/>
    <mergeCell ref="S434:S437"/>
    <mergeCell ref="T434:T437"/>
    <mergeCell ref="U434:U437"/>
    <mergeCell ref="V434:V437"/>
    <mergeCell ref="X433:AR433"/>
    <mergeCell ref="K434:K437"/>
    <mergeCell ref="L434:L437"/>
    <mergeCell ref="M434:M437"/>
    <mergeCell ref="N434:N437"/>
    <mergeCell ref="O434:O437"/>
    <mergeCell ref="P434:P437"/>
    <mergeCell ref="X442:AR442"/>
    <mergeCell ref="X451:AR451"/>
    <mergeCell ref="K456:K458"/>
    <mergeCell ref="L456:L458"/>
    <mergeCell ref="M456:M458"/>
    <mergeCell ref="N456:N458"/>
    <mergeCell ref="O456:O458"/>
    <mergeCell ref="P456:P458"/>
    <mergeCell ref="Q456:Q458"/>
    <mergeCell ref="R456:R458"/>
    <mergeCell ref="S456:S458"/>
    <mergeCell ref="T456:T458"/>
    <mergeCell ref="U456:U458"/>
    <mergeCell ref="V456:V458"/>
    <mergeCell ref="D459:V459"/>
    <mergeCell ref="D460:V460"/>
    <mergeCell ref="J461:J464"/>
    <mergeCell ref="K461:K464"/>
    <mergeCell ref="L461:L464"/>
    <mergeCell ref="M461:M464"/>
    <mergeCell ref="N461:N464"/>
    <mergeCell ref="O461:O464"/>
    <mergeCell ref="P461:P464"/>
    <mergeCell ref="Q461:Q464"/>
    <mergeCell ref="R461:R464"/>
    <mergeCell ref="S461:S464"/>
    <mergeCell ref="X460:AR460"/>
    <mergeCell ref="D461:D464"/>
    <mergeCell ref="E461:E464"/>
    <mergeCell ref="F461:F464"/>
    <mergeCell ref="G461:G464"/>
    <mergeCell ref="H461:H464"/>
    <mergeCell ref="I461:I464"/>
    <mergeCell ref="T461:T464"/>
    <mergeCell ref="U461:U464"/>
    <mergeCell ref="X397:AR397"/>
    <mergeCell ref="K402:K404"/>
    <mergeCell ref="L402:L404"/>
    <mergeCell ref="M402:M404"/>
    <mergeCell ref="N402:N404"/>
    <mergeCell ref="O402:O404"/>
    <mergeCell ref="P402:P404"/>
    <mergeCell ref="V461:V464"/>
    <mergeCell ref="X469:AR469"/>
    <mergeCell ref="J483:J485"/>
    <mergeCell ref="K483:K485"/>
    <mergeCell ref="L483:L485"/>
    <mergeCell ref="M483:M485"/>
    <mergeCell ref="N483:N485"/>
    <mergeCell ref="O483:O485"/>
    <mergeCell ref="P483:P485"/>
    <mergeCell ref="Q483:Q485"/>
    <mergeCell ref="R483:R485"/>
    <mergeCell ref="S483:S485"/>
    <mergeCell ref="T483:T485"/>
    <mergeCell ref="U483:U485"/>
    <mergeCell ref="D486:V486"/>
    <mergeCell ref="D487:V487"/>
    <mergeCell ref="J488:J491"/>
    <mergeCell ref="K488:K491"/>
    <mergeCell ref="L488:L491"/>
    <mergeCell ref="M488:M491"/>
    <mergeCell ref="N488:N491"/>
    <mergeCell ref="O488:O491"/>
    <mergeCell ref="X487:AR487"/>
    <mergeCell ref="D488:D491"/>
    <mergeCell ref="E488:E491"/>
    <mergeCell ref="F488:F491"/>
    <mergeCell ref="G488:G491"/>
    <mergeCell ref="H488:H491"/>
    <mergeCell ref="I488:I491"/>
    <mergeCell ref="P488:P491"/>
    <mergeCell ref="Q488:Q491"/>
    <mergeCell ref="X478:AR478"/>
    <mergeCell ref="D483:D485"/>
    <mergeCell ref="E483:E485"/>
    <mergeCell ref="F483:F485"/>
    <mergeCell ref="G483:G485"/>
    <mergeCell ref="H483:H485"/>
    <mergeCell ref="I483:I485"/>
    <mergeCell ref="V483:V485"/>
    <mergeCell ref="R488:R491"/>
    <mergeCell ref="S488:S491"/>
    <mergeCell ref="T488:T491"/>
    <mergeCell ref="U488:U491"/>
    <mergeCell ref="V488:V491"/>
    <mergeCell ref="X496:AR496"/>
    <mergeCell ref="J510:J512"/>
    <mergeCell ref="K510:K512"/>
    <mergeCell ref="L510:L512"/>
    <mergeCell ref="M510:M512"/>
    <mergeCell ref="N510:N512"/>
    <mergeCell ref="O510:O512"/>
    <mergeCell ref="P510:P512"/>
    <mergeCell ref="Q510:Q512"/>
    <mergeCell ref="R510:R512"/>
    <mergeCell ref="S510:S512"/>
    <mergeCell ref="T510:T512"/>
    <mergeCell ref="U510:U512"/>
    <mergeCell ref="D513:V513"/>
    <mergeCell ref="D514:V514"/>
    <mergeCell ref="J515:J518"/>
    <mergeCell ref="K515:K518"/>
    <mergeCell ref="X514:AR514"/>
    <mergeCell ref="D515:D518"/>
    <mergeCell ref="E515:E518"/>
    <mergeCell ref="F515:F518"/>
    <mergeCell ref="G515:G518"/>
    <mergeCell ref="H515:H518"/>
    <mergeCell ref="I515:I518"/>
    <mergeCell ref="L515:L518"/>
    <mergeCell ref="M515:M518"/>
    <mergeCell ref="X505:AR505"/>
    <mergeCell ref="D510:D512"/>
    <mergeCell ref="E510:E512"/>
    <mergeCell ref="F510:F512"/>
    <mergeCell ref="G510:G512"/>
    <mergeCell ref="H510:H512"/>
    <mergeCell ref="I510:I512"/>
    <mergeCell ref="V510:V512"/>
    <mergeCell ref="N515:N518"/>
    <mergeCell ref="O515:O518"/>
    <mergeCell ref="P515:P518"/>
    <mergeCell ref="Q515:Q518"/>
    <mergeCell ref="R515:R518"/>
    <mergeCell ref="S515:S518"/>
    <mergeCell ref="T515:T518"/>
    <mergeCell ref="U515:U518"/>
    <mergeCell ref="V515:V518"/>
    <mergeCell ref="X523:AR523"/>
    <mergeCell ref="J537:J539"/>
    <mergeCell ref="K537:K539"/>
    <mergeCell ref="P591:P593"/>
    <mergeCell ref="Q591:Q593"/>
    <mergeCell ref="R591:R593"/>
    <mergeCell ref="S591:S593"/>
    <mergeCell ref="T591:T593"/>
    <mergeCell ref="U591:U593"/>
    <mergeCell ref="V596:V599"/>
    <mergeCell ref="V591:V593"/>
    <mergeCell ref="D594:V594"/>
    <mergeCell ref="D595:V595"/>
    <mergeCell ref="X595:AR595"/>
    <mergeCell ref="D596:D599"/>
    <mergeCell ref="E596:E599"/>
    <mergeCell ref="F596:F599"/>
    <mergeCell ref="G596:G599"/>
    <mergeCell ref="H596:H599"/>
    <mergeCell ref="I596:I599"/>
    <mergeCell ref="J596:J599"/>
    <mergeCell ref="K596:K599"/>
    <mergeCell ref="L596:L599"/>
    <mergeCell ref="M596:M599"/>
    <mergeCell ref="N596:N599"/>
    <mergeCell ref="O596:O599"/>
    <mergeCell ref="P596:P599"/>
    <mergeCell ref="Q596:Q599"/>
    <mergeCell ref="R596:R599"/>
    <mergeCell ref="S596:S599"/>
    <mergeCell ref="T596:T599"/>
    <mergeCell ref="U596:U599"/>
    <mergeCell ref="L537:L539"/>
    <mergeCell ref="M537:M539"/>
    <mergeCell ref="N537:N539"/>
    <mergeCell ref="O537:O539"/>
    <mergeCell ref="P537:P539"/>
    <mergeCell ref="Q537:Q539"/>
    <mergeCell ref="R537:R539"/>
    <mergeCell ref="S537:S539"/>
    <mergeCell ref="T537:T539"/>
    <mergeCell ref="U537:U539"/>
    <mergeCell ref="D540:V540"/>
    <mergeCell ref="D541:V541"/>
    <mergeCell ref="X541:AR541"/>
    <mergeCell ref="D542:D545"/>
    <mergeCell ref="S542:S545"/>
    <mergeCell ref="T542:T545"/>
    <mergeCell ref="U542:U545"/>
    <mergeCell ref="V542:V545"/>
    <mergeCell ref="E542:E545"/>
    <mergeCell ref="F542:F545"/>
    <mergeCell ref="G542:G545"/>
    <mergeCell ref="H542:H545"/>
    <mergeCell ref="I542:I545"/>
    <mergeCell ref="J542:J545"/>
    <mergeCell ref="K542:K545"/>
    <mergeCell ref="L542:L545"/>
    <mergeCell ref="M542:M545"/>
    <mergeCell ref="N542:N545"/>
    <mergeCell ref="O542:O545"/>
    <mergeCell ref="P542:P545"/>
    <mergeCell ref="Q542:Q545"/>
    <mergeCell ref="R542:R545"/>
    <mergeCell ref="X550:AR550"/>
    <mergeCell ref="X559:AR559"/>
    <mergeCell ref="D564:D566"/>
    <mergeCell ref="E564:E566"/>
    <mergeCell ref="F564:F566"/>
    <mergeCell ref="G564:G566"/>
    <mergeCell ref="H564:H566"/>
    <mergeCell ref="I564:I566"/>
    <mergeCell ref="J564:J566"/>
    <mergeCell ref="K564:K566"/>
    <mergeCell ref="L564:L566"/>
    <mergeCell ref="M564:M566"/>
    <mergeCell ref="N564:N566"/>
    <mergeCell ref="O564:O566"/>
    <mergeCell ref="P564:P566"/>
    <mergeCell ref="Q564:Q566"/>
    <mergeCell ref="R564:R566"/>
    <mergeCell ref="S564:S566"/>
    <mergeCell ref="T564:T566"/>
    <mergeCell ref="U564:U566"/>
    <mergeCell ref="V569:V572"/>
    <mergeCell ref="V564:V566"/>
    <mergeCell ref="D567:V567"/>
    <mergeCell ref="D568:V568"/>
    <mergeCell ref="X568:AR568"/>
    <mergeCell ref="D569:D572"/>
    <mergeCell ref="E569:E572"/>
    <mergeCell ref="F569:F572"/>
    <mergeCell ref="G569:G572"/>
    <mergeCell ref="H569:H572"/>
    <mergeCell ref="I569:I572"/>
    <mergeCell ref="J569:J572"/>
    <mergeCell ref="K569:K572"/>
    <mergeCell ref="L569:L572"/>
    <mergeCell ref="M569:M572"/>
    <mergeCell ref="N569:N572"/>
    <mergeCell ref="O569:O572"/>
    <mergeCell ref="P569:P572"/>
    <mergeCell ref="Q569:Q572"/>
    <mergeCell ref="R569:R572"/>
    <mergeCell ref="S569:S572"/>
    <mergeCell ref="T569:T572"/>
    <mergeCell ref="U569:U572"/>
    <mergeCell ref="X577:AR577"/>
    <mergeCell ref="X586:AR586"/>
    <mergeCell ref="D591:D593"/>
    <mergeCell ref="E591:E593"/>
    <mergeCell ref="F591:F593"/>
    <mergeCell ref="G591:G593"/>
    <mergeCell ref="H591:H593"/>
    <mergeCell ref="I591:I593"/>
    <mergeCell ref="J591:J593"/>
    <mergeCell ref="K591:K593"/>
    <mergeCell ref="L591:L593"/>
    <mergeCell ref="M591:M593"/>
    <mergeCell ref="N591:N593"/>
    <mergeCell ref="O591:O593"/>
    <mergeCell ref="X604:AR604"/>
    <mergeCell ref="X613:AR613"/>
    <mergeCell ref="D618:D620"/>
    <mergeCell ref="E618:E620"/>
    <mergeCell ref="F618:F620"/>
    <mergeCell ref="G618:G620"/>
    <mergeCell ref="H618:H620"/>
    <mergeCell ref="I618:I620"/>
    <mergeCell ref="J618:J620"/>
    <mergeCell ref="K618:K620"/>
    <mergeCell ref="L618:L620"/>
    <mergeCell ref="M618:M620"/>
    <mergeCell ref="N618:N620"/>
    <mergeCell ref="O618:O620"/>
    <mergeCell ref="P672:P674"/>
    <mergeCell ref="Q672:Q674"/>
    <mergeCell ref="R672:R674"/>
    <mergeCell ref="S672:S674"/>
    <mergeCell ref="T672:T674"/>
    <mergeCell ref="U672:U674"/>
    <mergeCell ref="V677:V680"/>
    <mergeCell ref="V672:V674"/>
    <mergeCell ref="D675:V675"/>
    <mergeCell ref="D676:V676"/>
    <mergeCell ref="X676:AR676"/>
    <mergeCell ref="D677:D680"/>
    <mergeCell ref="E677:E680"/>
    <mergeCell ref="F677:F680"/>
    <mergeCell ref="G677:G680"/>
    <mergeCell ref="H677:H680"/>
    <mergeCell ref="I677:I680"/>
    <mergeCell ref="J677:J680"/>
    <mergeCell ref="K677:K680"/>
    <mergeCell ref="L677:L680"/>
    <mergeCell ref="M677:M680"/>
    <mergeCell ref="N677:N680"/>
    <mergeCell ref="O677:O680"/>
    <mergeCell ref="P677:P680"/>
    <mergeCell ref="Q677:Q680"/>
    <mergeCell ref="R677:R680"/>
    <mergeCell ref="S677:S680"/>
    <mergeCell ref="T677:T680"/>
    <mergeCell ref="U677:U680"/>
    <mergeCell ref="P618:P620"/>
    <mergeCell ref="Q618:Q620"/>
    <mergeCell ref="R618:R620"/>
    <mergeCell ref="S618:S620"/>
    <mergeCell ref="T618:T620"/>
    <mergeCell ref="U618:U620"/>
    <mergeCell ref="V623:V626"/>
    <mergeCell ref="V618:V620"/>
    <mergeCell ref="D621:V621"/>
    <mergeCell ref="D622:V622"/>
    <mergeCell ref="X622:AR622"/>
    <mergeCell ref="D623:D626"/>
    <mergeCell ref="E623:E626"/>
    <mergeCell ref="F623:F626"/>
    <mergeCell ref="G623:G626"/>
    <mergeCell ref="H623:H626"/>
    <mergeCell ref="I623:I626"/>
    <mergeCell ref="J623:J626"/>
    <mergeCell ref="K623:K626"/>
    <mergeCell ref="L623:L626"/>
    <mergeCell ref="M623:M626"/>
    <mergeCell ref="N623:N626"/>
    <mergeCell ref="O623:O626"/>
    <mergeCell ref="P623:P626"/>
    <mergeCell ref="Q623:Q626"/>
    <mergeCell ref="R623:R626"/>
    <mergeCell ref="S623:S626"/>
    <mergeCell ref="T623:T626"/>
    <mergeCell ref="U623:U626"/>
    <mergeCell ref="X631:AR631"/>
    <mergeCell ref="X640:AR640"/>
    <mergeCell ref="D645:D647"/>
    <mergeCell ref="E645:E647"/>
    <mergeCell ref="F645:F647"/>
    <mergeCell ref="G645:G647"/>
    <mergeCell ref="H645:H647"/>
    <mergeCell ref="I645:I647"/>
    <mergeCell ref="J645:J647"/>
    <mergeCell ref="K645:K647"/>
    <mergeCell ref="L645:L647"/>
    <mergeCell ref="M645:M647"/>
    <mergeCell ref="N645:N647"/>
    <mergeCell ref="O645:O647"/>
    <mergeCell ref="P645:P647"/>
    <mergeCell ref="Q645:Q647"/>
    <mergeCell ref="R645:R647"/>
    <mergeCell ref="S645:S647"/>
    <mergeCell ref="T645:T647"/>
    <mergeCell ref="U645:U647"/>
    <mergeCell ref="V650:V653"/>
    <mergeCell ref="V645:V647"/>
    <mergeCell ref="D648:V648"/>
    <mergeCell ref="D649:V649"/>
    <mergeCell ref="X649:AR649"/>
    <mergeCell ref="D650:D653"/>
    <mergeCell ref="E650:E653"/>
    <mergeCell ref="F650:F653"/>
    <mergeCell ref="G650:G653"/>
    <mergeCell ref="H650:H653"/>
    <mergeCell ref="I650:I653"/>
    <mergeCell ref="J650:J653"/>
    <mergeCell ref="K650:K653"/>
    <mergeCell ref="L650:L653"/>
    <mergeCell ref="M650:M653"/>
    <mergeCell ref="N650:N653"/>
    <mergeCell ref="O650:O653"/>
    <mergeCell ref="P650:P653"/>
    <mergeCell ref="Q650:Q653"/>
    <mergeCell ref="R650:R653"/>
    <mergeCell ref="S650:S653"/>
    <mergeCell ref="T650:T653"/>
    <mergeCell ref="U650:U653"/>
    <mergeCell ref="X658:AR658"/>
    <mergeCell ref="X667:AR667"/>
    <mergeCell ref="D672:D674"/>
    <mergeCell ref="E672:E674"/>
    <mergeCell ref="F672:F674"/>
    <mergeCell ref="G672:G674"/>
    <mergeCell ref="H672:H674"/>
    <mergeCell ref="I672:I674"/>
    <mergeCell ref="J672:J674"/>
    <mergeCell ref="K672:K674"/>
    <mergeCell ref="L672:L674"/>
    <mergeCell ref="M672:M674"/>
    <mergeCell ref="N672:N674"/>
    <mergeCell ref="O672:O674"/>
    <mergeCell ref="X685:AR685"/>
    <mergeCell ref="X694:AR694"/>
    <mergeCell ref="D699:D701"/>
    <mergeCell ref="E699:E701"/>
    <mergeCell ref="F699:F701"/>
    <mergeCell ref="G699:G701"/>
    <mergeCell ref="H699:H701"/>
    <mergeCell ref="I699:I701"/>
    <mergeCell ref="J699:J701"/>
    <mergeCell ref="K699:K701"/>
    <mergeCell ref="L699:L701"/>
    <mergeCell ref="M699:M701"/>
    <mergeCell ref="N699:N701"/>
    <mergeCell ref="O699:O701"/>
    <mergeCell ref="P753:P755"/>
    <mergeCell ref="Q753:Q755"/>
    <mergeCell ref="R753:R755"/>
    <mergeCell ref="S753:S755"/>
    <mergeCell ref="T753:T755"/>
    <mergeCell ref="U753:U755"/>
    <mergeCell ref="V758:V761"/>
    <mergeCell ref="V753:V755"/>
    <mergeCell ref="D756:V756"/>
    <mergeCell ref="D757:V757"/>
    <mergeCell ref="X757:AR757"/>
    <mergeCell ref="D758:D761"/>
    <mergeCell ref="E758:E761"/>
    <mergeCell ref="F758:F761"/>
    <mergeCell ref="G758:G761"/>
    <mergeCell ref="H758:H761"/>
    <mergeCell ref="I758:I761"/>
    <mergeCell ref="J758:J761"/>
    <mergeCell ref="K758:K761"/>
    <mergeCell ref="L758:L761"/>
    <mergeCell ref="M758:M761"/>
    <mergeCell ref="N758:N761"/>
    <mergeCell ref="O758:O761"/>
    <mergeCell ref="P758:P761"/>
    <mergeCell ref="Q758:Q761"/>
    <mergeCell ref="R758:R761"/>
    <mergeCell ref="S758:S761"/>
    <mergeCell ref="T758:T761"/>
    <mergeCell ref="U758:U761"/>
    <mergeCell ref="P861:P863"/>
    <mergeCell ref="Q861:Q863"/>
    <mergeCell ref="I861:I863"/>
    <mergeCell ref="J861:J863"/>
    <mergeCell ref="K861:K863"/>
    <mergeCell ref="L861:L863"/>
    <mergeCell ref="M861:M863"/>
    <mergeCell ref="N861:N863"/>
    <mergeCell ref="O861:O863"/>
    <mergeCell ref="D865:P867"/>
    <mergeCell ref="H812:H815"/>
    <mergeCell ref="I812:I815"/>
    <mergeCell ref="J812:J815"/>
    <mergeCell ref="F834:F836"/>
    <mergeCell ref="G834:G836"/>
    <mergeCell ref="H834:H836"/>
    <mergeCell ref="I834:I836"/>
    <mergeCell ref="J834:J836"/>
    <mergeCell ref="A812:A836"/>
    <mergeCell ref="B812:B815"/>
    <mergeCell ref="C812:C815"/>
    <mergeCell ref="D812:D815"/>
    <mergeCell ref="E812:E815"/>
    <mergeCell ref="F812:F815"/>
    <mergeCell ref="G812:G815"/>
    <mergeCell ref="I839:I842"/>
    <mergeCell ref="J839:J842"/>
    <mergeCell ref="D834:D836"/>
    <mergeCell ref="E834:E836"/>
    <mergeCell ref="D839:D842"/>
    <mergeCell ref="E839:E842"/>
    <mergeCell ref="F839:F842"/>
    <mergeCell ref="G839:G842"/>
    <mergeCell ref="H839:H842"/>
    <mergeCell ref="B861:B863"/>
    <mergeCell ref="C861:C863"/>
    <mergeCell ref="D861:D863"/>
    <mergeCell ref="E861:E863"/>
    <mergeCell ref="F861:F863"/>
    <mergeCell ref="G861:G863"/>
    <mergeCell ref="H861:H863"/>
    <mergeCell ref="A864:C864"/>
    <mergeCell ref="A865:C912"/>
    <mergeCell ref="B834:B836"/>
    <mergeCell ref="C834:C836"/>
    <mergeCell ref="A837:C837"/>
    <mergeCell ref="A838:C838"/>
    <mergeCell ref="A839:A863"/>
    <mergeCell ref="B839:B842"/>
    <mergeCell ref="C839:C842"/>
    <mergeCell ref="A81:C81"/>
    <mergeCell ref="A82:C82"/>
    <mergeCell ref="A83:A107"/>
    <mergeCell ref="B83:B86"/>
    <mergeCell ref="C83:C86"/>
    <mergeCell ref="D83:D86"/>
    <mergeCell ref="E83:E86"/>
    <mergeCell ref="D132:D134"/>
    <mergeCell ref="E132:E134"/>
    <mergeCell ref="B105:B107"/>
    <mergeCell ref="C105:C107"/>
    <mergeCell ref="A110:A134"/>
    <mergeCell ref="B110:B113"/>
    <mergeCell ref="C110:C113"/>
    <mergeCell ref="B132:B134"/>
    <mergeCell ref="C132:C134"/>
    <mergeCell ref="A135:C135"/>
    <mergeCell ref="A136:C136"/>
    <mergeCell ref="A137:A161"/>
    <mergeCell ref="B137:B140"/>
    <mergeCell ref="C137:C140"/>
    <mergeCell ref="B159:B161"/>
    <mergeCell ref="C159:C161"/>
    <mergeCell ref="A162:C162"/>
    <mergeCell ref="A163:C163"/>
    <mergeCell ref="A164:A188"/>
    <mergeCell ref="B164:B167"/>
    <mergeCell ref="C164:C167"/>
    <mergeCell ref="B186:B188"/>
    <mergeCell ref="C186:C188"/>
    <mergeCell ref="D213:D215"/>
    <mergeCell ref="E213:E215"/>
    <mergeCell ref="F213:F215"/>
    <mergeCell ref="G213:G215"/>
    <mergeCell ref="H213:H215"/>
    <mergeCell ref="I213:I215"/>
    <mergeCell ref="J213:J215"/>
    <mergeCell ref="A189:C189"/>
    <mergeCell ref="A190:C190"/>
    <mergeCell ref="A191:A215"/>
    <mergeCell ref="B191:B194"/>
    <mergeCell ref="C191:C194"/>
    <mergeCell ref="B213:B215"/>
    <mergeCell ref="C213:C215"/>
    <mergeCell ref="F218:F221"/>
    <mergeCell ref="G218:G221"/>
    <mergeCell ref="A216:C216"/>
    <mergeCell ref="A217:C217"/>
    <mergeCell ref="A218:A242"/>
    <mergeCell ref="B218:B221"/>
    <mergeCell ref="C218:C221"/>
    <mergeCell ref="D218:D221"/>
    <mergeCell ref="E218:E221"/>
    <mergeCell ref="I245:I248"/>
    <mergeCell ref="J245:J248"/>
    <mergeCell ref="B240:B242"/>
    <mergeCell ref="C240:C242"/>
    <mergeCell ref="D245:D248"/>
    <mergeCell ref="E245:E248"/>
    <mergeCell ref="F245:F248"/>
    <mergeCell ref="G245:G248"/>
    <mergeCell ref="H245:H248"/>
    <mergeCell ref="D267:D269"/>
    <mergeCell ref="E267:E269"/>
    <mergeCell ref="F267:F269"/>
    <mergeCell ref="G267:G269"/>
    <mergeCell ref="H267:H269"/>
    <mergeCell ref="I267:I269"/>
    <mergeCell ref="J267:J269"/>
    <mergeCell ref="A243:C243"/>
    <mergeCell ref="A244:C244"/>
    <mergeCell ref="A245:A269"/>
    <mergeCell ref="B245:B248"/>
    <mergeCell ref="C245:C248"/>
    <mergeCell ref="B267:B269"/>
    <mergeCell ref="C267:C269"/>
    <mergeCell ref="F272:F275"/>
    <mergeCell ref="G272:G275"/>
    <mergeCell ref="H272:H275"/>
    <mergeCell ref="I272:I275"/>
    <mergeCell ref="J272:J275"/>
    <mergeCell ref="D294:D296"/>
    <mergeCell ref="E294:E296"/>
    <mergeCell ref="F294:F296"/>
    <mergeCell ref="G294:G296"/>
    <mergeCell ref="H294:H296"/>
    <mergeCell ref="I294:I296"/>
    <mergeCell ref="J294:J296"/>
    <mergeCell ref="A270:C270"/>
    <mergeCell ref="A271:C271"/>
    <mergeCell ref="A272:A296"/>
    <mergeCell ref="B272:B275"/>
    <mergeCell ref="C272:C275"/>
    <mergeCell ref="D272:D275"/>
    <mergeCell ref="E272:E275"/>
    <mergeCell ref="I299:I302"/>
    <mergeCell ref="J299:J302"/>
    <mergeCell ref="B294:B296"/>
    <mergeCell ref="C294:C296"/>
    <mergeCell ref="D299:D302"/>
    <mergeCell ref="E299:E302"/>
    <mergeCell ref="F299:F302"/>
    <mergeCell ref="G299:G302"/>
    <mergeCell ref="H299:H302"/>
    <mergeCell ref="D321:D323"/>
    <mergeCell ref="E321:E323"/>
    <mergeCell ref="F321:F323"/>
    <mergeCell ref="G321:G323"/>
    <mergeCell ref="H321:H323"/>
    <mergeCell ref="I321:I323"/>
    <mergeCell ref="J321:J323"/>
    <mergeCell ref="A297:C297"/>
    <mergeCell ref="A298:C298"/>
    <mergeCell ref="A299:A323"/>
    <mergeCell ref="B299:B302"/>
    <mergeCell ref="C299:C302"/>
    <mergeCell ref="B321:B323"/>
    <mergeCell ref="C321:C323"/>
    <mergeCell ref="F326:F329"/>
    <mergeCell ref="G326:G329"/>
    <mergeCell ref="H326:H329"/>
    <mergeCell ref="I326:I329"/>
    <mergeCell ref="J326:J329"/>
    <mergeCell ref="D348:D350"/>
    <mergeCell ref="E348:E350"/>
    <mergeCell ref="F348:F350"/>
    <mergeCell ref="G348:G350"/>
    <mergeCell ref="H348:H350"/>
    <mergeCell ref="I348:I350"/>
    <mergeCell ref="J348:J350"/>
    <mergeCell ref="A324:C324"/>
    <mergeCell ref="A325:C325"/>
    <mergeCell ref="A326:A350"/>
    <mergeCell ref="B326:B329"/>
    <mergeCell ref="C326:C329"/>
    <mergeCell ref="D326:D329"/>
    <mergeCell ref="E326:E329"/>
    <mergeCell ref="I353:I356"/>
    <mergeCell ref="J353:J356"/>
    <mergeCell ref="B348:B350"/>
    <mergeCell ref="C348:C350"/>
    <mergeCell ref="D353:D356"/>
    <mergeCell ref="E353:E356"/>
    <mergeCell ref="F353:F356"/>
    <mergeCell ref="G353:G356"/>
    <mergeCell ref="H353:H356"/>
    <mergeCell ref="D375:D377"/>
    <mergeCell ref="E375:E377"/>
    <mergeCell ref="F375:F377"/>
    <mergeCell ref="G375:G377"/>
    <mergeCell ref="H375:H377"/>
    <mergeCell ref="I375:I377"/>
    <mergeCell ref="J375:J377"/>
    <mergeCell ref="A351:C351"/>
    <mergeCell ref="A352:C352"/>
    <mergeCell ref="A353:A377"/>
    <mergeCell ref="B353:B356"/>
    <mergeCell ref="C353:C356"/>
    <mergeCell ref="B375:B377"/>
    <mergeCell ref="C375:C377"/>
    <mergeCell ref="F380:F383"/>
    <mergeCell ref="G380:G383"/>
    <mergeCell ref="H380:H383"/>
    <mergeCell ref="I380:I383"/>
    <mergeCell ref="J380:J383"/>
    <mergeCell ref="D402:D404"/>
    <mergeCell ref="E402:E404"/>
    <mergeCell ref="F402:F404"/>
    <mergeCell ref="G402:G404"/>
    <mergeCell ref="H402:H404"/>
    <mergeCell ref="I402:I404"/>
    <mergeCell ref="J402:J404"/>
    <mergeCell ref="A378:C378"/>
    <mergeCell ref="A379:C379"/>
    <mergeCell ref="A380:A404"/>
    <mergeCell ref="B380:B383"/>
    <mergeCell ref="C380:C383"/>
    <mergeCell ref="D380:D383"/>
    <mergeCell ref="E380:E383"/>
    <mergeCell ref="I407:I410"/>
    <mergeCell ref="J407:J410"/>
    <mergeCell ref="B402:B404"/>
    <mergeCell ref="C402:C404"/>
    <mergeCell ref="D407:D410"/>
    <mergeCell ref="E407:E410"/>
    <mergeCell ref="F407:F410"/>
    <mergeCell ref="G407:G410"/>
    <mergeCell ref="H407:H410"/>
    <mergeCell ref="D429:D431"/>
    <mergeCell ref="E429:E431"/>
    <mergeCell ref="F429:F431"/>
    <mergeCell ref="G429:G431"/>
    <mergeCell ref="H429:H431"/>
    <mergeCell ref="I429:I431"/>
    <mergeCell ref="J429:J431"/>
    <mergeCell ref="A405:C405"/>
    <mergeCell ref="A406:C406"/>
    <mergeCell ref="A407:A431"/>
    <mergeCell ref="B407:B410"/>
    <mergeCell ref="C407:C410"/>
    <mergeCell ref="B429:B431"/>
    <mergeCell ref="C429:C431"/>
    <mergeCell ref="F434:F437"/>
    <mergeCell ref="G434:G437"/>
    <mergeCell ref="H434:H437"/>
    <mergeCell ref="I434:I437"/>
    <mergeCell ref="J434:J437"/>
    <mergeCell ref="B456:B458"/>
    <mergeCell ref="C456:C458"/>
    <mergeCell ref="D456:D458"/>
    <mergeCell ref="E456:E458"/>
    <mergeCell ref="F456:F458"/>
    <mergeCell ref="G456:G458"/>
    <mergeCell ref="H456:H458"/>
    <mergeCell ref="I456:I458"/>
    <mergeCell ref="J456:J458"/>
    <mergeCell ref="A432:C432"/>
    <mergeCell ref="A433:C433"/>
    <mergeCell ref="A434:A458"/>
    <mergeCell ref="B434:B437"/>
    <mergeCell ref="C434:C437"/>
    <mergeCell ref="D434:D437"/>
    <mergeCell ref="E434:E437"/>
    <mergeCell ref="A459:C459"/>
    <mergeCell ref="A460:C460"/>
    <mergeCell ref="A461:A485"/>
    <mergeCell ref="B461:B464"/>
    <mergeCell ref="C461:C464"/>
    <mergeCell ref="B483:B485"/>
    <mergeCell ref="C483:C485"/>
    <mergeCell ref="A486:C486"/>
    <mergeCell ref="A487:C487"/>
    <mergeCell ref="A488:A512"/>
    <mergeCell ref="B488:B491"/>
    <mergeCell ref="C488:C491"/>
    <mergeCell ref="B510:B512"/>
    <mergeCell ref="C510:C512"/>
    <mergeCell ref="A513:C513"/>
    <mergeCell ref="A514:C514"/>
    <mergeCell ref="A515:A539"/>
    <mergeCell ref="B515:B518"/>
    <mergeCell ref="C515:C518"/>
    <mergeCell ref="B537:B539"/>
    <mergeCell ref="C537:C539"/>
    <mergeCell ref="A540:C540"/>
    <mergeCell ref="A541:C541"/>
    <mergeCell ref="A542:A566"/>
    <mergeCell ref="B542:B545"/>
    <mergeCell ref="C542:C545"/>
    <mergeCell ref="B564:B566"/>
    <mergeCell ref="C564:C566"/>
    <mergeCell ref="A567:C567"/>
    <mergeCell ref="A568:C568"/>
    <mergeCell ref="A569:A593"/>
    <mergeCell ref="B569:B572"/>
    <mergeCell ref="C569:C572"/>
    <mergeCell ref="B591:B593"/>
    <mergeCell ref="C591:C593"/>
    <mergeCell ref="A594:C594"/>
    <mergeCell ref="A595:C595"/>
    <mergeCell ref="A596:A620"/>
    <mergeCell ref="B596:B599"/>
    <mergeCell ref="C596:C599"/>
    <mergeCell ref="B618:B620"/>
    <mergeCell ref="C618:C620"/>
    <mergeCell ref="A621:C621"/>
    <mergeCell ref="A622:C622"/>
    <mergeCell ref="A623:A647"/>
    <mergeCell ref="B623:B626"/>
    <mergeCell ref="C623:C626"/>
    <mergeCell ref="B645:B647"/>
    <mergeCell ref="C645:C647"/>
    <mergeCell ref="A648:C648"/>
    <mergeCell ref="A649:C649"/>
    <mergeCell ref="A650:A674"/>
    <mergeCell ref="B650:B653"/>
    <mergeCell ref="C650:C653"/>
    <mergeCell ref="B672:B674"/>
    <mergeCell ref="C672:C674"/>
    <mergeCell ref="A675:C675"/>
    <mergeCell ref="A676:C676"/>
    <mergeCell ref="A677:A701"/>
    <mergeCell ref="B677:B680"/>
    <mergeCell ref="C677:C680"/>
    <mergeCell ref="B699:B701"/>
    <mergeCell ref="C699:C701"/>
    <mergeCell ref="A702:C702"/>
    <mergeCell ref="A703:C703"/>
    <mergeCell ref="A704:A728"/>
    <mergeCell ref="B704:B707"/>
    <mergeCell ref="C704:C707"/>
    <mergeCell ref="B726:B728"/>
    <mergeCell ref="C726:C728"/>
    <mergeCell ref="A729:C729"/>
    <mergeCell ref="A730:C730"/>
    <mergeCell ref="A731:A755"/>
    <mergeCell ref="B731:B734"/>
    <mergeCell ref="C731:C734"/>
    <mergeCell ref="B753:B755"/>
    <mergeCell ref="C753:C755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P78:P80"/>
    <mergeCell ref="Q78:Q80"/>
    <mergeCell ref="I78:I80"/>
    <mergeCell ref="J78:J80"/>
    <mergeCell ref="K78:K80"/>
    <mergeCell ref="L78:L80"/>
    <mergeCell ref="M78:M80"/>
    <mergeCell ref="N78:N80"/>
    <mergeCell ref="O78:O80"/>
    <mergeCell ref="R51:R53"/>
    <mergeCell ref="S51:S53"/>
    <mergeCell ref="R78:R80"/>
    <mergeCell ref="S78:S80"/>
    <mergeCell ref="T78:T80"/>
    <mergeCell ref="U78:U80"/>
    <mergeCell ref="V78:V80"/>
    <mergeCell ref="T51:T53"/>
    <mergeCell ref="U51:U53"/>
    <mergeCell ref="V56:V59"/>
    <mergeCell ref="V51:V53"/>
    <mergeCell ref="A54:C54"/>
    <mergeCell ref="D54:V54"/>
    <mergeCell ref="A55:C55"/>
    <mergeCell ref="D55:V55"/>
    <mergeCell ref="A1:C1"/>
    <mergeCell ref="A56:A80"/>
    <mergeCell ref="B56:B59"/>
    <mergeCell ref="C56:C59"/>
    <mergeCell ref="B78:B80"/>
    <mergeCell ref="C78:C80"/>
    <mergeCell ref="F56:F59"/>
    <mergeCell ref="G56:G59"/>
    <mergeCell ref="D56:D59"/>
    <mergeCell ref="E56:E59"/>
    <mergeCell ref="D78:D80"/>
    <mergeCell ref="E78:E80"/>
    <mergeCell ref="F78:F80"/>
    <mergeCell ref="G78:G80"/>
    <mergeCell ref="H78:H80"/>
    <mergeCell ref="X37:AR37"/>
    <mergeCell ref="X46:AR46"/>
    <mergeCell ref="X64:AR64"/>
    <mergeCell ref="X73:AR73"/>
    <mergeCell ref="D81:V81"/>
    <mergeCell ref="D82:V82"/>
    <mergeCell ref="X82:AR82"/>
    <mergeCell ref="R83:R86"/>
    <mergeCell ref="S83:S86"/>
    <mergeCell ref="T83:T86"/>
    <mergeCell ref="U83:U86"/>
    <mergeCell ref="V83:V86"/>
    <mergeCell ref="R105:R107"/>
    <mergeCell ref="S105:S107"/>
    <mergeCell ref="T105:T107"/>
    <mergeCell ref="U105:U107"/>
    <mergeCell ref="V105:V107"/>
    <mergeCell ref="D108:V108"/>
    <mergeCell ref="D109:V109"/>
    <mergeCell ref="X109:AR109"/>
    <mergeCell ref="P51:P53"/>
    <mergeCell ref="Q51:Q53"/>
    <mergeCell ref="I51:I53"/>
    <mergeCell ref="J51:J53"/>
    <mergeCell ref="K51:K53"/>
    <mergeCell ref="L51:L53"/>
    <mergeCell ref="M51:M53"/>
    <mergeCell ref="N51:N53"/>
    <mergeCell ref="O51:O53"/>
    <mergeCell ref="M83:M86"/>
    <mergeCell ref="N83:N86"/>
    <mergeCell ref="O83:O86"/>
    <mergeCell ref="P83:P86"/>
    <mergeCell ref="Q83:Q86"/>
    <mergeCell ref="F83:F86"/>
    <mergeCell ref="G83:G86"/>
    <mergeCell ref="H83:H86"/>
    <mergeCell ref="I83:I86"/>
    <mergeCell ref="J83:J86"/>
    <mergeCell ref="K83:K86"/>
    <mergeCell ref="L83:L86"/>
    <mergeCell ref="K105:K107"/>
    <mergeCell ref="L105:L107"/>
    <mergeCell ref="M105:M107"/>
    <mergeCell ref="N105:N107"/>
    <mergeCell ref="O105:O107"/>
    <mergeCell ref="P105:P107"/>
    <mergeCell ref="Q105:Q107"/>
    <mergeCell ref="D105:D107"/>
    <mergeCell ref="E105:E107"/>
    <mergeCell ref="F105:F107"/>
    <mergeCell ref="G105:G107"/>
    <mergeCell ref="H105:H107"/>
    <mergeCell ref="I105:I107"/>
    <mergeCell ref="J105:J107"/>
    <mergeCell ref="A108:C108"/>
    <mergeCell ref="A109:C109"/>
    <mergeCell ref="N186:N188"/>
    <mergeCell ref="O186:O188"/>
    <mergeCell ref="P186:P188"/>
    <mergeCell ref="Q186:Q188"/>
    <mergeCell ref="R186:R188"/>
    <mergeCell ref="S186:S188"/>
    <mergeCell ref="T186:T188"/>
    <mergeCell ref="U186:U188"/>
    <mergeCell ref="V186:V188"/>
    <mergeCell ref="D189:V189"/>
    <mergeCell ref="D190:V190"/>
    <mergeCell ref="X190:AR190"/>
    <mergeCell ref="D191:D194"/>
    <mergeCell ref="E191:E194"/>
    <mergeCell ref="F191:F194"/>
    <mergeCell ref="G191:G194"/>
    <mergeCell ref="H191:H194"/>
    <mergeCell ref="I191:I194"/>
    <mergeCell ref="J191:J194"/>
    <mergeCell ref="K191:K194"/>
    <mergeCell ref="L191:L194"/>
    <mergeCell ref="M191:M194"/>
    <mergeCell ref="N191:N194"/>
    <mergeCell ref="O191:O194"/>
    <mergeCell ref="P191:P194"/>
    <mergeCell ref="Q191:Q194"/>
    <mergeCell ref="R191:R194"/>
    <mergeCell ref="S191:S194"/>
    <mergeCell ref="C2:C5"/>
    <mergeCell ref="D2:D5"/>
    <mergeCell ref="E2:E5"/>
    <mergeCell ref="F2:F5"/>
    <mergeCell ref="G2:G5"/>
    <mergeCell ref="H2:H5"/>
    <mergeCell ref="I2:I5"/>
    <mergeCell ref="J2:J5"/>
    <mergeCell ref="K2:K5"/>
    <mergeCell ref="L2:L5"/>
    <mergeCell ref="M2:M5"/>
    <mergeCell ref="N2:N5"/>
    <mergeCell ref="O2:O5"/>
    <mergeCell ref="P2:P5"/>
    <mergeCell ref="Q2:Q5"/>
    <mergeCell ref="R2:R5"/>
    <mergeCell ref="S2:S5"/>
    <mergeCell ref="T2:T5"/>
    <mergeCell ref="U2:U5"/>
    <mergeCell ref="V2:V5"/>
    <mergeCell ref="B24:B26"/>
    <mergeCell ref="C24:C26"/>
    <mergeCell ref="D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S26"/>
    <mergeCell ref="T24:T26"/>
    <mergeCell ref="U24:U26"/>
    <mergeCell ref="A2:A26"/>
    <mergeCell ref="A27:C27"/>
    <mergeCell ref="X10:AR10"/>
    <mergeCell ref="X19:AR19"/>
    <mergeCell ref="M29:M32"/>
    <mergeCell ref="N29:N32"/>
    <mergeCell ref="O29:O32"/>
    <mergeCell ref="P29:P32"/>
    <mergeCell ref="Q29:Q32"/>
    <mergeCell ref="R29:R32"/>
    <mergeCell ref="S29:S32"/>
    <mergeCell ref="T29:T32"/>
    <mergeCell ref="U29:U32"/>
    <mergeCell ref="V29:V32"/>
    <mergeCell ref="B51:B53"/>
    <mergeCell ref="C51:C53"/>
    <mergeCell ref="D27:V27"/>
    <mergeCell ref="A28:C28"/>
    <mergeCell ref="D28:V28"/>
    <mergeCell ref="B2:B5"/>
    <mergeCell ref="A29:A53"/>
    <mergeCell ref="B29:B32"/>
    <mergeCell ref="E29:E32"/>
    <mergeCell ref="F29:F32"/>
    <mergeCell ref="G29:G32"/>
    <mergeCell ref="H29:H32"/>
    <mergeCell ref="I29:I32"/>
    <mergeCell ref="J29:J32"/>
    <mergeCell ref="K29:K32"/>
    <mergeCell ref="L29:L32"/>
    <mergeCell ref="C29:C32"/>
    <mergeCell ref="D29:D32"/>
    <mergeCell ref="D51:D53"/>
    <mergeCell ref="E51:E53"/>
    <mergeCell ref="F51:F53"/>
    <mergeCell ref="G51:G53"/>
    <mergeCell ref="H51:H53"/>
    <mergeCell ref="D110:D113"/>
    <mergeCell ref="E110:E113"/>
    <mergeCell ref="F110:F113"/>
    <mergeCell ref="G110:G113"/>
    <mergeCell ref="H110:H113"/>
    <mergeCell ref="I110:I113"/>
    <mergeCell ref="J110:J113"/>
    <mergeCell ref="K110:K113"/>
    <mergeCell ref="L110:L113"/>
    <mergeCell ref="M110:M113"/>
    <mergeCell ref="N110:N113"/>
    <mergeCell ref="O110:O113"/>
    <mergeCell ref="P110:P113"/>
    <mergeCell ref="Q110:Q113"/>
    <mergeCell ref="T191:T194"/>
    <mergeCell ref="U191:U194"/>
    <mergeCell ref="V191:V194"/>
    <mergeCell ref="X199:AR199"/>
    <mergeCell ref="X208:AR208"/>
    <mergeCell ref="R213:R215"/>
    <mergeCell ref="S213:S215"/>
    <mergeCell ref="T213:T215"/>
    <mergeCell ref="U213:U215"/>
    <mergeCell ref="V213:V215"/>
    <mergeCell ref="D216:V216"/>
    <mergeCell ref="D217:V217"/>
    <mergeCell ref="X217:AR217"/>
    <mergeCell ref="K213:K215"/>
    <mergeCell ref="L213:L215"/>
    <mergeCell ref="M213:M215"/>
    <mergeCell ref="N213:N215"/>
    <mergeCell ref="O213:O215"/>
    <mergeCell ref="P213:P215"/>
    <mergeCell ref="Q213:Q215"/>
    <mergeCell ref="X91:AR91"/>
    <mergeCell ref="X100:AR100"/>
    <mergeCell ref="R110:R113"/>
    <mergeCell ref="S110:S113"/>
    <mergeCell ref="T110:T113"/>
    <mergeCell ref="U110:U113"/>
    <mergeCell ref="V110:V113"/>
    <mergeCell ref="X118:AR118"/>
    <mergeCell ref="L132:L134"/>
    <mergeCell ref="M132:M134"/>
    <mergeCell ref="N132:N134"/>
    <mergeCell ref="O132:O134"/>
    <mergeCell ref="P132:P134"/>
    <mergeCell ref="Q132:Q134"/>
    <mergeCell ref="R132:R134"/>
    <mergeCell ref="S132:S134"/>
    <mergeCell ref="T132:T134"/>
    <mergeCell ref="U132:U134"/>
    <mergeCell ref="V132:V134"/>
    <mergeCell ref="D135:V135"/>
    <mergeCell ref="D136:V136"/>
    <mergeCell ref="X136:AR136"/>
    <mergeCell ref="D137:D140"/>
    <mergeCell ref="E137:E140"/>
    <mergeCell ref="F137:F140"/>
    <mergeCell ref="G137:G140"/>
    <mergeCell ref="H137:H140"/>
    <mergeCell ref="I137:I140"/>
    <mergeCell ref="J137:J140"/>
    <mergeCell ref="K137:K140"/>
    <mergeCell ref="L137:L140"/>
    <mergeCell ref="M137:M140"/>
    <mergeCell ref="N137:N140"/>
    <mergeCell ref="O137:O140"/>
    <mergeCell ref="P137:P140"/>
    <mergeCell ref="Q137:Q140"/>
    <mergeCell ref="R137:R140"/>
    <mergeCell ref="S137:S140"/>
    <mergeCell ref="T137:T140"/>
    <mergeCell ref="U137:U140"/>
    <mergeCell ref="V137:V140"/>
    <mergeCell ref="X145:AR145"/>
    <mergeCell ref="X127:AR127"/>
    <mergeCell ref="F132:F134"/>
    <mergeCell ref="G132:G134"/>
    <mergeCell ref="H132:H134"/>
    <mergeCell ref="I132:I134"/>
    <mergeCell ref="J132:J134"/>
    <mergeCell ref="K132:K134"/>
    <mergeCell ref="J159:J161"/>
    <mergeCell ref="K159:K161"/>
    <mergeCell ref="L159:L161"/>
    <mergeCell ref="M159:M161"/>
    <mergeCell ref="N159:N161"/>
    <mergeCell ref="O159:O161"/>
    <mergeCell ref="P159:P161"/>
    <mergeCell ref="Q159:Q161"/>
    <mergeCell ref="R159:R161"/>
    <mergeCell ref="S159:S161"/>
    <mergeCell ref="T159:T161"/>
    <mergeCell ref="U159:U161"/>
    <mergeCell ref="X154:AR154"/>
    <mergeCell ref="D159:D161"/>
    <mergeCell ref="E159:E161"/>
    <mergeCell ref="F159:F161"/>
    <mergeCell ref="G159:G161"/>
    <mergeCell ref="H159:H161"/>
    <mergeCell ref="I159:I161"/>
    <mergeCell ref="V159:V161"/>
    <mergeCell ref="D162:V162"/>
    <mergeCell ref="D163:V163"/>
    <mergeCell ref="J164:J167"/>
    <mergeCell ref="K164:K167"/>
    <mergeCell ref="L164:L167"/>
    <mergeCell ref="M164:M167"/>
    <mergeCell ref="N164:N167"/>
    <mergeCell ref="O164:O167"/>
    <mergeCell ref="P164:P167"/>
    <mergeCell ref="Q164:Q167"/>
    <mergeCell ref="R164:R167"/>
    <mergeCell ref="S164:S167"/>
    <mergeCell ref="X163:AR163"/>
    <mergeCell ref="D164:D167"/>
    <mergeCell ref="E164:E167"/>
    <mergeCell ref="F164:F167"/>
    <mergeCell ref="G164:G167"/>
    <mergeCell ref="H164:H167"/>
    <mergeCell ref="I164:I167"/>
    <mergeCell ref="V164:V167"/>
    <mergeCell ref="T164:T167"/>
    <mergeCell ref="U164:U167"/>
    <mergeCell ref="D186:D188"/>
    <mergeCell ref="E186:E188"/>
    <mergeCell ref="F186:F188"/>
    <mergeCell ref="G186:G188"/>
    <mergeCell ref="H186:H188"/>
    <mergeCell ref="I186:I188"/>
    <mergeCell ref="J186:J188"/>
    <mergeCell ref="K186:K188"/>
    <mergeCell ref="L186:L188"/>
    <mergeCell ref="M186:M188"/>
    <mergeCell ref="H218:H221"/>
    <mergeCell ref="I218:I221"/>
    <mergeCell ref="J218:J221"/>
    <mergeCell ref="K218:K221"/>
    <mergeCell ref="L218:L221"/>
    <mergeCell ref="M218:M221"/>
    <mergeCell ref="N218:N221"/>
    <mergeCell ref="O218:O221"/>
    <mergeCell ref="P218:P221"/>
    <mergeCell ref="Q218:Q221"/>
    <mergeCell ref="R218:R221"/>
    <mergeCell ref="S218:S221"/>
    <mergeCell ref="T218:T221"/>
    <mergeCell ref="U218:U221"/>
    <mergeCell ref="X172:AR172"/>
    <mergeCell ref="X181:AR181"/>
    <mergeCell ref="V218:V221"/>
    <mergeCell ref="X226:AR226"/>
    <mergeCell ref="J240:J242"/>
    <mergeCell ref="K240:K242"/>
    <mergeCell ref="L240:L242"/>
    <mergeCell ref="M240:M242"/>
    <mergeCell ref="N240:N242"/>
    <mergeCell ref="O240:O242"/>
    <mergeCell ref="P240:P242"/>
    <mergeCell ref="Q240:Q242"/>
    <mergeCell ref="R240:R242"/>
    <mergeCell ref="S240:S242"/>
    <mergeCell ref="T240:T242"/>
    <mergeCell ref="U240:U242"/>
    <mergeCell ref="D243:V243"/>
    <mergeCell ref="D244:V244"/>
    <mergeCell ref="Q245:Q248"/>
    <mergeCell ref="R245:R248"/>
    <mergeCell ref="S245:S248"/>
    <mergeCell ref="T245:T248"/>
    <mergeCell ref="U245:U248"/>
    <mergeCell ref="V245:V248"/>
    <mergeCell ref="X244:AR244"/>
    <mergeCell ref="K245:K248"/>
    <mergeCell ref="L245:L248"/>
    <mergeCell ref="M245:M248"/>
    <mergeCell ref="N245:N248"/>
    <mergeCell ref="O245:O248"/>
    <mergeCell ref="P245:P248"/>
    <mergeCell ref="X253:AR253"/>
    <mergeCell ref="X262:AR262"/>
    <mergeCell ref="K267:K269"/>
    <mergeCell ref="L267:L269"/>
    <mergeCell ref="M267:M269"/>
    <mergeCell ref="N267:N269"/>
    <mergeCell ref="O267:O269"/>
    <mergeCell ref="P267:P269"/>
    <mergeCell ref="Q267:Q269"/>
    <mergeCell ref="R267:R269"/>
    <mergeCell ref="S267:S269"/>
    <mergeCell ref="T267:T269"/>
    <mergeCell ref="U267:U269"/>
    <mergeCell ref="V267:V269"/>
    <mergeCell ref="D270:V270"/>
    <mergeCell ref="D271:V271"/>
    <mergeCell ref="Q272:Q275"/>
    <mergeCell ref="R272:R275"/>
    <mergeCell ref="S272:S275"/>
    <mergeCell ref="T272:T275"/>
    <mergeCell ref="U272:U275"/>
    <mergeCell ref="V272:V275"/>
    <mergeCell ref="X271:AR271"/>
    <mergeCell ref="K272:K275"/>
    <mergeCell ref="L272:L275"/>
    <mergeCell ref="M272:M275"/>
    <mergeCell ref="N272:N275"/>
    <mergeCell ref="O272:O275"/>
    <mergeCell ref="P272:P275"/>
    <mergeCell ref="X280:AR280"/>
    <mergeCell ref="X289:AR289"/>
    <mergeCell ref="K294:K296"/>
    <mergeCell ref="L294:L296"/>
    <mergeCell ref="M294:M296"/>
    <mergeCell ref="N294:N296"/>
    <mergeCell ref="X235:AR235"/>
    <mergeCell ref="D240:D242"/>
    <mergeCell ref="E240:E242"/>
    <mergeCell ref="F240:F242"/>
    <mergeCell ref="G240:G242"/>
    <mergeCell ref="H240:H242"/>
    <mergeCell ref="I240:I242"/>
    <mergeCell ref="V240:V242"/>
    <mergeCell ref="O294:O296"/>
    <mergeCell ref="P294:P296"/>
    <mergeCell ref="Q294:Q296"/>
    <mergeCell ref="R294:R296"/>
    <mergeCell ref="S294:S296"/>
    <mergeCell ref="T294:T296"/>
    <mergeCell ref="U294:U296"/>
    <mergeCell ref="V294:V296"/>
    <mergeCell ref="D297:V297"/>
    <mergeCell ref="D298:V298"/>
    <mergeCell ref="Q299:Q302"/>
    <mergeCell ref="R299:R302"/>
    <mergeCell ref="S299:S302"/>
    <mergeCell ref="T299:T302"/>
    <mergeCell ref="U299:U302"/>
    <mergeCell ref="V299:V302"/>
    <mergeCell ref="X298:AR298"/>
    <mergeCell ref="K299:K302"/>
    <mergeCell ref="L299:L302"/>
    <mergeCell ref="M299:M302"/>
    <mergeCell ref="N299:N302"/>
    <mergeCell ref="O299:O302"/>
    <mergeCell ref="P299:P302"/>
    <mergeCell ref="K321:K323"/>
    <mergeCell ref="L321:L323"/>
    <mergeCell ref="M321:M323"/>
    <mergeCell ref="N321:N323"/>
    <mergeCell ref="O321:O323"/>
    <mergeCell ref="P321:P323"/>
    <mergeCell ref="Q321:Q323"/>
    <mergeCell ref="R321:R323"/>
    <mergeCell ref="X307:AR307"/>
    <mergeCell ref="X316:AR316"/>
    <mergeCell ref="S321:S323"/>
    <mergeCell ref="T321:T323"/>
    <mergeCell ref="U321:U323"/>
    <mergeCell ref="V321:V323"/>
    <mergeCell ref="D324:V324"/>
    <mergeCell ref="D325:V325"/>
    <mergeCell ref="Q326:Q329"/>
    <mergeCell ref="R326:R329"/>
    <mergeCell ref="S326:S329"/>
    <mergeCell ref="T326:T329"/>
    <mergeCell ref="U326:U329"/>
    <mergeCell ref="V326:V329"/>
    <mergeCell ref="O807:O809"/>
    <mergeCell ref="P807:P809"/>
    <mergeCell ref="A810:C810"/>
    <mergeCell ref="D810:V810"/>
    <mergeCell ref="A811:C811"/>
    <mergeCell ref="D811:V811"/>
    <mergeCell ref="H807:H809"/>
    <mergeCell ref="I807:I809"/>
    <mergeCell ref="J807:J809"/>
    <mergeCell ref="K807:K809"/>
    <mergeCell ref="L807:L809"/>
    <mergeCell ref="M807:M809"/>
    <mergeCell ref="N807:N809"/>
    <mergeCell ref="R812:R815"/>
    <mergeCell ref="S812:S815"/>
    <mergeCell ref="T812:T815"/>
    <mergeCell ref="U812:U815"/>
    <mergeCell ref="V812:V815"/>
    <mergeCell ref="K812:K815"/>
    <mergeCell ref="L812:L815"/>
    <mergeCell ref="M812:M815"/>
    <mergeCell ref="N812:N815"/>
    <mergeCell ref="O812:O815"/>
    <mergeCell ref="P812:P815"/>
    <mergeCell ref="Q812:Q815"/>
    <mergeCell ref="D837:V837"/>
    <mergeCell ref="D838:V838"/>
    <mergeCell ref="P834:P836"/>
    <mergeCell ref="Q834:Q836"/>
    <mergeCell ref="R834:R836"/>
    <mergeCell ref="S834:S836"/>
    <mergeCell ref="T834:T836"/>
    <mergeCell ref="U834:U836"/>
    <mergeCell ref="V834:V836"/>
    <mergeCell ref="D807:D809"/>
    <mergeCell ref="E807:E809"/>
    <mergeCell ref="K834:K836"/>
    <mergeCell ref="L834:L836"/>
    <mergeCell ref="M834:M836"/>
    <mergeCell ref="N834:N836"/>
    <mergeCell ref="O834:O836"/>
    <mergeCell ref="R839:R842"/>
    <mergeCell ref="S839:S842"/>
    <mergeCell ref="T839:T842"/>
    <mergeCell ref="U839:U842"/>
    <mergeCell ref="V839:V842"/>
    <mergeCell ref="K839:K842"/>
    <mergeCell ref="L839:L842"/>
    <mergeCell ref="M839:M842"/>
    <mergeCell ref="N839:N842"/>
    <mergeCell ref="O839:O842"/>
    <mergeCell ref="P839:P842"/>
    <mergeCell ref="Q839:Q842"/>
    <mergeCell ref="A756:C756"/>
    <mergeCell ref="A757:C757"/>
    <mergeCell ref="A758:A782"/>
    <mergeCell ref="B758:B761"/>
    <mergeCell ref="C758:C761"/>
    <mergeCell ref="B780:B782"/>
    <mergeCell ref="C780:C782"/>
    <mergeCell ref="Q785:Q788"/>
    <mergeCell ref="R785:R788"/>
    <mergeCell ref="S785:S788"/>
    <mergeCell ref="T785:T788"/>
    <mergeCell ref="U785:U788"/>
    <mergeCell ref="V785:V788"/>
    <mergeCell ref="X793:AR793"/>
    <mergeCell ref="X802:AR802"/>
    <mergeCell ref="J785:J788"/>
    <mergeCell ref="K785:K788"/>
    <mergeCell ref="L785:L788"/>
    <mergeCell ref="M785:M788"/>
    <mergeCell ref="N785:N788"/>
    <mergeCell ref="O785:O788"/>
    <mergeCell ref="P785:P788"/>
    <mergeCell ref="B807:B809"/>
    <mergeCell ref="C807:C809"/>
    <mergeCell ref="A783:C783"/>
    <mergeCell ref="A784:C784"/>
    <mergeCell ref="A785:A809"/>
    <mergeCell ref="B785:B788"/>
    <mergeCell ref="C785:C788"/>
    <mergeCell ref="H785:H788"/>
    <mergeCell ref="I785:I788"/>
    <mergeCell ref="V807:V809"/>
    <mergeCell ref="X811:AR811"/>
    <mergeCell ref="X820:AR820"/>
    <mergeCell ref="X829:AR829"/>
    <mergeCell ref="F807:F809"/>
    <mergeCell ref="G807:G809"/>
    <mergeCell ref="Q807:Q809"/>
    <mergeCell ref="R807:R809"/>
    <mergeCell ref="S807:S809"/>
    <mergeCell ref="T807:T809"/>
    <mergeCell ref="U807:U80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12.63"/>
    <col customWidth="1" min="2" max="3" width="9.25"/>
    <col customWidth="1" min="4" max="5" width="8.63"/>
    <col customWidth="1" min="6" max="6" width="12.0"/>
    <col customWidth="1" min="7" max="13" width="11.38"/>
    <col customWidth="1" min="14" max="22" width="12.63"/>
    <col customWidth="1" min="24" max="24" width="9.75"/>
    <col customWidth="1" min="25" max="25" width="9.13"/>
    <col customWidth="1" min="26" max="27" width="9.0"/>
    <col customWidth="1" min="28" max="28" width="11.88"/>
    <col customWidth="1" min="29" max="34" width="15.0"/>
    <col customWidth="1" min="35" max="35" width="17.75"/>
    <col customWidth="1" min="36" max="36" width="16.0"/>
    <col customWidth="1" min="37" max="37" width="19.38"/>
    <col customWidth="1" min="38" max="38" width="23.88"/>
    <col customWidth="1" min="39" max="39" width="21.0"/>
    <col customWidth="1" min="40" max="40" width="24.75"/>
    <col customWidth="1" min="41" max="41" width="16.13"/>
    <col customWidth="1" min="42" max="42" width="12.63"/>
    <col customWidth="1" min="43" max="43" width="8.75"/>
    <col customWidth="1" min="44" max="44" width="16.25"/>
    <col customWidth="1" min="45" max="45" width="21.63"/>
    <col customWidth="1" min="46" max="46" width="26.63"/>
  </cols>
  <sheetData>
    <row r="1" ht="15.75" customHeight="1">
      <c r="A1" s="1" t="s">
        <v>0</v>
      </c>
      <c r="D1" s="2"/>
      <c r="W1" s="3"/>
      <c r="X1" s="4" t="s">
        <v>1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6"/>
      <c r="AS1" s="3"/>
    </row>
    <row r="2" ht="15.75" customHeight="1">
      <c r="A2" s="10">
        <v>46235.0</v>
      </c>
      <c r="B2" s="8" t="s">
        <v>2</v>
      </c>
      <c r="C2" s="8" t="s">
        <v>3</v>
      </c>
      <c r="D2" s="8" t="s">
        <v>4</v>
      </c>
      <c r="E2" s="8" t="s">
        <v>5</v>
      </c>
      <c r="F2" s="9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9" t="s">
        <v>14</v>
      </c>
      <c r="O2" s="8" t="s">
        <v>15</v>
      </c>
      <c r="P2" s="8" t="s">
        <v>16</v>
      </c>
      <c r="Q2" s="8" t="s">
        <v>17</v>
      </c>
      <c r="R2" s="8" t="s">
        <v>18</v>
      </c>
      <c r="S2" s="11" t="s">
        <v>19</v>
      </c>
      <c r="T2" s="12" t="s">
        <v>20</v>
      </c>
      <c r="U2" s="12" t="s">
        <v>21</v>
      </c>
      <c r="V2" s="13" t="s">
        <v>22</v>
      </c>
      <c r="X2" s="14" t="s">
        <v>2</v>
      </c>
      <c r="Y2" s="14" t="s">
        <v>3</v>
      </c>
      <c r="Z2" s="14" t="s">
        <v>4</v>
      </c>
      <c r="AA2" s="14" t="s">
        <v>5</v>
      </c>
      <c r="AB2" s="15" t="s">
        <v>6</v>
      </c>
      <c r="AC2" s="14" t="s">
        <v>7</v>
      </c>
      <c r="AD2" s="14" t="s">
        <v>8</v>
      </c>
      <c r="AE2" s="14" t="s">
        <v>9</v>
      </c>
      <c r="AF2" s="14" t="s">
        <v>10</v>
      </c>
      <c r="AG2" s="14" t="s">
        <v>11</v>
      </c>
      <c r="AH2" s="14" t="s">
        <v>12</v>
      </c>
      <c r="AI2" s="14" t="s">
        <v>13</v>
      </c>
      <c r="AJ2" s="15" t="s">
        <v>14</v>
      </c>
      <c r="AK2" s="14" t="s">
        <v>15</v>
      </c>
      <c r="AL2" s="14" t="s">
        <v>16</v>
      </c>
      <c r="AM2" s="16" t="s">
        <v>17</v>
      </c>
      <c r="AN2" s="17" t="s">
        <v>18</v>
      </c>
      <c r="AO2" s="18" t="s">
        <v>19</v>
      </c>
      <c r="AP2" s="19" t="s">
        <v>20</v>
      </c>
      <c r="AQ2" s="19" t="s">
        <v>21</v>
      </c>
      <c r="AR2" s="20" t="s">
        <v>22</v>
      </c>
    </row>
    <row r="3" ht="15.7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X3" s="22">
        <v>1.0</v>
      </c>
      <c r="Y3" s="22" t="s">
        <v>23</v>
      </c>
      <c r="Z3" s="22">
        <f t="shared" ref="Z3:AI3" si="1">SUM(D11)</f>
        <v>28</v>
      </c>
      <c r="AA3" s="23">
        <f t="shared" si="1"/>
        <v>28</v>
      </c>
      <c r="AB3" s="24">
        <f t="shared" si="1"/>
        <v>5450.804</v>
      </c>
      <c r="AC3" s="23">
        <f t="shared" si="1"/>
        <v>1335</v>
      </c>
      <c r="AD3" s="23">
        <f t="shared" si="1"/>
        <v>0</v>
      </c>
      <c r="AE3" s="23">
        <f t="shared" si="1"/>
        <v>1335</v>
      </c>
      <c r="AF3" s="23">
        <f t="shared" si="1"/>
        <v>2432</v>
      </c>
      <c r="AG3" s="23">
        <f t="shared" si="1"/>
        <v>0</v>
      </c>
      <c r="AH3" s="23">
        <f t="shared" si="1"/>
        <v>2432</v>
      </c>
      <c r="AI3" s="23">
        <f t="shared" si="1"/>
        <v>3767</v>
      </c>
      <c r="AJ3" s="25">
        <f t="shared" ref="AJ3:AJ5" si="4">AB3/AA3</f>
        <v>194.6715714</v>
      </c>
      <c r="AK3" s="22">
        <f>SUM(O11)</f>
        <v>6853</v>
      </c>
      <c r="AL3" s="26">
        <f t="shared" ref="AL3:AL9" si="5">AI3/AK3</f>
        <v>0.5496862688</v>
      </c>
      <c r="AM3" s="27">
        <f t="shared" ref="AM3:AM5" si="6">SUM(Q11)</f>
        <v>1.5</v>
      </c>
      <c r="AN3" s="26">
        <f t="shared" ref="AN3:AN9" si="7">AO3/AM3</f>
        <v>0.4607271392</v>
      </c>
      <c r="AO3" s="28">
        <f t="shared" ref="AO3:AO9" si="8">AI3/AB3</f>
        <v>0.6910907088</v>
      </c>
      <c r="AP3" s="27">
        <f t="shared" ref="AP3:AQ3" si="2">SUM(T11)</f>
        <v>161.5531713</v>
      </c>
      <c r="AQ3" s="27">
        <f t="shared" si="2"/>
        <v>5.769756118</v>
      </c>
      <c r="AR3" s="23">
        <f t="shared" ref="AR3:AR9" si="10">AI3/AA3</f>
        <v>134.5357143</v>
      </c>
    </row>
    <row r="4" ht="15.7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X4" s="22">
        <v>2.0</v>
      </c>
      <c r="Y4" s="22" t="s">
        <v>24</v>
      </c>
      <c r="Z4" s="22">
        <f t="shared" ref="Z4:AI4" si="3">SUM(D12)</f>
        <v>37</v>
      </c>
      <c r="AA4" s="23">
        <f t="shared" si="3"/>
        <v>37</v>
      </c>
      <c r="AB4" s="24">
        <f t="shared" si="3"/>
        <v>6826.651</v>
      </c>
      <c r="AC4" s="23">
        <f t="shared" si="3"/>
        <v>874</v>
      </c>
      <c r="AD4" s="23">
        <f t="shared" si="3"/>
        <v>0</v>
      </c>
      <c r="AE4" s="23">
        <f t="shared" si="3"/>
        <v>874</v>
      </c>
      <c r="AF4" s="23">
        <f t="shared" si="3"/>
        <v>1156</v>
      </c>
      <c r="AG4" s="23">
        <f t="shared" si="3"/>
        <v>18</v>
      </c>
      <c r="AH4" s="23">
        <f t="shared" si="3"/>
        <v>1174</v>
      </c>
      <c r="AI4" s="23">
        <f t="shared" si="3"/>
        <v>2048</v>
      </c>
      <c r="AJ4" s="25">
        <f t="shared" si="4"/>
        <v>184.5040811</v>
      </c>
      <c r="AK4" s="22">
        <v>1580.0</v>
      </c>
      <c r="AL4" s="29">
        <f t="shared" si="5"/>
        <v>1.296202532</v>
      </c>
      <c r="AM4" s="27">
        <f t="shared" si="6"/>
        <v>1.5</v>
      </c>
      <c r="AN4" s="26">
        <f t="shared" si="7"/>
        <v>0.200000459</v>
      </c>
      <c r="AO4" s="28">
        <f t="shared" si="8"/>
        <v>0.3000006885</v>
      </c>
      <c r="AP4" s="27">
        <f t="shared" ref="AP4:AQ4" si="9">SUM(T12)</f>
        <v>254.678269</v>
      </c>
      <c r="AQ4" s="27">
        <f t="shared" si="9"/>
        <v>6.883196459</v>
      </c>
      <c r="AR4" s="23">
        <f t="shared" si="10"/>
        <v>55.35135135</v>
      </c>
    </row>
    <row r="5" ht="15.75" customHeight="1">
      <c r="A5" s="21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X5" s="31">
        <v>3.0</v>
      </c>
      <c r="Y5" s="31" t="s">
        <v>25</v>
      </c>
      <c r="Z5" s="31">
        <f t="shared" ref="Z5:AI5" si="11">SUM(D13)</f>
        <v>27</v>
      </c>
      <c r="AA5" s="32">
        <f t="shared" si="11"/>
        <v>26</v>
      </c>
      <c r="AB5" s="33">
        <f t="shared" si="11"/>
        <v>5143.28</v>
      </c>
      <c r="AC5" s="32">
        <f t="shared" si="11"/>
        <v>1580</v>
      </c>
      <c r="AD5" s="32">
        <f t="shared" si="11"/>
        <v>484</v>
      </c>
      <c r="AE5" s="32">
        <f t="shared" si="11"/>
        <v>2064</v>
      </c>
      <c r="AF5" s="32">
        <f t="shared" si="11"/>
        <v>3092</v>
      </c>
      <c r="AG5" s="32">
        <f t="shared" si="11"/>
        <v>228</v>
      </c>
      <c r="AH5" s="32">
        <f t="shared" si="11"/>
        <v>3320</v>
      </c>
      <c r="AI5" s="32">
        <f t="shared" si="11"/>
        <v>5384</v>
      </c>
      <c r="AJ5" s="34">
        <f t="shared" si="4"/>
        <v>197.8184615</v>
      </c>
      <c r="AK5" s="31">
        <f>SUM(O13)</f>
        <v>6622</v>
      </c>
      <c r="AL5" s="35">
        <f t="shared" si="5"/>
        <v>0.8130474177</v>
      </c>
      <c r="AM5" s="36">
        <f t="shared" si="6"/>
        <v>1.5</v>
      </c>
      <c r="AN5" s="35">
        <f t="shared" si="7"/>
        <v>0.6978685456</v>
      </c>
      <c r="AO5" s="37">
        <f t="shared" si="8"/>
        <v>1.046802818</v>
      </c>
      <c r="AP5" s="36">
        <f t="shared" ref="AP5:AQ5" si="12">SUM(T13)</f>
        <v>215.7416107</v>
      </c>
      <c r="AQ5" s="36">
        <f t="shared" si="12"/>
        <v>8.297754259</v>
      </c>
      <c r="AR5" s="32">
        <f t="shared" si="10"/>
        <v>207.0769231</v>
      </c>
    </row>
    <row r="6" ht="15.75" customHeight="1">
      <c r="A6" s="21"/>
      <c r="B6" s="38">
        <v>1.0</v>
      </c>
      <c r="C6" s="38" t="s">
        <v>26</v>
      </c>
      <c r="D6" s="39">
        <v>16.0</v>
      </c>
      <c r="E6" s="40">
        <f>IFERROR(__xludf.DUMMYFUNCTION("COUNT(IMPORTRANGE(""https://docs.google.com/spreadsheets/d/1iVFEBQOAONhqDIMRa2hQ7WkCQv0dJWSAmc0AzfvSCMg/edit"",""1!d2:d21""))"),15.0)</f>
        <v>15</v>
      </c>
      <c r="F6" s="41">
        <f>IFERROR(__xludf.DUMMYFUNCTION("SUM(IMPORTRANGE(""https://docs.google.com/spreadsheets/d/1iVFEBQOAONhqDIMRa2hQ7WkCQv0dJWSAmc0AzfvSCMg/edit"",""1!Q2:Q21""))"),2883.459)</f>
        <v>2883.459</v>
      </c>
      <c r="G6" s="40">
        <f>IFERROR(__xludf.DUMMYFUNCTION("IMPORTRANGE(""https://docs.google.com/spreadsheets/d/1iVFEBQOAONhqDIMRa2hQ7WkCQv0dJWSAmc0AzfvSCMg/edit"",""1!e28"")"),1664.0)</f>
        <v>1664</v>
      </c>
      <c r="H6" s="40">
        <f>IFERROR(__xludf.DUMMYFUNCTION("IMPORTRANGE(""https://docs.google.com/spreadsheets/d/1iVFEBQOAONhqDIMRa2hQ7WkCQv0dJWSAmc0AzfvSCMg/edit"",""1!e29"")"),0.0)</f>
        <v>0</v>
      </c>
      <c r="I6" s="40">
        <f t="shared" ref="I6:I23" si="15">SUM(G6:H6)</f>
        <v>1664</v>
      </c>
      <c r="J6" s="40">
        <f>IFERROR(__xludf.DUMMYFUNCTION("IMPORTRANGE(""https://docs.google.com/spreadsheets/d/1iVFEBQOAONhqDIMRa2hQ7WkCQv0dJWSAmc0AzfvSCMg/edit"",""1!e32"")"),1664.0)</f>
        <v>1664</v>
      </c>
      <c r="K6" s="40">
        <f>IFERROR(__xludf.DUMMYFUNCTION("IMPORTRANGE(""https://docs.google.com/spreadsheets/d/1iVFEBQOAONhqDIMRa2hQ7WkCQv0dJWSAmc0AzfvSCMg/edit"",""1!e33"")"),0.0)</f>
        <v>0</v>
      </c>
      <c r="L6" s="40">
        <f t="shared" ref="L6:L12" si="16">SUM(J6:K6)</f>
        <v>1664</v>
      </c>
      <c r="M6" s="40">
        <f t="shared" ref="M6:M23" si="17">SUM(I6+L6)</f>
        <v>3328</v>
      </c>
      <c r="N6" s="41">
        <f t="shared" ref="N6:N24" si="18">F6/E6</f>
        <v>192.2306</v>
      </c>
      <c r="O6" s="38">
        <v>5161.0</v>
      </c>
      <c r="P6" s="42">
        <f t="shared" ref="P6:P24" si="19">M6/O6</f>
        <v>0.644836272</v>
      </c>
      <c r="Q6" s="43">
        <v>1.5</v>
      </c>
      <c r="R6" s="42">
        <f t="shared" ref="R6:R24" si="20">S6/Q6</f>
        <v>0.7694462334</v>
      </c>
      <c r="S6" s="44">
        <f t="shared" ref="S6:S24" si="21">M6/F6</f>
        <v>1.15416935</v>
      </c>
      <c r="T6" s="43">
        <f>F6/14.415</f>
        <v>200.0318418</v>
      </c>
      <c r="U6" s="43">
        <f t="shared" ref="U6:U24" si="22">T6/E6</f>
        <v>13.33545612</v>
      </c>
      <c r="V6" s="40">
        <f t="shared" ref="V6:V24" si="23">M6/E6</f>
        <v>221.8666667</v>
      </c>
      <c r="X6" s="22">
        <v>4.0</v>
      </c>
      <c r="Y6" s="22" t="s">
        <v>27</v>
      </c>
      <c r="Z6" s="22">
        <f t="shared" ref="Z6:AK6" si="13">SUM(D19)</f>
        <v>24</v>
      </c>
      <c r="AA6" s="23">
        <f t="shared" si="13"/>
        <v>24</v>
      </c>
      <c r="AB6" s="24">
        <f t="shared" si="13"/>
        <v>4386.57</v>
      </c>
      <c r="AC6" s="23">
        <f t="shared" si="13"/>
        <v>1827</v>
      </c>
      <c r="AD6" s="23">
        <f t="shared" si="13"/>
        <v>0</v>
      </c>
      <c r="AE6" s="23">
        <f t="shared" si="13"/>
        <v>1827</v>
      </c>
      <c r="AF6" s="23">
        <f t="shared" si="13"/>
        <v>2426</v>
      </c>
      <c r="AG6" s="23">
        <f t="shared" si="13"/>
        <v>0</v>
      </c>
      <c r="AH6" s="23">
        <f t="shared" si="13"/>
        <v>2426</v>
      </c>
      <c r="AI6" s="23">
        <f t="shared" si="13"/>
        <v>4253</v>
      </c>
      <c r="AJ6" s="25">
        <f t="shared" si="13"/>
        <v>182.77375</v>
      </c>
      <c r="AK6" s="22">
        <f t="shared" si="13"/>
        <v>8101</v>
      </c>
      <c r="AL6" s="26">
        <f t="shared" si="5"/>
        <v>0.524996914</v>
      </c>
      <c r="AM6" s="27">
        <f>SUM(Q19)</f>
        <v>1.5</v>
      </c>
      <c r="AN6" s="26">
        <f t="shared" si="7"/>
        <v>0.6463668272</v>
      </c>
      <c r="AO6" s="28">
        <f t="shared" si="8"/>
        <v>0.9695502408</v>
      </c>
      <c r="AP6" s="27">
        <f t="shared" ref="AP6:AQ6" si="14">SUM(T19)</f>
        <v>219.4931198</v>
      </c>
      <c r="AQ6" s="27">
        <f t="shared" si="14"/>
        <v>9.14554666</v>
      </c>
      <c r="AR6" s="23">
        <f t="shared" si="10"/>
        <v>177.2083333</v>
      </c>
    </row>
    <row r="7" ht="15.75" customHeight="1">
      <c r="A7" s="21"/>
      <c r="B7" s="38">
        <v>2.0</v>
      </c>
      <c r="C7" s="38" t="s">
        <v>28</v>
      </c>
      <c r="D7" s="39">
        <v>26.0</v>
      </c>
      <c r="E7" s="40">
        <f>IFERROR(__xludf.DUMMYFUNCTION("COUNT(IMPORTRANGE(""https://docs.google.com/spreadsheets/d/1tJCeYclgeJZ4Dc78t_SkhVjtacKW-5-VGim8X1rzUzk/edit"",""1!d2:d34""))"),26.0)</f>
        <v>26</v>
      </c>
      <c r="F7" s="41">
        <f>IFERROR(__xludf.DUMMYFUNCTION("SUM(IMPORTRANGE(""https://docs.google.com/spreadsheets/d/1tJCeYclgeJZ4Dc78t_SkhVjtacKW-5-VGim8X1rzUzk/edit"",""1!Q2:Q34""))"),5185.99)</f>
        <v>5185.99</v>
      </c>
      <c r="G7" s="40">
        <f>IFERROR(__xludf.DUMMYFUNCTION("IMPORTRANGE(""https://docs.google.com/spreadsheets/d/1tJCeYclgeJZ4Dc78t_SkhVjtacKW-5-VGim8X1rzUzk/edit"",""1!e41"")"),1930.0)</f>
        <v>1930</v>
      </c>
      <c r="H7" s="40">
        <f>IFERROR(__xludf.DUMMYFUNCTION("IMPORTRANGE(""https://docs.google.com/spreadsheets/d/1tJCeYclgeJZ4Dc78t_SkhVjtacKW-5-VGim8X1rzUzk/edit"",""1!e42"")"),72.0)</f>
        <v>72</v>
      </c>
      <c r="I7" s="40">
        <f t="shared" si="15"/>
        <v>2002</v>
      </c>
      <c r="J7" s="40">
        <f>IFERROR(__xludf.DUMMYFUNCTION("IMPORTRANGE(""https://docs.google.com/spreadsheets/d/1tJCeYclgeJZ4Dc78t_SkhVjtacKW-5-VGim8X1rzUzk/edit"",""1!e45"")"),1955.0)</f>
        <v>1955</v>
      </c>
      <c r="K7" s="40">
        <f>IFERROR(__xludf.DUMMYFUNCTION("IMPORTRANGE(""https://docs.google.com/spreadsheets/d/1tJCeYclgeJZ4Dc78t_SkhVjtacKW-5-VGim8X1rzUzk/edit"",""1!e46"")"),139.0)</f>
        <v>139</v>
      </c>
      <c r="L7" s="40">
        <f t="shared" si="16"/>
        <v>2094</v>
      </c>
      <c r="M7" s="40">
        <f t="shared" si="17"/>
        <v>4096</v>
      </c>
      <c r="N7" s="41">
        <f t="shared" si="18"/>
        <v>199.4611538</v>
      </c>
      <c r="O7" s="38">
        <v>7315.0</v>
      </c>
      <c r="P7" s="42">
        <f t="shared" si="19"/>
        <v>0.5599453178</v>
      </c>
      <c r="Q7" s="43">
        <v>1.5</v>
      </c>
      <c r="R7" s="42">
        <f t="shared" si="20"/>
        <v>0.5265468438</v>
      </c>
      <c r="S7" s="44">
        <f t="shared" si="21"/>
        <v>0.7898202658</v>
      </c>
      <c r="T7" s="43">
        <f>F7/30.897</f>
        <v>167.8476875</v>
      </c>
      <c r="U7" s="43">
        <f t="shared" si="22"/>
        <v>6.455680288</v>
      </c>
      <c r="V7" s="40">
        <f t="shared" si="23"/>
        <v>157.5384615</v>
      </c>
      <c r="X7" s="22">
        <v>5.0</v>
      </c>
      <c r="Y7" s="22" t="s">
        <v>29</v>
      </c>
      <c r="Z7" s="22">
        <f t="shared" ref="Z7:AI7" si="24">SUM(D22)</f>
        <v>24</v>
      </c>
      <c r="AA7" s="23">
        <f t="shared" si="24"/>
        <v>23</v>
      </c>
      <c r="AB7" s="24">
        <f t="shared" si="24"/>
        <v>4426.46</v>
      </c>
      <c r="AC7" s="23">
        <f t="shared" si="24"/>
        <v>2038</v>
      </c>
      <c r="AD7" s="23">
        <f t="shared" si="24"/>
        <v>0</v>
      </c>
      <c r="AE7" s="23">
        <f t="shared" si="24"/>
        <v>2038</v>
      </c>
      <c r="AF7" s="23">
        <f t="shared" si="24"/>
        <v>2902</v>
      </c>
      <c r="AG7" s="23">
        <f t="shared" si="24"/>
        <v>0</v>
      </c>
      <c r="AH7" s="23">
        <f t="shared" si="24"/>
        <v>2902</v>
      </c>
      <c r="AI7" s="23">
        <f t="shared" si="24"/>
        <v>4940</v>
      </c>
      <c r="AJ7" s="25">
        <f t="shared" ref="AJ7:AJ9" si="27">AB7/AA7</f>
        <v>192.4547826</v>
      </c>
      <c r="AK7" s="22">
        <f t="shared" ref="AK7:AK8" si="28">SUM(O22)</f>
        <v>9201</v>
      </c>
      <c r="AL7" s="26">
        <f t="shared" si="5"/>
        <v>0.5368981632</v>
      </c>
      <c r="AM7" s="27">
        <f t="shared" ref="AM7:AM8" si="29">SUM(Q22)</f>
        <v>1.5</v>
      </c>
      <c r="AN7" s="26">
        <f t="shared" si="7"/>
        <v>0.7440106391</v>
      </c>
      <c r="AO7" s="28">
        <f t="shared" si="8"/>
        <v>1.116015959</v>
      </c>
      <c r="AP7" s="27">
        <f t="shared" ref="AP7:AQ7" si="25">SUM(T22)</f>
        <v>170</v>
      </c>
      <c r="AQ7" s="27">
        <f t="shared" si="25"/>
        <v>7.391304348</v>
      </c>
      <c r="AR7" s="23">
        <f t="shared" si="10"/>
        <v>214.7826087</v>
      </c>
    </row>
    <row r="8" ht="15.75" customHeight="1">
      <c r="A8" s="21"/>
      <c r="B8" s="38">
        <v>3.0</v>
      </c>
      <c r="C8" s="38" t="s">
        <v>30</v>
      </c>
      <c r="D8" s="39">
        <v>48.0</v>
      </c>
      <c r="E8" s="40">
        <f>IFERROR(__xludf.DUMMYFUNCTION("COUNT(IMPORTRANGE(""https://docs.google.com/spreadsheets/d/130gLEONC13J8KkQ6dk06x3bLRy_jCrAw2hXatQf2W50/edit"",""1!d2:d61""))"),46.0)</f>
        <v>46</v>
      </c>
      <c r="F8" s="45">
        <f>IFERROR(__xludf.DUMMYFUNCTION("SUM(IMPORTRANGE(""https://docs.google.com/spreadsheets/d/130gLEONC13J8KkQ6dk06x3bLRy_jCrAw2hXatQf2W50/edit"",""1!Q2:Q61""))"),9164.23099999999)</f>
        <v>9164.231</v>
      </c>
      <c r="G8" s="40">
        <f>IFERROR(__xludf.DUMMYFUNCTION("IMPORTRANGE(""https://docs.google.com/spreadsheets/d/130gLEONC13J8KkQ6dk06x3bLRy_jCrAw2hXatQf2W50/edit"",""1!e68"")"),2631.0)</f>
        <v>2631</v>
      </c>
      <c r="H8" s="40">
        <f>IFERROR(__xludf.DUMMYFUNCTION("IMPORTRANGE(""https://docs.google.com/spreadsheets/d/130gLEONC13J8KkQ6dk06x3bLRy_jCrAw2hXatQf2W50/edit"",""1!e69"")"),0.0)</f>
        <v>0</v>
      </c>
      <c r="I8" s="40">
        <f t="shared" si="15"/>
        <v>2631</v>
      </c>
      <c r="J8" s="40">
        <f>IFERROR(__xludf.DUMMYFUNCTION("IMPORTRANGE(""https://docs.google.com/spreadsheets/d/130gLEONC13J8KkQ6dk06x3bLRy_jCrAw2hXatQf2W50/edit"",""1!e72"")"),4211.0)</f>
        <v>4211</v>
      </c>
      <c r="K8" s="40">
        <f>IFERROR(__xludf.DUMMYFUNCTION("IMPORTRANGE(""https://docs.google.com/spreadsheets/d/130gLEONC13J8KkQ6dk06x3bLRy_jCrAw2hXatQf2W50/edit"",""1!e73"")"),0.0)</f>
        <v>0</v>
      </c>
      <c r="L8" s="40">
        <f t="shared" si="16"/>
        <v>4211</v>
      </c>
      <c r="M8" s="40">
        <f t="shared" si="17"/>
        <v>6842</v>
      </c>
      <c r="N8" s="41">
        <f t="shared" si="18"/>
        <v>199.222413</v>
      </c>
      <c r="O8" s="38">
        <v>11164.0</v>
      </c>
      <c r="P8" s="42">
        <f t="shared" si="19"/>
        <v>0.6128627732</v>
      </c>
      <c r="Q8" s="43">
        <v>1.5</v>
      </c>
      <c r="R8" s="42">
        <f t="shared" si="20"/>
        <v>0.497732252</v>
      </c>
      <c r="S8" s="44">
        <f t="shared" si="21"/>
        <v>0.746598378</v>
      </c>
      <c r="T8" s="43">
        <f>F8/29.603</f>
        <v>309.5710232</v>
      </c>
      <c r="U8" s="43">
        <f t="shared" si="22"/>
        <v>6.729804852</v>
      </c>
      <c r="V8" s="40">
        <f t="shared" si="23"/>
        <v>148.7391304</v>
      </c>
      <c r="X8" s="22">
        <v>6.0</v>
      </c>
      <c r="Y8" s="22" t="s">
        <v>31</v>
      </c>
      <c r="Z8" s="22">
        <f t="shared" ref="Z8:AI8" si="26">SUM(D23)</f>
        <v>12</v>
      </c>
      <c r="AA8" s="23">
        <f t="shared" si="26"/>
        <v>11</v>
      </c>
      <c r="AB8" s="25">
        <f t="shared" si="26"/>
        <v>2129.785</v>
      </c>
      <c r="AC8" s="23">
        <f t="shared" si="26"/>
        <v>587</v>
      </c>
      <c r="AD8" s="23">
        <f t="shared" si="26"/>
        <v>8</v>
      </c>
      <c r="AE8" s="23">
        <f t="shared" si="26"/>
        <v>595</v>
      </c>
      <c r="AF8" s="23">
        <f t="shared" si="26"/>
        <v>852</v>
      </c>
      <c r="AG8" s="23">
        <f t="shared" si="26"/>
        <v>0</v>
      </c>
      <c r="AH8" s="23">
        <f t="shared" si="26"/>
        <v>852</v>
      </c>
      <c r="AI8" s="23">
        <f t="shared" si="26"/>
        <v>1447</v>
      </c>
      <c r="AJ8" s="25">
        <f t="shared" si="27"/>
        <v>193.6168182</v>
      </c>
      <c r="AK8" s="22">
        <f t="shared" si="28"/>
        <v>2717</v>
      </c>
      <c r="AL8" s="26">
        <f t="shared" si="5"/>
        <v>0.5325726905</v>
      </c>
      <c r="AM8" s="27">
        <f t="shared" si="29"/>
        <v>1.5</v>
      </c>
      <c r="AN8" s="26">
        <f t="shared" si="7"/>
        <v>0.4529408681</v>
      </c>
      <c r="AO8" s="28">
        <f t="shared" si="8"/>
        <v>0.6794113021</v>
      </c>
      <c r="AP8" s="27">
        <f t="shared" ref="AP8:AQ8" si="30">SUM(T23)</f>
        <v>49</v>
      </c>
      <c r="AQ8" s="27">
        <f t="shared" si="30"/>
        <v>4.454545455</v>
      </c>
      <c r="AR8" s="23">
        <f t="shared" si="10"/>
        <v>131.5454545</v>
      </c>
    </row>
    <row r="9" ht="15.75" customHeight="1">
      <c r="A9" s="21"/>
      <c r="B9" s="38">
        <v>4.0</v>
      </c>
      <c r="C9" s="38" t="s">
        <v>32</v>
      </c>
      <c r="D9" s="39">
        <v>33.0</v>
      </c>
      <c r="E9" s="40">
        <f>IFERROR(__xludf.DUMMYFUNCTION("COUNT(IMPORTRANGE(""https://docs.google.com/spreadsheets/d/1gYHli7FuKQLm2Q-5LMR0UtkD-gRRA_p8s-phLPLDLgc/edit"",""1!d2:d43""))"),33.0)</f>
        <v>33</v>
      </c>
      <c r="F9" s="45">
        <f>IFERROR(__xludf.DUMMYFUNCTION("SUM(IMPORTRANGE(""https://docs.google.com/spreadsheets/d/1gYHli7FuKQLm2Q-5LMR0UtkD-gRRA_p8s-phLPLDLgc/edit"",""1!Q2:Q43""))"),6486.580999999995)</f>
        <v>6486.581</v>
      </c>
      <c r="G9" s="38">
        <f>IFERROR(__xludf.DUMMYFUNCTION("IMPORTRANGE(""https://docs.google.com/spreadsheets/d/1gYHli7FuKQLm2Q-5LMR0UtkD-gRRA_p8s-phLPLDLgc/edit"",""1!e50"")"),3724.0)</f>
        <v>3724</v>
      </c>
      <c r="H9" s="38">
        <f>IFERROR(__xludf.DUMMYFUNCTION("IMPORTRANGE(""https://docs.google.com/spreadsheets/d/1gYHli7FuKQLm2Q-5LMR0UtkD-gRRA_p8s-phLPLDLgc/edit"",""1!e51"")"),0.0)</f>
        <v>0</v>
      </c>
      <c r="I9" s="40">
        <f t="shared" si="15"/>
        <v>3724</v>
      </c>
      <c r="J9" s="38">
        <f>IFERROR(__xludf.DUMMYFUNCTION("IMPORTRANGE(""https://docs.google.com/spreadsheets/d/1gYHli7FuKQLm2Q-5LMR0UtkD-gRRA_p8s-phLPLDLgc/edit"",""1!e54"")"),3793.0)</f>
        <v>3793</v>
      </c>
      <c r="K9" s="38">
        <f>IFERROR(__xludf.DUMMYFUNCTION("IMPORTRANGE(""https://docs.google.com/spreadsheets/d/1gYHli7FuKQLm2Q-5LMR0UtkD-gRRA_p8s-phLPLDLgc/edit"",""1!e55"")"),0.0)</f>
        <v>0</v>
      </c>
      <c r="L9" s="40">
        <f t="shared" si="16"/>
        <v>3793</v>
      </c>
      <c r="M9" s="40">
        <f t="shared" si="17"/>
        <v>7517</v>
      </c>
      <c r="N9" s="41">
        <f t="shared" si="18"/>
        <v>196.5630606</v>
      </c>
      <c r="O9" s="38">
        <v>13817.0</v>
      </c>
      <c r="P9" s="42">
        <f t="shared" si="19"/>
        <v>0.5440399508</v>
      </c>
      <c r="Q9" s="43">
        <v>1.5</v>
      </c>
      <c r="R9" s="42">
        <f t="shared" si="20"/>
        <v>0.7725692986</v>
      </c>
      <c r="S9" s="44">
        <f t="shared" si="21"/>
        <v>1.158853948</v>
      </c>
      <c r="T9" s="43">
        <f>F9/25.089</f>
        <v>258.5428275</v>
      </c>
      <c r="U9" s="43">
        <f t="shared" si="22"/>
        <v>7.834631137</v>
      </c>
      <c r="V9" s="40">
        <f t="shared" si="23"/>
        <v>227.7878788</v>
      </c>
      <c r="X9" s="46" t="s">
        <v>33</v>
      </c>
      <c r="Y9" s="46">
        <v>6.0</v>
      </c>
      <c r="Z9" s="46">
        <f t="shared" ref="Z9:AI9" si="31">SUM(Z3:Z8)</f>
        <v>152</v>
      </c>
      <c r="AA9" s="47">
        <f t="shared" si="31"/>
        <v>149</v>
      </c>
      <c r="AB9" s="48">
        <f t="shared" si="31"/>
        <v>28363.55</v>
      </c>
      <c r="AC9" s="47">
        <f t="shared" si="31"/>
        <v>8241</v>
      </c>
      <c r="AD9" s="47">
        <f t="shared" si="31"/>
        <v>492</v>
      </c>
      <c r="AE9" s="47">
        <f t="shared" si="31"/>
        <v>8733</v>
      </c>
      <c r="AF9" s="47">
        <f t="shared" si="31"/>
        <v>12860</v>
      </c>
      <c r="AG9" s="47">
        <f t="shared" si="31"/>
        <v>246</v>
      </c>
      <c r="AH9" s="47">
        <f t="shared" si="31"/>
        <v>13106</v>
      </c>
      <c r="AI9" s="47">
        <f t="shared" si="31"/>
        <v>21839</v>
      </c>
      <c r="AJ9" s="49">
        <f t="shared" si="27"/>
        <v>190.359396</v>
      </c>
      <c r="AK9" s="46">
        <f>SUM(AK3:AK8)</f>
        <v>35074</v>
      </c>
      <c r="AL9" s="50">
        <f t="shared" si="5"/>
        <v>0.6226549581</v>
      </c>
      <c r="AM9" s="51">
        <v>1.5</v>
      </c>
      <c r="AN9" s="50">
        <f t="shared" si="7"/>
        <v>0.513311392</v>
      </c>
      <c r="AO9" s="52">
        <f t="shared" si="8"/>
        <v>0.769967088</v>
      </c>
      <c r="AP9" s="51">
        <f>SUM(AP3:AP8)</f>
        <v>1070.466171</v>
      </c>
      <c r="AQ9" s="51">
        <f>AP9/AA9</f>
        <v>7.184336717</v>
      </c>
      <c r="AR9" s="47">
        <f t="shared" si="10"/>
        <v>146.5704698</v>
      </c>
    </row>
    <row r="10" ht="15.75" customHeight="1">
      <c r="A10" s="21"/>
      <c r="B10" s="38">
        <v>5.0</v>
      </c>
      <c r="C10" s="38" t="s">
        <v>34</v>
      </c>
      <c r="D10" s="39">
        <v>32.0</v>
      </c>
      <c r="E10" s="40">
        <f>IFERROR(__xludf.DUMMYFUNCTION("COUNT(IMPORTRANGE(""https://docs.google.com/spreadsheets/d/1ptS0qWBCKWkc9h2aXWT_YgMhN7yIv5WgAHRbF8l9Zpo/edit"",""1!d2:d41""))"),32.0)</f>
        <v>32</v>
      </c>
      <c r="F10" s="45">
        <f>IFERROR(__xludf.DUMMYFUNCTION("SUM(IMPORTRANGE(""https://docs.google.com/spreadsheets/d/1ptS0qWBCKWkc9h2aXWT_YgMhN7yIv5WgAHRbF8l9Zpo/edit"",""1!Q2:Q41""))"),6079.728000000002)</f>
        <v>6079.728</v>
      </c>
      <c r="G10" s="40">
        <f>IFERROR(__xludf.DUMMYFUNCTION("IMPORTRANGE(""https://docs.google.com/spreadsheets/d/1ptS0qWBCKWkc9h2aXWT_YgMhN7yIv5WgAHRbF8l9Zpo/edit"",""1!e48"")"),1956.0)</f>
        <v>1956</v>
      </c>
      <c r="H10" s="40">
        <f>IFERROR(__xludf.DUMMYFUNCTION("IMPORTRANGE(""https://docs.google.com/spreadsheets/d/1ptS0qWBCKWkc9h2aXWT_YgMhN7yIv5WgAHRbF8l9Zpo/edit"",""1!e49"")"),0.0)</f>
        <v>0</v>
      </c>
      <c r="I10" s="40">
        <f t="shared" si="15"/>
        <v>1956</v>
      </c>
      <c r="J10" s="40">
        <f>IFERROR(__xludf.DUMMYFUNCTION("IMPORTRANGE(""https://docs.google.com/spreadsheets/d/1ptS0qWBCKWkc9h2aXWT_YgMhN7yIv5WgAHRbF8l9Zpo/edit"",""1!e52"")"),2485.0)</f>
        <v>2485</v>
      </c>
      <c r="K10" s="40">
        <f>IFERROR(__xludf.DUMMYFUNCTION("IMPORTRANGE(""https://docs.google.com/spreadsheets/d/1ptS0qWBCKWkc9h2aXWT_YgMhN7yIv5WgAHRbF8l9Zpo/edit"",""1!e53"")"),0.0)</f>
        <v>0</v>
      </c>
      <c r="L10" s="40">
        <f t="shared" si="16"/>
        <v>2485</v>
      </c>
      <c r="M10" s="40">
        <f t="shared" si="17"/>
        <v>4441</v>
      </c>
      <c r="N10" s="41">
        <f t="shared" si="18"/>
        <v>189.9915</v>
      </c>
      <c r="O10" s="38">
        <v>9354.0</v>
      </c>
      <c r="P10" s="42">
        <f t="shared" si="19"/>
        <v>0.4747701518</v>
      </c>
      <c r="Q10" s="43">
        <v>1.5</v>
      </c>
      <c r="R10" s="42">
        <f t="shared" si="20"/>
        <v>0.48697354</v>
      </c>
      <c r="S10" s="44">
        <f t="shared" si="21"/>
        <v>0.7304603101</v>
      </c>
      <c r="T10" s="43">
        <f>F10/30.713</f>
        <v>197.952919</v>
      </c>
      <c r="U10" s="43">
        <f t="shared" si="22"/>
        <v>6.186028717</v>
      </c>
      <c r="V10" s="40">
        <f t="shared" si="23"/>
        <v>138.78125</v>
      </c>
      <c r="X10" s="53" t="s">
        <v>35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6"/>
    </row>
    <row r="11" ht="15.75" customHeight="1">
      <c r="A11" s="21"/>
      <c r="B11" s="38">
        <v>6.0</v>
      </c>
      <c r="C11" s="38" t="s">
        <v>23</v>
      </c>
      <c r="D11" s="39">
        <v>28.0</v>
      </c>
      <c r="E11" s="40">
        <f>IFERROR(__xludf.DUMMYFUNCTION("COUNT(IMPORTRANGE(""https://docs.google.com/spreadsheets/d/1829CoYW82aTBBUgqkPnJa94KlBWI-DowAnP4ENQCmaQ/edit"",""1!d2:d36""))"),28.0)</f>
        <v>28</v>
      </c>
      <c r="F11" s="45">
        <f>IFERROR(__xludf.DUMMYFUNCTION("SUM(IMPORTRANGE(""https://docs.google.com/spreadsheets/d/1829CoYW82aTBBUgqkPnJa94KlBWI-DowAnP4ENQCmaQ/edit"",""1!Q2:Q36""))"),5450.803999999998)</f>
        <v>5450.804</v>
      </c>
      <c r="G11" s="40">
        <f>IFERROR(__xludf.DUMMYFUNCTION("IMPORTRANGE(""https://docs.google.com/spreadsheets/d/1829CoYW82aTBBUgqkPnJa94KlBWI-DowAnP4ENQCmaQ/edit"",""1!e43"")"),1335.0)</f>
        <v>1335</v>
      </c>
      <c r="H11" s="40">
        <f>IFERROR(__xludf.DUMMYFUNCTION("IMPORTRANGE(""https://docs.google.com/spreadsheets/d/1829CoYW82aTBBUgqkPnJa94KlBWI-DowAnP4ENQCmaQ/edit"",""1!e44"")"),0.0)</f>
        <v>0</v>
      </c>
      <c r="I11" s="40">
        <f t="shared" si="15"/>
        <v>1335</v>
      </c>
      <c r="J11" s="40">
        <f>IFERROR(__xludf.DUMMYFUNCTION("IMPORTRANGE(""https://docs.google.com/spreadsheets/d/1829CoYW82aTBBUgqkPnJa94KlBWI-DowAnP4ENQCmaQ/edit"",""1!e47"")"),2432.0)</f>
        <v>2432</v>
      </c>
      <c r="K11" s="40">
        <f>IFERROR(__xludf.DUMMYFUNCTION("IMPORTRANGE(""https://docs.google.com/spreadsheets/d/1829CoYW82aTBBUgqkPnJa94KlBWI-DowAnP4ENQCmaQ/edit"",""1!e48"")"),0.0)</f>
        <v>0</v>
      </c>
      <c r="L11" s="40">
        <f t="shared" si="16"/>
        <v>2432</v>
      </c>
      <c r="M11" s="40">
        <f t="shared" si="17"/>
        <v>3767</v>
      </c>
      <c r="N11" s="41">
        <f t="shared" si="18"/>
        <v>194.6715714</v>
      </c>
      <c r="O11" s="38">
        <v>6853.0</v>
      </c>
      <c r="P11" s="42">
        <f t="shared" si="19"/>
        <v>0.5496862688</v>
      </c>
      <c r="Q11" s="43">
        <v>1.5</v>
      </c>
      <c r="R11" s="42">
        <f t="shared" si="20"/>
        <v>0.4607271392</v>
      </c>
      <c r="S11" s="44">
        <f t="shared" si="21"/>
        <v>0.6910907088</v>
      </c>
      <c r="T11" s="43">
        <f>F11/33.74</f>
        <v>161.5531713</v>
      </c>
      <c r="U11" s="43">
        <f t="shared" si="22"/>
        <v>5.769756118</v>
      </c>
      <c r="V11" s="40">
        <f t="shared" si="23"/>
        <v>134.5357143</v>
      </c>
      <c r="X11" s="14" t="s">
        <v>2</v>
      </c>
      <c r="Y11" s="14" t="s">
        <v>3</v>
      </c>
      <c r="Z11" s="14" t="s">
        <v>4</v>
      </c>
      <c r="AA11" s="14" t="s">
        <v>5</v>
      </c>
      <c r="AB11" s="15" t="s">
        <v>6</v>
      </c>
      <c r="AC11" s="14" t="s">
        <v>7</v>
      </c>
      <c r="AD11" s="14" t="s">
        <v>8</v>
      </c>
      <c r="AE11" s="14" t="s">
        <v>9</v>
      </c>
      <c r="AF11" s="14" t="s">
        <v>10</v>
      </c>
      <c r="AG11" s="14" t="s">
        <v>11</v>
      </c>
      <c r="AH11" s="14" t="s">
        <v>12</v>
      </c>
      <c r="AI11" s="14" t="s">
        <v>13</v>
      </c>
      <c r="AJ11" s="15" t="s">
        <v>14</v>
      </c>
      <c r="AK11" s="14" t="s">
        <v>15</v>
      </c>
      <c r="AL11" s="14" t="s">
        <v>16</v>
      </c>
      <c r="AM11" s="16" t="s">
        <v>17</v>
      </c>
      <c r="AN11" s="17" t="s">
        <v>18</v>
      </c>
      <c r="AO11" s="18" t="s">
        <v>19</v>
      </c>
      <c r="AP11" s="19" t="s">
        <v>20</v>
      </c>
      <c r="AQ11" s="19" t="s">
        <v>21</v>
      </c>
      <c r="AR11" s="20" t="s">
        <v>22</v>
      </c>
    </row>
    <row r="12" ht="15.75" customHeight="1">
      <c r="A12" s="21"/>
      <c r="B12" s="38">
        <v>7.0</v>
      </c>
      <c r="C12" s="38" t="s">
        <v>24</v>
      </c>
      <c r="D12" s="39">
        <v>37.0</v>
      </c>
      <c r="E12" s="54">
        <f>IFERROR(__xludf.DUMMYFUNCTION("COUNT(IMPORTRANGE(""https://docs.google.com/spreadsheets/d/1E2x4oDZxEIsuC5nl-5Z0--MoN8b1dt9SbpRcCfNP84Q/edit"",""1!d2:d45""))"),37.0)</f>
        <v>37</v>
      </c>
      <c r="F12" s="55">
        <f>IFERROR(__xludf.DUMMYFUNCTION("SUM(IMPORTRANGE(""https://docs.google.com/spreadsheets/d/1E2x4oDZxEIsuC5nl-5Z0--MoN8b1dt9SbpRcCfNP84Q/edit"",""1!Q2:Q45""))"),6826.650999999996)</f>
        <v>6826.651</v>
      </c>
      <c r="G12" s="54">
        <f>IFERROR(__xludf.DUMMYFUNCTION("IMPORTRANGE(""https://docs.google.com/spreadsheets/d/1E2x4oDZxEIsuC5nl-5Z0--MoN8b1dt9SbpRcCfNP84Q/edit"",""1!e53"")"),874.0)</f>
        <v>874</v>
      </c>
      <c r="H12" s="54">
        <f>IFERROR(__xludf.DUMMYFUNCTION("IMPORTRANGE(""https://docs.google.com/spreadsheets/d/1E2x4oDZxEIsuC5nl-5Z0--MoN8b1dt9SbpRcCfNP84Q/edit"",""1!e54"")"),0.0)</f>
        <v>0</v>
      </c>
      <c r="I12" s="54">
        <f t="shared" si="15"/>
        <v>874</v>
      </c>
      <c r="J12" s="54">
        <f>IFERROR(__xludf.DUMMYFUNCTION("IMPORTRANGE(""https://docs.google.com/spreadsheets/d/1E2x4oDZxEIsuC5nl-5Z0--MoN8b1dt9SbpRcCfNP84Q/edit"",""1!e57"")"),1156.0)</f>
        <v>1156</v>
      </c>
      <c r="K12" s="54">
        <f>IFERROR(__xludf.DUMMYFUNCTION("IMPORTRANGE(""https://docs.google.com/spreadsheets/d/1E2x4oDZxEIsuC5nl-5Z0--MoN8b1dt9SbpRcCfNP84Q/edit"",""1!e58"")"),18.0)</f>
        <v>18</v>
      </c>
      <c r="L12" s="40">
        <f t="shared" si="16"/>
        <v>1174</v>
      </c>
      <c r="M12" s="40">
        <f t="shared" si="17"/>
        <v>2048</v>
      </c>
      <c r="N12" s="41">
        <f t="shared" si="18"/>
        <v>184.5040811</v>
      </c>
      <c r="O12" s="38">
        <v>1580.0</v>
      </c>
      <c r="P12" s="56">
        <f t="shared" si="19"/>
        <v>1.296202532</v>
      </c>
      <c r="Q12" s="43">
        <v>1.5</v>
      </c>
      <c r="R12" s="42">
        <f t="shared" si="20"/>
        <v>0.200000459</v>
      </c>
      <c r="S12" s="44">
        <f t="shared" si="21"/>
        <v>0.3000006885</v>
      </c>
      <c r="T12" s="43">
        <f>F12/26.805</f>
        <v>254.678269</v>
      </c>
      <c r="U12" s="43">
        <f t="shared" si="22"/>
        <v>6.883196459</v>
      </c>
      <c r="V12" s="40">
        <f t="shared" si="23"/>
        <v>55.35135135</v>
      </c>
      <c r="X12" s="22">
        <v>1.0</v>
      </c>
      <c r="Y12" s="22" t="s">
        <v>28</v>
      </c>
      <c r="Z12" s="22">
        <f t="shared" ref="Z12:AI12" si="32">SUM(D7)</f>
        <v>26</v>
      </c>
      <c r="AA12" s="23">
        <f t="shared" si="32"/>
        <v>26</v>
      </c>
      <c r="AB12" s="25">
        <f t="shared" si="32"/>
        <v>5185.99</v>
      </c>
      <c r="AC12" s="23">
        <f t="shared" si="32"/>
        <v>1930</v>
      </c>
      <c r="AD12" s="23">
        <f t="shared" si="32"/>
        <v>72</v>
      </c>
      <c r="AE12" s="23">
        <f t="shared" si="32"/>
        <v>2002</v>
      </c>
      <c r="AF12" s="23">
        <f t="shared" si="32"/>
        <v>1955</v>
      </c>
      <c r="AG12" s="23">
        <f t="shared" si="32"/>
        <v>139</v>
      </c>
      <c r="AH12" s="23">
        <f t="shared" si="32"/>
        <v>2094</v>
      </c>
      <c r="AI12" s="23">
        <f t="shared" si="32"/>
        <v>4096</v>
      </c>
      <c r="AJ12" s="25">
        <f t="shared" ref="AJ12:AJ18" si="35">AB12/AA12</f>
        <v>199.4611538</v>
      </c>
      <c r="AK12" s="22">
        <f t="shared" ref="AK12:AK13" si="36">SUM(O7)</f>
        <v>7315</v>
      </c>
      <c r="AL12" s="26">
        <f t="shared" ref="AL12:AL18" si="37">AI12/AK12</f>
        <v>0.5599453178</v>
      </c>
      <c r="AM12" s="27">
        <f t="shared" ref="AM12:AM13" si="38">SUM(Q7)</f>
        <v>1.5</v>
      </c>
      <c r="AN12" s="26">
        <f t="shared" ref="AN12:AN18" si="39">AO12/AM12</f>
        <v>0.5265468438</v>
      </c>
      <c r="AO12" s="28">
        <f t="shared" ref="AO12:AO18" si="40">AI12/AB12</f>
        <v>0.7898202658</v>
      </c>
      <c r="AP12" s="27">
        <f t="shared" ref="AP12:AQ12" si="33">SUM(T7)</f>
        <v>167.8476875</v>
      </c>
      <c r="AQ12" s="27">
        <f t="shared" si="33"/>
        <v>6.455680288</v>
      </c>
      <c r="AR12" s="23">
        <f t="shared" ref="AR12:AR18" si="42">AI12/AA12</f>
        <v>157.5384615</v>
      </c>
    </row>
    <row r="13" ht="15.75" customHeight="1">
      <c r="A13" s="21"/>
      <c r="B13" s="38">
        <v>8.0</v>
      </c>
      <c r="C13" s="38" t="s">
        <v>25</v>
      </c>
      <c r="D13" s="57">
        <v>27.0</v>
      </c>
      <c r="E13" s="40">
        <f>IFERROR(__xludf.DUMMYFUNCTION("COUNT(IMPORTRANGE(""https://docs.google.com/spreadsheets/d/1KbRFOEYB0B44J_NSh1MwYQ1sLDlZXUHI-wuMLcZDn5k/edit"",""1!d2:D33""))"),26.0)</f>
        <v>26</v>
      </c>
      <c r="F13" s="45">
        <f>IFERROR(__xludf.DUMMYFUNCTION("SUM(IMPORTRANGE(""https://docs.google.com/spreadsheets/d/1KbRFOEYB0B44J_NSh1MwYQ1sLDlZXUHI-wuMLcZDn5k/edit"",""1!Q2:Q33""))"),5143.28)</f>
        <v>5143.28</v>
      </c>
      <c r="G13" s="40">
        <f>IFERROR(__xludf.DUMMYFUNCTION("IMPORTRANGE(""https://docs.google.com/spreadsheets/d/1KbRFOEYB0B44J_NSh1MwYQ1sLDlZXUHI-wuMLcZDn5k/edit"",""1!e40"")"),1580.0)</f>
        <v>1580</v>
      </c>
      <c r="H13" s="40">
        <f>IFERROR(__xludf.DUMMYFUNCTION("IMPORTRANGE(""https://docs.google.com/spreadsheets/d/1KbRFOEYB0B44J_NSh1MwYQ1sLDlZXUHI-wuMLcZDn5k/edit"",""1!e41"")"),484.0)</f>
        <v>484</v>
      </c>
      <c r="I13" s="40">
        <f t="shared" si="15"/>
        <v>2064</v>
      </c>
      <c r="J13" s="40">
        <f>IFERROR(__xludf.DUMMYFUNCTION("IMPORTRANGE(""https://docs.google.com/spreadsheets/d/1KbRFOEYB0B44J_NSh1MwYQ1sLDlZXUHI-wuMLcZDn5k/edit"",""1!e44"")"),3092.0)</f>
        <v>3092</v>
      </c>
      <c r="K13" s="40">
        <f>IFERROR(__xludf.DUMMYFUNCTION("IMPORTRANGE(""https://docs.google.com/spreadsheets/d/1KbRFOEYB0B44J_NSh1MwYQ1sLDlZXUHI-wuMLcZDn5k/edit"",""1!e45"")"),228.0)</f>
        <v>228</v>
      </c>
      <c r="L13" s="40">
        <f>J13+K13</f>
        <v>3320</v>
      </c>
      <c r="M13" s="40">
        <f t="shared" si="17"/>
        <v>5384</v>
      </c>
      <c r="N13" s="41">
        <f t="shared" si="18"/>
        <v>197.8184615</v>
      </c>
      <c r="O13" s="38">
        <v>6622.0</v>
      </c>
      <c r="P13" s="42">
        <f t="shared" si="19"/>
        <v>0.8130474177</v>
      </c>
      <c r="Q13" s="43">
        <v>1.5</v>
      </c>
      <c r="R13" s="42">
        <f t="shared" si="20"/>
        <v>0.6978685456</v>
      </c>
      <c r="S13" s="44">
        <f t="shared" si="21"/>
        <v>1.046802818</v>
      </c>
      <c r="T13" s="43">
        <f>F13/23.84</f>
        <v>215.7416107</v>
      </c>
      <c r="U13" s="43">
        <f t="shared" si="22"/>
        <v>8.297754259</v>
      </c>
      <c r="V13" s="40">
        <f t="shared" si="23"/>
        <v>207.0769231</v>
      </c>
      <c r="X13" s="31">
        <v>2.0</v>
      </c>
      <c r="Y13" s="31" t="s">
        <v>30</v>
      </c>
      <c r="Z13" s="31">
        <f t="shared" ref="Z13:AI13" si="34">SUM(D8)</f>
        <v>48</v>
      </c>
      <c r="AA13" s="32">
        <f t="shared" si="34"/>
        <v>46</v>
      </c>
      <c r="AB13" s="33">
        <f t="shared" si="34"/>
        <v>9164.231</v>
      </c>
      <c r="AC13" s="32">
        <f t="shared" si="34"/>
        <v>2631</v>
      </c>
      <c r="AD13" s="32">
        <f t="shared" si="34"/>
        <v>0</v>
      </c>
      <c r="AE13" s="32">
        <f t="shared" si="34"/>
        <v>2631</v>
      </c>
      <c r="AF13" s="32">
        <f t="shared" si="34"/>
        <v>4211</v>
      </c>
      <c r="AG13" s="32">
        <f t="shared" si="34"/>
        <v>0</v>
      </c>
      <c r="AH13" s="32">
        <f t="shared" si="34"/>
        <v>4211</v>
      </c>
      <c r="AI13" s="32">
        <f t="shared" si="34"/>
        <v>6842</v>
      </c>
      <c r="AJ13" s="34">
        <f t="shared" si="35"/>
        <v>199.222413</v>
      </c>
      <c r="AK13" s="31">
        <f t="shared" si="36"/>
        <v>11164</v>
      </c>
      <c r="AL13" s="35">
        <f t="shared" si="37"/>
        <v>0.6128627732</v>
      </c>
      <c r="AM13" s="36">
        <f t="shared" si="38"/>
        <v>1.5</v>
      </c>
      <c r="AN13" s="35">
        <f t="shared" si="39"/>
        <v>0.497732252</v>
      </c>
      <c r="AO13" s="37">
        <f t="shared" si="40"/>
        <v>0.746598378</v>
      </c>
      <c r="AP13" s="36">
        <f t="shared" ref="AP13:AQ13" si="41">SUM(T8)</f>
        <v>309.5710232</v>
      </c>
      <c r="AQ13" s="36">
        <f t="shared" si="41"/>
        <v>6.729804852</v>
      </c>
      <c r="AR13" s="32">
        <f t="shared" si="42"/>
        <v>148.7391304</v>
      </c>
    </row>
    <row r="14" ht="15.75" customHeight="1">
      <c r="A14" s="21"/>
      <c r="B14" s="38">
        <v>9.0</v>
      </c>
      <c r="C14" s="38" t="s">
        <v>36</v>
      </c>
      <c r="D14" s="58">
        <v>23.0</v>
      </c>
      <c r="E14" s="40">
        <f>IFERROR(__xludf.DUMMYFUNCTION("COUNT(IMPORTRANGE(""https://docs.google.com/spreadsheets/d/1VqqqRGfmmkT0JC4ILJva2p8P11jjV0FX-TSKAaqOigw/edit"",""1!d2:d31""))"),23.0)</f>
        <v>23</v>
      </c>
      <c r="F14" s="45">
        <f>IFERROR(__xludf.DUMMYFUNCTION("SUM(IMPORTRANGE(""https://docs.google.com/spreadsheets/d/1VqqqRGfmmkT0JC4ILJva2p8P11jjV0FX-TSKAaqOigw/edit"",""1!Q2:Q31""))"),4388.962999999998)</f>
        <v>4388.963</v>
      </c>
      <c r="G14" s="40">
        <f>IFERROR(__xludf.DUMMYFUNCTION("IMPORTRANGE(""https://docs.google.com/spreadsheets/d/1VqqqRGfmmkT0JC4ILJva2p8P11jjV0FX-TSKAaqOigw/edit"",""1!e38"")"),1043.0)</f>
        <v>1043</v>
      </c>
      <c r="H14" s="40">
        <f>IFERROR(__xludf.DUMMYFUNCTION("IMPORTRANGE(""https://docs.google.com/spreadsheets/d/1VqqqRGfmmkT0JC4ILJva2p8P11jjV0FX-TSKAaqOigw/edit"",""1!e39"")"),0.0)</f>
        <v>0</v>
      </c>
      <c r="I14" s="40">
        <f t="shared" si="15"/>
        <v>1043</v>
      </c>
      <c r="J14" s="40">
        <f>IFERROR(__xludf.DUMMYFUNCTION("IMPORTRANGE(""https://docs.google.com/spreadsheets/d/1VqqqRGfmmkT0JC4ILJva2p8P11jjV0FX-TSKAaqOigw/edit"",""1!e42"")"),1647.0)</f>
        <v>1647</v>
      </c>
      <c r="K14" s="40">
        <f>IFERROR(__xludf.DUMMYFUNCTION("IMPORTRANGE(""https://docs.google.com/spreadsheets/d/1VqqqRGfmmkT0JC4ILJva2p8P11jjV0FX-TSKAaqOigw/edit"",""1!e43"")"),15.0)</f>
        <v>15</v>
      </c>
      <c r="L14" s="40">
        <f t="shared" ref="L14:L23" si="45">SUM(J14:K14)</f>
        <v>1662</v>
      </c>
      <c r="M14" s="40">
        <f t="shared" si="17"/>
        <v>2705</v>
      </c>
      <c r="N14" s="41">
        <f t="shared" si="18"/>
        <v>190.8244783</v>
      </c>
      <c r="O14" s="38">
        <v>4796.0</v>
      </c>
      <c r="P14" s="42">
        <f t="shared" si="19"/>
        <v>0.5640116764</v>
      </c>
      <c r="Q14" s="43">
        <v>1.5</v>
      </c>
      <c r="R14" s="42">
        <f t="shared" si="20"/>
        <v>0.4108791378</v>
      </c>
      <c r="S14" s="44">
        <f t="shared" si="21"/>
        <v>0.6163187067</v>
      </c>
      <c r="T14" s="43">
        <f>F14/37.414</f>
        <v>117.3080398</v>
      </c>
      <c r="U14" s="43">
        <f t="shared" si="22"/>
        <v>5.100349555</v>
      </c>
      <c r="V14" s="40">
        <f t="shared" si="23"/>
        <v>117.6086957</v>
      </c>
      <c r="X14" s="22">
        <v>3.0</v>
      </c>
      <c r="Y14" s="22" t="s">
        <v>34</v>
      </c>
      <c r="Z14" s="22">
        <f t="shared" ref="Z14:AI14" si="43">SUM(D10)</f>
        <v>32</v>
      </c>
      <c r="AA14" s="23">
        <f t="shared" si="43"/>
        <v>32</v>
      </c>
      <c r="AB14" s="24">
        <f t="shared" si="43"/>
        <v>6079.728</v>
      </c>
      <c r="AC14" s="23">
        <f t="shared" si="43"/>
        <v>1956</v>
      </c>
      <c r="AD14" s="23">
        <f t="shared" si="43"/>
        <v>0</v>
      </c>
      <c r="AE14" s="23">
        <f t="shared" si="43"/>
        <v>1956</v>
      </c>
      <c r="AF14" s="23">
        <f t="shared" si="43"/>
        <v>2485</v>
      </c>
      <c r="AG14" s="23">
        <f t="shared" si="43"/>
        <v>0</v>
      </c>
      <c r="AH14" s="23">
        <f t="shared" si="43"/>
        <v>2485</v>
      </c>
      <c r="AI14" s="23">
        <f t="shared" si="43"/>
        <v>4441</v>
      </c>
      <c r="AJ14" s="25">
        <f t="shared" si="35"/>
        <v>189.9915</v>
      </c>
      <c r="AK14" s="22">
        <f>SUM(O10)</f>
        <v>9354</v>
      </c>
      <c r="AL14" s="26">
        <f t="shared" si="37"/>
        <v>0.4747701518</v>
      </c>
      <c r="AM14" s="27">
        <f>SUM(Q10)</f>
        <v>1.5</v>
      </c>
      <c r="AN14" s="26">
        <f t="shared" si="39"/>
        <v>0.48697354</v>
      </c>
      <c r="AO14" s="28">
        <f t="shared" si="40"/>
        <v>0.7304603101</v>
      </c>
      <c r="AP14" s="27">
        <f t="shared" ref="AP14:AQ14" si="44">SUM(T10)</f>
        <v>197.952919</v>
      </c>
      <c r="AQ14" s="27">
        <f t="shared" si="44"/>
        <v>6.186028717</v>
      </c>
      <c r="AR14" s="23">
        <f t="shared" si="42"/>
        <v>138.78125</v>
      </c>
    </row>
    <row r="15" ht="15.75" customHeight="1">
      <c r="A15" s="21"/>
      <c r="B15" s="38">
        <v>10.0</v>
      </c>
      <c r="C15" s="38" t="s">
        <v>37</v>
      </c>
      <c r="D15" s="39">
        <v>24.0</v>
      </c>
      <c r="E15" s="40">
        <f>IFERROR(__xludf.DUMMYFUNCTION("COUNT(IMPORTRANGE(""https://docs.google.com/spreadsheets/d/1IYeRjQd_D6MRqoBKNaky3aSEUloYCJc5XDnPAbdyetk/edit"",""1!d2:d31""))"),24.0)</f>
        <v>24</v>
      </c>
      <c r="F15" s="45">
        <f>IFERROR(__xludf.DUMMYFUNCTION("SUM(IMPORTRANGE(""https://docs.google.com/spreadsheets/d/1IYeRjQd_D6MRqoBKNaky3aSEUloYCJc5XDnPAbdyetk/edit"",""1!Q2:Q31""))"),4547.796000000002)</f>
        <v>4547.796</v>
      </c>
      <c r="G15" s="40">
        <f>IFERROR(__xludf.DUMMYFUNCTION("(IMPORTRANGE(""https://docs.google.com/spreadsheets/d/1IYeRjQd_D6MRqoBKNaky3aSEUloYCJc5XDnPAbdyetk/edit"",""1!e38""))"),1480.0)</f>
        <v>1480</v>
      </c>
      <c r="H15" s="40">
        <f>IFERROR(__xludf.DUMMYFUNCTION("(IMPORTRANGE(""https://docs.google.com/spreadsheets/d/1IYeRjQd_D6MRqoBKNaky3aSEUloYCJc5XDnPAbdyetk/edit"",""1!e39""))"),0.0)</f>
        <v>0</v>
      </c>
      <c r="I15" s="40">
        <f t="shared" si="15"/>
        <v>1480</v>
      </c>
      <c r="J15" s="40">
        <f>IFERROR(__xludf.DUMMYFUNCTION("(IMPORTRANGE(""https://docs.google.com/spreadsheets/d/1IYeRjQd_D6MRqoBKNaky3aSEUloYCJc5XDnPAbdyetk/edit"",""1!e42""))"),2290.0)</f>
        <v>2290</v>
      </c>
      <c r="K15" s="40">
        <f>IFERROR(__xludf.DUMMYFUNCTION("(IMPORTRANGE(""https://docs.google.com/spreadsheets/d/1IYeRjQd_D6MRqoBKNaky3aSEUloYCJc5XDnPAbdyetk/edit"",""1!e43""))"),0.0)</f>
        <v>0</v>
      </c>
      <c r="L15" s="40">
        <f t="shared" si="45"/>
        <v>2290</v>
      </c>
      <c r="M15" s="40">
        <f t="shared" si="17"/>
        <v>3770</v>
      </c>
      <c r="N15" s="41">
        <f t="shared" si="18"/>
        <v>189.4915</v>
      </c>
      <c r="O15" s="38">
        <v>5887.0</v>
      </c>
      <c r="P15" s="42">
        <f t="shared" si="19"/>
        <v>0.6403940887</v>
      </c>
      <c r="Q15" s="43">
        <v>1.5</v>
      </c>
      <c r="R15" s="42">
        <f t="shared" si="20"/>
        <v>0.552648653</v>
      </c>
      <c r="S15" s="44">
        <f t="shared" si="21"/>
        <v>0.8289729794</v>
      </c>
      <c r="T15" s="43">
        <f>F15/24.792</f>
        <v>183.4380445</v>
      </c>
      <c r="U15" s="43">
        <f t="shared" si="22"/>
        <v>7.643251855</v>
      </c>
      <c r="V15" s="40">
        <f t="shared" si="23"/>
        <v>157.0833333</v>
      </c>
      <c r="X15" s="31">
        <v>4.0</v>
      </c>
      <c r="Y15" s="31" t="s">
        <v>38</v>
      </c>
      <c r="Z15" s="31">
        <f t="shared" ref="Z15:AI15" si="46">SUM(D18)</f>
        <v>24</v>
      </c>
      <c r="AA15" s="32">
        <f t="shared" si="46"/>
        <v>24</v>
      </c>
      <c r="AB15" s="33">
        <f t="shared" si="46"/>
        <v>4532.55</v>
      </c>
      <c r="AC15" s="32">
        <f t="shared" si="46"/>
        <v>1596</v>
      </c>
      <c r="AD15" s="32">
        <f t="shared" si="46"/>
        <v>70</v>
      </c>
      <c r="AE15" s="32">
        <f t="shared" si="46"/>
        <v>1666</v>
      </c>
      <c r="AF15" s="32">
        <f t="shared" si="46"/>
        <v>1857</v>
      </c>
      <c r="AG15" s="32">
        <f t="shared" si="46"/>
        <v>0</v>
      </c>
      <c r="AH15" s="32">
        <f t="shared" si="46"/>
        <v>1857</v>
      </c>
      <c r="AI15" s="32">
        <f t="shared" si="46"/>
        <v>3523</v>
      </c>
      <c r="AJ15" s="34">
        <f t="shared" si="35"/>
        <v>188.85625</v>
      </c>
      <c r="AK15" s="31">
        <v>7324.0</v>
      </c>
      <c r="AL15" s="35">
        <f t="shared" si="37"/>
        <v>0.4810212998</v>
      </c>
      <c r="AM15" s="36">
        <f>SUM(Q18)</f>
        <v>1.5</v>
      </c>
      <c r="AN15" s="35">
        <f t="shared" si="39"/>
        <v>0.5181777734</v>
      </c>
      <c r="AO15" s="37">
        <f t="shared" si="40"/>
        <v>0.77726666</v>
      </c>
      <c r="AP15" s="36">
        <f t="shared" ref="AP15:AQ15" si="47">SUM(T18)</f>
        <v>110</v>
      </c>
      <c r="AQ15" s="36">
        <f t="shared" si="47"/>
        <v>4.583333333</v>
      </c>
      <c r="AR15" s="32">
        <f t="shared" si="42"/>
        <v>146.7916667</v>
      </c>
    </row>
    <row r="16" ht="15.75" customHeight="1">
      <c r="A16" s="21"/>
      <c r="B16" s="38">
        <v>12.0</v>
      </c>
      <c r="C16" s="38" t="s">
        <v>39</v>
      </c>
      <c r="D16" s="39">
        <v>22.0</v>
      </c>
      <c r="E16" s="40">
        <f>IFERROR(__xludf.DUMMYFUNCTION("COUNT(IMPORTRANGE(""https://docs.google.com/spreadsheets/d/1TAY2D35yAzyl8a_p5CuZehQvmatfj0b0Q8ICl8GtJBY/edit"",""1!d2:d29""))"),22.0)</f>
        <v>22</v>
      </c>
      <c r="F16" s="45">
        <f>IFERROR(__xludf.DUMMYFUNCTION("SUM(IMPORTRANGE(""https://docs.google.com/spreadsheets/d/1TAY2D35yAzyl8a_p5CuZehQvmatfj0b0Q8ICl8GtJBY/edit"",""1!Q2:Q29""))"),3997.5750000000003)</f>
        <v>3997.575</v>
      </c>
      <c r="G16" s="40">
        <f>IFERROR(__xludf.DUMMYFUNCTION("IMPORTRANGE(""https://docs.google.com/spreadsheets/d/1TAY2D35yAzyl8a_p5CuZehQvmatfj0b0Q8ICl8GtJBY/edit"",""1!e36"")"),951.0)</f>
        <v>951</v>
      </c>
      <c r="H16" s="40">
        <f>IFERROR(__xludf.DUMMYFUNCTION("(IMPORTRANGE(""https://docs.google.com/spreadsheets/d/1TAY2D35yAzyl8a_p5CuZehQvmatfj0b0Q8ICl8GtJBY/edit"",""1!e37""))"),0.0)</f>
        <v>0</v>
      </c>
      <c r="I16" s="40">
        <f t="shared" si="15"/>
        <v>951</v>
      </c>
      <c r="J16" s="40">
        <f>IFERROR(__xludf.DUMMYFUNCTION("IMPORTRANGE(""https://docs.google.com/spreadsheets/d/1TAY2D35yAzyl8a_p5CuZehQvmatfj0b0Q8ICl8GtJBY/edit"",""1!e40"")"),1842.0)</f>
        <v>1842</v>
      </c>
      <c r="K16" s="40">
        <f>IFERROR(__xludf.DUMMYFUNCTION("IMPORTRANGE(""https://docs.google.com/spreadsheets/d/1TAY2D35yAzyl8a_p5CuZehQvmatfj0b0Q8ICl8GtJBY/edit"",""1!e41"")"),0.0)</f>
        <v>0</v>
      </c>
      <c r="L16" s="40">
        <f t="shared" si="45"/>
        <v>1842</v>
      </c>
      <c r="M16" s="40">
        <f t="shared" si="17"/>
        <v>2793</v>
      </c>
      <c r="N16" s="41">
        <f t="shared" si="18"/>
        <v>181.7079545</v>
      </c>
      <c r="O16" s="38">
        <v>3569.0</v>
      </c>
      <c r="P16" s="42">
        <f t="shared" si="19"/>
        <v>0.7825721491</v>
      </c>
      <c r="Q16" s="43">
        <v>1.5</v>
      </c>
      <c r="R16" s="42">
        <f t="shared" si="20"/>
        <v>0.4657823806</v>
      </c>
      <c r="S16" s="44">
        <f t="shared" si="21"/>
        <v>0.6986735709</v>
      </c>
      <c r="T16" s="43">
        <f>F16/21.463</f>
        <v>186.2542515</v>
      </c>
      <c r="U16" s="43">
        <f t="shared" si="22"/>
        <v>8.466102341</v>
      </c>
      <c r="V16" s="40">
        <f t="shared" si="23"/>
        <v>126.9545455</v>
      </c>
      <c r="X16" s="31">
        <v>5.0</v>
      </c>
      <c r="Y16" s="31" t="s">
        <v>40</v>
      </c>
      <c r="Z16" s="31">
        <f t="shared" ref="Z16:AI16" si="48">SUM(D20)</f>
        <v>24</v>
      </c>
      <c r="AA16" s="32">
        <f t="shared" si="48"/>
        <v>22</v>
      </c>
      <c r="AB16" s="33">
        <f t="shared" si="48"/>
        <v>4380.222</v>
      </c>
      <c r="AC16" s="32">
        <f t="shared" si="48"/>
        <v>2568</v>
      </c>
      <c r="AD16" s="32">
        <f t="shared" si="48"/>
        <v>0</v>
      </c>
      <c r="AE16" s="32">
        <f t="shared" si="48"/>
        <v>2568</v>
      </c>
      <c r="AF16" s="32">
        <f t="shared" si="48"/>
        <v>3177</v>
      </c>
      <c r="AG16" s="32">
        <f t="shared" si="48"/>
        <v>0</v>
      </c>
      <c r="AH16" s="32">
        <f t="shared" si="48"/>
        <v>3177</v>
      </c>
      <c r="AI16" s="32">
        <f t="shared" si="48"/>
        <v>5745</v>
      </c>
      <c r="AJ16" s="34">
        <f t="shared" si="35"/>
        <v>199.101</v>
      </c>
      <c r="AK16" s="31">
        <f t="shared" ref="AK16:AK17" si="51">SUM(O20)</f>
        <v>8239</v>
      </c>
      <c r="AL16" s="35">
        <f t="shared" si="37"/>
        <v>0.6972933608</v>
      </c>
      <c r="AM16" s="36">
        <f t="shared" ref="AM16:AM17" si="52">SUM(Q20)</f>
        <v>1.5</v>
      </c>
      <c r="AN16" s="35">
        <f t="shared" si="39"/>
        <v>0.8743849056</v>
      </c>
      <c r="AO16" s="37">
        <f t="shared" si="40"/>
        <v>1.311577358</v>
      </c>
      <c r="AP16" s="36">
        <f t="shared" ref="AP16:AQ16" si="49">SUM(T20)</f>
        <v>154</v>
      </c>
      <c r="AQ16" s="36">
        <f t="shared" si="49"/>
        <v>7</v>
      </c>
      <c r="AR16" s="32">
        <f t="shared" si="42"/>
        <v>261.1363636</v>
      </c>
    </row>
    <row r="17" ht="15.75" customHeight="1">
      <c r="A17" s="21"/>
      <c r="B17" s="38">
        <v>12.0</v>
      </c>
      <c r="C17" s="38" t="s">
        <v>41</v>
      </c>
      <c r="D17" s="39">
        <v>20.0</v>
      </c>
      <c r="E17" s="40">
        <f>IFERROR(__xludf.DUMMYFUNCTION("COUNT(IMPORTRANGE(""https://docs.google.com/spreadsheets/d/1VAsUtLQHi7oV9NsI9EIHPnO1bcPJHeRgSbMoxSvPBME/edit"",""1!d2:d25""))"),20.0)</f>
        <v>20</v>
      </c>
      <c r="F17" s="45">
        <f>IFERROR(__xludf.DUMMYFUNCTION("SUM(IMPORTRANGE(""https://docs.google.com/spreadsheets/d/1VAsUtLQHi7oV9NsI9EIHPnO1bcPJHeRgSbMoxSvPBME/edit"",""1!Q2:Q25""))"),4006.364000000002)</f>
        <v>4006.364</v>
      </c>
      <c r="G17" s="40">
        <f>IFERROR(__xludf.DUMMYFUNCTION("IMPORTRANGE(""https://docs.google.com/spreadsheets/d/1VAsUtLQHi7oV9NsI9EIHPnO1bcPJHeRgSbMoxSvPBME/edit"",""1!e32"")"),1046.0)</f>
        <v>1046</v>
      </c>
      <c r="H17" s="40">
        <f>IFERROR(__xludf.DUMMYFUNCTION("IMPORTRANGE(""https://docs.google.com/spreadsheets/d/1VAsUtLQHi7oV9NsI9EIHPnO1bcPJHeRgSbMoxSvPBME/edit"",""1!e33"")"),0.0)</f>
        <v>0</v>
      </c>
      <c r="I17" s="40">
        <f t="shared" si="15"/>
        <v>1046</v>
      </c>
      <c r="J17" s="40">
        <f>IFERROR(__xludf.DUMMYFUNCTION("IMPORTRANGE(""https://docs.google.com/spreadsheets/d/1VAsUtLQHi7oV9NsI9EIHPnO1bcPJHeRgSbMoxSvPBME/edit"",""1!e36"")"),1268.0)</f>
        <v>1268</v>
      </c>
      <c r="K17" s="40">
        <f>IFERROR(__xludf.DUMMYFUNCTION("IMPORTRANGE(""https://docs.google.com/spreadsheets/d/1VAsUtLQHi7oV9NsI9EIHPnO1bcPJHeRgSbMoxSvPBME/edit"",""1!e37"")"),0.0)</f>
        <v>0</v>
      </c>
      <c r="L17" s="40">
        <f t="shared" si="45"/>
        <v>1268</v>
      </c>
      <c r="M17" s="40">
        <f t="shared" si="17"/>
        <v>2314</v>
      </c>
      <c r="N17" s="41">
        <f t="shared" si="18"/>
        <v>200.3182</v>
      </c>
      <c r="O17" s="38">
        <v>3801.0</v>
      </c>
      <c r="P17" s="42">
        <f t="shared" si="19"/>
        <v>0.6087871613</v>
      </c>
      <c r="Q17" s="43">
        <v>1.5</v>
      </c>
      <c r="R17" s="42">
        <f t="shared" si="20"/>
        <v>0.3850540457</v>
      </c>
      <c r="S17" s="44">
        <f t="shared" si="21"/>
        <v>0.5775810685</v>
      </c>
      <c r="T17" s="43">
        <f>F17/29.628</f>
        <v>135.2222222</v>
      </c>
      <c r="U17" s="43">
        <f t="shared" si="22"/>
        <v>6.761111111</v>
      </c>
      <c r="V17" s="40">
        <f t="shared" si="23"/>
        <v>115.7</v>
      </c>
      <c r="X17" s="22">
        <v>6.0</v>
      </c>
      <c r="Y17" s="22" t="s">
        <v>42</v>
      </c>
      <c r="Z17" s="22">
        <f t="shared" ref="Z17:AI17" si="50">SUM(D21)</f>
        <v>26</v>
      </c>
      <c r="AA17" s="23">
        <f t="shared" si="50"/>
        <v>26</v>
      </c>
      <c r="AB17" s="24">
        <f t="shared" si="50"/>
        <v>4935.602</v>
      </c>
      <c r="AC17" s="23">
        <f t="shared" si="50"/>
        <v>2649</v>
      </c>
      <c r="AD17" s="23">
        <f t="shared" si="50"/>
        <v>0</v>
      </c>
      <c r="AE17" s="23">
        <f t="shared" si="50"/>
        <v>2649</v>
      </c>
      <c r="AF17" s="23">
        <f t="shared" si="50"/>
        <v>3404</v>
      </c>
      <c r="AG17" s="23">
        <f t="shared" si="50"/>
        <v>0</v>
      </c>
      <c r="AH17" s="23">
        <f t="shared" si="50"/>
        <v>3404</v>
      </c>
      <c r="AI17" s="23">
        <f t="shared" si="50"/>
        <v>6053</v>
      </c>
      <c r="AJ17" s="25">
        <f t="shared" si="35"/>
        <v>189.8308462</v>
      </c>
      <c r="AK17" s="22">
        <f t="shared" si="51"/>
        <v>9877</v>
      </c>
      <c r="AL17" s="26">
        <f t="shared" si="37"/>
        <v>0.6128379062</v>
      </c>
      <c r="AM17" s="27">
        <f t="shared" si="52"/>
        <v>1.5</v>
      </c>
      <c r="AN17" s="26">
        <f t="shared" si="39"/>
        <v>0.8175969888</v>
      </c>
      <c r="AO17" s="28">
        <f t="shared" si="40"/>
        <v>1.226395483</v>
      </c>
      <c r="AP17" s="27">
        <f t="shared" ref="AP17:AQ17" si="53">SUM(T21)</f>
        <v>188.7058689</v>
      </c>
      <c r="AQ17" s="27">
        <f t="shared" si="53"/>
        <v>7.257918033</v>
      </c>
      <c r="AR17" s="23">
        <f t="shared" si="42"/>
        <v>232.8076923</v>
      </c>
    </row>
    <row r="18" ht="15.75" customHeight="1">
      <c r="A18" s="21"/>
      <c r="B18" s="38">
        <v>13.0</v>
      </c>
      <c r="C18" s="38" t="s">
        <v>43</v>
      </c>
      <c r="D18" s="39">
        <v>24.0</v>
      </c>
      <c r="E18" s="40">
        <f>IFERROR(__xludf.DUMMYFUNCTION("COUNT(IMPORTRANGE(""https://docs.google.com/spreadsheets/d/1p9Y_DGk7-TpRBFth-ljZceOIGCjQ0ylUeUq6xqnsZ-Q/edit"",""1!d2:d31""))"),24.0)</f>
        <v>24</v>
      </c>
      <c r="F18" s="45">
        <f>IFERROR(__xludf.DUMMYFUNCTION("SUM(IMPORTRANGE(""https://docs.google.com/spreadsheets/d/1p9Y_DGk7-TpRBFth-ljZceOIGCjQ0ylUeUq6xqnsZ-Q/edit"",""1!Q2:Q31""))"),4532.55)</f>
        <v>4532.55</v>
      </c>
      <c r="G18" s="40">
        <f>IFERROR(__xludf.DUMMYFUNCTION("IMPORTRANGE(""https://docs.google.com/spreadsheets/d/1p9Y_DGk7-TpRBFth-ljZceOIGCjQ0ylUeUq6xqnsZ-Q/edit"",""1!e38"")"),1596.0)</f>
        <v>1596</v>
      </c>
      <c r="H18" s="40">
        <f>IFERROR(__xludf.DUMMYFUNCTION("IMPORTRANGE(""https://docs.google.com/spreadsheets/d/1p9Y_DGk7-TpRBFth-ljZceOIGCjQ0ylUeUq6xqnsZ-Q/edit"",""1!e39"")"),70.0)</f>
        <v>70</v>
      </c>
      <c r="I18" s="40">
        <f t="shared" si="15"/>
        <v>1666</v>
      </c>
      <c r="J18" s="40">
        <f>IFERROR(__xludf.DUMMYFUNCTION("IMPORTRANGE(""https://docs.google.com/spreadsheets/d/1p9Y_DGk7-TpRBFth-ljZceOIGCjQ0ylUeUq6xqnsZ-Q/edit"",""1!e42"")"),1857.0)</f>
        <v>1857</v>
      </c>
      <c r="K18" s="40">
        <f>IFERROR(__xludf.DUMMYFUNCTION("IMPORTRANGE(""https://docs.google.com/spreadsheets/d/1p9Y_DGk7-TpRBFth-ljZceOIGCjQ0ylUeUq6xqnsZ-Q/edit"",""1!e43"")"),0.0)</f>
        <v>0</v>
      </c>
      <c r="L18" s="40">
        <f t="shared" si="45"/>
        <v>1857</v>
      </c>
      <c r="M18" s="40">
        <f t="shared" si="17"/>
        <v>3523</v>
      </c>
      <c r="N18" s="41">
        <f t="shared" si="18"/>
        <v>188.85625</v>
      </c>
      <c r="O18" s="38">
        <v>8345.0</v>
      </c>
      <c r="P18" s="42">
        <f t="shared" si="19"/>
        <v>0.4221689635</v>
      </c>
      <c r="Q18" s="43">
        <v>1.5</v>
      </c>
      <c r="R18" s="42">
        <f t="shared" si="20"/>
        <v>0.5181777734</v>
      </c>
      <c r="S18" s="44">
        <f t="shared" si="21"/>
        <v>0.77726666</v>
      </c>
      <c r="T18" s="43">
        <f>F18/41.205</f>
        <v>110</v>
      </c>
      <c r="U18" s="43">
        <f t="shared" si="22"/>
        <v>4.583333333</v>
      </c>
      <c r="V18" s="40">
        <f t="shared" si="23"/>
        <v>146.7916667</v>
      </c>
      <c r="X18" s="46" t="s">
        <v>33</v>
      </c>
      <c r="Y18" s="46">
        <v>6.0</v>
      </c>
      <c r="Z18" s="46">
        <f t="shared" ref="Z18:AI18" si="54">SUM(Z12:Z17)</f>
        <v>180</v>
      </c>
      <c r="AA18" s="47">
        <f t="shared" si="54"/>
        <v>176</v>
      </c>
      <c r="AB18" s="49">
        <f t="shared" si="54"/>
        <v>34278.323</v>
      </c>
      <c r="AC18" s="47">
        <f t="shared" si="54"/>
        <v>13330</v>
      </c>
      <c r="AD18" s="47">
        <f t="shared" si="54"/>
        <v>142</v>
      </c>
      <c r="AE18" s="47">
        <f t="shared" si="54"/>
        <v>13472</v>
      </c>
      <c r="AF18" s="47">
        <f t="shared" si="54"/>
        <v>17089</v>
      </c>
      <c r="AG18" s="47">
        <f t="shared" si="54"/>
        <v>139</v>
      </c>
      <c r="AH18" s="47">
        <f t="shared" si="54"/>
        <v>17228</v>
      </c>
      <c r="AI18" s="47">
        <f t="shared" si="54"/>
        <v>30700</v>
      </c>
      <c r="AJ18" s="49">
        <f t="shared" si="35"/>
        <v>194.7631989</v>
      </c>
      <c r="AK18" s="46">
        <f>SUM(AK12:AK17)</f>
        <v>53273</v>
      </c>
      <c r="AL18" s="50">
        <f t="shared" si="37"/>
        <v>0.5762769133</v>
      </c>
      <c r="AM18" s="51">
        <v>1.5</v>
      </c>
      <c r="AN18" s="50">
        <f t="shared" si="39"/>
        <v>0.597073161</v>
      </c>
      <c r="AO18" s="52">
        <f t="shared" si="40"/>
        <v>0.8956097415</v>
      </c>
      <c r="AP18" s="51">
        <f>SUM(AP12:AP17)</f>
        <v>1128.077499</v>
      </c>
      <c r="AQ18" s="51">
        <f>AP18/AA18</f>
        <v>6.409531241</v>
      </c>
      <c r="AR18" s="47">
        <f t="shared" si="42"/>
        <v>174.4318182</v>
      </c>
    </row>
    <row r="19" ht="15.75" customHeight="1">
      <c r="A19" s="21"/>
      <c r="B19" s="38">
        <v>14.0</v>
      </c>
      <c r="C19" s="38" t="s">
        <v>27</v>
      </c>
      <c r="D19" s="39">
        <v>24.0</v>
      </c>
      <c r="E19" s="40">
        <f>IFERROR(__xludf.DUMMYFUNCTION("COUNT(IMPORTRANGE(""https://docs.google.com/spreadsheets/d/1zJUDEKztv_fercXA0LYNw155qdzS7TJGhWLhquaW5IY/edit"",""1!d2:d31""))"),24.0)</f>
        <v>24</v>
      </c>
      <c r="F19" s="45">
        <f>IFERROR(__xludf.DUMMYFUNCTION("SUM(IMPORTRANGE(""https://docs.google.com/spreadsheets/d/1zJUDEKztv_fercXA0LYNw155qdzS7TJGhWLhquaW5IY/edit"",""1!Q2:Q31""))"),4386.57)</f>
        <v>4386.57</v>
      </c>
      <c r="G19" s="40">
        <f>IFERROR(__xludf.DUMMYFUNCTION("IMPORTRANGE(""https://docs.google.com/spreadsheets/d/1zJUDEKztv_fercXA0LYNw155qdzS7TJGhWLhquaW5IY/edit"",""1!e38"")"),1827.0)</f>
        <v>1827</v>
      </c>
      <c r="H19" s="40">
        <f>IFERROR(__xludf.DUMMYFUNCTION("IMPORTRANGE(""https://docs.google.com/spreadsheets/d/1zJUDEKztv_fercXA0LYNw155qdzS7TJGhWLhquaW5IY/edit"",""1!e39"")"),0.0)</f>
        <v>0</v>
      </c>
      <c r="I19" s="40">
        <f t="shared" si="15"/>
        <v>1827</v>
      </c>
      <c r="J19" s="40">
        <f>IFERROR(__xludf.DUMMYFUNCTION("IMPORTRANGE(""https://docs.google.com/spreadsheets/d/1zJUDEKztv_fercXA0LYNw155qdzS7TJGhWLhquaW5IY/edit"",""1!e42"")"),2426.0)</f>
        <v>2426</v>
      </c>
      <c r="K19" s="40">
        <f>IFERROR(__xludf.DUMMYFUNCTION("IMPORTRANGE(""https://docs.google.com/spreadsheets/d/1zJUDEKztv_fercXA0LYNw155qdzS7TJGhWLhquaW5IY/edit"",""1!e43"")"),0.0)</f>
        <v>0</v>
      </c>
      <c r="L19" s="40">
        <f t="shared" si="45"/>
        <v>2426</v>
      </c>
      <c r="M19" s="40">
        <f t="shared" si="17"/>
        <v>4253</v>
      </c>
      <c r="N19" s="41">
        <f t="shared" si="18"/>
        <v>182.77375</v>
      </c>
      <c r="O19" s="38">
        <v>8101.0</v>
      </c>
      <c r="P19" s="42">
        <f t="shared" si="19"/>
        <v>0.524996914</v>
      </c>
      <c r="Q19" s="43">
        <v>1.5</v>
      </c>
      <c r="R19" s="42">
        <f t="shared" si="20"/>
        <v>0.6463668272</v>
      </c>
      <c r="S19" s="44">
        <f t="shared" si="21"/>
        <v>0.9695502408</v>
      </c>
      <c r="T19" s="43">
        <f>F19/19.985</f>
        <v>219.4931198</v>
      </c>
      <c r="U19" s="43">
        <f t="shared" si="22"/>
        <v>9.14554666</v>
      </c>
      <c r="V19" s="40">
        <f t="shared" si="23"/>
        <v>177.2083333</v>
      </c>
      <c r="X19" s="59" t="s">
        <v>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6"/>
    </row>
    <row r="20" ht="15.75" customHeight="1">
      <c r="A20" s="21"/>
      <c r="B20" s="38">
        <v>15.0</v>
      </c>
      <c r="C20" s="38" t="s">
        <v>40</v>
      </c>
      <c r="D20" s="39">
        <v>24.0</v>
      </c>
      <c r="E20" s="40">
        <f>IFERROR(__xludf.DUMMYFUNCTION("COUNT(IMPORTRANGE(""https://docs.google.com/spreadsheets/d/15GJA66Ucb-8RQ5vWVpq5HYaWoZZFX82SCeHChBujbrI/edit"",""1!d2:d31""))"),22.0)</f>
        <v>22</v>
      </c>
      <c r="F20" s="45">
        <f>IFERROR(__xludf.DUMMYFUNCTION("SUM(IMPORTRANGE(""https://docs.google.com/spreadsheets/d/15GJA66Ucb-8RQ5vWVpq5HYaWoZZFX82SCeHChBujbrI/edit"",""1!Q2:Q31""))"),4380.222000000001)</f>
        <v>4380.222</v>
      </c>
      <c r="G20" s="40">
        <f>IFERROR(__xludf.DUMMYFUNCTION("IMPORTRANGE(""https://docs.google.com/spreadsheets/d/15GJA66Ucb-8RQ5vWVpq5HYaWoZZFX82SCeHChBujbrI/edit"",""1!e38"")"),2568.0)</f>
        <v>2568</v>
      </c>
      <c r="H20" s="40">
        <f>IFERROR(__xludf.DUMMYFUNCTION("IMPORTRANGE(""https://docs.google.com/spreadsheets/d/15GJA66Ucb-8RQ5vWVpq5HYaWoZZFX82SCeHChBujbrI/edit"",""1!e39"")"),0.0)</f>
        <v>0</v>
      </c>
      <c r="I20" s="40">
        <f t="shared" si="15"/>
        <v>2568</v>
      </c>
      <c r="J20" s="40">
        <f>IFERROR(__xludf.DUMMYFUNCTION("IMPORTRANGE(""https://docs.google.com/spreadsheets/d/15GJA66Ucb-8RQ5vWVpq5HYaWoZZFX82SCeHChBujbrI/edit"",""1!e42"")"),3177.0)</f>
        <v>3177</v>
      </c>
      <c r="K20" s="40">
        <f>IFERROR(__xludf.DUMMYFUNCTION("IMPORTRANGE(""https://docs.google.com/spreadsheets/d/15GJA66Ucb-8RQ5vWVpq5HYaWoZZFX82SCeHChBujbrI/edit"",""1!e43"")"),0.0)</f>
        <v>0</v>
      </c>
      <c r="L20" s="40">
        <f t="shared" si="45"/>
        <v>3177</v>
      </c>
      <c r="M20" s="40">
        <f t="shared" si="17"/>
        <v>5745</v>
      </c>
      <c r="N20" s="41">
        <f t="shared" si="18"/>
        <v>199.101</v>
      </c>
      <c r="O20" s="38">
        <v>8239.0</v>
      </c>
      <c r="P20" s="42">
        <f t="shared" si="19"/>
        <v>0.6972933608</v>
      </c>
      <c r="Q20" s="43">
        <v>1.5</v>
      </c>
      <c r="R20" s="42">
        <f t="shared" si="20"/>
        <v>0.8743849056</v>
      </c>
      <c r="S20" s="44">
        <f t="shared" si="21"/>
        <v>1.311577358</v>
      </c>
      <c r="T20" s="43">
        <f>F20/28.443</f>
        <v>154</v>
      </c>
      <c r="U20" s="43">
        <f t="shared" si="22"/>
        <v>7</v>
      </c>
      <c r="V20" s="40">
        <f t="shared" si="23"/>
        <v>261.1363636</v>
      </c>
      <c r="X20" s="14" t="s">
        <v>2</v>
      </c>
      <c r="Y20" s="14" t="s">
        <v>3</v>
      </c>
      <c r="Z20" s="14" t="s">
        <v>4</v>
      </c>
      <c r="AA20" s="14" t="s">
        <v>5</v>
      </c>
      <c r="AB20" s="15" t="s">
        <v>6</v>
      </c>
      <c r="AC20" s="14" t="s">
        <v>7</v>
      </c>
      <c r="AD20" s="14" t="s">
        <v>8</v>
      </c>
      <c r="AE20" s="14" t="s">
        <v>9</v>
      </c>
      <c r="AF20" s="14" t="s">
        <v>10</v>
      </c>
      <c r="AG20" s="14" t="s">
        <v>11</v>
      </c>
      <c r="AH20" s="14" t="s">
        <v>12</v>
      </c>
      <c r="AI20" s="14" t="s">
        <v>13</v>
      </c>
      <c r="AJ20" s="15" t="s">
        <v>14</v>
      </c>
      <c r="AK20" s="14" t="s">
        <v>15</v>
      </c>
      <c r="AL20" s="14" t="s">
        <v>16</v>
      </c>
      <c r="AM20" s="16" t="s">
        <v>17</v>
      </c>
      <c r="AN20" s="17" t="s">
        <v>18</v>
      </c>
      <c r="AO20" s="18" t="s">
        <v>19</v>
      </c>
      <c r="AP20" s="19" t="s">
        <v>20</v>
      </c>
      <c r="AQ20" s="19" t="s">
        <v>21</v>
      </c>
      <c r="AR20" s="20" t="s">
        <v>22</v>
      </c>
    </row>
    <row r="21" ht="15.75" customHeight="1">
      <c r="A21" s="21"/>
      <c r="B21" s="38">
        <v>16.0</v>
      </c>
      <c r="C21" s="38" t="s">
        <v>42</v>
      </c>
      <c r="D21" s="39">
        <v>26.0</v>
      </c>
      <c r="E21" s="40">
        <f>IFERROR(__xludf.DUMMYFUNCTION("COUNT(IMPORTRANGE(""https://docs.google.com/spreadsheets/d/14Tu_jFPEdrIQ6DHYu6vRvJKQsbXr-48NY1tKy4-8JKI/edit"",""1!d2:d34""))"),26.0)</f>
        <v>26</v>
      </c>
      <c r="F21" s="45">
        <f>IFERROR(__xludf.DUMMYFUNCTION("SUM(IMPORTRANGE(""https://docs.google.com/spreadsheets/d/14Tu_jFPEdrIQ6DHYu6vRvJKQsbXr-48NY1tKy4-8JKI/edit"",""1!Q2:Q34""))"),4935.601999999999)</f>
        <v>4935.602</v>
      </c>
      <c r="G21" s="40">
        <f>IFERROR(__xludf.DUMMYFUNCTION("IMPORTRANGE(""https://docs.google.com/spreadsheets/d/14Tu_jFPEdrIQ6DHYu6vRvJKQsbXr-48NY1tKy4-8JKI/edit"",""1!e41"")"),2649.0)</f>
        <v>2649</v>
      </c>
      <c r="H21" s="40">
        <f>IFERROR(__xludf.DUMMYFUNCTION("IMPORTRANGE(""https://docs.google.com/spreadsheets/d/14Tu_jFPEdrIQ6DHYu6vRvJKQsbXr-48NY1tKy4-8JKI/edit"",""1!e42"")"),0.0)</f>
        <v>0</v>
      </c>
      <c r="I21" s="40">
        <f t="shared" si="15"/>
        <v>2649</v>
      </c>
      <c r="J21" s="40">
        <f>IFERROR(__xludf.DUMMYFUNCTION("IMPORTRANGE(""https://docs.google.com/spreadsheets/d/14Tu_jFPEdrIQ6DHYu6vRvJKQsbXr-48NY1tKy4-8JKI/edit"",""1!e45"")"),3404.0)</f>
        <v>3404</v>
      </c>
      <c r="K21" s="40">
        <f>IFERROR(__xludf.DUMMYFUNCTION("IMPORTRANGE(""https://docs.google.com/spreadsheets/d/14Tu_jFPEdrIQ6DHYu6vRvJKQsbXr-48NY1tKy4-8JKI/edit"",""1!e46"")"),0.0)</f>
        <v>0</v>
      </c>
      <c r="L21" s="40">
        <f t="shared" si="45"/>
        <v>3404</v>
      </c>
      <c r="M21" s="40">
        <f t="shared" si="17"/>
        <v>6053</v>
      </c>
      <c r="N21" s="41">
        <f t="shared" si="18"/>
        <v>189.8308462</v>
      </c>
      <c r="O21" s="38">
        <v>9877.0</v>
      </c>
      <c r="P21" s="42">
        <f t="shared" si="19"/>
        <v>0.6128379062</v>
      </c>
      <c r="Q21" s="43">
        <v>1.5</v>
      </c>
      <c r="R21" s="42">
        <f t="shared" si="20"/>
        <v>0.8175969888</v>
      </c>
      <c r="S21" s="44">
        <f t="shared" si="21"/>
        <v>1.226395483</v>
      </c>
      <c r="T21" s="43">
        <f>F21/26.155</f>
        <v>188.7058689</v>
      </c>
      <c r="U21" s="43">
        <f t="shared" si="22"/>
        <v>7.257918033</v>
      </c>
      <c r="V21" s="40">
        <f t="shared" si="23"/>
        <v>232.8076923</v>
      </c>
      <c r="X21" s="31">
        <v>1.0</v>
      </c>
      <c r="Y21" s="31" t="s">
        <v>26</v>
      </c>
      <c r="Z21" s="31">
        <f t="shared" ref="Z21:AI21" si="55">SUM(D6)</f>
        <v>16</v>
      </c>
      <c r="AA21" s="32">
        <f t="shared" si="55"/>
        <v>15</v>
      </c>
      <c r="AB21" s="34">
        <f t="shared" si="55"/>
        <v>2883.459</v>
      </c>
      <c r="AC21" s="32">
        <f t="shared" si="55"/>
        <v>1664</v>
      </c>
      <c r="AD21" s="32">
        <f t="shared" si="55"/>
        <v>0</v>
      </c>
      <c r="AE21" s="32">
        <f t="shared" si="55"/>
        <v>1664</v>
      </c>
      <c r="AF21" s="32">
        <f t="shared" si="55"/>
        <v>1664</v>
      </c>
      <c r="AG21" s="32">
        <f t="shared" si="55"/>
        <v>0</v>
      </c>
      <c r="AH21" s="32">
        <f t="shared" si="55"/>
        <v>1664</v>
      </c>
      <c r="AI21" s="32">
        <f t="shared" si="55"/>
        <v>3328</v>
      </c>
      <c r="AJ21" s="34">
        <f t="shared" ref="AJ21:AJ27" si="58">AB21/AA21</f>
        <v>192.2306</v>
      </c>
      <c r="AK21" s="31">
        <f>SUM(O6)</f>
        <v>5161</v>
      </c>
      <c r="AL21" s="35">
        <f t="shared" ref="AL21:AL27" si="59">AI21/AK21</f>
        <v>0.644836272</v>
      </c>
      <c r="AM21" s="36">
        <f>SUM(Q6)</f>
        <v>1.5</v>
      </c>
      <c r="AN21" s="35">
        <f t="shared" ref="AN21:AN27" si="60">AO21/AM21</f>
        <v>0.7694462334</v>
      </c>
      <c r="AO21" s="37">
        <f t="shared" ref="AO21:AO27" si="61">AI21/AB21</f>
        <v>1.15416935</v>
      </c>
      <c r="AP21" s="36">
        <f t="shared" ref="AP21:AQ21" si="56">SUM(T6)</f>
        <v>200.0318418</v>
      </c>
      <c r="AQ21" s="36">
        <f t="shared" si="56"/>
        <v>13.33545612</v>
      </c>
      <c r="AR21" s="32">
        <f t="shared" ref="AR21:AR27" si="63">AI21/AA21</f>
        <v>221.8666667</v>
      </c>
    </row>
    <row r="22" ht="15.75" customHeight="1">
      <c r="A22" s="21"/>
      <c r="B22" s="38">
        <v>17.0</v>
      </c>
      <c r="C22" s="38" t="s">
        <v>29</v>
      </c>
      <c r="D22" s="39">
        <v>24.0</v>
      </c>
      <c r="E22" s="40">
        <f>IFERROR(__xludf.DUMMYFUNCTION("COUNT(IMPORTRANGE(""https://docs.google.com/spreadsheets/d/1ja_RQYsP0p5wRrACHojay4CW1wLx0QdS5tSwp-vYQ-s/edit"",""1!d2:d31""))"),23.0)</f>
        <v>23</v>
      </c>
      <c r="F22" s="45">
        <f>IFERROR(__xludf.DUMMYFUNCTION("SUM(IMPORTRANGE(""https://docs.google.com/spreadsheets/d/1ja_RQYsP0p5wRrACHojay4CW1wLx0QdS5tSwp-vYQ-s/edit"",""1!Q2:Q31""))"),4426.46)</f>
        <v>4426.46</v>
      </c>
      <c r="G22" s="40">
        <f>IFERROR(__xludf.DUMMYFUNCTION("IMPORTRANGE(""https://docs.google.com/spreadsheets/d/1ja_RQYsP0p5wRrACHojay4CW1wLx0QdS5tSwp-vYQ-s/edit"",""1!e38"")"),2038.0)</f>
        <v>2038</v>
      </c>
      <c r="H22" s="40">
        <f>IFERROR(__xludf.DUMMYFUNCTION("IMPORTRANGE(""https://docs.google.com/spreadsheets/d/1ja_RQYsP0p5wRrACHojay4CW1wLx0QdS5tSwp-vYQ-s/edit"",""1!e39"")"),0.0)</f>
        <v>0</v>
      </c>
      <c r="I22" s="40">
        <f t="shared" si="15"/>
        <v>2038</v>
      </c>
      <c r="J22" s="40">
        <f>IFERROR(__xludf.DUMMYFUNCTION("IMPORTRANGE(""https://docs.google.com/spreadsheets/d/1ja_RQYsP0p5wRrACHojay4CW1wLx0QdS5tSwp-vYQ-s/edit"",""1!e42"")"),2902.0)</f>
        <v>2902</v>
      </c>
      <c r="K22" s="40">
        <f>IFERROR(__xludf.DUMMYFUNCTION("IMPORTRANGE(""https://docs.google.com/spreadsheets/d/1ja_RQYsP0p5wRrACHojay4CW1wLx0QdS5tSwp-vYQ-s/edit"",""1!e43"")"),0.0)</f>
        <v>0</v>
      </c>
      <c r="L22" s="40">
        <f t="shared" si="45"/>
        <v>2902</v>
      </c>
      <c r="M22" s="40">
        <f t="shared" si="17"/>
        <v>4940</v>
      </c>
      <c r="N22" s="41">
        <f t="shared" si="18"/>
        <v>192.4547826</v>
      </c>
      <c r="O22" s="38">
        <v>9201.0</v>
      </c>
      <c r="P22" s="42">
        <f t="shared" si="19"/>
        <v>0.5368981632</v>
      </c>
      <c r="Q22" s="43">
        <v>1.5</v>
      </c>
      <c r="R22" s="42">
        <f t="shared" si="20"/>
        <v>0.7440106391</v>
      </c>
      <c r="S22" s="44">
        <f t="shared" si="21"/>
        <v>1.116015959</v>
      </c>
      <c r="T22" s="43">
        <f>F22/26.038</f>
        <v>170</v>
      </c>
      <c r="U22" s="43">
        <f t="shared" si="22"/>
        <v>7.391304348</v>
      </c>
      <c r="V22" s="40">
        <f t="shared" si="23"/>
        <v>214.7826087</v>
      </c>
      <c r="X22" s="31">
        <v>2.0</v>
      </c>
      <c r="Y22" s="31" t="s">
        <v>32</v>
      </c>
      <c r="Z22" s="31">
        <f t="shared" ref="Z22:AI22" si="57">SUM(D9)</f>
        <v>33</v>
      </c>
      <c r="AA22" s="32">
        <f t="shared" si="57"/>
        <v>33</v>
      </c>
      <c r="AB22" s="33">
        <f t="shared" si="57"/>
        <v>6486.581</v>
      </c>
      <c r="AC22" s="31">
        <f t="shared" si="57"/>
        <v>3724</v>
      </c>
      <c r="AD22" s="31">
        <f t="shared" si="57"/>
        <v>0</v>
      </c>
      <c r="AE22" s="32">
        <f t="shared" si="57"/>
        <v>3724</v>
      </c>
      <c r="AF22" s="31">
        <f t="shared" si="57"/>
        <v>3793</v>
      </c>
      <c r="AG22" s="31">
        <f t="shared" si="57"/>
        <v>0</v>
      </c>
      <c r="AH22" s="32">
        <f t="shared" si="57"/>
        <v>3793</v>
      </c>
      <c r="AI22" s="32">
        <f t="shared" si="57"/>
        <v>7517</v>
      </c>
      <c r="AJ22" s="34">
        <f t="shared" si="58"/>
        <v>196.5630606</v>
      </c>
      <c r="AK22" s="31">
        <f>SUM(O9)</f>
        <v>13817</v>
      </c>
      <c r="AL22" s="35">
        <f t="shared" si="59"/>
        <v>0.5440399508</v>
      </c>
      <c r="AM22" s="36">
        <f>SUM(Q9)</f>
        <v>1.5</v>
      </c>
      <c r="AN22" s="35">
        <f t="shared" si="60"/>
        <v>0.7725692986</v>
      </c>
      <c r="AO22" s="37">
        <f t="shared" si="61"/>
        <v>1.158853948</v>
      </c>
      <c r="AP22" s="36">
        <f t="shared" ref="AP22:AQ22" si="62">SUM(T9)</f>
        <v>258.5428275</v>
      </c>
      <c r="AQ22" s="36">
        <f t="shared" si="62"/>
        <v>7.834631137</v>
      </c>
      <c r="AR22" s="32">
        <f t="shared" si="63"/>
        <v>227.7878788</v>
      </c>
    </row>
    <row r="23" ht="15.75" customHeight="1">
      <c r="A23" s="21"/>
      <c r="B23" s="38">
        <v>18.0</v>
      </c>
      <c r="C23" s="38" t="s">
        <v>31</v>
      </c>
      <c r="D23" s="39">
        <v>12.0</v>
      </c>
      <c r="E23" s="40">
        <f>IFERROR(__xludf.DUMMYFUNCTION("COUNT(IMPORTRANGE(""https://docs.google.com/spreadsheets/d/1ObnK1oSznTOmyW9Zcd2kxExl7TOnO2MNq_0giEKc_mE/edit"",""1!d2:d16""))"),11.0)</f>
        <v>11</v>
      </c>
      <c r="F23" s="41">
        <f>IFERROR(__xludf.DUMMYFUNCTION("SUM(IMPORTRANGE(""https://docs.google.com/spreadsheets/d/1ObnK1oSznTOmyW9Zcd2kxExl7TOnO2MNq_0giEKc_mE/edit"",""1!Q2:Q16""))"),2129.785)</f>
        <v>2129.785</v>
      </c>
      <c r="G23" s="40">
        <f>IFERROR(__xludf.DUMMYFUNCTION("IMPORTRANGE(""https://docs.google.com/spreadsheets/d/1ObnK1oSznTOmyW9Zcd2kxExl7TOnO2MNq_0giEKc_mE/edit"",""1!e23"")"),587.0)</f>
        <v>587</v>
      </c>
      <c r="H23" s="40">
        <f>IFERROR(__xludf.DUMMYFUNCTION("IMPORTRANGE(""https://docs.google.com/spreadsheets/d/1ObnK1oSznTOmyW9Zcd2kxExl7TOnO2MNq_0giEKc_mE/edit"",""1!e24"")"),8.0)</f>
        <v>8</v>
      </c>
      <c r="I23" s="40">
        <f t="shared" si="15"/>
        <v>595</v>
      </c>
      <c r="J23" s="40">
        <f>IFERROR(__xludf.DUMMYFUNCTION("IMPORTRANGE(""https://docs.google.com/spreadsheets/d/1ObnK1oSznTOmyW9Zcd2kxExl7TOnO2MNq_0giEKc_mE/edit"",""1!e27"")"),852.0)</f>
        <v>852</v>
      </c>
      <c r="K23" s="40">
        <f>IFERROR(__xludf.DUMMYFUNCTION("IMPORTRANGE(""https://docs.google.com/spreadsheets/d/1ObnK1oSznTOmyW9Zcd2kxExl7TOnO2MNq_0giEKc_mE/edit"",""1!e28"")"),0.0)</f>
        <v>0</v>
      </c>
      <c r="L23" s="40">
        <f t="shared" si="45"/>
        <v>852</v>
      </c>
      <c r="M23" s="40">
        <f t="shared" si="17"/>
        <v>1447</v>
      </c>
      <c r="N23" s="41">
        <f t="shared" si="18"/>
        <v>193.6168182</v>
      </c>
      <c r="O23" s="38">
        <v>2717.0</v>
      </c>
      <c r="P23" s="42">
        <f t="shared" si="19"/>
        <v>0.5325726905</v>
      </c>
      <c r="Q23" s="43">
        <v>1.5</v>
      </c>
      <c r="R23" s="42">
        <f t="shared" si="20"/>
        <v>0.4529408681</v>
      </c>
      <c r="S23" s="44">
        <f t="shared" si="21"/>
        <v>0.6794113021</v>
      </c>
      <c r="T23" s="43">
        <f>F23/43.465</f>
        <v>49</v>
      </c>
      <c r="U23" s="43">
        <f t="shared" si="22"/>
        <v>4.454545455</v>
      </c>
      <c r="V23" s="40">
        <f t="shared" si="23"/>
        <v>131.5454545</v>
      </c>
      <c r="X23" s="31">
        <v>3.0</v>
      </c>
      <c r="Y23" s="31" t="s">
        <v>36</v>
      </c>
      <c r="Z23" s="31">
        <f t="shared" ref="Z23:AI23" si="64">SUM(D14)</f>
        <v>23</v>
      </c>
      <c r="AA23" s="32">
        <f t="shared" si="64"/>
        <v>23</v>
      </c>
      <c r="AB23" s="33">
        <f t="shared" si="64"/>
        <v>4388.963</v>
      </c>
      <c r="AC23" s="32">
        <f t="shared" si="64"/>
        <v>1043</v>
      </c>
      <c r="AD23" s="32">
        <f t="shared" si="64"/>
        <v>0</v>
      </c>
      <c r="AE23" s="32">
        <f t="shared" si="64"/>
        <v>1043</v>
      </c>
      <c r="AF23" s="32">
        <f t="shared" si="64"/>
        <v>1647</v>
      </c>
      <c r="AG23" s="32">
        <f t="shared" si="64"/>
        <v>15</v>
      </c>
      <c r="AH23" s="32">
        <f t="shared" si="64"/>
        <v>1662</v>
      </c>
      <c r="AI23" s="32">
        <f t="shared" si="64"/>
        <v>2705</v>
      </c>
      <c r="AJ23" s="34">
        <f t="shared" si="58"/>
        <v>190.8244783</v>
      </c>
      <c r="AK23" s="31">
        <f t="shared" ref="AK23:AK26" si="68">SUM(O14)</f>
        <v>4796</v>
      </c>
      <c r="AL23" s="35">
        <f t="shared" si="59"/>
        <v>0.5640116764</v>
      </c>
      <c r="AM23" s="36">
        <f t="shared" ref="AM23:AM26" si="69">SUM(Q14)</f>
        <v>1.5</v>
      </c>
      <c r="AN23" s="35">
        <f t="shared" si="60"/>
        <v>0.4108791378</v>
      </c>
      <c r="AO23" s="37">
        <f t="shared" si="61"/>
        <v>0.6163187067</v>
      </c>
      <c r="AP23" s="36">
        <f t="shared" ref="AP23:AQ23" si="65">SUM(T14)</f>
        <v>117.3080398</v>
      </c>
      <c r="AQ23" s="36">
        <f t="shared" si="65"/>
        <v>5.100349555</v>
      </c>
      <c r="AR23" s="32">
        <f t="shared" si="63"/>
        <v>117.6086957</v>
      </c>
    </row>
    <row r="24" ht="15.75" customHeight="1">
      <c r="A24" s="21"/>
      <c r="B24" s="60" t="s">
        <v>33</v>
      </c>
      <c r="C24" s="60">
        <v>18.0</v>
      </c>
      <c r="D24" s="60">
        <f t="shared" ref="D24:M24" si="66">SUM(D6:D23)</f>
        <v>470</v>
      </c>
      <c r="E24" s="61">
        <f t="shared" si="66"/>
        <v>462</v>
      </c>
      <c r="F24" s="62">
        <f t="shared" si="66"/>
        <v>88952.611</v>
      </c>
      <c r="G24" s="61">
        <f t="shared" si="66"/>
        <v>31479</v>
      </c>
      <c r="H24" s="61">
        <f t="shared" si="66"/>
        <v>634</v>
      </c>
      <c r="I24" s="61">
        <f t="shared" si="66"/>
        <v>32113</v>
      </c>
      <c r="J24" s="61">
        <f t="shared" si="66"/>
        <v>42453</v>
      </c>
      <c r="K24" s="61">
        <f t="shared" si="66"/>
        <v>400</v>
      </c>
      <c r="L24" s="61">
        <f t="shared" si="66"/>
        <v>42853</v>
      </c>
      <c r="M24" s="61">
        <f t="shared" si="66"/>
        <v>74966</v>
      </c>
      <c r="N24" s="62">
        <f t="shared" si="18"/>
        <v>192.538119</v>
      </c>
      <c r="O24" s="60">
        <f>SUM(O6:O23)</f>
        <v>126399</v>
      </c>
      <c r="P24" s="63">
        <f t="shared" si="19"/>
        <v>0.5930901352</v>
      </c>
      <c r="Q24" s="64">
        <v>1.5</v>
      </c>
      <c r="R24" s="63">
        <f t="shared" si="20"/>
        <v>0.5618422301</v>
      </c>
      <c r="S24" s="65">
        <f t="shared" si="21"/>
        <v>0.8427633451</v>
      </c>
      <c r="T24" s="64">
        <f>SUM(T6:T23)</f>
        <v>3279.340897</v>
      </c>
      <c r="U24" s="64">
        <f t="shared" si="22"/>
        <v>7.098140469</v>
      </c>
      <c r="V24" s="61">
        <f t="shared" si="23"/>
        <v>162.2640693</v>
      </c>
      <c r="X24" s="31">
        <v>4.0</v>
      </c>
      <c r="Y24" s="31" t="s">
        <v>37</v>
      </c>
      <c r="Z24" s="31">
        <f t="shared" ref="Z24:AI24" si="67">SUM(D15)</f>
        <v>24</v>
      </c>
      <c r="AA24" s="32">
        <f t="shared" si="67"/>
        <v>24</v>
      </c>
      <c r="AB24" s="33">
        <f t="shared" si="67"/>
        <v>4547.796</v>
      </c>
      <c r="AC24" s="32">
        <f t="shared" si="67"/>
        <v>1480</v>
      </c>
      <c r="AD24" s="32">
        <f t="shared" si="67"/>
        <v>0</v>
      </c>
      <c r="AE24" s="32">
        <f t="shared" si="67"/>
        <v>1480</v>
      </c>
      <c r="AF24" s="32">
        <f t="shared" si="67"/>
        <v>2290</v>
      </c>
      <c r="AG24" s="32">
        <f t="shared" si="67"/>
        <v>0</v>
      </c>
      <c r="AH24" s="32">
        <f t="shared" si="67"/>
        <v>2290</v>
      </c>
      <c r="AI24" s="32">
        <f t="shared" si="67"/>
        <v>3770</v>
      </c>
      <c r="AJ24" s="34">
        <f t="shared" si="58"/>
        <v>189.4915</v>
      </c>
      <c r="AK24" s="31">
        <f t="shared" si="68"/>
        <v>5887</v>
      </c>
      <c r="AL24" s="35">
        <f t="shared" si="59"/>
        <v>0.6403940887</v>
      </c>
      <c r="AM24" s="36">
        <f t="shared" si="69"/>
        <v>1.5</v>
      </c>
      <c r="AN24" s="35">
        <f t="shared" si="60"/>
        <v>0.552648653</v>
      </c>
      <c r="AO24" s="37">
        <f t="shared" si="61"/>
        <v>0.8289729794</v>
      </c>
      <c r="AP24" s="36">
        <f t="shared" ref="AP24:AQ24" si="70">SUM(T15)</f>
        <v>183.4380445</v>
      </c>
      <c r="AQ24" s="36">
        <f t="shared" si="70"/>
        <v>7.643251855</v>
      </c>
      <c r="AR24" s="32">
        <f t="shared" si="63"/>
        <v>157.0833333</v>
      </c>
    </row>
    <row r="25" ht="15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X25" s="31">
        <v>5.0</v>
      </c>
      <c r="Y25" s="31" t="s">
        <v>39</v>
      </c>
      <c r="Z25" s="31">
        <f t="shared" ref="Z25:AI25" si="71">SUM(D16)</f>
        <v>22</v>
      </c>
      <c r="AA25" s="32">
        <f t="shared" si="71"/>
        <v>22</v>
      </c>
      <c r="AB25" s="33">
        <f t="shared" si="71"/>
        <v>3997.575</v>
      </c>
      <c r="AC25" s="32">
        <f t="shared" si="71"/>
        <v>951</v>
      </c>
      <c r="AD25" s="32">
        <f t="shared" si="71"/>
        <v>0</v>
      </c>
      <c r="AE25" s="32">
        <f t="shared" si="71"/>
        <v>951</v>
      </c>
      <c r="AF25" s="32">
        <f t="shared" si="71"/>
        <v>1842</v>
      </c>
      <c r="AG25" s="32">
        <f t="shared" si="71"/>
        <v>0</v>
      </c>
      <c r="AH25" s="32">
        <f t="shared" si="71"/>
        <v>1842</v>
      </c>
      <c r="AI25" s="32">
        <f t="shared" si="71"/>
        <v>2793</v>
      </c>
      <c r="AJ25" s="34">
        <f t="shared" si="58"/>
        <v>181.7079545</v>
      </c>
      <c r="AK25" s="31">
        <f t="shared" si="68"/>
        <v>3569</v>
      </c>
      <c r="AL25" s="35">
        <f t="shared" si="59"/>
        <v>0.7825721491</v>
      </c>
      <c r="AM25" s="36">
        <f t="shared" si="69"/>
        <v>1.5</v>
      </c>
      <c r="AN25" s="35">
        <f t="shared" si="60"/>
        <v>0.4657823806</v>
      </c>
      <c r="AO25" s="37">
        <f t="shared" si="61"/>
        <v>0.6986735709</v>
      </c>
      <c r="AP25" s="36">
        <f t="shared" ref="AP25:AQ25" si="72">SUM(T16)</f>
        <v>186.2542515</v>
      </c>
      <c r="AQ25" s="36">
        <f t="shared" si="72"/>
        <v>8.466102341</v>
      </c>
      <c r="AR25" s="32">
        <f t="shared" si="63"/>
        <v>126.9545455</v>
      </c>
    </row>
    <row r="26" ht="15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X26" s="31">
        <v>6.0</v>
      </c>
      <c r="Y26" s="31" t="s">
        <v>41</v>
      </c>
      <c r="Z26" s="31">
        <f t="shared" ref="Z26:AI26" si="73">SUM(D17)</f>
        <v>20</v>
      </c>
      <c r="AA26" s="32">
        <f t="shared" si="73"/>
        <v>20</v>
      </c>
      <c r="AB26" s="33">
        <f t="shared" si="73"/>
        <v>4006.364</v>
      </c>
      <c r="AC26" s="32">
        <f t="shared" si="73"/>
        <v>1046</v>
      </c>
      <c r="AD26" s="32">
        <f t="shared" si="73"/>
        <v>0</v>
      </c>
      <c r="AE26" s="32">
        <f t="shared" si="73"/>
        <v>1046</v>
      </c>
      <c r="AF26" s="32">
        <f t="shared" si="73"/>
        <v>1268</v>
      </c>
      <c r="AG26" s="32">
        <f t="shared" si="73"/>
        <v>0</v>
      </c>
      <c r="AH26" s="32">
        <f t="shared" si="73"/>
        <v>1268</v>
      </c>
      <c r="AI26" s="32">
        <f t="shared" si="73"/>
        <v>2314</v>
      </c>
      <c r="AJ26" s="34">
        <f t="shared" si="58"/>
        <v>200.3182</v>
      </c>
      <c r="AK26" s="31">
        <f t="shared" si="68"/>
        <v>3801</v>
      </c>
      <c r="AL26" s="35">
        <f t="shared" si="59"/>
        <v>0.6087871613</v>
      </c>
      <c r="AM26" s="36">
        <f t="shared" si="69"/>
        <v>1.5</v>
      </c>
      <c r="AN26" s="35">
        <f t="shared" si="60"/>
        <v>0.3850540457</v>
      </c>
      <c r="AO26" s="37">
        <f t="shared" si="61"/>
        <v>0.5775810685</v>
      </c>
      <c r="AP26" s="36">
        <f t="shared" ref="AP26:AQ26" si="74">SUM(T17)</f>
        <v>135.2222222</v>
      </c>
      <c r="AQ26" s="36">
        <f t="shared" si="74"/>
        <v>6.761111111</v>
      </c>
      <c r="AR26" s="32">
        <f t="shared" si="63"/>
        <v>115.7</v>
      </c>
    </row>
    <row r="27" ht="15.75" customHeight="1">
      <c r="A27" s="1" t="s">
        <v>45</v>
      </c>
      <c r="D27" s="2"/>
      <c r="X27" s="46" t="s">
        <v>33</v>
      </c>
      <c r="Y27" s="46">
        <v>6.0</v>
      </c>
      <c r="Z27" s="46">
        <f t="shared" ref="Z27:AI27" si="75">SUM(Z21:Z26)</f>
        <v>138</v>
      </c>
      <c r="AA27" s="47">
        <f t="shared" si="75"/>
        <v>137</v>
      </c>
      <c r="AB27" s="49">
        <f t="shared" si="75"/>
        <v>26310.738</v>
      </c>
      <c r="AC27" s="47">
        <f t="shared" si="75"/>
        <v>9908</v>
      </c>
      <c r="AD27" s="47">
        <f t="shared" si="75"/>
        <v>0</v>
      </c>
      <c r="AE27" s="47">
        <f t="shared" si="75"/>
        <v>9908</v>
      </c>
      <c r="AF27" s="47">
        <f t="shared" si="75"/>
        <v>12504</v>
      </c>
      <c r="AG27" s="47">
        <f t="shared" si="75"/>
        <v>15</v>
      </c>
      <c r="AH27" s="47">
        <f t="shared" si="75"/>
        <v>12519</v>
      </c>
      <c r="AI27" s="47">
        <f t="shared" si="75"/>
        <v>22427</v>
      </c>
      <c r="AJ27" s="49">
        <f t="shared" si="58"/>
        <v>192.0491825</v>
      </c>
      <c r="AK27" s="46">
        <f>SUM(AK21:AK26)</f>
        <v>37031</v>
      </c>
      <c r="AL27" s="50">
        <f t="shared" si="59"/>
        <v>0.6056277173</v>
      </c>
      <c r="AM27" s="51">
        <v>1.5</v>
      </c>
      <c r="AN27" s="50">
        <f t="shared" si="60"/>
        <v>0.5682597475</v>
      </c>
      <c r="AO27" s="52">
        <f t="shared" si="61"/>
        <v>0.8523896213</v>
      </c>
      <c r="AP27" s="51">
        <f>SUM(AP21:AP26)</f>
        <v>1080.797227</v>
      </c>
      <c r="AQ27" s="51">
        <f>AP27/AA27</f>
        <v>7.889030857</v>
      </c>
      <c r="AR27" s="47">
        <f t="shared" si="63"/>
        <v>163.7007299</v>
      </c>
    </row>
    <row r="28" ht="15.75" customHeight="1">
      <c r="A28" s="1" t="s">
        <v>45</v>
      </c>
      <c r="D28" s="2"/>
      <c r="X28" s="66" t="s">
        <v>1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6"/>
    </row>
    <row r="29" ht="15.75" customHeight="1">
      <c r="A29" s="10">
        <v>46236.0</v>
      </c>
      <c r="B29" s="8" t="s">
        <v>2</v>
      </c>
      <c r="C29" s="8" t="s">
        <v>3</v>
      </c>
      <c r="D29" s="8" t="s">
        <v>4</v>
      </c>
      <c r="E29" s="8" t="s">
        <v>5</v>
      </c>
      <c r="F29" s="9" t="s">
        <v>6</v>
      </c>
      <c r="G29" s="8" t="s">
        <v>7</v>
      </c>
      <c r="H29" s="8" t="s">
        <v>8</v>
      </c>
      <c r="I29" s="8" t="s">
        <v>9</v>
      </c>
      <c r="J29" s="8" t="s">
        <v>10</v>
      </c>
      <c r="K29" s="8" t="s">
        <v>11</v>
      </c>
      <c r="L29" s="8" t="s">
        <v>12</v>
      </c>
      <c r="M29" s="8" t="s">
        <v>13</v>
      </c>
      <c r="N29" s="9" t="s">
        <v>14</v>
      </c>
      <c r="O29" s="8" t="s">
        <v>15</v>
      </c>
      <c r="P29" s="8" t="s">
        <v>16</v>
      </c>
      <c r="Q29" s="8" t="s">
        <v>17</v>
      </c>
      <c r="R29" s="8" t="s">
        <v>18</v>
      </c>
      <c r="S29" s="11" t="s">
        <v>19</v>
      </c>
      <c r="T29" s="12" t="s">
        <v>20</v>
      </c>
      <c r="U29" s="12" t="s">
        <v>21</v>
      </c>
      <c r="V29" s="13" t="s">
        <v>22</v>
      </c>
      <c r="X29" s="14" t="s">
        <v>2</v>
      </c>
      <c r="Y29" s="14" t="s">
        <v>3</v>
      </c>
      <c r="Z29" s="14" t="s">
        <v>4</v>
      </c>
      <c r="AA29" s="14" t="s">
        <v>5</v>
      </c>
      <c r="AB29" s="15" t="s">
        <v>6</v>
      </c>
      <c r="AC29" s="14" t="s">
        <v>7</v>
      </c>
      <c r="AD29" s="14" t="s">
        <v>8</v>
      </c>
      <c r="AE29" s="14" t="s">
        <v>9</v>
      </c>
      <c r="AF29" s="14" t="s">
        <v>10</v>
      </c>
      <c r="AG29" s="14" t="s">
        <v>11</v>
      </c>
      <c r="AH29" s="14" t="s">
        <v>12</v>
      </c>
      <c r="AI29" s="14" t="s">
        <v>13</v>
      </c>
      <c r="AJ29" s="15" t="s">
        <v>14</v>
      </c>
      <c r="AK29" s="14" t="s">
        <v>15</v>
      </c>
      <c r="AL29" s="14" t="s">
        <v>16</v>
      </c>
      <c r="AM29" s="16" t="s">
        <v>17</v>
      </c>
      <c r="AN29" s="17" t="s">
        <v>18</v>
      </c>
      <c r="AO29" s="18" t="s">
        <v>19</v>
      </c>
      <c r="AP29" s="19" t="s">
        <v>20</v>
      </c>
      <c r="AQ29" s="19" t="s">
        <v>21</v>
      </c>
      <c r="AR29" s="20" t="s">
        <v>22</v>
      </c>
    </row>
    <row r="30" ht="15.7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X30" s="22">
        <v>1.0</v>
      </c>
      <c r="Y30" s="22" t="s">
        <v>23</v>
      </c>
      <c r="Z30" s="22">
        <f t="shared" ref="Z30:AI30" si="76">SUM(D38)</f>
        <v>26</v>
      </c>
      <c r="AA30" s="23">
        <f t="shared" si="76"/>
        <v>25</v>
      </c>
      <c r="AB30" s="24">
        <f t="shared" si="76"/>
        <v>4993.52</v>
      </c>
      <c r="AC30" s="23">
        <f t="shared" si="76"/>
        <v>1015</v>
      </c>
      <c r="AD30" s="23">
        <f t="shared" si="76"/>
        <v>0</v>
      </c>
      <c r="AE30" s="23">
        <f t="shared" si="76"/>
        <v>1015</v>
      </c>
      <c r="AF30" s="23">
        <f t="shared" si="76"/>
        <v>2016</v>
      </c>
      <c r="AG30" s="23">
        <f t="shared" si="76"/>
        <v>0</v>
      </c>
      <c r="AH30" s="23">
        <f t="shared" si="76"/>
        <v>2016</v>
      </c>
      <c r="AI30" s="23">
        <f t="shared" si="76"/>
        <v>3031</v>
      </c>
      <c r="AJ30" s="25">
        <f t="shared" ref="AJ30:AJ32" si="79">AB30/AA30</f>
        <v>199.7408</v>
      </c>
      <c r="AK30" s="22">
        <f>SUM(O38)</f>
        <v>6853</v>
      </c>
      <c r="AL30" s="26">
        <f t="shared" ref="AL30:AL36" si="80">AI30/AK30</f>
        <v>0.442288049</v>
      </c>
      <c r="AM30" s="27">
        <f t="shared" ref="AM30:AM32" si="81">SUM(Q38)</f>
        <v>1.5</v>
      </c>
      <c r="AN30" s="26">
        <f t="shared" ref="AN30:AN36" si="82">AO30/AM30</f>
        <v>0.4046577698</v>
      </c>
      <c r="AO30" s="28">
        <f t="shared" ref="AO30:AO36" si="83">AI30/AB30</f>
        <v>0.6069866547</v>
      </c>
      <c r="AP30" s="27">
        <f t="shared" ref="AP30:AQ30" si="77">SUM(T38)</f>
        <v>148</v>
      </c>
      <c r="AQ30" s="27">
        <f t="shared" si="77"/>
        <v>5.92</v>
      </c>
      <c r="AR30" s="23">
        <f t="shared" ref="AR30:AR36" si="85">AI30/AA30</f>
        <v>121.24</v>
      </c>
    </row>
    <row r="31" ht="15.7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X31" s="22">
        <v>2.0</v>
      </c>
      <c r="Y31" s="22" t="s">
        <v>24</v>
      </c>
      <c r="Z31" s="22">
        <f t="shared" ref="Z31:AI31" si="78">SUM(D39)</f>
        <v>35</v>
      </c>
      <c r="AA31" s="23">
        <f t="shared" si="78"/>
        <v>35</v>
      </c>
      <c r="AB31" s="24">
        <f t="shared" si="78"/>
        <v>6358.464</v>
      </c>
      <c r="AC31" s="23">
        <f t="shared" si="78"/>
        <v>639</v>
      </c>
      <c r="AD31" s="23">
        <f t="shared" si="78"/>
        <v>23</v>
      </c>
      <c r="AE31" s="23">
        <f t="shared" si="78"/>
        <v>662</v>
      </c>
      <c r="AF31" s="23">
        <f t="shared" si="78"/>
        <v>858</v>
      </c>
      <c r="AG31" s="23">
        <f t="shared" si="78"/>
        <v>23</v>
      </c>
      <c r="AH31" s="23">
        <f t="shared" si="78"/>
        <v>881</v>
      </c>
      <c r="AI31" s="23">
        <f t="shared" si="78"/>
        <v>1543</v>
      </c>
      <c r="AJ31" s="25">
        <f t="shared" si="79"/>
        <v>181.6704</v>
      </c>
      <c r="AK31" s="22">
        <v>1580.0</v>
      </c>
      <c r="AL31" s="26">
        <f t="shared" si="80"/>
        <v>0.9765822785</v>
      </c>
      <c r="AM31" s="27">
        <f t="shared" si="81"/>
        <v>1.5</v>
      </c>
      <c r="AN31" s="26">
        <f t="shared" si="82"/>
        <v>0.1617791131</v>
      </c>
      <c r="AO31" s="28">
        <f t="shared" si="83"/>
        <v>0.2426686697</v>
      </c>
      <c r="AP31" s="27">
        <f t="shared" ref="AP31:AQ31" si="84">SUM(T39)</f>
        <v>237.2118635</v>
      </c>
      <c r="AQ31" s="27">
        <f t="shared" si="84"/>
        <v>6.777481813</v>
      </c>
      <c r="AR31" s="23">
        <f t="shared" si="85"/>
        <v>44.08571429</v>
      </c>
    </row>
    <row r="32" ht="15.75" customHeight="1">
      <c r="A32" s="21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X32" s="31">
        <v>3.0</v>
      </c>
      <c r="Y32" s="31" t="s">
        <v>25</v>
      </c>
      <c r="Z32" s="31">
        <f t="shared" ref="Z32:AI32" si="86">SUM(D40)</f>
        <v>26</v>
      </c>
      <c r="AA32" s="32">
        <f t="shared" si="86"/>
        <v>25</v>
      </c>
      <c r="AB32" s="33">
        <f t="shared" si="86"/>
        <v>4824.092</v>
      </c>
      <c r="AC32" s="32">
        <f t="shared" si="86"/>
        <v>1463</v>
      </c>
      <c r="AD32" s="32">
        <f t="shared" si="86"/>
        <v>241</v>
      </c>
      <c r="AE32" s="32">
        <f t="shared" si="86"/>
        <v>1704</v>
      </c>
      <c r="AF32" s="32">
        <f t="shared" si="86"/>
        <v>2465</v>
      </c>
      <c r="AG32" s="32">
        <f t="shared" si="86"/>
        <v>409</v>
      </c>
      <c r="AH32" s="32">
        <f t="shared" si="86"/>
        <v>2874</v>
      </c>
      <c r="AI32" s="32">
        <f t="shared" si="86"/>
        <v>4578</v>
      </c>
      <c r="AJ32" s="34">
        <f t="shared" si="79"/>
        <v>192.96368</v>
      </c>
      <c r="AK32" s="31">
        <f>SUM(O40)</f>
        <v>6622</v>
      </c>
      <c r="AL32" s="35">
        <f t="shared" si="80"/>
        <v>0.6913319239</v>
      </c>
      <c r="AM32" s="36">
        <f t="shared" si="81"/>
        <v>1.5</v>
      </c>
      <c r="AN32" s="35">
        <f t="shared" si="82"/>
        <v>0.6326579178</v>
      </c>
      <c r="AO32" s="37">
        <f t="shared" si="83"/>
        <v>0.9489868767</v>
      </c>
      <c r="AP32" s="36">
        <f t="shared" ref="AP32:AQ32" si="87">SUM(T40)</f>
        <v>202.3528523</v>
      </c>
      <c r="AQ32" s="36">
        <f t="shared" si="87"/>
        <v>8.094114094</v>
      </c>
      <c r="AR32" s="32">
        <f t="shared" si="85"/>
        <v>183.12</v>
      </c>
    </row>
    <row r="33" ht="15.75" customHeight="1">
      <c r="A33" s="21"/>
      <c r="B33" s="38">
        <v>1.0</v>
      </c>
      <c r="C33" s="38" t="s">
        <v>26</v>
      </c>
      <c r="D33" s="39">
        <v>15.0</v>
      </c>
      <c r="E33" s="40">
        <f>IFERROR(__xludf.DUMMYFUNCTION("COUNT(IMPORTRANGE(""https://docs.google.com/spreadsheets/d/1iVFEBQOAONhqDIMRa2hQ7WkCQv0dJWSAmc0AzfvSCMg/edit"",""2!d2:d21""))"),14.0)</f>
        <v>14</v>
      </c>
      <c r="F33" s="41">
        <f>IFERROR(__xludf.DUMMYFUNCTION("SUM(IMPORTRANGE(""https://docs.google.com/spreadsheets/d/1iVFEBQOAONhqDIMRa2hQ7WkCQv0dJWSAmc0AzfvSCMg/edit"",""2!Q2:Q21""))"),2486.9700000000003)</f>
        <v>2486.97</v>
      </c>
      <c r="G33" s="40">
        <f>IFERROR(__xludf.DUMMYFUNCTION("IMPORTRANGE(""https://docs.google.com/spreadsheets/d/1iVFEBQOAONhqDIMRa2hQ7WkCQv0dJWSAmc0AzfvSCMg/edit"",""2!e28"")"),1316.0)</f>
        <v>1316</v>
      </c>
      <c r="H33" s="40">
        <f>IFERROR(__xludf.DUMMYFUNCTION("IMPORTRANGE(""https://docs.google.com/spreadsheets/d/1iVFEBQOAONhqDIMRa2hQ7WkCQv0dJWSAmc0AzfvSCMg/edit"",""2!e29"")"),77.0)</f>
        <v>77</v>
      </c>
      <c r="I33" s="40">
        <f t="shared" ref="I33:I50" si="90">SUM(G33:H33)</f>
        <v>1393</v>
      </c>
      <c r="J33" s="40">
        <f>IFERROR(__xludf.DUMMYFUNCTION("IMPORTRANGE(""https://docs.google.com/spreadsheets/d/1iVFEBQOAONhqDIMRa2hQ7WkCQv0dJWSAmc0AzfvSCMg/edit"",""2!e32"")"),1435.0)</f>
        <v>1435</v>
      </c>
      <c r="K33" s="40">
        <f>IFERROR(__xludf.DUMMYFUNCTION("IMPORTRANGE(""https://docs.google.com/spreadsheets/d/1iVFEBQOAONhqDIMRa2hQ7WkCQv0dJWSAmc0AzfvSCMg/edit"",""2!e33"")"),0.0)</f>
        <v>0</v>
      </c>
      <c r="L33" s="40">
        <f t="shared" ref="L33:L39" si="91">SUM(J33:K33)</f>
        <v>1435</v>
      </c>
      <c r="M33" s="40">
        <f t="shared" ref="M33:M50" si="92">SUM(I33+L33)</f>
        <v>2828</v>
      </c>
      <c r="N33" s="41">
        <f t="shared" ref="N33:N51" si="93">F33/E33</f>
        <v>177.6407143</v>
      </c>
      <c r="O33" s="38">
        <v>5161.0</v>
      </c>
      <c r="P33" s="42">
        <f t="shared" ref="P33:P51" si="94">M33/O33</f>
        <v>0.5479558225</v>
      </c>
      <c r="Q33" s="43">
        <v>1.5</v>
      </c>
      <c r="R33" s="42">
        <f t="shared" ref="R33:R51" si="95">S33/Q33</f>
        <v>0.7580844696</v>
      </c>
      <c r="S33" s="44">
        <f t="shared" ref="S33:S51" si="96">M33/F33</f>
        <v>1.137126704</v>
      </c>
      <c r="T33" s="43">
        <f>F33/14.415</f>
        <v>172.5265349</v>
      </c>
      <c r="U33" s="43">
        <f t="shared" ref="U33:U51" si="97">T33/E33</f>
        <v>12.32332392</v>
      </c>
      <c r="V33" s="40">
        <f t="shared" ref="V33:V51" si="98">M33/E33</f>
        <v>202</v>
      </c>
      <c r="X33" s="22">
        <v>4.0</v>
      </c>
      <c r="Y33" s="22" t="s">
        <v>27</v>
      </c>
      <c r="Z33" s="22">
        <f t="shared" ref="Z33:AK33" si="88">SUM(D46)</f>
        <v>23</v>
      </c>
      <c r="AA33" s="23">
        <f t="shared" si="88"/>
        <v>23</v>
      </c>
      <c r="AB33" s="24">
        <f t="shared" si="88"/>
        <v>4340.577</v>
      </c>
      <c r="AC33" s="23">
        <f t="shared" si="88"/>
        <v>1580</v>
      </c>
      <c r="AD33" s="23">
        <f t="shared" si="88"/>
        <v>0</v>
      </c>
      <c r="AE33" s="23">
        <f t="shared" si="88"/>
        <v>1580</v>
      </c>
      <c r="AF33" s="23">
        <f t="shared" si="88"/>
        <v>2079</v>
      </c>
      <c r="AG33" s="23">
        <f t="shared" si="88"/>
        <v>0</v>
      </c>
      <c r="AH33" s="23">
        <f t="shared" si="88"/>
        <v>2079</v>
      </c>
      <c r="AI33" s="23">
        <f t="shared" si="88"/>
        <v>3659</v>
      </c>
      <c r="AJ33" s="25">
        <f t="shared" si="88"/>
        <v>188.7207391</v>
      </c>
      <c r="AK33" s="22">
        <f t="shared" si="88"/>
        <v>8101</v>
      </c>
      <c r="AL33" s="26">
        <f t="shared" si="80"/>
        <v>0.451672633</v>
      </c>
      <c r="AM33" s="27">
        <f>SUM(Q46)</f>
        <v>1.5</v>
      </c>
      <c r="AN33" s="26">
        <f t="shared" si="82"/>
        <v>0.5619836564</v>
      </c>
      <c r="AO33" s="28">
        <f t="shared" si="83"/>
        <v>0.8429754846</v>
      </c>
      <c r="AP33" s="27">
        <f t="shared" ref="AP33:AQ33" si="89">SUM(T46)</f>
        <v>217.1917438</v>
      </c>
      <c r="AQ33" s="27">
        <f t="shared" si="89"/>
        <v>9.443119296</v>
      </c>
      <c r="AR33" s="23">
        <f t="shared" si="85"/>
        <v>159.0869565</v>
      </c>
    </row>
    <row r="34" ht="15.75" customHeight="1">
      <c r="A34" s="21"/>
      <c r="B34" s="38">
        <v>2.0</v>
      </c>
      <c r="C34" s="38" t="s">
        <v>28</v>
      </c>
      <c r="D34" s="39">
        <v>24.0</v>
      </c>
      <c r="E34" s="40">
        <f>IFERROR(__xludf.DUMMYFUNCTION("COUNT(IMPORTRANGE(""https://docs.google.com/spreadsheets/d/1tJCeYclgeJZ4Dc78t_SkhVjtacKW-5-VGim8X1rzUzk/edit"",""2!d2:d34""))"),24.0)</f>
        <v>24</v>
      </c>
      <c r="F34" s="41">
        <f>IFERROR(__xludf.DUMMYFUNCTION("SUM(IMPORTRANGE(""https://docs.google.com/spreadsheets/d/1tJCeYclgeJZ4Dc78t_SkhVjtacKW-5-VGim8X1rzUzk/edit"",""2!Q2:Q34""))"),4798.601000000001)</f>
        <v>4798.601</v>
      </c>
      <c r="G34" s="40">
        <f>IFERROR(__xludf.DUMMYFUNCTION("IMPORTRANGE(""https://docs.google.com/spreadsheets/d/1tJCeYclgeJZ4Dc78t_SkhVjtacKW-5-VGim8X1rzUzk/edit"",""2!e41"")"),1649.0)</f>
        <v>1649</v>
      </c>
      <c r="H34" s="40">
        <f>IFERROR(__xludf.DUMMYFUNCTION("IMPORTRANGE(""https://docs.google.com/spreadsheets/d/1tJCeYclgeJZ4Dc78t_SkhVjtacKW-5-VGim8X1rzUzk/edit"",""2!e42"")"),60.0)</f>
        <v>60</v>
      </c>
      <c r="I34" s="40">
        <f t="shared" si="90"/>
        <v>1709</v>
      </c>
      <c r="J34" s="40">
        <f>IFERROR(__xludf.DUMMYFUNCTION("IMPORTRANGE(""https://docs.google.com/spreadsheets/d/1tJCeYclgeJZ4Dc78t_SkhVjtacKW-5-VGim8X1rzUzk/edit"",""2!e45"")"),1921.0)</f>
        <v>1921</v>
      </c>
      <c r="K34" s="40">
        <f>IFERROR(__xludf.DUMMYFUNCTION("IMPORTRANGE(""https://docs.google.com/spreadsheets/d/1tJCeYclgeJZ4Dc78t_SkhVjtacKW-5-VGim8X1rzUzk/edit"",""2!e46"")"),143.0)</f>
        <v>143</v>
      </c>
      <c r="L34" s="40">
        <f t="shared" si="91"/>
        <v>2064</v>
      </c>
      <c r="M34" s="40">
        <f t="shared" si="92"/>
        <v>3773</v>
      </c>
      <c r="N34" s="41">
        <f t="shared" si="93"/>
        <v>199.9417083</v>
      </c>
      <c r="O34" s="38">
        <v>7315.0</v>
      </c>
      <c r="P34" s="42">
        <f t="shared" si="94"/>
        <v>0.5157894737</v>
      </c>
      <c r="Q34" s="43">
        <v>1.5</v>
      </c>
      <c r="R34" s="42">
        <f t="shared" si="95"/>
        <v>0.5241805546</v>
      </c>
      <c r="S34" s="44">
        <f t="shared" si="96"/>
        <v>0.7862708319</v>
      </c>
      <c r="T34" s="43">
        <f>F34/30.897</f>
        <v>155.3096093</v>
      </c>
      <c r="U34" s="43">
        <f t="shared" si="97"/>
        <v>6.471233723</v>
      </c>
      <c r="V34" s="40">
        <f t="shared" si="98"/>
        <v>157.2083333</v>
      </c>
      <c r="X34" s="22">
        <v>5.0</v>
      </c>
      <c r="Y34" s="22" t="s">
        <v>29</v>
      </c>
      <c r="Z34" s="22">
        <f t="shared" ref="Z34:AI34" si="99">SUM(D49)</f>
        <v>23</v>
      </c>
      <c r="AA34" s="23">
        <f t="shared" si="99"/>
        <v>22</v>
      </c>
      <c r="AB34" s="24">
        <f t="shared" si="99"/>
        <v>4348.346</v>
      </c>
      <c r="AC34" s="23">
        <f t="shared" si="99"/>
        <v>1699</v>
      </c>
      <c r="AD34" s="23">
        <f t="shared" si="99"/>
        <v>0</v>
      </c>
      <c r="AE34" s="23">
        <f t="shared" si="99"/>
        <v>1699</v>
      </c>
      <c r="AF34" s="23">
        <f t="shared" si="99"/>
        <v>2397</v>
      </c>
      <c r="AG34" s="23">
        <f t="shared" si="99"/>
        <v>0</v>
      </c>
      <c r="AH34" s="23">
        <f t="shared" si="99"/>
        <v>2397</v>
      </c>
      <c r="AI34" s="23">
        <f t="shared" si="99"/>
        <v>4096</v>
      </c>
      <c r="AJ34" s="25">
        <f t="shared" ref="AJ34:AJ36" si="102">AB34/AA34</f>
        <v>197.6520909</v>
      </c>
      <c r="AK34" s="22">
        <f t="shared" ref="AK34:AK35" si="103">SUM(O49)</f>
        <v>9201</v>
      </c>
      <c r="AL34" s="26">
        <f t="shared" si="80"/>
        <v>0.4451690034</v>
      </c>
      <c r="AM34" s="27">
        <f t="shared" ref="AM34:AM35" si="104">SUM(Q49)</f>
        <v>1.5</v>
      </c>
      <c r="AN34" s="26">
        <f t="shared" si="82"/>
        <v>0.6279782397</v>
      </c>
      <c r="AO34" s="28">
        <f t="shared" si="83"/>
        <v>0.9419673595</v>
      </c>
      <c r="AP34" s="27">
        <f t="shared" ref="AP34:AQ34" si="100">SUM(T49)</f>
        <v>167</v>
      </c>
      <c r="AQ34" s="27">
        <f t="shared" si="100"/>
        <v>7.590909091</v>
      </c>
      <c r="AR34" s="23">
        <f t="shared" si="85"/>
        <v>186.1818182</v>
      </c>
    </row>
    <row r="35" ht="15.75" customHeight="1">
      <c r="A35" s="21"/>
      <c r="B35" s="38">
        <v>3.0</v>
      </c>
      <c r="C35" s="38" t="s">
        <v>30</v>
      </c>
      <c r="D35" s="39">
        <v>45.0</v>
      </c>
      <c r="E35" s="40">
        <f>IFERROR(__xludf.DUMMYFUNCTION("COUNT(IMPORTRANGE(""https://docs.google.com/spreadsheets/d/130gLEONC13J8KkQ6dk06x3bLRy_jCrAw2hXatQf2W50/edit"",""2!d2:d61""))"),45.0)</f>
        <v>45</v>
      </c>
      <c r="F35" s="45">
        <f>IFERROR(__xludf.DUMMYFUNCTION("SUM(IMPORTRANGE(""https://docs.google.com/spreadsheets/d/130gLEONC13J8KkQ6dk06x3bLRy_jCrAw2hXatQf2W50/edit"",""2!Q2:Q61""))"),9071.216999999993)</f>
        <v>9071.217</v>
      </c>
      <c r="G35" s="40">
        <f>IFERROR(__xludf.DUMMYFUNCTION("IMPORTRANGE(""https://docs.google.com/spreadsheets/d/130gLEONC13J8KkQ6dk06x3bLRy_jCrAw2hXatQf2W50/edit"",""2!e68"")"),2162.0)</f>
        <v>2162</v>
      </c>
      <c r="H35" s="40">
        <f>IFERROR(__xludf.DUMMYFUNCTION("IMPORTRANGE(""https://docs.google.com/spreadsheets/d/130gLEONC13J8KkQ6dk06x3bLRy_jCrAw2hXatQf2W50/edit"",""2!e69"")"),298.0)</f>
        <v>298</v>
      </c>
      <c r="I35" s="40">
        <f t="shared" si="90"/>
        <v>2460</v>
      </c>
      <c r="J35" s="40">
        <f>IFERROR(__xludf.DUMMYFUNCTION("IMPORTRANGE(""https://docs.google.com/spreadsheets/d/130gLEONC13J8KkQ6dk06x3bLRy_jCrAw2hXatQf2W50/edit"",""2!e72"")"),3931.0)</f>
        <v>3931</v>
      </c>
      <c r="K35" s="40">
        <f>IFERROR(__xludf.DUMMYFUNCTION("IMPORTRANGE(""https://docs.google.com/spreadsheets/d/130gLEONC13J8KkQ6dk06x3bLRy_jCrAw2hXatQf2W50/edit"",""2!e73"")"),34.0)</f>
        <v>34</v>
      </c>
      <c r="L35" s="40">
        <f t="shared" si="91"/>
        <v>3965</v>
      </c>
      <c r="M35" s="40">
        <f t="shared" si="92"/>
        <v>6425</v>
      </c>
      <c r="N35" s="41">
        <f t="shared" si="93"/>
        <v>201.5826</v>
      </c>
      <c r="O35" s="38">
        <v>11164.0</v>
      </c>
      <c r="P35" s="42">
        <f t="shared" si="94"/>
        <v>0.5755105697</v>
      </c>
      <c r="Q35" s="43">
        <v>1.5</v>
      </c>
      <c r="R35" s="42">
        <f t="shared" si="95"/>
        <v>0.4721894905</v>
      </c>
      <c r="S35" s="44">
        <f t="shared" si="96"/>
        <v>0.7082842357</v>
      </c>
      <c r="T35" s="43">
        <f>F35/29.603</f>
        <v>306.4289768</v>
      </c>
      <c r="U35" s="43">
        <f t="shared" si="97"/>
        <v>6.809532818</v>
      </c>
      <c r="V35" s="40">
        <f t="shared" si="98"/>
        <v>142.7777778</v>
      </c>
      <c r="X35" s="22">
        <v>6.0</v>
      </c>
      <c r="Y35" s="22" t="s">
        <v>31</v>
      </c>
      <c r="Z35" s="22">
        <f t="shared" ref="Z35:AI35" si="101">SUM(D50)</f>
        <v>11</v>
      </c>
      <c r="AA35" s="23">
        <f t="shared" si="101"/>
        <v>11</v>
      </c>
      <c r="AB35" s="25">
        <f t="shared" si="101"/>
        <v>2129.785</v>
      </c>
      <c r="AC35" s="23">
        <f t="shared" si="101"/>
        <v>463</v>
      </c>
      <c r="AD35" s="23">
        <f t="shared" si="101"/>
        <v>0</v>
      </c>
      <c r="AE35" s="23">
        <f t="shared" si="101"/>
        <v>463</v>
      </c>
      <c r="AF35" s="23">
        <f t="shared" si="101"/>
        <v>674</v>
      </c>
      <c r="AG35" s="23">
        <f t="shared" si="101"/>
        <v>0</v>
      </c>
      <c r="AH35" s="23">
        <f t="shared" si="101"/>
        <v>674</v>
      </c>
      <c r="AI35" s="23">
        <f t="shared" si="101"/>
        <v>1137</v>
      </c>
      <c r="AJ35" s="25">
        <f t="shared" si="102"/>
        <v>193.6168182</v>
      </c>
      <c r="AK35" s="22">
        <f t="shared" si="103"/>
        <v>2717</v>
      </c>
      <c r="AL35" s="26">
        <f t="shared" si="80"/>
        <v>0.4184762606</v>
      </c>
      <c r="AM35" s="27">
        <f t="shared" si="104"/>
        <v>1.5</v>
      </c>
      <c r="AN35" s="26">
        <f t="shared" si="82"/>
        <v>0.3559044692</v>
      </c>
      <c r="AO35" s="28">
        <f t="shared" si="83"/>
        <v>0.5338567038</v>
      </c>
      <c r="AP35" s="27">
        <f t="shared" ref="AP35:AQ35" si="105">SUM(T50)</f>
        <v>49</v>
      </c>
      <c r="AQ35" s="27">
        <f t="shared" si="105"/>
        <v>4.454545455</v>
      </c>
      <c r="AR35" s="23">
        <f t="shared" si="85"/>
        <v>103.3636364</v>
      </c>
    </row>
    <row r="36" ht="15.75" customHeight="1">
      <c r="A36" s="21"/>
      <c r="B36" s="38">
        <v>4.0</v>
      </c>
      <c r="C36" s="38" t="s">
        <v>32</v>
      </c>
      <c r="D36" s="39">
        <v>32.0</v>
      </c>
      <c r="E36" s="40">
        <f>IFERROR(__xludf.DUMMYFUNCTION("COUNT(IMPORTRANGE(""https://docs.google.com/spreadsheets/d/1gYHli7FuKQLm2Q-5LMR0UtkD-gRRA_p8s-phLPLDLgc/edit"",""2!d2:d43""))"),32.0)</f>
        <v>32</v>
      </c>
      <c r="F36" s="45">
        <f>IFERROR(__xludf.DUMMYFUNCTION("SUM(IMPORTRANGE(""https://docs.google.com/spreadsheets/d/1gYHli7FuKQLm2Q-5LMR0UtkD-gRRA_p8s-phLPLDLgc/edit"",""2!Q2:Q43""))"),6060.067999999996)</f>
        <v>6060.068</v>
      </c>
      <c r="G36" s="38">
        <f>IFERROR(__xludf.DUMMYFUNCTION("IMPORTRANGE(""https://docs.google.com/spreadsheets/d/1gYHli7FuKQLm2Q-5LMR0UtkD-gRRA_p8s-phLPLDLgc/edit"",""2!e50"")"),2998.0)</f>
        <v>2998</v>
      </c>
      <c r="H36" s="38">
        <f>IFERROR(__xludf.DUMMYFUNCTION("IMPORTRANGE(""https://docs.google.com/spreadsheets/d/1gYHli7FuKQLm2Q-5LMR0UtkD-gRRA_p8s-phLPLDLgc/edit"",""2!e51"")"),0.0)</f>
        <v>0</v>
      </c>
      <c r="I36" s="40">
        <f t="shared" si="90"/>
        <v>2998</v>
      </c>
      <c r="J36" s="38">
        <f>IFERROR(__xludf.DUMMYFUNCTION("IMPORTRANGE(""https://docs.google.com/spreadsheets/d/1gYHli7FuKQLm2Q-5LMR0UtkD-gRRA_p8s-phLPLDLgc/edit"",""2!e54"")"),3632.0)</f>
        <v>3632</v>
      </c>
      <c r="K36" s="38">
        <f>IFERROR(__xludf.DUMMYFUNCTION("IMPORTRANGE(""https://docs.google.com/spreadsheets/d/1gYHli7FuKQLm2Q-5LMR0UtkD-gRRA_p8s-phLPLDLgc/edit"",""2!e55"")"),0.0)</f>
        <v>0</v>
      </c>
      <c r="L36" s="40">
        <f t="shared" si="91"/>
        <v>3632</v>
      </c>
      <c r="M36" s="40">
        <f t="shared" si="92"/>
        <v>6630</v>
      </c>
      <c r="N36" s="41">
        <f t="shared" si="93"/>
        <v>189.377125</v>
      </c>
      <c r="O36" s="38">
        <v>13817.0</v>
      </c>
      <c r="P36" s="42">
        <f t="shared" si="94"/>
        <v>0.4798436708</v>
      </c>
      <c r="Q36" s="43">
        <v>1.5</v>
      </c>
      <c r="R36" s="42">
        <f t="shared" si="95"/>
        <v>0.729364753</v>
      </c>
      <c r="S36" s="44">
        <f t="shared" si="96"/>
        <v>1.09404713</v>
      </c>
      <c r="T36" s="43">
        <f>F36/25.089</f>
        <v>241.5428275</v>
      </c>
      <c r="U36" s="43">
        <f t="shared" si="97"/>
        <v>7.54821336</v>
      </c>
      <c r="V36" s="40">
        <f t="shared" si="98"/>
        <v>207.1875</v>
      </c>
      <c r="X36" s="46" t="s">
        <v>33</v>
      </c>
      <c r="Y36" s="46">
        <v>6.0</v>
      </c>
      <c r="Z36" s="46">
        <f t="shared" ref="Z36:AI36" si="106">SUM(Z30:Z35)</f>
        <v>144</v>
      </c>
      <c r="AA36" s="47">
        <f t="shared" si="106"/>
        <v>141</v>
      </c>
      <c r="AB36" s="48">
        <f t="shared" si="106"/>
        <v>26994.784</v>
      </c>
      <c r="AC36" s="47">
        <f t="shared" si="106"/>
        <v>6859</v>
      </c>
      <c r="AD36" s="47">
        <f t="shared" si="106"/>
        <v>264</v>
      </c>
      <c r="AE36" s="47">
        <f t="shared" si="106"/>
        <v>7123</v>
      </c>
      <c r="AF36" s="47">
        <f t="shared" si="106"/>
        <v>10489</v>
      </c>
      <c r="AG36" s="47">
        <f t="shared" si="106"/>
        <v>432</v>
      </c>
      <c r="AH36" s="47">
        <f t="shared" si="106"/>
        <v>10921</v>
      </c>
      <c r="AI36" s="47">
        <f t="shared" si="106"/>
        <v>18044</v>
      </c>
      <c r="AJ36" s="49">
        <f t="shared" si="102"/>
        <v>191.4523688</v>
      </c>
      <c r="AK36" s="46">
        <f>SUM(AK30:AK35)</f>
        <v>35074</v>
      </c>
      <c r="AL36" s="50">
        <f t="shared" si="80"/>
        <v>0.514455152</v>
      </c>
      <c r="AM36" s="51">
        <v>1.5</v>
      </c>
      <c r="AN36" s="50">
        <f t="shared" si="82"/>
        <v>0.4456169508</v>
      </c>
      <c r="AO36" s="52">
        <f t="shared" si="83"/>
        <v>0.6684254262</v>
      </c>
      <c r="AP36" s="51">
        <f>SUM(AP30:AP35)</f>
        <v>1020.75646</v>
      </c>
      <c r="AQ36" s="51">
        <f>AP36/AA36</f>
        <v>7.239407515</v>
      </c>
      <c r="AR36" s="47">
        <f t="shared" si="85"/>
        <v>127.9716312</v>
      </c>
    </row>
    <row r="37" ht="15.75" customHeight="1">
      <c r="A37" s="21"/>
      <c r="B37" s="38">
        <v>5.0</v>
      </c>
      <c r="C37" s="38" t="s">
        <v>34</v>
      </c>
      <c r="D37" s="39">
        <v>30.0</v>
      </c>
      <c r="E37" s="40">
        <f>IFERROR(__xludf.DUMMYFUNCTION("COUNT(IMPORTRANGE(""https://docs.google.com/spreadsheets/d/1ptS0qWBCKWkc9h2aXWT_YgMhN7yIv5WgAHRbF8l9Zpo/edit"",""2!d2:d41""))"),30.0)</f>
        <v>30</v>
      </c>
      <c r="F37" s="45">
        <f>IFERROR(__xludf.DUMMYFUNCTION("SUM(IMPORTRANGE(""https://docs.google.com/spreadsheets/d/1ptS0qWBCKWkc9h2aXWT_YgMhN7yIv5WgAHRbF8l9Zpo/edit"",""2!Q2:Q41""))"),6009.564000000001)</f>
        <v>6009.564</v>
      </c>
      <c r="G37" s="40">
        <f>IFERROR(__xludf.DUMMYFUNCTION("IMPORTRANGE(""https://docs.google.com/spreadsheets/d/1ptS0qWBCKWkc9h2aXWT_YgMhN7yIv5WgAHRbF8l9Zpo/edit"",""2!e48"")"),1785.0)</f>
        <v>1785</v>
      </c>
      <c r="H37" s="40">
        <f>IFERROR(__xludf.DUMMYFUNCTION("IMPORTRANGE(""https://docs.google.com/spreadsheets/d/1ptS0qWBCKWkc9h2aXWT_YgMhN7yIv5WgAHRbF8l9Zpo/edit"",""2!e49"")"),0.0)</f>
        <v>0</v>
      </c>
      <c r="I37" s="40">
        <f t="shared" si="90"/>
        <v>1785</v>
      </c>
      <c r="J37" s="40">
        <f>IFERROR(__xludf.DUMMYFUNCTION("IMPORTRANGE(""https://docs.google.com/spreadsheets/d/1ptS0qWBCKWkc9h2aXWT_YgMhN7yIv5WgAHRbF8l9Zpo/edit"",""2!e52"")"),2297.0)</f>
        <v>2297</v>
      </c>
      <c r="K37" s="40">
        <f>IFERROR(__xludf.DUMMYFUNCTION("IMPORTRANGE(""https://docs.google.com/spreadsheets/d/1ptS0qWBCKWkc9h2aXWT_YgMhN7yIv5WgAHRbF8l9Zpo/edit"",""2!e53"")"),75.0)</f>
        <v>75</v>
      </c>
      <c r="L37" s="40">
        <f t="shared" si="91"/>
        <v>2372</v>
      </c>
      <c r="M37" s="40">
        <f t="shared" si="92"/>
        <v>4157</v>
      </c>
      <c r="N37" s="41">
        <f t="shared" si="93"/>
        <v>200.3188</v>
      </c>
      <c r="O37" s="38">
        <v>9354.0</v>
      </c>
      <c r="P37" s="42">
        <f t="shared" si="94"/>
        <v>0.4444088091</v>
      </c>
      <c r="Q37" s="43">
        <v>1.5</v>
      </c>
      <c r="R37" s="42">
        <f t="shared" si="95"/>
        <v>0.4611538097</v>
      </c>
      <c r="S37" s="44">
        <f t="shared" si="96"/>
        <v>0.6917307146</v>
      </c>
      <c r="T37" s="43">
        <f>F37/30.713</f>
        <v>195.668414</v>
      </c>
      <c r="U37" s="43">
        <f t="shared" si="97"/>
        <v>6.522280468</v>
      </c>
      <c r="V37" s="40">
        <f t="shared" si="98"/>
        <v>138.5666667</v>
      </c>
      <c r="X37" s="53" t="s">
        <v>35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6"/>
    </row>
    <row r="38" ht="15.75" customHeight="1">
      <c r="A38" s="21"/>
      <c r="B38" s="38">
        <v>6.0</v>
      </c>
      <c r="C38" s="38" t="s">
        <v>23</v>
      </c>
      <c r="D38" s="39">
        <v>26.0</v>
      </c>
      <c r="E38" s="40">
        <f>IFERROR(__xludf.DUMMYFUNCTION("COUNT(IMPORTRANGE(""https://docs.google.com/spreadsheets/d/1829CoYW82aTBBUgqkPnJa94KlBWI-DowAnP4ENQCmaQ/edit"",""2!d2:d36""))"),25.0)</f>
        <v>25</v>
      </c>
      <c r="F38" s="45">
        <f>IFERROR(__xludf.DUMMYFUNCTION("SUM(IMPORTRANGE(""https://docs.google.com/spreadsheets/d/1829CoYW82aTBBUgqkPnJa94KlBWI-DowAnP4ENQCmaQ/edit"",""2!Q2:Q36""))"),4993.519999999999)</f>
        <v>4993.52</v>
      </c>
      <c r="G38" s="40">
        <f>IFERROR(__xludf.DUMMYFUNCTION("IMPORTRANGE(""https://docs.google.com/spreadsheets/d/1829CoYW82aTBBUgqkPnJa94KlBWI-DowAnP4ENQCmaQ/edit"",""2!e43"")"),1015.0)</f>
        <v>1015</v>
      </c>
      <c r="H38" s="40">
        <f>IFERROR(__xludf.DUMMYFUNCTION("IMPORTRANGE(""https://docs.google.com/spreadsheets/d/1829CoYW82aTBBUgqkPnJa94KlBWI-DowAnP4ENQCmaQ/edit"",""2!e44"")"),0.0)</f>
        <v>0</v>
      </c>
      <c r="I38" s="40">
        <f t="shared" si="90"/>
        <v>1015</v>
      </c>
      <c r="J38" s="40">
        <f>IFERROR(__xludf.DUMMYFUNCTION("IMPORTRANGE(""https://docs.google.com/spreadsheets/d/1829CoYW82aTBBUgqkPnJa94KlBWI-DowAnP4ENQCmaQ/edit"",""2!e47"")"),2016.0)</f>
        <v>2016</v>
      </c>
      <c r="K38" s="40">
        <f>IFERROR(__xludf.DUMMYFUNCTION("IMPORTRANGE(""https://docs.google.com/spreadsheets/d/1829CoYW82aTBBUgqkPnJa94KlBWI-DowAnP4ENQCmaQ/edit"",""2!e48"")"),0.0)</f>
        <v>0</v>
      </c>
      <c r="L38" s="40">
        <f t="shared" si="91"/>
        <v>2016</v>
      </c>
      <c r="M38" s="40">
        <f t="shared" si="92"/>
        <v>3031</v>
      </c>
      <c r="N38" s="41">
        <f t="shared" si="93"/>
        <v>199.7408</v>
      </c>
      <c r="O38" s="38">
        <v>6853.0</v>
      </c>
      <c r="P38" s="42">
        <f t="shared" si="94"/>
        <v>0.442288049</v>
      </c>
      <c r="Q38" s="43">
        <v>1.5</v>
      </c>
      <c r="R38" s="42">
        <f t="shared" si="95"/>
        <v>0.4046577698</v>
      </c>
      <c r="S38" s="44">
        <f t="shared" si="96"/>
        <v>0.6069866547</v>
      </c>
      <c r="T38" s="43">
        <f>F38/33.74</f>
        <v>148</v>
      </c>
      <c r="U38" s="43">
        <f t="shared" si="97"/>
        <v>5.92</v>
      </c>
      <c r="V38" s="40">
        <f t="shared" si="98"/>
        <v>121.24</v>
      </c>
      <c r="X38" s="14" t="s">
        <v>2</v>
      </c>
      <c r="Y38" s="14" t="s">
        <v>3</v>
      </c>
      <c r="Z38" s="14" t="s">
        <v>4</v>
      </c>
      <c r="AA38" s="14" t="s">
        <v>5</v>
      </c>
      <c r="AB38" s="15" t="s">
        <v>6</v>
      </c>
      <c r="AC38" s="14" t="s">
        <v>7</v>
      </c>
      <c r="AD38" s="14" t="s">
        <v>8</v>
      </c>
      <c r="AE38" s="14" t="s">
        <v>9</v>
      </c>
      <c r="AF38" s="14" t="s">
        <v>10</v>
      </c>
      <c r="AG38" s="14" t="s">
        <v>11</v>
      </c>
      <c r="AH38" s="14" t="s">
        <v>12</v>
      </c>
      <c r="AI38" s="14" t="s">
        <v>13</v>
      </c>
      <c r="AJ38" s="15" t="s">
        <v>14</v>
      </c>
      <c r="AK38" s="14" t="s">
        <v>15</v>
      </c>
      <c r="AL38" s="14" t="s">
        <v>16</v>
      </c>
      <c r="AM38" s="16" t="s">
        <v>17</v>
      </c>
      <c r="AN38" s="17" t="s">
        <v>18</v>
      </c>
      <c r="AO38" s="18" t="s">
        <v>19</v>
      </c>
      <c r="AP38" s="19" t="s">
        <v>20</v>
      </c>
      <c r="AQ38" s="19" t="s">
        <v>21</v>
      </c>
      <c r="AR38" s="20" t="s">
        <v>22</v>
      </c>
    </row>
    <row r="39" ht="15.75" customHeight="1">
      <c r="A39" s="21"/>
      <c r="B39" s="38">
        <v>7.0</v>
      </c>
      <c r="C39" s="38" t="s">
        <v>24</v>
      </c>
      <c r="D39" s="39">
        <v>35.0</v>
      </c>
      <c r="E39" s="54">
        <f>IFERROR(__xludf.DUMMYFUNCTION("COUNT(IMPORTRANGE(""https://docs.google.com/spreadsheets/d/1E2x4oDZxEIsuC5nl-5Z0--MoN8b1dt9SbpRcCfNP84Q/edit"",""2!d2:d45""))"),35.0)</f>
        <v>35</v>
      </c>
      <c r="F39" s="55">
        <f>IFERROR(__xludf.DUMMYFUNCTION("SUM(IMPORTRANGE(""https://docs.google.com/spreadsheets/d/1E2x4oDZxEIsuC5nl-5Z0--MoN8b1dt9SbpRcCfNP84Q/edit"",""2!Q2:Q45""))"),6358.463999999995)</f>
        <v>6358.464</v>
      </c>
      <c r="G39" s="54">
        <f>IFERROR(__xludf.DUMMYFUNCTION("IMPORTRANGE(""https://docs.google.com/spreadsheets/d/1E2x4oDZxEIsuC5nl-5Z0--MoN8b1dt9SbpRcCfNP84Q/edit"",""2!e53"")"),639.0)</f>
        <v>639</v>
      </c>
      <c r="H39" s="54">
        <f>IFERROR(__xludf.DUMMYFUNCTION("IMPORTRANGE(""https://docs.google.com/spreadsheets/d/1E2x4oDZxEIsuC5nl-5Z0--MoN8b1dt9SbpRcCfNP84Q/edit"",""2!e54"")"),23.0)</f>
        <v>23</v>
      </c>
      <c r="I39" s="54">
        <f t="shared" si="90"/>
        <v>662</v>
      </c>
      <c r="J39" s="54">
        <f>IFERROR(__xludf.DUMMYFUNCTION("IMPORTRANGE(""https://docs.google.com/spreadsheets/d/1E2x4oDZxEIsuC5nl-5Z0--MoN8b1dt9SbpRcCfNP84Q/edit"",""2!e57"")"),858.0)</f>
        <v>858</v>
      </c>
      <c r="K39" s="54">
        <f>IFERROR(__xludf.DUMMYFUNCTION("IMPORTRANGE(""https://docs.google.com/spreadsheets/d/1E2x4oDZxEIsuC5nl-5Z0--MoN8b1dt9SbpRcCfNP84Q/edit"",""2!e58"")"),23.0)</f>
        <v>23</v>
      </c>
      <c r="L39" s="40">
        <f t="shared" si="91"/>
        <v>881</v>
      </c>
      <c r="M39" s="40">
        <f t="shared" si="92"/>
        <v>1543</v>
      </c>
      <c r="N39" s="41">
        <f t="shared" si="93"/>
        <v>181.6704</v>
      </c>
      <c r="O39" s="38">
        <v>1580.0</v>
      </c>
      <c r="P39" s="56">
        <f t="shared" si="94"/>
        <v>0.9765822785</v>
      </c>
      <c r="Q39" s="43">
        <v>1.5</v>
      </c>
      <c r="R39" s="42">
        <f t="shared" si="95"/>
        <v>0.1617791131</v>
      </c>
      <c r="S39" s="44">
        <f t="shared" si="96"/>
        <v>0.2426686697</v>
      </c>
      <c r="T39" s="43">
        <f>F39/26.805</f>
        <v>237.2118635</v>
      </c>
      <c r="U39" s="43">
        <f t="shared" si="97"/>
        <v>6.777481813</v>
      </c>
      <c r="V39" s="40">
        <f t="shared" si="98"/>
        <v>44.08571429</v>
      </c>
      <c r="X39" s="22">
        <v>1.0</v>
      </c>
      <c r="Y39" s="22" t="s">
        <v>28</v>
      </c>
      <c r="Z39" s="22">
        <f t="shared" ref="Z39:AI39" si="107">SUM(D34)</f>
        <v>24</v>
      </c>
      <c r="AA39" s="23">
        <f t="shared" si="107"/>
        <v>24</v>
      </c>
      <c r="AB39" s="25">
        <f t="shared" si="107"/>
        <v>4798.601</v>
      </c>
      <c r="AC39" s="23">
        <f t="shared" si="107"/>
        <v>1649</v>
      </c>
      <c r="AD39" s="23">
        <f t="shared" si="107"/>
        <v>60</v>
      </c>
      <c r="AE39" s="23">
        <f t="shared" si="107"/>
        <v>1709</v>
      </c>
      <c r="AF39" s="23">
        <f t="shared" si="107"/>
        <v>1921</v>
      </c>
      <c r="AG39" s="23">
        <f t="shared" si="107"/>
        <v>143</v>
      </c>
      <c r="AH39" s="23">
        <f t="shared" si="107"/>
        <v>2064</v>
      </c>
      <c r="AI39" s="23">
        <f t="shared" si="107"/>
        <v>3773</v>
      </c>
      <c r="AJ39" s="25">
        <f t="shared" ref="AJ39:AJ45" si="110">AB39/AA39</f>
        <v>199.9417083</v>
      </c>
      <c r="AK39" s="22">
        <f t="shared" ref="AK39:AK40" si="111">SUM(O34)</f>
        <v>7315</v>
      </c>
      <c r="AL39" s="26">
        <f t="shared" ref="AL39:AL45" si="112">AI39/AK39</f>
        <v>0.5157894737</v>
      </c>
      <c r="AM39" s="27">
        <f t="shared" ref="AM39:AM40" si="113">SUM(Q34)</f>
        <v>1.5</v>
      </c>
      <c r="AN39" s="26">
        <f t="shared" ref="AN39:AN45" si="114">AO39/AM39</f>
        <v>0.5241805546</v>
      </c>
      <c r="AO39" s="28">
        <f t="shared" ref="AO39:AO45" si="115">AI39/AB39</f>
        <v>0.7862708319</v>
      </c>
      <c r="AP39" s="27">
        <f t="shared" ref="AP39:AQ39" si="108">SUM(T34)</f>
        <v>155.3096093</v>
      </c>
      <c r="AQ39" s="27">
        <f t="shared" si="108"/>
        <v>6.471233723</v>
      </c>
      <c r="AR39" s="23">
        <f t="shared" ref="AR39:AR45" si="117">AI39/AA39</f>
        <v>157.2083333</v>
      </c>
    </row>
    <row r="40" ht="15.75" customHeight="1">
      <c r="A40" s="21"/>
      <c r="B40" s="38">
        <v>8.0</v>
      </c>
      <c r="C40" s="38" t="s">
        <v>25</v>
      </c>
      <c r="D40" s="57">
        <v>26.0</v>
      </c>
      <c r="E40" s="40">
        <f>IFERROR(__xludf.DUMMYFUNCTION("COUNT(IMPORTRANGE(""https://docs.google.com/spreadsheets/d/1KbRFOEYB0B44J_NSh1MwYQ1sLDlZXUHI-wuMLcZDn5k/edit"",""2!d2:D33""))"),25.0)</f>
        <v>25</v>
      </c>
      <c r="F40" s="45">
        <f>IFERROR(__xludf.DUMMYFUNCTION("SUM(IMPORTRANGE(""https://docs.google.com/spreadsheets/d/1KbRFOEYB0B44J_NSh1MwYQ1sLDlZXUHI-wuMLcZDn5k/edit"",""2!Q2:Q33""))"),4824.092000000001)</f>
        <v>4824.092</v>
      </c>
      <c r="G40" s="40">
        <f>IFERROR(__xludf.DUMMYFUNCTION("IMPORTRANGE(""https://docs.google.com/spreadsheets/d/1KbRFOEYB0B44J_NSh1MwYQ1sLDlZXUHI-wuMLcZDn5k/edit"",""2!e40"")"),1463.0)</f>
        <v>1463</v>
      </c>
      <c r="H40" s="40">
        <f>IFERROR(__xludf.DUMMYFUNCTION("IMPORTRANGE(""https://docs.google.com/spreadsheets/d/1KbRFOEYB0B44J_NSh1MwYQ1sLDlZXUHI-wuMLcZDn5k/edit"",""2!e41"")"),241.0)</f>
        <v>241</v>
      </c>
      <c r="I40" s="40">
        <f t="shared" si="90"/>
        <v>1704</v>
      </c>
      <c r="J40" s="40">
        <f>IFERROR(__xludf.DUMMYFUNCTION("IMPORTRANGE(""https://docs.google.com/spreadsheets/d/1KbRFOEYB0B44J_NSh1MwYQ1sLDlZXUHI-wuMLcZDn5k/edit"",""2!e44"")"),2465.0)</f>
        <v>2465</v>
      </c>
      <c r="K40" s="40">
        <f>IFERROR(__xludf.DUMMYFUNCTION("IMPORTRANGE(""https://docs.google.com/spreadsheets/d/1KbRFOEYB0B44J_NSh1MwYQ1sLDlZXUHI-wuMLcZDn5k/edit"",""2!e45"")"),409.0)</f>
        <v>409</v>
      </c>
      <c r="L40" s="40">
        <f>J40+K40</f>
        <v>2874</v>
      </c>
      <c r="M40" s="40">
        <f t="shared" si="92"/>
        <v>4578</v>
      </c>
      <c r="N40" s="41">
        <f t="shared" si="93"/>
        <v>192.96368</v>
      </c>
      <c r="O40" s="38">
        <v>6622.0</v>
      </c>
      <c r="P40" s="42">
        <f t="shared" si="94"/>
        <v>0.6913319239</v>
      </c>
      <c r="Q40" s="43">
        <v>1.5</v>
      </c>
      <c r="R40" s="42">
        <f t="shared" si="95"/>
        <v>0.6326579178</v>
      </c>
      <c r="S40" s="44">
        <f t="shared" si="96"/>
        <v>0.9489868767</v>
      </c>
      <c r="T40" s="43">
        <f>F40/23.84</f>
        <v>202.3528523</v>
      </c>
      <c r="U40" s="43">
        <f t="shared" si="97"/>
        <v>8.094114094</v>
      </c>
      <c r="V40" s="40">
        <f t="shared" si="98"/>
        <v>183.12</v>
      </c>
      <c r="X40" s="31">
        <v>2.0</v>
      </c>
      <c r="Y40" s="31" t="s">
        <v>30</v>
      </c>
      <c r="Z40" s="31">
        <f t="shared" ref="Z40:AI40" si="109">SUM(D35)</f>
        <v>45</v>
      </c>
      <c r="AA40" s="32">
        <f t="shared" si="109"/>
        <v>45</v>
      </c>
      <c r="AB40" s="33">
        <f t="shared" si="109"/>
        <v>9071.217</v>
      </c>
      <c r="AC40" s="32">
        <f t="shared" si="109"/>
        <v>2162</v>
      </c>
      <c r="AD40" s="32">
        <f t="shared" si="109"/>
        <v>298</v>
      </c>
      <c r="AE40" s="32">
        <f t="shared" si="109"/>
        <v>2460</v>
      </c>
      <c r="AF40" s="32">
        <f t="shared" si="109"/>
        <v>3931</v>
      </c>
      <c r="AG40" s="32">
        <f t="shared" si="109"/>
        <v>34</v>
      </c>
      <c r="AH40" s="32">
        <f t="shared" si="109"/>
        <v>3965</v>
      </c>
      <c r="AI40" s="32">
        <f t="shared" si="109"/>
        <v>6425</v>
      </c>
      <c r="AJ40" s="34">
        <f t="shared" si="110"/>
        <v>201.5826</v>
      </c>
      <c r="AK40" s="31">
        <f t="shared" si="111"/>
        <v>11164</v>
      </c>
      <c r="AL40" s="35">
        <f t="shared" si="112"/>
        <v>0.5755105697</v>
      </c>
      <c r="AM40" s="36">
        <f t="shared" si="113"/>
        <v>1.5</v>
      </c>
      <c r="AN40" s="35">
        <f t="shared" si="114"/>
        <v>0.4721894905</v>
      </c>
      <c r="AO40" s="37">
        <f t="shared" si="115"/>
        <v>0.7082842357</v>
      </c>
      <c r="AP40" s="36">
        <f t="shared" ref="AP40:AQ40" si="116">SUM(T35)</f>
        <v>306.4289768</v>
      </c>
      <c r="AQ40" s="36">
        <f t="shared" si="116"/>
        <v>6.809532818</v>
      </c>
      <c r="AR40" s="32">
        <f t="shared" si="117"/>
        <v>142.7777778</v>
      </c>
    </row>
    <row r="41" ht="15.75" customHeight="1">
      <c r="A41" s="21"/>
      <c r="B41" s="38">
        <v>9.0</v>
      </c>
      <c r="C41" s="38" t="s">
        <v>36</v>
      </c>
      <c r="D41" s="58">
        <v>22.0</v>
      </c>
      <c r="E41" s="40">
        <f>IFERROR(__xludf.DUMMYFUNCTION("COUNT(IMPORTRANGE(""https://docs.google.com/spreadsheets/d/1VqqqRGfmmkT0JC4ILJva2p8P11jjV0FX-TSKAaqOigw/edit"",""2!d2:d31""))"),22.0)</f>
        <v>22</v>
      </c>
      <c r="F41" s="45">
        <f>IFERROR(__xludf.DUMMYFUNCTION("SUM(IMPORTRANGE(""https://docs.google.com/spreadsheets/d/1VqqqRGfmmkT0JC4ILJva2p8P11jjV0FX-TSKAaqOigw/edit"",""2!Q2:Q31""))"),4410.0639999999985)</f>
        <v>4410.064</v>
      </c>
      <c r="G41" s="40">
        <f>IFERROR(__xludf.DUMMYFUNCTION("IMPORTRANGE(""https://docs.google.com/spreadsheets/d/1VqqqRGfmmkT0JC4ILJva2p8P11jjV0FX-TSKAaqOigw/edit"",""2!e38"")"),884.0)</f>
        <v>884</v>
      </c>
      <c r="H41" s="40">
        <f>IFERROR(__xludf.DUMMYFUNCTION("IMPORTRANGE(""https://docs.google.com/spreadsheets/d/1VqqqRGfmmkT0JC4ILJva2p8P11jjV0FX-TSKAaqOigw/edit"",""2!e39"")"),0.0)</f>
        <v>0</v>
      </c>
      <c r="I41" s="40">
        <f t="shared" si="90"/>
        <v>884</v>
      </c>
      <c r="J41" s="40">
        <f>IFERROR(__xludf.DUMMYFUNCTION("IMPORTRANGE(""https://docs.google.com/spreadsheets/d/1VqqqRGfmmkT0JC4ILJva2p8P11jjV0FX-TSKAaqOigw/edit"",""2!e42"")"),1633.0)</f>
        <v>1633</v>
      </c>
      <c r="K41" s="40">
        <f>IFERROR(__xludf.DUMMYFUNCTION("IMPORTRANGE(""https://docs.google.com/spreadsheets/d/1VqqqRGfmmkT0JC4ILJva2p8P11jjV0FX-TSKAaqOigw/edit"",""2!e43"")"),0.0)</f>
        <v>0</v>
      </c>
      <c r="L41" s="40">
        <f t="shared" ref="L41:L50" si="120">SUM(J41:K41)</f>
        <v>1633</v>
      </c>
      <c r="M41" s="40">
        <f t="shared" si="92"/>
        <v>2517</v>
      </c>
      <c r="N41" s="41">
        <f t="shared" si="93"/>
        <v>200.4574545</v>
      </c>
      <c r="O41" s="38">
        <v>4796.0</v>
      </c>
      <c r="P41" s="42">
        <f t="shared" si="94"/>
        <v>0.5248123436</v>
      </c>
      <c r="Q41" s="43">
        <v>1.5</v>
      </c>
      <c r="R41" s="42">
        <f t="shared" si="95"/>
        <v>0.3804933443</v>
      </c>
      <c r="S41" s="44">
        <f t="shared" si="96"/>
        <v>0.5707400165</v>
      </c>
      <c r="T41" s="43">
        <f>F41/37.414</f>
        <v>117.8720265</v>
      </c>
      <c r="U41" s="43">
        <f t="shared" si="97"/>
        <v>5.357819387</v>
      </c>
      <c r="V41" s="40">
        <f t="shared" si="98"/>
        <v>114.4090909</v>
      </c>
      <c r="X41" s="22">
        <v>3.0</v>
      </c>
      <c r="Y41" s="22" t="s">
        <v>34</v>
      </c>
      <c r="Z41" s="22">
        <f t="shared" ref="Z41:AI41" si="118">SUM(D37)</f>
        <v>30</v>
      </c>
      <c r="AA41" s="23">
        <f t="shared" si="118"/>
        <v>30</v>
      </c>
      <c r="AB41" s="24">
        <f t="shared" si="118"/>
        <v>6009.564</v>
      </c>
      <c r="AC41" s="23">
        <f t="shared" si="118"/>
        <v>1785</v>
      </c>
      <c r="AD41" s="23">
        <f t="shared" si="118"/>
        <v>0</v>
      </c>
      <c r="AE41" s="23">
        <f t="shared" si="118"/>
        <v>1785</v>
      </c>
      <c r="AF41" s="23">
        <f t="shared" si="118"/>
        <v>2297</v>
      </c>
      <c r="AG41" s="23">
        <f t="shared" si="118"/>
        <v>75</v>
      </c>
      <c r="AH41" s="23">
        <f t="shared" si="118"/>
        <v>2372</v>
      </c>
      <c r="AI41" s="23">
        <f t="shared" si="118"/>
        <v>4157</v>
      </c>
      <c r="AJ41" s="25">
        <f t="shared" si="110"/>
        <v>200.3188</v>
      </c>
      <c r="AK41" s="22">
        <f>SUM(O37)</f>
        <v>9354</v>
      </c>
      <c r="AL41" s="26">
        <f t="shared" si="112"/>
        <v>0.4444088091</v>
      </c>
      <c r="AM41" s="27">
        <f>SUM(Q37)</f>
        <v>1.5</v>
      </c>
      <c r="AN41" s="26">
        <f t="shared" si="114"/>
        <v>0.4611538097</v>
      </c>
      <c r="AO41" s="28">
        <f t="shared" si="115"/>
        <v>0.6917307146</v>
      </c>
      <c r="AP41" s="27">
        <f t="shared" ref="AP41:AQ41" si="119">SUM(T37)</f>
        <v>195.668414</v>
      </c>
      <c r="AQ41" s="27">
        <f t="shared" si="119"/>
        <v>6.522280468</v>
      </c>
      <c r="AR41" s="23">
        <f t="shared" si="117"/>
        <v>138.5666667</v>
      </c>
    </row>
    <row r="42" ht="15.75" customHeight="1">
      <c r="A42" s="21"/>
      <c r="B42" s="38">
        <v>10.0</v>
      </c>
      <c r="C42" s="38" t="s">
        <v>37</v>
      </c>
      <c r="D42" s="39">
        <v>23.0</v>
      </c>
      <c r="E42" s="40">
        <f>IFERROR(__xludf.DUMMYFUNCTION("COUNT(IMPORTRANGE(""https://docs.google.com/spreadsheets/d/1IYeRjQd_D6MRqoBKNaky3aSEUloYCJc5XDnPAbdyetk/edit"",""2!d2:d31""))"),23.0)</f>
        <v>23</v>
      </c>
      <c r="F42" s="45">
        <f>IFERROR(__xludf.DUMMYFUNCTION("SUM(IMPORTRANGE(""https://docs.google.com/spreadsheets/d/1IYeRjQd_D6MRqoBKNaky3aSEUloYCJc5XDnPAbdyetk/edit"",""2!Q2:Q31""))"),4410.354000000002)</f>
        <v>4410.354</v>
      </c>
      <c r="G42" s="40">
        <f>IFERROR(__xludf.DUMMYFUNCTION("(IMPORTRANGE(""https://docs.google.com/spreadsheets/d/1IYeRjQd_D6MRqoBKNaky3aSEUloYCJc5XDnPAbdyetk/edit"",""2!e38""))"),931.0)</f>
        <v>931</v>
      </c>
      <c r="H42" s="40">
        <f>IFERROR(__xludf.DUMMYFUNCTION("(IMPORTRANGE(""https://docs.google.com/spreadsheets/d/1IYeRjQd_D6MRqoBKNaky3aSEUloYCJc5XDnPAbdyetk/edit"",""2!e39""))"),65.0)</f>
        <v>65</v>
      </c>
      <c r="I42" s="40">
        <f t="shared" si="90"/>
        <v>996</v>
      </c>
      <c r="J42" s="40">
        <f>IFERROR(__xludf.DUMMYFUNCTION("(IMPORTRANGE(""https://docs.google.com/spreadsheets/d/1IYeRjQd_D6MRqoBKNaky3aSEUloYCJc5XDnPAbdyetk/edit"",""2!e42""))"),1781.0)</f>
        <v>1781</v>
      </c>
      <c r="K42" s="40">
        <f>IFERROR(__xludf.DUMMYFUNCTION("(IMPORTRANGE(""https://docs.google.com/spreadsheets/d/1IYeRjQd_D6MRqoBKNaky3aSEUloYCJc5XDnPAbdyetk/edit"",""2!e43""))"),0.0)</f>
        <v>0</v>
      </c>
      <c r="L42" s="40">
        <f t="shared" si="120"/>
        <v>1781</v>
      </c>
      <c r="M42" s="40">
        <f t="shared" si="92"/>
        <v>2777</v>
      </c>
      <c r="N42" s="41">
        <f t="shared" si="93"/>
        <v>191.7545217</v>
      </c>
      <c r="O42" s="38">
        <v>5887.0</v>
      </c>
      <c r="P42" s="42">
        <f t="shared" si="94"/>
        <v>0.4717173433</v>
      </c>
      <c r="Q42" s="43">
        <v>1.5</v>
      </c>
      <c r="R42" s="42">
        <f t="shared" si="95"/>
        <v>0.4197697811</v>
      </c>
      <c r="S42" s="44">
        <f t="shared" si="96"/>
        <v>0.6296546717</v>
      </c>
      <c r="T42" s="43">
        <f>F42/24.792</f>
        <v>177.8942401</v>
      </c>
      <c r="U42" s="43">
        <f t="shared" si="97"/>
        <v>7.734532177</v>
      </c>
      <c r="V42" s="40">
        <f t="shared" si="98"/>
        <v>120.7391304</v>
      </c>
      <c r="X42" s="31">
        <v>4.0</v>
      </c>
      <c r="Y42" s="31" t="s">
        <v>38</v>
      </c>
      <c r="Z42" s="31">
        <f t="shared" ref="Z42:AI42" si="121">SUM(D45)</f>
        <v>23</v>
      </c>
      <c r="AA42" s="32">
        <f t="shared" si="121"/>
        <v>23</v>
      </c>
      <c r="AB42" s="33">
        <f t="shared" si="121"/>
        <v>4347.643</v>
      </c>
      <c r="AC42" s="32">
        <f t="shared" si="121"/>
        <v>1336</v>
      </c>
      <c r="AD42" s="32">
        <f t="shared" si="121"/>
        <v>123</v>
      </c>
      <c r="AE42" s="32">
        <f t="shared" si="121"/>
        <v>1459</v>
      </c>
      <c r="AF42" s="32">
        <f t="shared" si="121"/>
        <v>2099</v>
      </c>
      <c r="AG42" s="32">
        <f t="shared" si="121"/>
        <v>0</v>
      </c>
      <c r="AH42" s="32">
        <f t="shared" si="121"/>
        <v>2099</v>
      </c>
      <c r="AI42" s="32">
        <f t="shared" si="121"/>
        <v>3558</v>
      </c>
      <c r="AJ42" s="34">
        <f t="shared" si="110"/>
        <v>189.0279565</v>
      </c>
      <c r="AK42" s="31">
        <v>7324.0</v>
      </c>
      <c r="AL42" s="35">
        <f t="shared" si="112"/>
        <v>0.4858001092</v>
      </c>
      <c r="AM42" s="36">
        <f>SUM(Q45)</f>
        <v>1.5</v>
      </c>
      <c r="AN42" s="35">
        <f t="shared" si="114"/>
        <v>0.5455829745</v>
      </c>
      <c r="AO42" s="37">
        <f t="shared" si="115"/>
        <v>0.8183744617</v>
      </c>
      <c r="AP42" s="36">
        <f t="shared" ref="AP42:AQ42" si="122">SUM(T45)</f>
        <v>105.5125106</v>
      </c>
      <c r="AQ42" s="36">
        <f t="shared" si="122"/>
        <v>4.587500462</v>
      </c>
      <c r="AR42" s="32">
        <f t="shared" si="117"/>
        <v>154.6956522</v>
      </c>
    </row>
    <row r="43" ht="15.75" customHeight="1">
      <c r="A43" s="21"/>
      <c r="B43" s="38">
        <v>12.0</v>
      </c>
      <c r="C43" s="38" t="s">
        <v>39</v>
      </c>
      <c r="D43" s="39">
        <v>21.0</v>
      </c>
      <c r="E43" s="40">
        <f>IFERROR(__xludf.DUMMYFUNCTION("COUNT(IMPORTRANGE(""https://docs.google.com/spreadsheets/d/1TAY2D35yAzyl8a_p5CuZehQvmatfj0b0Q8ICl8GtJBY/edit"",""2!d2:d29""))"),20.0)</f>
        <v>20</v>
      </c>
      <c r="F43" s="45">
        <f>IFERROR(__xludf.DUMMYFUNCTION("SUM(IMPORTRANGE(""https://docs.google.com/spreadsheets/d/1TAY2D35yAzyl8a_p5CuZehQvmatfj0b0Q8ICl8GtJBY/edit"",""2!Q2:Q29""))"),3997.5750000000007)</f>
        <v>3997.575</v>
      </c>
      <c r="G43" s="40">
        <f>IFERROR(__xludf.DUMMYFUNCTION("IMPORTRANGE(""https://docs.google.com/spreadsheets/d/1TAY2D35yAzyl8a_p5CuZehQvmatfj0b0Q8ICl8GtJBY/edit"",""2!e36"")"),819.0)</f>
        <v>819</v>
      </c>
      <c r="H43" s="40">
        <f>IFERROR(__xludf.DUMMYFUNCTION("(IMPORTRANGE(""https://docs.google.com/spreadsheets/d/1TAY2D35yAzyl8a_p5CuZehQvmatfj0b0Q8ICl8GtJBY/edit"",""2!e37""))"),0.0)</f>
        <v>0</v>
      </c>
      <c r="I43" s="40">
        <f t="shared" si="90"/>
        <v>819</v>
      </c>
      <c r="J43" s="40">
        <f>IFERROR(__xludf.DUMMYFUNCTION("IMPORTRANGE(""https://docs.google.com/spreadsheets/d/1TAY2D35yAzyl8a_p5CuZehQvmatfj0b0Q8ICl8GtJBY/edit"",""2!e40"")"),1395.0)</f>
        <v>1395</v>
      </c>
      <c r="K43" s="40">
        <f>IFERROR(__xludf.DUMMYFUNCTION("IMPORTRANGE(""https://docs.google.com/spreadsheets/d/1TAY2D35yAzyl8a_p5CuZehQvmatfj0b0Q8ICl8GtJBY/edit"",""2!e41"")"),0.0)</f>
        <v>0</v>
      </c>
      <c r="L43" s="40">
        <f t="shared" si="120"/>
        <v>1395</v>
      </c>
      <c r="M43" s="40">
        <f t="shared" si="92"/>
        <v>2214</v>
      </c>
      <c r="N43" s="41">
        <f t="shared" si="93"/>
        <v>199.87875</v>
      </c>
      <c r="O43" s="38">
        <v>3569.0</v>
      </c>
      <c r="P43" s="42">
        <f t="shared" si="94"/>
        <v>0.6203418324</v>
      </c>
      <c r="Q43" s="43">
        <v>1.5</v>
      </c>
      <c r="R43" s="42">
        <f t="shared" si="95"/>
        <v>0.369223842</v>
      </c>
      <c r="S43" s="44">
        <f t="shared" si="96"/>
        <v>0.5538357629</v>
      </c>
      <c r="T43" s="43">
        <f>F43/21.463</f>
        <v>186.2542515</v>
      </c>
      <c r="U43" s="43">
        <f t="shared" si="97"/>
        <v>9.312712575</v>
      </c>
      <c r="V43" s="40">
        <f t="shared" si="98"/>
        <v>110.7</v>
      </c>
      <c r="X43" s="31">
        <v>5.0</v>
      </c>
      <c r="Y43" s="31" t="s">
        <v>40</v>
      </c>
      <c r="Z43" s="31">
        <f t="shared" ref="Z43:AI43" si="123">SUM(D47)</f>
        <v>23</v>
      </c>
      <c r="AA43" s="32">
        <f t="shared" si="123"/>
        <v>23</v>
      </c>
      <c r="AB43" s="33">
        <f t="shared" si="123"/>
        <v>4323.336</v>
      </c>
      <c r="AC43" s="32">
        <f t="shared" si="123"/>
        <v>2156</v>
      </c>
      <c r="AD43" s="32">
        <f t="shared" si="123"/>
        <v>0</v>
      </c>
      <c r="AE43" s="32">
        <f t="shared" si="123"/>
        <v>2156</v>
      </c>
      <c r="AF43" s="32">
        <f t="shared" si="123"/>
        <v>2742</v>
      </c>
      <c r="AG43" s="32">
        <f t="shared" si="123"/>
        <v>0</v>
      </c>
      <c r="AH43" s="32">
        <f t="shared" si="123"/>
        <v>2742</v>
      </c>
      <c r="AI43" s="32">
        <f t="shared" si="123"/>
        <v>4898</v>
      </c>
      <c r="AJ43" s="34">
        <f t="shared" si="110"/>
        <v>187.9711304</v>
      </c>
      <c r="AK43" s="31">
        <f t="shared" ref="AK43:AK44" si="126">SUM(O47)</f>
        <v>8239</v>
      </c>
      <c r="AL43" s="35">
        <f t="shared" si="112"/>
        <v>0.5944896225</v>
      </c>
      <c r="AM43" s="36">
        <f t="shared" ref="AM43:AM44" si="127">SUM(Q47)</f>
        <v>1.5</v>
      </c>
      <c r="AN43" s="35">
        <f t="shared" si="114"/>
        <v>0.7552809528</v>
      </c>
      <c r="AO43" s="37">
        <f t="shared" si="115"/>
        <v>1.132921429</v>
      </c>
      <c r="AP43" s="36">
        <f t="shared" ref="AP43:AQ43" si="124">SUM(T47)</f>
        <v>152</v>
      </c>
      <c r="AQ43" s="36">
        <f t="shared" si="124"/>
        <v>6.608695652</v>
      </c>
      <c r="AR43" s="32">
        <f t="shared" si="117"/>
        <v>212.9565217</v>
      </c>
    </row>
    <row r="44" ht="15.75" customHeight="1">
      <c r="A44" s="21"/>
      <c r="B44" s="38">
        <v>12.0</v>
      </c>
      <c r="C44" s="38" t="s">
        <v>41</v>
      </c>
      <c r="D44" s="39">
        <v>19.0</v>
      </c>
      <c r="E44" s="40">
        <f>IFERROR(__xludf.DUMMYFUNCTION("COUNT(IMPORTRANGE(""https://docs.google.com/spreadsheets/d/1VAsUtLQHi7oV9NsI9EIHPnO1bcPJHeRgSbMoxSvPBME/edit"",""2!d2:d25""))"),19.0)</f>
        <v>19</v>
      </c>
      <c r="F44" s="45">
        <f>IFERROR(__xludf.DUMMYFUNCTION("SUM(IMPORTRANGE(""https://docs.google.com/spreadsheets/d/1VAsUtLQHi7oV9NsI9EIHPnO1bcPJHeRgSbMoxSvPBME/edit"",""2!Q2:Q25""))"),3812.136000000001)</f>
        <v>3812.136</v>
      </c>
      <c r="G44" s="40">
        <f>IFERROR(__xludf.DUMMYFUNCTION("IMPORTRANGE(""https://docs.google.com/spreadsheets/d/1VAsUtLQHi7oV9NsI9EIHPnO1bcPJHeRgSbMoxSvPBME/edit"",""2!e32"")"),816.0)</f>
        <v>816</v>
      </c>
      <c r="H44" s="40">
        <f>IFERROR(__xludf.DUMMYFUNCTION("IMPORTRANGE(""https://docs.google.com/spreadsheets/d/1VAsUtLQHi7oV9NsI9EIHPnO1bcPJHeRgSbMoxSvPBME/edit"",""2!e33"")"),0.0)</f>
        <v>0</v>
      </c>
      <c r="I44" s="40">
        <f t="shared" si="90"/>
        <v>816</v>
      </c>
      <c r="J44" s="40">
        <f>IFERROR(__xludf.DUMMYFUNCTION("IMPORTRANGE(""https://docs.google.com/spreadsheets/d/1VAsUtLQHi7oV9NsI9EIHPnO1bcPJHeRgSbMoxSvPBME/edit"",""2!e36"")"),1027.0)</f>
        <v>1027</v>
      </c>
      <c r="K44" s="40">
        <f>IFERROR(__xludf.DUMMYFUNCTION("IMPORTRANGE(""https://docs.google.com/spreadsheets/d/1VAsUtLQHi7oV9NsI9EIHPnO1bcPJHeRgSbMoxSvPBME/edit"",""2!e37"")"),0.0)</f>
        <v>0</v>
      </c>
      <c r="L44" s="40">
        <f t="shared" si="120"/>
        <v>1027</v>
      </c>
      <c r="M44" s="40">
        <f t="shared" si="92"/>
        <v>1843</v>
      </c>
      <c r="N44" s="41">
        <f t="shared" si="93"/>
        <v>200.6387368</v>
      </c>
      <c r="O44" s="38">
        <v>3801.0</v>
      </c>
      <c r="P44" s="42">
        <f t="shared" si="94"/>
        <v>0.484872402</v>
      </c>
      <c r="Q44" s="43">
        <v>1.5</v>
      </c>
      <c r="R44" s="42">
        <f t="shared" si="95"/>
        <v>0.3223039961</v>
      </c>
      <c r="S44" s="44">
        <f t="shared" si="96"/>
        <v>0.4834559942</v>
      </c>
      <c r="T44" s="43">
        <f>F44/29.628</f>
        <v>128.6666667</v>
      </c>
      <c r="U44" s="43">
        <f t="shared" si="97"/>
        <v>6.771929825</v>
      </c>
      <c r="V44" s="40">
        <f t="shared" si="98"/>
        <v>97</v>
      </c>
      <c r="X44" s="22">
        <v>6.0</v>
      </c>
      <c r="Y44" s="22" t="s">
        <v>42</v>
      </c>
      <c r="Z44" s="22">
        <f t="shared" ref="Z44:AI44" si="125">SUM(D48)</f>
        <v>24</v>
      </c>
      <c r="AA44" s="23">
        <f t="shared" si="125"/>
        <v>24</v>
      </c>
      <c r="AB44" s="24">
        <f t="shared" si="125"/>
        <v>4541.739</v>
      </c>
      <c r="AC44" s="23">
        <f t="shared" si="125"/>
        <v>2182</v>
      </c>
      <c r="AD44" s="23">
        <f t="shared" si="125"/>
        <v>0</v>
      </c>
      <c r="AE44" s="23">
        <f t="shared" si="125"/>
        <v>2182</v>
      </c>
      <c r="AF44" s="23">
        <f t="shared" si="125"/>
        <v>2768</v>
      </c>
      <c r="AG44" s="23">
        <f t="shared" si="125"/>
        <v>0</v>
      </c>
      <c r="AH44" s="23">
        <f t="shared" si="125"/>
        <v>2768</v>
      </c>
      <c r="AI44" s="23">
        <f t="shared" si="125"/>
        <v>4950</v>
      </c>
      <c r="AJ44" s="25">
        <f t="shared" si="110"/>
        <v>189.239125</v>
      </c>
      <c r="AK44" s="22">
        <f t="shared" si="126"/>
        <v>9877</v>
      </c>
      <c r="AL44" s="26">
        <f t="shared" si="112"/>
        <v>0.5011643212</v>
      </c>
      <c r="AM44" s="27">
        <f t="shared" si="127"/>
        <v>1.5</v>
      </c>
      <c r="AN44" s="26">
        <f t="shared" si="114"/>
        <v>0.7265939324</v>
      </c>
      <c r="AO44" s="28">
        <f t="shared" si="115"/>
        <v>1.089890899</v>
      </c>
      <c r="AP44" s="27">
        <f t="shared" ref="AP44:AQ44" si="128">SUM(T48)</f>
        <v>173.6470656</v>
      </c>
      <c r="AQ44" s="27">
        <f t="shared" si="128"/>
        <v>7.235294399</v>
      </c>
      <c r="AR44" s="23">
        <f t="shared" si="117"/>
        <v>206.25</v>
      </c>
    </row>
    <row r="45" ht="15.75" customHeight="1">
      <c r="A45" s="21"/>
      <c r="B45" s="38">
        <v>13.0</v>
      </c>
      <c r="C45" s="38" t="s">
        <v>43</v>
      </c>
      <c r="D45" s="39">
        <v>23.0</v>
      </c>
      <c r="E45" s="40">
        <f>IFERROR(__xludf.DUMMYFUNCTION("COUNT(IMPORTRANGE(""https://docs.google.com/spreadsheets/d/1p9Y_DGk7-TpRBFth-ljZceOIGCjQ0ylUeUq6xqnsZ-Q/edit"",""2!d2:d31""))"),23.0)</f>
        <v>23</v>
      </c>
      <c r="F45" s="45">
        <f>IFERROR(__xludf.DUMMYFUNCTION("SUM(IMPORTRANGE(""https://docs.google.com/spreadsheets/d/1p9Y_DGk7-TpRBFth-ljZceOIGCjQ0ylUeUq6xqnsZ-Q/edit"",""2!Q2:Q31""))"),4347.643)</f>
        <v>4347.643</v>
      </c>
      <c r="G45" s="40">
        <f>IFERROR(__xludf.DUMMYFUNCTION("IMPORTRANGE(""https://docs.google.com/spreadsheets/d/1p9Y_DGk7-TpRBFth-ljZceOIGCjQ0ylUeUq6xqnsZ-Q/edit"",""2!e38"")"),1336.0)</f>
        <v>1336</v>
      </c>
      <c r="H45" s="40">
        <f>IFERROR(__xludf.DUMMYFUNCTION("IMPORTRANGE(""https://docs.google.com/spreadsheets/d/1p9Y_DGk7-TpRBFth-ljZceOIGCjQ0ylUeUq6xqnsZ-Q/edit"",""2!e39"")"),123.0)</f>
        <v>123</v>
      </c>
      <c r="I45" s="40">
        <f t="shared" si="90"/>
        <v>1459</v>
      </c>
      <c r="J45" s="40">
        <f>IFERROR(__xludf.DUMMYFUNCTION("IMPORTRANGE(""https://docs.google.com/spreadsheets/d/1p9Y_DGk7-TpRBFth-ljZceOIGCjQ0ylUeUq6xqnsZ-Q/edit"",""2!e42"")"),2099.0)</f>
        <v>2099</v>
      </c>
      <c r="K45" s="40">
        <f>IFERROR(__xludf.DUMMYFUNCTION("IMPORTRANGE(""https://docs.google.com/spreadsheets/d/1p9Y_DGk7-TpRBFth-ljZceOIGCjQ0ylUeUq6xqnsZ-Q/edit"",""2!e43"")"),0.0)</f>
        <v>0</v>
      </c>
      <c r="L45" s="40">
        <f t="shared" si="120"/>
        <v>2099</v>
      </c>
      <c r="M45" s="40">
        <f t="shared" si="92"/>
        <v>3558</v>
      </c>
      <c r="N45" s="41">
        <f t="shared" si="93"/>
        <v>189.0279565</v>
      </c>
      <c r="O45" s="38">
        <v>8345.0</v>
      </c>
      <c r="P45" s="42">
        <f t="shared" si="94"/>
        <v>0.4263630917</v>
      </c>
      <c r="Q45" s="43">
        <v>1.5</v>
      </c>
      <c r="R45" s="42">
        <f t="shared" si="95"/>
        <v>0.5455829745</v>
      </c>
      <c r="S45" s="44">
        <f t="shared" si="96"/>
        <v>0.8183744617</v>
      </c>
      <c r="T45" s="43">
        <f>F45/41.205</f>
        <v>105.5125106</v>
      </c>
      <c r="U45" s="43">
        <f t="shared" si="97"/>
        <v>4.587500462</v>
      </c>
      <c r="V45" s="40">
        <f t="shared" si="98"/>
        <v>154.6956522</v>
      </c>
      <c r="X45" s="46" t="s">
        <v>33</v>
      </c>
      <c r="Y45" s="46">
        <v>6.0</v>
      </c>
      <c r="Z45" s="46">
        <f t="shared" ref="Z45:AI45" si="129">SUM(Z39:Z44)</f>
        <v>169</v>
      </c>
      <c r="AA45" s="47">
        <f t="shared" si="129"/>
        <v>169</v>
      </c>
      <c r="AB45" s="49">
        <f t="shared" si="129"/>
        <v>33092.1</v>
      </c>
      <c r="AC45" s="47">
        <f t="shared" si="129"/>
        <v>11270</v>
      </c>
      <c r="AD45" s="47">
        <f t="shared" si="129"/>
        <v>481</v>
      </c>
      <c r="AE45" s="47">
        <f t="shared" si="129"/>
        <v>11751</v>
      </c>
      <c r="AF45" s="47">
        <f t="shared" si="129"/>
        <v>15758</v>
      </c>
      <c r="AG45" s="47">
        <f t="shared" si="129"/>
        <v>252</v>
      </c>
      <c r="AH45" s="47">
        <f t="shared" si="129"/>
        <v>16010</v>
      </c>
      <c r="AI45" s="47">
        <f t="shared" si="129"/>
        <v>27761</v>
      </c>
      <c r="AJ45" s="49">
        <f t="shared" si="110"/>
        <v>195.8112426</v>
      </c>
      <c r="AK45" s="46">
        <f>SUM(AK39:AK44)</f>
        <v>53273</v>
      </c>
      <c r="AL45" s="50">
        <f t="shared" si="112"/>
        <v>0.5211082537</v>
      </c>
      <c r="AM45" s="51">
        <v>1.5</v>
      </c>
      <c r="AN45" s="50">
        <f t="shared" si="114"/>
        <v>0.5592674183</v>
      </c>
      <c r="AO45" s="52">
        <f t="shared" si="115"/>
        <v>0.8389011275</v>
      </c>
      <c r="AP45" s="51">
        <f>SUM(AP39:AP44)</f>
        <v>1088.566576</v>
      </c>
      <c r="AQ45" s="51">
        <f>AP45/AA45</f>
        <v>6.441222345</v>
      </c>
      <c r="AR45" s="47">
        <f t="shared" si="117"/>
        <v>164.2662722</v>
      </c>
    </row>
    <row r="46" ht="15.75" customHeight="1">
      <c r="A46" s="21"/>
      <c r="B46" s="38">
        <v>14.0</v>
      </c>
      <c r="C46" s="38" t="s">
        <v>27</v>
      </c>
      <c r="D46" s="39">
        <v>23.0</v>
      </c>
      <c r="E46" s="40">
        <f>IFERROR(__xludf.DUMMYFUNCTION("COUNT(IMPORTRANGE(""https://docs.google.com/spreadsheets/d/1zJUDEKztv_fercXA0LYNw155qdzS7TJGhWLhquaW5IY/edit"",""2!d2:d31""))"),23.0)</f>
        <v>23</v>
      </c>
      <c r="F46" s="45">
        <f>IFERROR(__xludf.DUMMYFUNCTION("SUM(IMPORTRANGE(""https://docs.google.com/spreadsheets/d/1zJUDEKztv_fercXA0LYNw155qdzS7TJGhWLhquaW5IY/edit"",""2!Q2:Q31""))"),4340.576999999999)</f>
        <v>4340.577</v>
      </c>
      <c r="G46" s="40">
        <f>IFERROR(__xludf.DUMMYFUNCTION("IMPORTRANGE(""https://docs.google.com/spreadsheets/d/1zJUDEKztv_fercXA0LYNw155qdzS7TJGhWLhquaW5IY/edit"",""2!e38"")"),1580.0)</f>
        <v>1580</v>
      </c>
      <c r="H46" s="40">
        <f>IFERROR(__xludf.DUMMYFUNCTION("IMPORTRANGE(""https://docs.google.com/spreadsheets/d/1zJUDEKztv_fercXA0LYNw155qdzS7TJGhWLhquaW5IY/edit"",""2!e39"")"),0.0)</f>
        <v>0</v>
      </c>
      <c r="I46" s="40">
        <f t="shared" si="90"/>
        <v>1580</v>
      </c>
      <c r="J46" s="40">
        <f>IFERROR(__xludf.DUMMYFUNCTION("IMPORTRANGE(""https://docs.google.com/spreadsheets/d/1zJUDEKztv_fercXA0LYNw155qdzS7TJGhWLhquaW5IY/edit"",""2!e42"")"),2079.0)</f>
        <v>2079</v>
      </c>
      <c r="K46" s="40">
        <f>IFERROR(__xludf.DUMMYFUNCTION("IMPORTRANGE(""https://docs.google.com/spreadsheets/d/1zJUDEKztv_fercXA0LYNw155qdzS7TJGhWLhquaW5IY/edit"",""2!e43"")"),0.0)</f>
        <v>0</v>
      </c>
      <c r="L46" s="40">
        <f t="shared" si="120"/>
        <v>2079</v>
      </c>
      <c r="M46" s="40">
        <f t="shared" si="92"/>
        <v>3659</v>
      </c>
      <c r="N46" s="41">
        <f t="shared" si="93"/>
        <v>188.7207391</v>
      </c>
      <c r="O46" s="38">
        <v>8101.0</v>
      </c>
      <c r="P46" s="42">
        <f t="shared" si="94"/>
        <v>0.451672633</v>
      </c>
      <c r="Q46" s="43">
        <v>1.5</v>
      </c>
      <c r="R46" s="42">
        <f t="shared" si="95"/>
        <v>0.5619836564</v>
      </c>
      <c r="S46" s="44">
        <f t="shared" si="96"/>
        <v>0.8429754846</v>
      </c>
      <c r="T46" s="43">
        <f>F46/19.985</f>
        <v>217.1917438</v>
      </c>
      <c r="U46" s="43">
        <f t="shared" si="97"/>
        <v>9.443119296</v>
      </c>
      <c r="V46" s="40">
        <f t="shared" si="98"/>
        <v>159.0869565</v>
      </c>
      <c r="X46" s="59" t="s">
        <v>44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6"/>
    </row>
    <row r="47" ht="15.75" customHeight="1">
      <c r="A47" s="21"/>
      <c r="B47" s="38">
        <v>15.0</v>
      </c>
      <c r="C47" s="38" t="s">
        <v>40</v>
      </c>
      <c r="D47" s="39">
        <v>23.0</v>
      </c>
      <c r="E47" s="40">
        <f>IFERROR(__xludf.DUMMYFUNCTION("COUNT(IMPORTRANGE(""https://docs.google.com/spreadsheets/d/15GJA66Ucb-8RQ5vWVpq5HYaWoZZFX82SCeHChBujbrI/edit"",""2!d2:d31""))"),23.0)</f>
        <v>23</v>
      </c>
      <c r="F47" s="45">
        <f>IFERROR(__xludf.DUMMYFUNCTION("SUM(IMPORTRANGE(""https://docs.google.com/spreadsheets/d/15GJA66Ucb-8RQ5vWVpq5HYaWoZZFX82SCeHChBujbrI/edit"",""2!Q2:Q31""))"),4323.336000000001)</f>
        <v>4323.336</v>
      </c>
      <c r="G47" s="40">
        <f>IFERROR(__xludf.DUMMYFUNCTION("IMPORTRANGE(""https://docs.google.com/spreadsheets/d/15GJA66Ucb-8RQ5vWVpq5HYaWoZZFX82SCeHChBujbrI/edit"",""2!e38"")"),2156.0)</f>
        <v>2156</v>
      </c>
      <c r="H47" s="40">
        <f>IFERROR(__xludf.DUMMYFUNCTION("IMPORTRANGE(""https://docs.google.com/spreadsheets/d/15GJA66Ucb-8RQ5vWVpq5HYaWoZZFX82SCeHChBujbrI/edit"",""2!e39"")"),0.0)</f>
        <v>0</v>
      </c>
      <c r="I47" s="40">
        <f t="shared" si="90"/>
        <v>2156</v>
      </c>
      <c r="J47" s="40">
        <f>IFERROR(__xludf.DUMMYFUNCTION("IMPORTRANGE(""https://docs.google.com/spreadsheets/d/15GJA66Ucb-8RQ5vWVpq5HYaWoZZFX82SCeHChBujbrI/edit"",""2!e42"")"),2742.0)</f>
        <v>2742</v>
      </c>
      <c r="K47" s="40">
        <f>IFERROR(__xludf.DUMMYFUNCTION("IMPORTRANGE(""https://docs.google.com/spreadsheets/d/15GJA66Ucb-8RQ5vWVpq5HYaWoZZFX82SCeHChBujbrI/edit"",""2!e43"")"),0.0)</f>
        <v>0</v>
      </c>
      <c r="L47" s="40">
        <f t="shared" si="120"/>
        <v>2742</v>
      </c>
      <c r="M47" s="40">
        <f t="shared" si="92"/>
        <v>4898</v>
      </c>
      <c r="N47" s="41">
        <f t="shared" si="93"/>
        <v>187.9711304</v>
      </c>
      <c r="O47" s="38">
        <v>8239.0</v>
      </c>
      <c r="P47" s="42">
        <f t="shared" si="94"/>
        <v>0.5944896225</v>
      </c>
      <c r="Q47" s="43">
        <v>1.5</v>
      </c>
      <c r="R47" s="42">
        <f t="shared" si="95"/>
        <v>0.7552809528</v>
      </c>
      <c r="S47" s="44">
        <f t="shared" si="96"/>
        <v>1.132921429</v>
      </c>
      <c r="T47" s="43">
        <f>F47/28.443</f>
        <v>152</v>
      </c>
      <c r="U47" s="43">
        <f t="shared" si="97"/>
        <v>6.608695652</v>
      </c>
      <c r="V47" s="40">
        <f t="shared" si="98"/>
        <v>212.9565217</v>
      </c>
      <c r="X47" s="14" t="s">
        <v>2</v>
      </c>
      <c r="Y47" s="14" t="s">
        <v>3</v>
      </c>
      <c r="Z47" s="14" t="s">
        <v>4</v>
      </c>
      <c r="AA47" s="14" t="s">
        <v>5</v>
      </c>
      <c r="AB47" s="15" t="s">
        <v>6</v>
      </c>
      <c r="AC47" s="14" t="s">
        <v>7</v>
      </c>
      <c r="AD47" s="14" t="s">
        <v>8</v>
      </c>
      <c r="AE47" s="14" t="s">
        <v>9</v>
      </c>
      <c r="AF47" s="14" t="s">
        <v>10</v>
      </c>
      <c r="AG47" s="14" t="s">
        <v>11</v>
      </c>
      <c r="AH47" s="14" t="s">
        <v>12</v>
      </c>
      <c r="AI47" s="14" t="s">
        <v>13</v>
      </c>
      <c r="AJ47" s="15" t="s">
        <v>14</v>
      </c>
      <c r="AK47" s="14" t="s">
        <v>15</v>
      </c>
      <c r="AL47" s="14" t="s">
        <v>16</v>
      </c>
      <c r="AM47" s="16" t="s">
        <v>17</v>
      </c>
      <c r="AN47" s="17" t="s">
        <v>18</v>
      </c>
      <c r="AO47" s="18" t="s">
        <v>19</v>
      </c>
      <c r="AP47" s="19" t="s">
        <v>20</v>
      </c>
      <c r="AQ47" s="19" t="s">
        <v>21</v>
      </c>
      <c r="AR47" s="20" t="s">
        <v>22</v>
      </c>
    </row>
    <row r="48" ht="15.75" customHeight="1">
      <c r="A48" s="21"/>
      <c r="B48" s="38">
        <v>16.0</v>
      </c>
      <c r="C48" s="38" t="s">
        <v>42</v>
      </c>
      <c r="D48" s="39">
        <v>24.0</v>
      </c>
      <c r="E48" s="40">
        <f>IFERROR(__xludf.DUMMYFUNCTION("COUNT(IMPORTRANGE(""https://docs.google.com/spreadsheets/d/14Tu_jFPEdrIQ6DHYu6vRvJKQsbXr-48NY1tKy4-8JKI/edit"",""2!d2:d34""))"),24.0)</f>
        <v>24</v>
      </c>
      <c r="F48" s="45">
        <f>IFERROR(__xludf.DUMMYFUNCTION("SUM(IMPORTRANGE(""https://docs.google.com/spreadsheets/d/14Tu_jFPEdrIQ6DHYu6vRvJKQsbXr-48NY1tKy4-8JKI/edit"",""2!Q2:Q34""))"),4541.738999999999)</f>
        <v>4541.739</v>
      </c>
      <c r="G48" s="40">
        <f>IFERROR(__xludf.DUMMYFUNCTION("IMPORTRANGE(""https://docs.google.com/spreadsheets/d/14Tu_jFPEdrIQ6DHYu6vRvJKQsbXr-48NY1tKy4-8JKI/edit"",""2!e41"")"),2182.0)</f>
        <v>2182</v>
      </c>
      <c r="H48" s="40">
        <f>IFERROR(__xludf.DUMMYFUNCTION("IMPORTRANGE(""https://docs.google.com/spreadsheets/d/14Tu_jFPEdrIQ6DHYu6vRvJKQsbXr-48NY1tKy4-8JKI/edit"",""2!e42"")"),0.0)</f>
        <v>0</v>
      </c>
      <c r="I48" s="40">
        <f t="shared" si="90"/>
        <v>2182</v>
      </c>
      <c r="J48" s="40">
        <f>IFERROR(__xludf.DUMMYFUNCTION("IMPORTRANGE(""https://docs.google.com/spreadsheets/d/14Tu_jFPEdrIQ6DHYu6vRvJKQsbXr-48NY1tKy4-8JKI/edit"",""2!e45"")"),2768.0)</f>
        <v>2768</v>
      </c>
      <c r="K48" s="40">
        <f>IFERROR(__xludf.DUMMYFUNCTION("IMPORTRANGE(""https://docs.google.com/spreadsheets/d/14Tu_jFPEdrIQ6DHYu6vRvJKQsbXr-48NY1tKy4-8JKI/edit"",""2!e46"")"),0.0)</f>
        <v>0</v>
      </c>
      <c r="L48" s="40">
        <f t="shared" si="120"/>
        <v>2768</v>
      </c>
      <c r="M48" s="40">
        <f t="shared" si="92"/>
        <v>4950</v>
      </c>
      <c r="N48" s="41">
        <f t="shared" si="93"/>
        <v>189.239125</v>
      </c>
      <c r="O48" s="38">
        <v>9877.0</v>
      </c>
      <c r="P48" s="42">
        <f t="shared" si="94"/>
        <v>0.5011643212</v>
      </c>
      <c r="Q48" s="43">
        <v>1.5</v>
      </c>
      <c r="R48" s="42">
        <f t="shared" si="95"/>
        <v>0.7265939324</v>
      </c>
      <c r="S48" s="44">
        <f t="shared" si="96"/>
        <v>1.089890899</v>
      </c>
      <c r="T48" s="43">
        <f>F48/26.155</f>
        <v>173.6470656</v>
      </c>
      <c r="U48" s="43">
        <f t="shared" si="97"/>
        <v>7.235294399</v>
      </c>
      <c r="V48" s="40">
        <f t="shared" si="98"/>
        <v>206.25</v>
      </c>
      <c r="X48" s="31">
        <v>1.0</v>
      </c>
      <c r="Y48" s="31" t="s">
        <v>26</v>
      </c>
      <c r="Z48" s="31">
        <f t="shared" ref="Z48:AI48" si="130">SUM(D33)</f>
        <v>15</v>
      </c>
      <c r="AA48" s="32">
        <f t="shared" si="130"/>
        <v>14</v>
      </c>
      <c r="AB48" s="34">
        <f t="shared" si="130"/>
        <v>2486.97</v>
      </c>
      <c r="AC48" s="32">
        <f t="shared" si="130"/>
        <v>1316</v>
      </c>
      <c r="AD48" s="32">
        <f t="shared" si="130"/>
        <v>77</v>
      </c>
      <c r="AE48" s="32">
        <f t="shared" si="130"/>
        <v>1393</v>
      </c>
      <c r="AF48" s="32">
        <f t="shared" si="130"/>
        <v>1435</v>
      </c>
      <c r="AG48" s="32">
        <f t="shared" si="130"/>
        <v>0</v>
      </c>
      <c r="AH48" s="32">
        <f t="shared" si="130"/>
        <v>1435</v>
      </c>
      <c r="AI48" s="32">
        <f t="shared" si="130"/>
        <v>2828</v>
      </c>
      <c r="AJ48" s="34">
        <f t="shared" ref="AJ48:AJ54" si="133">AB48/AA48</f>
        <v>177.6407143</v>
      </c>
      <c r="AK48" s="31">
        <f>SUM(O33)</f>
        <v>5161</v>
      </c>
      <c r="AL48" s="35">
        <f t="shared" ref="AL48:AL54" si="134">AI48/AK48</f>
        <v>0.5479558225</v>
      </c>
      <c r="AM48" s="36">
        <f>SUM(Q33)</f>
        <v>1.5</v>
      </c>
      <c r="AN48" s="35">
        <f t="shared" ref="AN48:AN54" si="135">AO48/AM48</f>
        <v>0.7580844696</v>
      </c>
      <c r="AO48" s="37">
        <f t="shared" ref="AO48:AO54" si="136">AI48/AB48</f>
        <v>1.137126704</v>
      </c>
      <c r="AP48" s="36">
        <f t="shared" ref="AP48:AQ48" si="131">SUM(T33)</f>
        <v>172.5265349</v>
      </c>
      <c r="AQ48" s="36">
        <f t="shared" si="131"/>
        <v>12.32332392</v>
      </c>
      <c r="AR48" s="32">
        <f t="shared" ref="AR48:AR54" si="138">AI48/AA48</f>
        <v>202</v>
      </c>
    </row>
    <row r="49" ht="15.75" customHeight="1">
      <c r="A49" s="21"/>
      <c r="B49" s="38">
        <v>17.0</v>
      </c>
      <c r="C49" s="38" t="s">
        <v>29</v>
      </c>
      <c r="D49" s="39">
        <v>23.0</v>
      </c>
      <c r="E49" s="40">
        <f>IFERROR(__xludf.DUMMYFUNCTION("COUNT(IMPORTRANGE(""https://docs.google.com/spreadsheets/d/1ja_RQYsP0p5wRrACHojay4CW1wLx0QdS5tSwp-vYQ-s/edit"",""2!d2:d31""))"),22.0)</f>
        <v>22</v>
      </c>
      <c r="F49" s="45">
        <f>IFERROR(__xludf.DUMMYFUNCTION("SUM(IMPORTRANGE(""https://docs.google.com/spreadsheets/d/1ja_RQYsP0p5wRrACHojay4CW1wLx0QdS5tSwp-vYQ-s/edit"",""2!Q2:Q31""))"),4348.3460000000005)</f>
        <v>4348.346</v>
      </c>
      <c r="G49" s="40">
        <f>IFERROR(__xludf.DUMMYFUNCTION("IMPORTRANGE(""https://docs.google.com/spreadsheets/d/1ja_RQYsP0p5wRrACHojay4CW1wLx0QdS5tSwp-vYQ-s/edit"",""2!e38"")"),1699.0)</f>
        <v>1699</v>
      </c>
      <c r="H49" s="40">
        <f>IFERROR(__xludf.DUMMYFUNCTION("IMPORTRANGE(""https://docs.google.com/spreadsheets/d/1ja_RQYsP0p5wRrACHojay4CW1wLx0QdS5tSwp-vYQ-s/edit"",""2!e39"")"),0.0)</f>
        <v>0</v>
      </c>
      <c r="I49" s="40">
        <f t="shared" si="90"/>
        <v>1699</v>
      </c>
      <c r="J49" s="40">
        <f>IFERROR(__xludf.DUMMYFUNCTION("IMPORTRANGE(""https://docs.google.com/spreadsheets/d/1ja_RQYsP0p5wRrACHojay4CW1wLx0QdS5tSwp-vYQ-s/edit"",""2!e42"")"),2397.0)</f>
        <v>2397</v>
      </c>
      <c r="K49" s="40">
        <f>IFERROR(__xludf.DUMMYFUNCTION("IMPORTRANGE(""https://docs.google.com/spreadsheets/d/1ja_RQYsP0p5wRrACHojay4CW1wLx0QdS5tSwp-vYQ-s/edit"",""2!e43"")"),0.0)</f>
        <v>0</v>
      </c>
      <c r="L49" s="40">
        <f t="shared" si="120"/>
        <v>2397</v>
      </c>
      <c r="M49" s="40">
        <f t="shared" si="92"/>
        <v>4096</v>
      </c>
      <c r="N49" s="41">
        <f t="shared" si="93"/>
        <v>197.6520909</v>
      </c>
      <c r="O49" s="38">
        <v>9201.0</v>
      </c>
      <c r="P49" s="42">
        <f t="shared" si="94"/>
        <v>0.4451690034</v>
      </c>
      <c r="Q49" s="43">
        <v>1.5</v>
      </c>
      <c r="R49" s="42">
        <f t="shared" si="95"/>
        <v>0.6279782397</v>
      </c>
      <c r="S49" s="44">
        <f t="shared" si="96"/>
        <v>0.9419673595</v>
      </c>
      <c r="T49" s="43">
        <f>F49/26.038</f>
        <v>167</v>
      </c>
      <c r="U49" s="43">
        <f t="shared" si="97"/>
        <v>7.590909091</v>
      </c>
      <c r="V49" s="40">
        <f t="shared" si="98"/>
        <v>186.1818182</v>
      </c>
      <c r="X49" s="31">
        <v>2.0</v>
      </c>
      <c r="Y49" s="31" t="s">
        <v>32</v>
      </c>
      <c r="Z49" s="31">
        <f t="shared" ref="Z49:AI49" si="132">SUM(D36)</f>
        <v>32</v>
      </c>
      <c r="AA49" s="32">
        <f t="shared" si="132"/>
        <v>32</v>
      </c>
      <c r="AB49" s="33">
        <f t="shared" si="132"/>
        <v>6060.068</v>
      </c>
      <c r="AC49" s="31">
        <f t="shared" si="132"/>
        <v>2998</v>
      </c>
      <c r="AD49" s="31">
        <f t="shared" si="132"/>
        <v>0</v>
      </c>
      <c r="AE49" s="32">
        <f t="shared" si="132"/>
        <v>2998</v>
      </c>
      <c r="AF49" s="31">
        <f t="shared" si="132"/>
        <v>3632</v>
      </c>
      <c r="AG49" s="31">
        <f t="shared" si="132"/>
        <v>0</v>
      </c>
      <c r="AH49" s="32">
        <f t="shared" si="132"/>
        <v>3632</v>
      </c>
      <c r="AI49" s="32">
        <f t="shared" si="132"/>
        <v>6630</v>
      </c>
      <c r="AJ49" s="34">
        <f t="shared" si="133"/>
        <v>189.377125</v>
      </c>
      <c r="AK49" s="31">
        <f>SUM(O36)</f>
        <v>13817</v>
      </c>
      <c r="AL49" s="35">
        <f t="shared" si="134"/>
        <v>0.4798436708</v>
      </c>
      <c r="AM49" s="36">
        <f>SUM(Q36)</f>
        <v>1.5</v>
      </c>
      <c r="AN49" s="35">
        <f t="shared" si="135"/>
        <v>0.729364753</v>
      </c>
      <c r="AO49" s="37">
        <f t="shared" si="136"/>
        <v>1.09404713</v>
      </c>
      <c r="AP49" s="36">
        <f t="shared" ref="AP49:AQ49" si="137">SUM(T36)</f>
        <v>241.5428275</v>
      </c>
      <c r="AQ49" s="36">
        <f t="shared" si="137"/>
        <v>7.54821336</v>
      </c>
      <c r="AR49" s="32">
        <f t="shared" si="138"/>
        <v>207.1875</v>
      </c>
    </row>
    <row r="50" ht="15.75" customHeight="1">
      <c r="A50" s="21"/>
      <c r="B50" s="38">
        <v>18.0</v>
      </c>
      <c r="C50" s="38" t="s">
        <v>31</v>
      </c>
      <c r="D50" s="39">
        <v>11.0</v>
      </c>
      <c r="E50" s="40">
        <f>IFERROR(__xludf.DUMMYFUNCTION("COUNT(IMPORTRANGE(""https://docs.google.com/spreadsheets/d/1ObnK1oSznTOmyW9Zcd2kxExl7TOnO2MNq_0giEKc_mE/edit"",""2!d2:d16""))"),11.0)</f>
        <v>11</v>
      </c>
      <c r="F50" s="41">
        <f>IFERROR(__xludf.DUMMYFUNCTION("SUM(IMPORTRANGE(""https://docs.google.com/spreadsheets/d/1ObnK1oSznTOmyW9Zcd2kxExl7TOnO2MNq_0giEKc_mE/edit"",""2!Q2:Q16""))"),2129.7850000000003)</f>
        <v>2129.785</v>
      </c>
      <c r="G50" s="40">
        <f>IFERROR(__xludf.DUMMYFUNCTION("IMPORTRANGE(""https://docs.google.com/spreadsheets/d/1ObnK1oSznTOmyW9Zcd2kxExl7TOnO2MNq_0giEKc_mE/edit"",""2!e23"")"),463.0)</f>
        <v>463</v>
      </c>
      <c r="H50" s="40">
        <f>IFERROR(__xludf.DUMMYFUNCTION("IMPORTRANGE(""https://docs.google.com/spreadsheets/d/1ObnK1oSznTOmyW9Zcd2kxExl7TOnO2MNq_0giEKc_mE/edit"",""2!e24"")"),0.0)</f>
        <v>0</v>
      </c>
      <c r="I50" s="40">
        <f t="shared" si="90"/>
        <v>463</v>
      </c>
      <c r="J50" s="40">
        <f>IFERROR(__xludf.DUMMYFUNCTION("IMPORTRANGE(""https://docs.google.com/spreadsheets/d/1ObnK1oSznTOmyW9Zcd2kxExl7TOnO2MNq_0giEKc_mE/edit"",""2!e27"")"),674.0)</f>
        <v>674</v>
      </c>
      <c r="K50" s="40">
        <f>IFERROR(__xludf.DUMMYFUNCTION("IMPORTRANGE(""https://docs.google.com/spreadsheets/d/1ObnK1oSznTOmyW9Zcd2kxExl7TOnO2MNq_0giEKc_mE/edit"",""2!e28"")"),0.0)</f>
        <v>0</v>
      </c>
      <c r="L50" s="40">
        <f t="shared" si="120"/>
        <v>674</v>
      </c>
      <c r="M50" s="40">
        <f t="shared" si="92"/>
        <v>1137</v>
      </c>
      <c r="N50" s="41">
        <f t="shared" si="93"/>
        <v>193.6168182</v>
      </c>
      <c r="O50" s="38">
        <v>2717.0</v>
      </c>
      <c r="P50" s="42">
        <f t="shared" si="94"/>
        <v>0.4184762606</v>
      </c>
      <c r="Q50" s="43">
        <v>1.5</v>
      </c>
      <c r="R50" s="42">
        <f t="shared" si="95"/>
        <v>0.3559044692</v>
      </c>
      <c r="S50" s="44">
        <f t="shared" si="96"/>
        <v>0.5338567038</v>
      </c>
      <c r="T50" s="43">
        <f>F50/43.465</f>
        <v>49</v>
      </c>
      <c r="U50" s="43">
        <f t="shared" si="97"/>
        <v>4.454545455</v>
      </c>
      <c r="V50" s="40">
        <f t="shared" si="98"/>
        <v>103.3636364</v>
      </c>
      <c r="X50" s="31">
        <v>3.0</v>
      </c>
      <c r="Y50" s="31" t="s">
        <v>36</v>
      </c>
      <c r="Z50" s="31">
        <f t="shared" ref="Z50:AI50" si="139">SUM(D41)</f>
        <v>22</v>
      </c>
      <c r="AA50" s="32">
        <f t="shared" si="139"/>
        <v>22</v>
      </c>
      <c r="AB50" s="33">
        <f t="shared" si="139"/>
        <v>4410.064</v>
      </c>
      <c r="AC50" s="32">
        <f t="shared" si="139"/>
        <v>884</v>
      </c>
      <c r="AD50" s="32">
        <f t="shared" si="139"/>
        <v>0</v>
      </c>
      <c r="AE50" s="32">
        <f t="shared" si="139"/>
        <v>884</v>
      </c>
      <c r="AF50" s="32">
        <f t="shared" si="139"/>
        <v>1633</v>
      </c>
      <c r="AG50" s="32">
        <f t="shared" si="139"/>
        <v>0</v>
      </c>
      <c r="AH50" s="32">
        <f t="shared" si="139"/>
        <v>1633</v>
      </c>
      <c r="AI50" s="32">
        <f t="shared" si="139"/>
        <v>2517</v>
      </c>
      <c r="AJ50" s="34">
        <f t="shared" si="133"/>
        <v>200.4574545</v>
      </c>
      <c r="AK50" s="31">
        <f t="shared" ref="AK50:AK53" si="143">SUM(O41)</f>
        <v>4796</v>
      </c>
      <c r="AL50" s="35">
        <f t="shared" si="134"/>
        <v>0.5248123436</v>
      </c>
      <c r="AM50" s="36">
        <f t="shared" ref="AM50:AM53" si="144">SUM(Q41)</f>
        <v>1.5</v>
      </c>
      <c r="AN50" s="35">
        <f t="shared" si="135"/>
        <v>0.3804933443</v>
      </c>
      <c r="AO50" s="37">
        <f t="shared" si="136"/>
        <v>0.5707400165</v>
      </c>
      <c r="AP50" s="36">
        <f t="shared" ref="AP50:AQ50" si="140">SUM(T41)</f>
        <v>117.8720265</v>
      </c>
      <c r="AQ50" s="36">
        <f t="shared" si="140"/>
        <v>5.357819387</v>
      </c>
      <c r="AR50" s="32">
        <f t="shared" si="138"/>
        <v>114.4090909</v>
      </c>
    </row>
    <row r="51" ht="15.75" customHeight="1">
      <c r="A51" s="21"/>
      <c r="B51" s="60" t="s">
        <v>33</v>
      </c>
      <c r="C51" s="60">
        <v>18.0</v>
      </c>
      <c r="D51" s="60">
        <f t="shared" ref="D51:M51" si="141">SUM(D33:D50)</f>
        <v>445</v>
      </c>
      <c r="E51" s="61">
        <f t="shared" si="141"/>
        <v>440</v>
      </c>
      <c r="F51" s="62">
        <f t="shared" si="141"/>
        <v>85264.051</v>
      </c>
      <c r="G51" s="61">
        <f t="shared" si="141"/>
        <v>25893</v>
      </c>
      <c r="H51" s="61">
        <f t="shared" si="141"/>
        <v>887</v>
      </c>
      <c r="I51" s="61">
        <f t="shared" si="141"/>
        <v>26780</v>
      </c>
      <c r="J51" s="61">
        <f t="shared" si="141"/>
        <v>37150</v>
      </c>
      <c r="K51" s="61">
        <f t="shared" si="141"/>
        <v>684</v>
      </c>
      <c r="L51" s="61">
        <f t="shared" si="141"/>
        <v>37834</v>
      </c>
      <c r="M51" s="61">
        <f t="shared" si="141"/>
        <v>64614</v>
      </c>
      <c r="N51" s="62">
        <f t="shared" si="93"/>
        <v>193.7819341</v>
      </c>
      <c r="O51" s="60">
        <f>SUM(O33:O50)</f>
        <v>126399</v>
      </c>
      <c r="P51" s="63">
        <f t="shared" si="94"/>
        <v>0.5111907531</v>
      </c>
      <c r="Q51" s="64">
        <v>1.5</v>
      </c>
      <c r="R51" s="63">
        <f t="shared" si="95"/>
        <v>0.5052070538</v>
      </c>
      <c r="S51" s="65">
        <f t="shared" si="96"/>
        <v>0.7578105807</v>
      </c>
      <c r="T51" s="64">
        <f>SUM(T33:T50)</f>
        <v>3134.079583</v>
      </c>
      <c r="U51" s="64">
        <f t="shared" si="97"/>
        <v>7.122908143</v>
      </c>
      <c r="V51" s="61">
        <f t="shared" si="98"/>
        <v>146.85</v>
      </c>
      <c r="X51" s="31">
        <v>4.0</v>
      </c>
      <c r="Y51" s="31" t="s">
        <v>37</v>
      </c>
      <c r="Z51" s="31">
        <f t="shared" ref="Z51:AI51" si="142">SUM(D42)</f>
        <v>23</v>
      </c>
      <c r="AA51" s="32">
        <f t="shared" si="142"/>
        <v>23</v>
      </c>
      <c r="AB51" s="33">
        <f t="shared" si="142"/>
        <v>4410.354</v>
      </c>
      <c r="AC51" s="32">
        <f t="shared" si="142"/>
        <v>931</v>
      </c>
      <c r="AD51" s="32">
        <f t="shared" si="142"/>
        <v>65</v>
      </c>
      <c r="AE51" s="32">
        <f t="shared" si="142"/>
        <v>996</v>
      </c>
      <c r="AF51" s="32">
        <f t="shared" si="142"/>
        <v>1781</v>
      </c>
      <c r="AG51" s="32">
        <f t="shared" si="142"/>
        <v>0</v>
      </c>
      <c r="AH51" s="32">
        <f t="shared" si="142"/>
        <v>1781</v>
      </c>
      <c r="AI51" s="32">
        <f t="shared" si="142"/>
        <v>2777</v>
      </c>
      <c r="AJ51" s="34">
        <f t="shared" si="133"/>
        <v>191.7545217</v>
      </c>
      <c r="AK51" s="31">
        <f t="shared" si="143"/>
        <v>5887</v>
      </c>
      <c r="AL51" s="35">
        <f t="shared" si="134"/>
        <v>0.4717173433</v>
      </c>
      <c r="AM51" s="36">
        <f t="shared" si="144"/>
        <v>1.5</v>
      </c>
      <c r="AN51" s="35">
        <f t="shared" si="135"/>
        <v>0.4197697811</v>
      </c>
      <c r="AO51" s="37">
        <f t="shared" si="136"/>
        <v>0.6296546717</v>
      </c>
      <c r="AP51" s="36">
        <f t="shared" ref="AP51:AQ51" si="145">SUM(T42)</f>
        <v>177.8942401</v>
      </c>
      <c r="AQ51" s="36">
        <f t="shared" si="145"/>
        <v>7.734532177</v>
      </c>
      <c r="AR51" s="32">
        <f t="shared" si="138"/>
        <v>120.7391304</v>
      </c>
    </row>
    <row r="52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X52" s="31">
        <v>5.0</v>
      </c>
      <c r="Y52" s="31" t="s">
        <v>39</v>
      </c>
      <c r="Z52" s="31">
        <f t="shared" ref="Z52:AI52" si="146">SUM(D43)</f>
        <v>21</v>
      </c>
      <c r="AA52" s="32">
        <f t="shared" si="146"/>
        <v>20</v>
      </c>
      <c r="AB52" s="33">
        <f t="shared" si="146"/>
        <v>3997.575</v>
      </c>
      <c r="AC52" s="32">
        <f t="shared" si="146"/>
        <v>819</v>
      </c>
      <c r="AD52" s="32">
        <f t="shared" si="146"/>
        <v>0</v>
      </c>
      <c r="AE52" s="32">
        <f t="shared" si="146"/>
        <v>819</v>
      </c>
      <c r="AF52" s="32">
        <f t="shared" si="146"/>
        <v>1395</v>
      </c>
      <c r="AG52" s="32">
        <f t="shared" si="146"/>
        <v>0</v>
      </c>
      <c r="AH52" s="32">
        <f t="shared" si="146"/>
        <v>1395</v>
      </c>
      <c r="AI52" s="32">
        <f t="shared" si="146"/>
        <v>2214</v>
      </c>
      <c r="AJ52" s="34">
        <f t="shared" si="133"/>
        <v>199.87875</v>
      </c>
      <c r="AK52" s="31">
        <f t="shared" si="143"/>
        <v>3569</v>
      </c>
      <c r="AL52" s="35">
        <f t="shared" si="134"/>
        <v>0.6203418324</v>
      </c>
      <c r="AM52" s="36">
        <f t="shared" si="144"/>
        <v>1.5</v>
      </c>
      <c r="AN52" s="35">
        <f t="shared" si="135"/>
        <v>0.369223842</v>
      </c>
      <c r="AO52" s="37">
        <f t="shared" si="136"/>
        <v>0.5538357629</v>
      </c>
      <c r="AP52" s="36">
        <f t="shared" ref="AP52:AQ52" si="147">SUM(T43)</f>
        <v>186.2542515</v>
      </c>
      <c r="AQ52" s="36">
        <f t="shared" si="147"/>
        <v>9.312712575</v>
      </c>
      <c r="AR52" s="32">
        <f t="shared" si="138"/>
        <v>110.7</v>
      </c>
    </row>
    <row r="53" ht="15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X53" s="31">
        <v>6.0</v>
      </c>
      <c r="Y53" s="31" t="s">
        <v>41</v>
      </c>
      <c r="Z53" s="31">
        <f t="shared" ref="Z53:AI53" si="148">SUM(D44)</f>
        <v>19</v>
      </c>
      <c r="AA53" s="32">
        <f t="shared" si="148"/>
        <v>19</v>
      </c>
      <c r="AB53" s="33">
        <f t="shared" si="148"/>
        <v>3812.136</v>
      </c>
      <c r="AC53" s="32">
        <f t="shared" si="148"/>
        <v>816</v>
      </c>
      <c r="AD53" s="32">
        <f t="shared" si="148"/>
        <v>0</v>
      </c>
      <c r="AE53" s="32">
        <f t="shared" si="148"/>
        <v>816</v>
      </c>
      <c r="AF53" s="32">
        <f t="shared" si="148"/>
        <v>1027</v>
      </c>
      <c r="AG53" s="32">
        <f t="shared" si="148"/>
        <v>0</v>
      </c>
      <c r="AH53" s="32">
        <f t="shared" si="148"/>
        <v>1027</v>
      </c>
      <c r="AI53" s="32">
        <f t="shared" si="148"/>
        <v>1843</v>
      </c>
      <c r="AJ53" s="34">
        <f t="shared" si="133"/>
        <v>200.6387368</v>
      </c>
      <c r="AK53" s="31">
        <f t="shared" si="143"/>
        <v>3801</v>
      </c>
      <c r="AL53" s="35">
        <f t="shared" si="134"/>
        <v>0.484872402</v>
      </c>
      <c r="AM53" s="36">
        <f t="shared" si="144"/>
        <v>1.5</v>
      </c>
      <c r="AN53" s="35">
        <f t="shared" si="135"/>
        <v>0.3223039961</v>
      </c>
      <c r="AO53" s="37">
        <f t="shared" si="136"/>
        <v>0.4834559942</v>
      </c>
      <c r="AP53" s="36">
        <f t="shared" ref="AP53:AQ53" si="149">SUM(T44)</f>
        <v>128.6666667</v>
      </c>
      <c r="AQ53" s="36">
        <f t="shared" si="149"/>
        <v>6.771929825</v>
      </c>
      <c r="AR53" s="32">
        <f t="shared" si="138"/>
        <v>97</v>
      </c>
    </row>
    <row r="54" ht="15.75" customHeight="1">
      <c r="A54" s="1" t="s">
        <v>45</v>
      </c>
      <c r="D54" s="2"/>
      <c r="X54" s="46" t="s">
        <v>33</v>
      </c>
      <c r="Y54" s="46">
        <v>6.0</v>
      </c>
      <c r="Z54" s="46">
        <f t="shared" ref="Z54:AI54" si="150">SUM(Z48:Z53)</f>
        <v>132</v>
      </c>
      <c r="AA54" s="47">
        <f t="shared" si="150"/>
        <v>130</v>
      </c>
      <c r="AB54" s="49">
        <f t="shared" si="150"/>
        <v>25177.167</v>
      </c>
      <c r="AC54" s="47">
        <f t="shared" si="150"/>
        <v>7764</v>
      </c>
      <c r="AD54" s="47">
        <f t="shared" si="150"/>
        <v>142</v>
      </c>
      <c r="AE54" s="47">
        <f t="shared" si="150"/>
        <v>7906</v>
      </c>
      <c r="AF54" s="47">
        <f t="shared" si="150"/>
        <v>10903</v>
      </c>
      <c r="AG54" s="47">
        <f t="shared" si="150"/>
        <v>0</v>
      </c>
      <c r="AH54" s="47">
        <f t="shared" si="150"/>
        <v>10903</v>
      </c>
      <c r="AI54" s="47">
        <f t="shared" si="150"/>
        <v>18809</v>
      </c>
      <c r="AJ54" s="49">
        <f t="shared" si="133"/>
        <v>193.6705154</v>
      </c>
      <c r="AK54" s="46">
        <f>SUM(AK48:AK53)</f>
        <v>37031</v>
      </c>
      <c r="AL54" s="50">
        <f t="shared" si="134"/>
        <v>0.5079257919</v>
      </c>
      <c r="AM54" s="51">
        <v>1.5</v>
      </c>
      <c r="AN54" s="50">
        <f t="shared" si="135"/>
        <v>0.4980438559</v>
      </c>
      <c r="AO54" s="52">
        <f t="shared" si="136"/>
        <v>0.7470657839</v>
      </c>
      <c r="AP54" s="51">
        <f>SUM(AP48:AP53)</f>
        <v>1024.756547</v>
      </c>
      <c r="AQ54" s="51">
        <f>AP54/AA54</f>
        <v>7.88274267</v>
      </c>
      <c r="AR54" s="47">
        <f t="shared" si="138"/>
        <v>144.6846154</v>
      </c>
    </row>
    <row r="55" ht="15.75" customHeight="1">
      <c r="A55" s="1" t="s">
        <v>45</v>
      </c>
      <c r="D55" s="2"/>
      <c r="X55" s="66" t="s">
        <v>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6"/>
    </row>
    <row r="56" ht="15.75" customHeight="1">
      <c r="A56" s="7">
        <v>46237.0</v>
      </c>
      <c r="B56" s="8" t="s">
        <v>2</v>
      </c>
      <c r="C56" s="8" t="s">
        <v>3</v>
      </c>
      <c r="D56" s="8" t="s">
        <v>4</v>
      </c>
      <c r="E56" s="8" t="s">
        <v>5</v>
      </c>
      <c r="F56" s="9" t="s">
        <v>6</v>
      </c>
      <c r="G56" s="8" t="s">
        <v>7</v>
      </c>
      <c r="H56" s="8" t="s">
        <v>8</v>
      </c>
      <c r="I56" s="8" t="s">
        <v>9</v>
      </c>
      <c r="J56" s="8" t="s">
        <v>10</v>
      </c>
      <c r="K56" s="8" t="s">
        <v>11</v>
      </c>
      <c r="L56" s="8" t="s">
        <v>12</v>
      </c>
      <c r="M56" s="8" t="s">
        <v>13</v>
      </c>
      <c r="N56" s="9" t="s">
        <v>14</v>
      </c>
      <c r="O56" s="8" t="s">
        <v>15</v>
      </c>
      <c r="P56" s="8" t="s">
        <v>16</v>
      </c>
      <c r="Q56" s="8" t="s">
        <v>17</v>
      </c>
      <c r="R56" s="8" t="s">
        <v>18</v>
      </c>
      <c r="S56" s="11" t="s">
        <v>19</v>
      </c>
      <c r="T56" s="12" t="s">
        <v>20</v>
      </c>
      <c r="U56" s="12" t="s">
        <v>21</v>
      </c>
      <c r="V56" s="13" t="s">
        <v>22</v>
      </c>
      <c r="X56" s="14" t="s">
        <v>2</v>
      </c>
      <c r="Y56" s="14" t="s">
        <v>3</v>
      </c>
      <c r="Z56" s="14" t="s">
        <v>4</v>
      </c>
      <c r="AA56" s="14" t="s">
        <v>5</v>
      </c>
      <c r="AB56" s="15" t="s">
        <v>6</v>
      </c>
      <c r="AC56" s="14" t="s">
        <v>7</v>
      </c>
      <c r="AD56" s="14" t="s">
        <v>8</v>
      </c>
      <c r="AE56" s="14" t="s">
        <v>9</v>
      </c>
      <c r="AF56" s="14" t="s">
        <v>10</v>
      </c>
      <c r="AG56" s="14" t="s">
        <v>11</v>
      </c>
      <c r="AH56" s="14" t="s">
        <v>12</v>
      </c>
      <c r="AI56" s="14" t="s">
        <v>13</v>
      </c>
      <c r="AJ56" s="15" t="s">
        <v>14</v>
      </c>
      <c r="AK56" s="14" t="s">
        <v>15</v>
      </c>
      <c r="AL56" s="14" t="s">
        <v>16</v>
      </c>
      <c r="AM56" s="16" t="s">
        <v>17</v>
      </c>
      <c r="AN56" s="17" t="s">
        <v>18</v>
      </c>
      <c r="AO56" s="18" t="s">
        <v>19</v>
      </c>
      <c r="AP56" s="19" t="s">
        <v>20</v>
      </c>
      <c r="AQ56" s="19" t="s">
        <v>21</v>
      </c>
      <c r="AR56" s="20" t="s">
        <v>22</v>
      </c>
    </row>
    <row r="57" ht="15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X57" s="22">
        <v>1.0</v>
      </c>
      <c r="Y57" s="22" t="s">
        <v>23</v>
      </c>
      <c r="Z57" s="22">
        <f t="shared" ref="Z57:AI57" si="151">SUM(D65)</f>
        <v>35</v>
      </c>
      <c r="AA57" s="23">
        <f t="shared" si="151"/>
        <v>34</v>
      </c>
      <c r="AB57" s="24">
        <f t="shared" si="151"/>
        <v>6496.744</v>
      </c>
      <c r="AC57" s="23">
        <f t="shared" si="151"/>
        <v>1845</v>
      </c>
      <c r="AD57" s="23">
        <f t="shared" si="151"/>
        <v>0</v>
      </c>
      <c r="AE57" s="23">
        <f t="shared" si="151"/>
        <v>1845</v>
      </c>
      <c r="AF57" s="23">
        <f t="shared" si="151"/>
        <v>3093</v>
      </c>
      <c r="AG57" s="23">
        <f t="shared" si="151"/>
        <v>0</v>
      </c>
      <c r="AH57" s="23">
        <f t="shared" si="151"/>
        <v>3093</v>
      </c>
      <c r="AI57" s="23">
        <f t="shared" si="151"/>
        <v>4938</v>
      </c>
      <c r="AJ57" s="25">
        <f t="shared" ref="AJ57:AJ59" si="154">AB57/AA57</f>
        <v>191.0807059</v>
      </c>
      <c r="AK57" s="22">
        <f>SUM(O65)</f>
        <v>6853</v>
      </c>
      <c r="AL57" s="26">
        <f t="shared" ref="AL57:AL63" si="155">AI57/AK57</f>
        <v>0.7205603385</v>
      </c>
      <c r="AM57" s="27">
        <f t="shared" ref="AM57:AM59" si="156">SUM(Q65)</f>
        <v>1.5</v>
      </c>
      <c r="AN57" s="26">
        <f t="shared" ref="AN57:AN63" si="157">AO57/AM57</f>
        <v>0.5067153639</v>
      </c>
      <c r="AO57" s="28">
        <f t="shared" ref="AO57:AO63" si="158">AI57/AB57</f>
        <v>0.7600730458</v>
      </c>
      <c r="AP57" s="27">
        <f t="shared" ref="AP57:AQ57" si="152">SUM(T65)</f>
        <v>192.5531713</v>
      </c>
      <c r="AQ57" s="27">
        <f t="shared" si="152"/>
        <v>5.663328568</v>
      </c>
      <c r="AR57" s="23">
        <f t="shared" ref="AR57:AR63" si="160">AI57/AA57</f>
        <v>145.2352941</v>
      </c>
    </row>
    <row r="58" ht="15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X58" s="22">
        <v>2.0</v>
      </c>
      <c r="Y58" s="22" t="s">
        <v>24</v>
      </c>
      <c r="Z58" s="22">
        <f t="shared" ref="Z58:AI58" si="153">SUM(D66)</f>
        <v>44</v>
      </c>
      <c r="AA58" s="23">
        <f t="shared" si="153"/>
        <v>42</v>
      </c>
      <c r="AB58" s="24">
        <f t="shared" si="153"/>
        <v>8214.411</v>
      </c>
      <c r="AC58" s="23">
        <f t="shared" si="153"/>
        <v>987</v>
      </c>
      <c r="AD58" s="23">
        <f t="shared" si="153"/>
        <v>25</v>
      </c>
      <c r="AE58" s="23">
        <f t="shared" si="153"/>
        <v>1012</v>
      </c>
      <c r="AF58" s="23">
        <f t="shared" si="153"/>
        <v>1450</v>
      </c>
      <c r="AG58" s="23">
        <f t="shared" si="153"/>
        <v>0</v>
      </c>
      <c r="AH58" s="23">
        <f t="shared" si="153"/>
        <v>1450</v>
      </c>
      <c r="AI58" s="23">
        <f t="shared" si="153"/>
        <v>2462</v>
      </c>
      <c r="AJ58" s="25">
        <f t="shared" si="154"/>
        <v>195.5812143</v>
      </c>
      <c r="AK58" s="22">
        <v>1580.0</v>
      </c>
      <c r="AL58" s="29">
        <f t="shared" si="155"/>
        <v>1.558227848</v>
      </c>
      <c r="AM58" s="27">
        <f t="shared" si="156"/>
        <v>1.5</v>
      </c>
      <c r="AN58" s="26">
        <f t="shared" si="157"/>
        <v>0.1998114452</v>
      </c>
      <c r="AO58" s="28">
        <f t="shared" si="158"/>
        <v>0.2997171678</v>
      </c>
      <c r="AP58" s="27">
        <f t="shared" ref="AP58:AQ58" si="159">SUM(T66)</f>
        <v>306.4506995</v>
      </c>
      <c r="AQ58" s="27">
        <f t="shared" si="159"/>
        <v>7.296445226</v>
      </c>
      <c r="AR58" s="23">
        <f t="shared" si="160"/>
        <v>58.61904762</v>
      </c>
    </row>
    <row r="59" ht="15.75" customHeight="1">
      <c r="A59" s="21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X59" s="31">
        <v>3.0</v>
      </c>
      <c r="Y59" s="31" t="s">
        <v>25</v>
      </c>
      <c r="Z59" s="31">
        <f t="shared" ref="Z59:AI59" si="161">SUM(D67)</f>
        <v>32</v>
      </c>
      <c r="AA59" s="32">
        <f t="shared" si="161"/>
        <v>32</v>
      </c>
      <c r="AB59" s="33">
        <f t="shared" si="161"/>
        <v>6259.796</v>
      </c>
      <c r="AC59" s="32">
        <f t="shared" si="161"/>
        <v>2505</v>
      </c>
      <c r="AD59" s="32">
        <f t="shared" si="161"/>
        <v>324</v>
      </c>
      <c r="AE59" s="32">
        <f t="shared" si="161"/>
        <v>2829</v>
      </c>
      <c r="AF59" s="32">
        <f t="shared" si="161"/>
        <v>3280</v>
      </c>
      <c r="AG59" s="32">
        <f t="shared" si="161"/>
        <v>174</v>
      </c>
      <c r="AH59" s="32">
        <f t="shared" si="161"/>
        <v>3454</v>
      </c>
      <c r="AI59" s="32">
        <f t="shared" si="161"/>
        <v>6283</v>
      </c>
      <c r="AJ59" s="34">
        <f t="shared" si="154"/>
        <v>195.618625</v>
      </c>
      <c r="AK59" s="31">
        <f>SUM(O67)</f>
        <v>6622</v>
      </c>
      <c r="AL59" s="35">
        <f t="shared" si="155"/>
        <v>0.9488070069</v>
      </c>
      <c r="AM59" s="36">
        <f t="shared" si="156"/>
        <v>1.5</v>
      </c>
      <c r="AN59" s="35">
        <f t="shared" si="157"/>
        <v>0.6691378867</v>
      </c>
      <c r="AO59" s="37">
        <f t="shared" si="158"/>
        <v>1.00370683</v>
      </c>
      <c r="AP59" s="36">
        <f t="shared" ref="AP59:AQ59" si="162">SUM(T67)</f>
        <v>262.5753356</v>
      </c>
      <c r="AQ59" s="36">
        <f t="shared" si="162"/>
        <v>8.205479237</v>
      </c>
      <c r="AR59" s="32">
        <f t="shared" si="160"/>
        <v>196.34375</v>
      </c>
    </row>
    <row r="60" ht="15.75" customHeight="1">
      <c r="A60" s="21"/>
      <c r="B60" s="38">
        <v>1.0</v>
      </c>
      <c r="C60" s="38" t="s">
        <v>26</v>
      </c>
      <c r="D60" s="39">
        <v>20.0</v>
      </c>
      <c r="E60" s="40">
        <f>IFERROR(__xludf.DUMMYFUNCTION("COUNT(IMPORTRANGE(""https://docs.google.com/spreadsheets/d/1iVFEBQOAONhqDIMRa2hQ7WkCQv0dJWSAmc0AzfvSCMg/edit"",""3!d2:d21""))"),20.0)</f>
        <v>20</v>
      </c>
      <c r="F60" s="41">
        <f>IFERROR(__xludf.DUMMYFUNCTION("SUM(IMPORTRANGE(""https://docs.google.com/spreadsheets/d/1iVFEBQOAONhqDIMRa2hQ7WkCQv0dJWSAmc0AzfvSCMg/edit"",""3!Q2:Q21""))"),3805.56)</f>
        <v>3805.56</v>
      </c>
      <c r="G60" s="40">
        <f>IFERROR(__xludf.DUMMYFUNCTION("IMPORTRANGE(""https://docs.google.com/spreadsheets/d/1iVFEBQOAONhqDIMRa2hQ7WkCQv0dJWSAmc0AzfvSCMg/edit"",""3!e28"")"),2384.0)</f>
        <v>2384</v>
      </c>
      <c r="H60" s="40">
        <f>IFERROR(__xludf.DUMMYFUNCTION("IMPORTRANGE(""https://docs.google.com/spreadsheets/d/1iVFEBQOAONhqDIMRa2hQ7WkCQv0dJWSAmc0AzfvSCMg/edit"",""3!e29"")"),65.0)</f>
        <v>65</v>
      </c>
      <c r="I60" s="40">
        <f t="shared" ref="I60:I77" si="165">SUM(G60:H60)</f>
        <v>2449</v>
      </c>
      <c r="J60" s="40">
        <f>IFERROR(__xludf.DUMMYFUNCTION("IMPORTRANGE(""https://docs.google.com/spreadsheets/d/1iVFEBQOAONhqDIMRa2hQ7WkCQv0dJWSAmc0AzfvSCMg/edit"",""3!e32"")"),2797.0)</f>
        <v>2797</v>
      </c>
      <c r="K60" s="40">
        <f>IFERROR(__xludf.DUMMYFUNCTION("IMPORTRANGE(""https://docs.google.com/spreadsheets/d/1iVFEBQOAONhqDIMRa2hQ7WkCQv0dJWSAmc0AzfvSCMg/edit"",""3!e33"")"),0.0)</f>
        <v>0</v>
      </c>
      <c r="L60" s="40">
        <f t="shared" ref="L60:L66" si="166">SUM(J60:K60)</f>
        <v>2797</v>
      </c>
      <c r="M60" s="40">
        <f t="shared" ref="M60:M77" si="167">SUM(I60+L60)</f>
        <v>5246</v>
      </c>
      <c r="N60" s="41">
        <f t="shared" ref="N60:N78" si="168">F60/E60</f>
        <v>190.278</v>
      </c>
      <c r="O60" s="38">
        <v>5161.0</v>
      </c>
      <c r="P60" s="56">
        <f t="shared" ref="P60:P78" si="169">M60/O60</f>
        <v>1.016469676</v>
      </c>
      <c r="Q60" s="43">
        <v>1.5</v>
      </c>
      <c r="R60" s="42">
        <f t="shared" ref="R60:R78" si="170">S60/Q60</f>
        <v>0.919006226</v>
      </c>
      <c r="S60" s="44">
        <f t="shared" ref="S60:S78" si="171">M60/F60</f>
        <v>1.378509339</v>
      </c>
      <c r="T60" s="43">
        <f>F60/14.415</f>
        <v>264</v>
      </c>
      <c r="U60" s="43">
        <f t="shared" ref="U60:U78" si="172">T60/E60</f>
        <v>13.2</v>
      </c>
      <c r="V60" s="40">
        <f t="shared" ref="V60:V78" si="173">M60/E60</f>
        <v>262.3</v>
      </c>
      <c r="X60" s="22">
        <v>4.0</v>
      </c>
      <c r="Y60" s="22" t="s">
        <v>27</v>
      </c>
      <c r="Z60" s="22">
        <f t="shared" ref="Z60:AK60" si="163">SUM(D73)</f>
        <v>30</v>
      </c>
      <c r="AA60" s="23">
        <f t="shared" si="163"/>
        <v>30</v>
      </c>
      <c r="AB60" s="24">
        <f t="shared" si="163"/>
        <v>5753.489</v>
      </c>
      <c r="AC60" s="23">
        <f t="shared" si="163"/>
        <v>2703</v>
      </c>
      <c r="AD60" s="23">
        <f t="shared" si="163"/>
        <v>0</v>
      </c>
      <c r="AE60" s="23">
        <f t="shared" si="163"/>
        <v>2703</v>
      </c>
      <c r="AF60" s="23">
        <f t="shared" si="163"/>
        <v>3659</v>
      </c>
      <c r="AG60" s="23">
        <f t="shared" si="163"/>
        <v>0</v>
      </c>
      <c r="AH60" s="23">
        <f t="shared" si="163"/>
        <v>3659</v>
      </c>
      <c r="AI60" s="23">
        <f t="shared" si="163"/>
        <v>6362</v>
      </c>
      <c r="AJ60" s="25">
        <f t="shared" si="163"/>
        <v>191.7829667</v>
      </c>
      <c r="AK60" s="22">
        <f t="shared" si="163"/>
        <v>8101</v>
      </c>
      <c r="AL60" s="26">
        <f t="shared" si="155"/>
        <v>0.7853351438</v>
      </c>
      <c r="AM60" s="27">
        <f>SUM(Q73)</f>
        <v>1.5</v>
      </c>
      <c r="AN60" s="26">
        <f t="shared" si="157"/>
        <v>0.7371758829</v>
      </c>
      <c r="AO60" s="28">
        <f t="shared" si="158"/>
        <v>1.105763824</v>
      </c>
      <c r="AP60" s="27">
        <f t="shared" ref="AP60:AQ60" si="164">SUM(T73)</f>
        <v>287.8903678</v>
      </c>
      <c r="AQ60" s="27">
        <f t="shared" si="164"/>
        <v>9.596345593</v>
      </c>
      <c r="AR60" s="23">
        <f t="shared" si="160"/>
        <v>212.0666667</v>
      </c>
    </row>
    <row r="61" ht="15.75" customHeight="1">
      <c r="A61" s="21"/>
      <c r="B61" s="38">
        <v>2.0</v>
      </c>
      <c r="C61" s="38" t="s">
        <v>28</v>
      </c>
      <c r="D61" s="39">
        <v>33.0</v>
      </c>
      <c r="E61" s="40">
        <f>IFERROR(__xludf.DUMMYFUNCTION("COUNT(IMPORTRANGE(""https://docs.google.com/spreadsheets/d/1tJCeYclgeJZ4Dc78t_SkhVjtacKW-5-VGim8X1rzUzk/edit"",""3!d2:d34""))"),33.0)</f>
        <v>33</v>
      </c>
      <c r="F61" s="41">
        <f>IFERROR(__xludf.DUMMYFUNCTION("SUM(IMPORTRANGE(""https://docs.google.com/spreadsheets/d/1tJCeYclgeJZ4Dc78t_SkhVjtacKW-5-VGim8X1rzUzk/edit"",""3!Q2:Q34""))"),6559.730000000001)</f>
        <v>6559.73</v>
      </c>
      <c r="G61" s="40">
        <f>IFERROR(__xludf.DUMMYFUNCTION("IMPORTRANGE(""https://docs.google.com/spreadsheets/d/1tJCeYclgeJZ4Dc78t_SkhVjtacKW-5-VGim8X1rzUzk/edit"",""3!e41"")"),2760.0)</f>
        <v>2760</v>
      </c>
      <c r="H61" s="40">
        <f>IFERROR(__xludf.DUMMYFUNCTION("IMPORTRANGE(""https://docs.google.com/spreadsheets/d/1tJCeYclgeJZ4Dc78t_SkhVjtacKW-5-VGim8X1rzUzk/edit"",""3!e42"")"),72.0)</f>
        <v>72</v>
      </c>
      <c r="I61" s="40">
        <f t="shared" si="165"/>
        <v>2832</v>
      </c>
      <c r="J61" s="40">
        <f>IFERROR(__xludf.DUMMYFUNCTION("IMPORTRANGE(""https://docs.google.com/spreadsheets/d/1tJCeYclgeJZ4Dc78t_SkhVjtacKW-5-VGim8X1rzUzk/edit"",""3!e45"")"),2988.0)</f>
        <v>2988</v>
      </c>
      <c r="K61" s="40">
        <f>IFERROR(__xludf.DUMMYFUNCTION("IMPORTRANGE(""https://docs.google.com/spreadsheets/d/1tJCeYclgeJZ4Dc78t_SkhVjtacKW-5-VGim8X1rzUzk/edit"",""3!e46"")"),257.0)</f>
        <v>257</v>
      </c>
      <c r="L61" s="40">
        <f t="shared" si="166"/>
        <v>3245</v>
      </c>
      <c r="M61" s="40">
        <f t="shared" si="167"/>
        <v>6077</v>
      </c>
      <c r="N61" s="41">
        <f t="shared" si="168"/>
        <v>198.779697</v>
      </c>
      <c r="O61" s="38">
        <v>7315.0</v>
      </c>
      <c r="P61" s="42">
        <f t="shared" si="169"/>
        <v>0.830758715</v>
      </c>
      <c r="Q61" s="43">
        <v>1.5</v>
      </c>
      <c r="R61" s="42">
        <f t="shared" si="170"/>
        <v>0.6176067206</v>
      </c>
      <c r="S61" s="44">
        <f t="shared" si="171"/>
        <v>0.9264100809</v>
      </c>
      <c r="T61" s="43">
        <f>F61/30.897</f>
        <v>212.3096093</v>
      </c>
      <c r="U61" s="43">
        <f t="shared" si="172"/>
        <v>6.433624526</v>
      </c>
      <c r="V61" s="40">
        <f t="shared" si="173"/>
        <v>184.1515152</v>
      </c>
      <c r="X61" s="22">
        <v>5.0</v>
      </c>
      <c r="Y61" s="22" t="s">
        <v>29</v>
      </c>
      <c r="Z61" s="22">
        <f t="shared" ref="Z61:AI61" si="174">SUM(D76)</f>
        <v>30</v>
      </c>
      <c r="AA61" s="23">
        <f t="shared" si="174"/>
        <v>29</v>
      </c>
      <c r="AB61" s="24">
        <f t="shared" si="174"/>
        <v>5754.398</v>
      </c>
      <c r="AC61" s="23">
        <f t="shared" si="174"/>
        <v>2958</v>
      </c>
      <c r="AD61" s="23">
        <f t="shared" si="174"/>
        <v>0</v>
      </c>
      <c r="AE61" s="23">
        <f t="shared" si="174"/>
        <v>2958</v>
      </c>
      <c r="AF61" s="23">
        <f t="shared" si="174"/>
        <v>4116</v>
      </c>
      <c r="AG61" s="23">
        <f t="shared" si="174"/>
        <v>0</v>
      </c>
      <c r="AH61" s="23">
        <f t="shared" si="174"/>
        <v>4116</v>
      </c>
      <c r="AI61" s="23">
        <f t="shared" si="174"/>
        <v>7074</v>
      </c>
      <c r="AJ61" s="25">
        <f t="shared" ref="AJ61:AJ63" si="177">AB61/AA61</f>
        <v>198.4275172</v>
      </c>
      <c r="AK61" s="22">
        <f t="shared" ref="AK61:AK62" si="178">SUM(O76)</f>
        <v>9201</v>
      </c>
      <c r="AL61" s="26">
        <f t="shared" si="155"/>
        <v>0.7688294751</v>
      </c>
      <c r="AM61" s="27">
        <f t="shared" ref="AM61:AM62" si="179">SUM(Q76)</f>
        <v>1.5</v>
      </c>
      <c r="AN61" s="26">
        <f t="shared" si="157"/>
        <v>0.8195470664</v>
      </c>
      <c r="AO61" s="28">
        <f t="shared" si="158"/>
        <v>1.2293206</v>
      </c>
      <c r="AP61" s="27">
        <f t="shared" ref="AP61:AQ61" si="175">SUM(T76)</f>
        <v>221</v>
      </c>
      <c r="AQ61" s="27">
        <f t="shared" si="175"/>
        <v>7.620689655</v>
      </c>
      <c r="AR61" s="23">
        <f t="shared" si="160"/>
        <v>243.9310345</v>
      </c>
    </row>
    <row r="62" ht="15.75" customHeight="1">
      <c r="A62" s="21"/>
      <c r="B62" s="38">
        <v>3.0</v>
      </c>
      <c r="C62" s="38" t="s">
        <v>30</v>
      </c>
      <c r="D62" s="39">
        <v>60.0</v>
      </c>
      <c r="E62" s="40">
        <f>IFERROR(__xludf.DUMMYFUNCTION("COUNT(IMPORTRANGE(""https://docs.google.com/spreadsheets/d/130gLEONC13J8KkQ6dk06x3bLRy_jCrAw2hXatQf2W50/edit"",""3!d2:d61""))"),58.0)</f>
        <v>58</v>
      </c>
      <c r="F62" s="45">
        <f>IFERROR(__xludf.DUMMYFUNCTION("SUM(IMPORTRANGE(""https://docs.google.com/spreadsheets/d/130gLEONC13J8KkQ6dk06x3bLRy_jCrAw2hXatQf2W50/edit"",""3!Q2:Q61""))"),11578.977999999988)</f>
        <v>11578.978</v>
      </c>
      <c r="G62" s="40">
        <f>IFERROR(__xludf.DUMMYFUNCTION("IMPORTRANGE(""https://docs.google.com/spreadsheets/d/130gLEONC13J8KkQ6dk06x3bLRy_jCrAw2hXatQf2W50/edit"",""3!e68"")"),3523.0)</f>
        <v>3523</v>
      </c>
      <c r="H62" s="40">
        <f>IFERROR(__xludf.DUMMYFUNCTION("IMPORTRANGE(""https://docs.google.com/spreadsheets/d/130gLEONC13J8KkQ6dk06x3bLRy_jCrAw2hXatQf2W50/edit"",""3!e69"")"),35.0)</f>
        <v>35</v>
      </c>
      <c r="I62" s="40">
        <f t="shared" si="165"/>
        <v>3558</v>
      </c>
      <c r="J62" s="40">
        <f>IFERROR(__xludf.DUMMYFUNCTION("IMPORTRANGE(""https://docs.google.com/spreadsheets/d/130gLEONC13J8KkQ6dk06x3bLRy_jCrAw2hXatQf2W50/edit"",""3!e72"")"),6051.0)</f>
        <v>6051</v>
      </c>
      <c r="K62" s="40">
        <f>IFERROR(__xludf.DUMMYFUNCTION("IMPORTRANGE(""https://docs.google.com/spreadsheets/d/130gLEONC13J8KkQ6dk06x3bLRy_jCrAw2hXatQf2W50/edit"",""3!e73"")"),31.0)</f>
        <v>31</v>
      </c>
      <c r="L62" s="40">
        <f t="shared" si="166"/>
        <v>6082</v>
      </c>
      <c r="M62" s="40">
        <f t="shared" si="167"/>
        <v>9640</v>
      </c>
      <c r="N62" s="41">
        <f t="shared" si="168"/>
        <v>199.6375517</v>
      </c>
      <c r="O62" s="38">
        <v>11164.0</v>
      </c>
      <c r="P62" s="42">
        <f t="shared" si="169"/>
        <v>0.8634897886</v>
      </c>
      <c r="Q62" s="43">
        <v>1.5</v>
      </c>
      <c r="R62" s="42">
        <f t="shared" si="170"/>
        <v>0.5550288347</v>
      </c>
      <c r="S62" s="44">
        <f t="shared" si="171"/>
        <v>0.8325432521</v>
      </c>
      <c r="T62" s="43">
        <f>F62/29.603</f>
        <v>391.1420464</v>
      </c>
      <c r="U62" s="43">
        <f t="shared" si="172"/>
        <v>6.743828386</v>
      </c>
      <c r="V62" s="40">
        <f t="shared" si="173"/>
        <v>166.2068966</v>
      </c>
      <c r="X62" s="22">
        <v>6.0</v>
      </c>
      <c r="Y62" s="22" t="s">
        <v>31</v>
      </c>
      <c r="Z62" s="22">
        <f t="shared" ref="Z62:AI62" si="176">SUM(D77)</f>
        <v>15</v>
      </c>
      <c r="AA62" s="23">
        <f t="shared" si="176"/>
        <v>14</v>
      </c>
      <c r="AB62" s="25">
        <f t="shared" si="176"/>
        <v>2738.295</v>
      </c>
      <c r="AC62" s="23">
        <f t="shared" si="176"/>
        <v>810</v>
      </c>
      <c r="AD62" s="23">
        <f t="shared" si="176"/>
        <v>0</v>
      </c>
      <c r="AE62" s="23">
        <f t="shared" si="176"/>
        <v>810</v>
      </c>
      <c r="AF62" s="23">
        <f t="shared" si="176"/>
        <v>1056</v>
      </c>
      <c r="AG62" s="23">
        <f t="shared" si="176"/>
        <v>0</v>
      </c>
      <c r="AH62" s="23">
        <f t="shared" si="176"/>
        <v>1056</v>
      </c>
      <c r="AI62" s="23">
        <f t="shared" si="176"/>
        <v>1866</v>
      </c>
      <c r="AJ62" s="25">
        <f t="shared" si="177"/>
        <v>195.5925</v>
      </c>
      <c r="AK62" s="22">
        <f t="shared" si="178"/>
        <v>2717</v>
      </c>
      <c r="AL62" s="26">
        <f t="shared" si="155"/>
        <v>0.6867868973</v>
      </c>
      <c r="AM62" s="27">
        <f t="shared" si="179"/>
        <v>1.5</v>
      </c>
      <c r="AN62" s="26">
        <f t="shared" si="157"/>
        <v>0.4542972908</v>
      </c>
      <c r="AO62" s="28">
        <f t="shared" si="158"/>
        <v>0.6814459362</v>
      </c>
      <c r="AP62" s="27">
        <f t="shared" ref="AP62:AQ62" si="180">SUM(T77)</f>
        <v>63</v>
      </c>
      <c r="AQ62" s="27">
        <f t="shared" si="180"/>
        <v>4.5</v>
      </c>
      <c r="AR62" s="23">
        <f t="shared" si="160"/>
        <v>133.2857143</v>
      </c>
    </row>
    <row r="63" ht="15.75" customHeight="1">
      <c r="A63" s="21"/>
      <c r="B63" s="38">
        <v>4.0</v>
      </c>
      <c r="C63" s="38" t="s">
        <v>32</v>
      </c>
      <c r="D63" s="39">
        <v>42.0</v>
      </c>
      <c r="E63" s="40">
        <f>IFERROR(__xludf.DUMMYFUNCTION("COUNT(IMPORTRANGE(""https://docs.google.com/spreadsheets/d/1gYHli7FuKQLm2Q-5LMR0UtkD-gRRA_p8s-phLPLDLgc/edit"",""3!d2:d43""))"),41.0)</f>
        <v>41</v>
      </c>
      <c r="F63" s="45">
        <f>IFERROR(__xludf.DUMMYFUNCTION("SUM(IMPORTRANGE(""https://docs.google.com/spreadsheets/d/1gYHli7FuKQLm2Q-5LMR0UtkD-gRRA_p8s-phLPLDLgc/edit"",""3!Q2:Q43""))"),8003.3909999999905)</f>
        <v>8003.391</v>
      </c>
      <c r="G63" s="38">
        <f>IFERROR(__xludf.DUMMYFUNCTION("IMPORTRANGE(""https://docs.google.com/spreadsheets/d/1gYHli7FuKQLm2Q-5LMR0UtkD-gRRA_p8s-phLPLDLgc/edit"",""3!e50"")"),4261.0)</f>
        <v>4261</v>
      </c>
      <c r="H63" s="38">
        <f>IFERROR(__xludf.DUMMYFUNCTION("IMPORTRANGE(""https://docs.google.com/spreadsheets/d/1gYHli7FuKQLm2Q-5LMR0UtkD-gRRA_p8s-phLPLDLgc/edit"",""3!e51"")"),0.0)</f>
        <v>0</v>
      </c>
      <c r="I63" s="40">
        <f t="shared" si="165"/>
        <v>4261</v>
      </c>
      <c r="J63" s="38">
        <f>IFERROR(__xludf.DUMMYFUNCTION("IMPORTRANGE(""https://docs.google.com/spreadsheets/d/1gYHli7FuKQLm2Q-5LMR0UtkD-gRRA_p8s-phLPLDLgc/edit"",""3!e54"")"),5609.0)</f>
        <v>5609</v>
      </c>
      <c r="K63" s="38">
        <f>IFERROR(__xludf.DUMMYFUNCTION("IMPORTRANGE(""https://docs.google.com/spreadsheets/d/1gYHli7FuKQLm2Q-5LMR0UtkD-gRRA_p8s-phLPLDLgc/edit"",""3!e55"")"),0.0)</f>
        <v>0</v>
      </c>
      <c r="L63" s="40">
        <f t="shared" si="166"/>
        <v>5609</v>
      </c>
      <c r="M63" s="40">
        <f t="shared" si="167"/>
        <v>9870</v>
      </c>
      <c r="N63" s="41">
        <f t="shared" si="168"/>
        <v>195.2046585</v>
      </c>
      <c r="O63" s="38">
        <v>13817.0</v>
      </c>
      <c r="P63" s="42">
        <f t="shared" si="169"/>
        <v>0.7143374104</v>
      </c>
      <c r="Q63" s="43">
        <v>1.5</v>
      </c>
      <c r="R63" s="42">
        <f t="shared" si="170"/>
        <v>0.8221515105</v>
      </c>
      <c r="S63" s="44">
        <f t="shared" si="171"/>
        <v>1.233227266</v>
      </c>
      <c r="T63" s="43">
        <f>F63/25.089</f>
        <v>319</v>
      </c>
      <c r="U63" s="43">
        <f t="shared" si="172"/>
        <v>7.780487805</v>
      </c>
      <c r="V63" s="40">
        <f t="shared" si="173"/>
        <v>240.7317073</v>
      </c>
      <c r="X63" s="46" t="s">
        <v>33</v>
      </c>
      <c r="Y63" s="46">
        <v>6.0</v>
      </c>
      <c r="Z63" s="46">
        <f t="shared" ref="Z63:AI63" si="181">SUM(Z57:Z62)</f>
        <v>186</v>
      </c>
      <c r="AA63" s="47">
        <f t="shared" si="181"/>
        <v>181</v>
      </c>
      <c r="AB63" s="48">
        <f t="shared" si="181"/>
        <v>35217.133</v>
      </c>
      <c r="AC63" s="47">
        <f t="shared" si="181"/>
        <v>11808</v>
      </c>
      <c r="AD63" s="47">
        <f t="shared" si="181"/>
        <v>349</v>
      </c>
      <c r="AE63" s="47">
        <f t="shared" si="181"/>
        <v>12157</v>
      </c>
      <c r="AF63" s="47">
        <f t="shared" si="181"/>
        <v>16654</v>
      </c>
      <c r="AG63" s="47">
        <f t="shared" si="181"/>
        <v>174</v>
      </c>
      <c r="AH63" s="47">
        <f t="shared" si="181"/>
        <v>16828</v>
      </c>
      <c r="AI63" s="47">
        <f t="shared" si="181"/>
        <v>28985</v>
      </c>
      <c r="AJ63" s="49">
        <f t="shared" si="177"/>
        <v>194.5697956</v>
      </c>
      <c r="AK63" s="46">
        <f>SUM(AK57:AK62)</f>
        <v>35074</v>
      </c>
      <c r="AL63" s="50">
        <f t="shared" si="155"/>
        <v>0.8263956207</v>
      </c>
      <c r="AM63" s="51">
        <v>1.5</v>
      </c>
      <c r="AN63" s="50">
        <f t="shared" si="157"/>
        <v>0.5486912672</v>
      </c>
      <c r="AO63" s="52">
        <f t="shared" si="158"/>
        <v>0.8230369008</v>
      </c>
      <c r="AP63" s="51">
        <f>SUM(AP57:AP62)</f>
        <v>1333.469574</v>
      </c>
      <c r="AQ63" s="51">
        <f>AP63/AA63</f>
        <v>7.367235216</v>
      </c>
      <c r="AR63" s="47">
        <f t="shared" si="160"/>
        <v>160.1381215</v>
      </c>
    </row>
    <row r="64" ht="15.75" customHeight="1">
      <c r="A64" s="21"/>
      <c r="B64" s="38">
        <v>5.0</v>
      </c>
      <c r="C64" s="38" t="s">
        <v>34</v>
      </c>
      <c r="D64" s="39">
        <v>40.0</v>
      </c>
      <c r="E64" s="40">
        <f>IFERROR(__xludf.DUMMYFUNCTION("COUNT(IMPORTRANGE(""https://docs.google.com/spreadsheets/d/1ptS0qWBCKWkc9h2aXWT_YgMhN7yIv5WgAHRbF8l9Zpo/edit"",""3!d2:d41""))"),39.0)</f>
        <v>39</v>
      </c>
      <c r="F64" s="45">
        <f>IFERROR(__xludf.DUMMYFUNCTION("SUM(IMPORTRANGE(""https://docs.google.com/spreadsheets/d/1ptS0qWBCKWkc9h2aXWT_YgMhN7yIv5WgAHRbF8l9Zpo/edit"",""3!Q2:Q41""))"),7780.5480000000025)</f>
        <v>7780.548</v>
      </c>
      <c r="G64" s="40">
        <f>IFERROR(__xludf.DUMMYFUNCTION("IMPORTRANGE(""https://docs.google.com/spreadsheets/d/1ptS0qWBCKWkc9h2aXWT_YgMhN7yIv5WgAHRbF8l9Zpo/edit"",""3!e48"")"),2602.0)</f>
        <v>2602</v>
      </c>
      <c r="H64" s="40">
        <f>IFERROR(__xludf.DUMMYFUNCTION("IMPORTRANGE(""https://docs.google.com/spreadsheets/d/1ptS0qWBCKWkc9h2aXWT_YgMhN7yIv5WgAHRbF8l9Zpo/edit"",""3!e49"")"),0.0)</f>
        <v>0</v>
      </c>
      <c r="I64" s="40">
        <f t="shared" si="165"/>
        <v>2602</v>
      </c>
      <c r="J64" s="40">
        <f>IFERROR(__xludf.DUMMYFUNCTION("IMPORTRANGE(""https://docs.google.com/spreadsheets/d/1ptS0qWBCKWkc9h2aXWT_YgMhN7yIv5WgAHRbF8l9Zpo/edit"",""3!e52"")"),3647.0)</f>
        <v>3647</v>
      </c>
      <c r="K64" s="40">
        <f>IFERROR(__xludf.DUMMYFUNCTION("IMPORTRANGE(""https://docs.google.com/spreadsheets/d/1ptS0qWBCKWkc9h2aXWT_YgMhN7yIv5WgAHRbF8l9Zpo/edit"",""3!e53"")"),0.0)</f>
        <v>0</v>
      </c>
      <c r="L64" s="40">
        <f t="shared" si="166"/>
        <v>3647</v>
      </c>
      <c r="M64" s="40">
        <f t="shared" si="167"/>
        <v>6249</v>
      </c>
      <c r="N64" s="41">
        <f t="shared" si="168"/>
        <v>199.5012308</v>
      </c>
      <c r="O64" s="38">
        <v>9354.0</v>
      </c>
      <c r="P64" s="42">
        <f t="shared" si="169"/>
        <v>0.6680564464</v>
      </c>
      <c r="Q64" s="43">
        <v>1.5</v>
      </c>
      <c r="R64" s="42">
        <f t="shared" si="170"/>
        <v>0.5354378638</v>
      </c>
      <c r="S64" s="44">
        <f t="shared" si="171"/>
        <v>0.8031567956</v>
      </c>
      <c r="T64" s="43">
        <f>F64/30.713</f>
        <v>253.330772</v>
      </c>
      <c r="U64" s="43">
        <f t="shared" si="172"/>
        <v>6.49566082</v>
      </c>
      <c r="V64" s="40">
        <f t="shared" si="173"/>
        <v>160.2307692</v>
      </c>
      <c r="X64" s="53" t="s">
        <v>35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6"/>
    </row>
    <row r="65" ht="15.75" customHeight="1">
      <c r="A65" s="21"/>
      <c r="B65" s="38">
        <v>6.0</v>
      </c>
      <c r="C65" s="38" t="s">
        <v>23</v>
      </c>
      <c r="D65" s="39">
        <v>35.0</v>
      </c>
      <c r="E65" s="40">
        <f>IFERROR(__xludf.DUMMYFUNCTION("COUNT(IMPORTRANGE(""https://docs.google.com/spreadsheets/d/1829CoYW82aTBBUgqkPnJa94KlBWI-DowAnP4ENQCmaQ/edit"",""3!d2:d36""))"),34.0)</f>
        <v>34</v>
      </c>
      <c r="F65" s="45">
        <f>IFERROR(__xludf.DUMMYFUNCTION("SUM(IMPORTRANGE(""https://docs.google.com/spreadsheets/d/1829CoYW82aTBBUgqkPnJa94KlBWI-DowAnP4ENQCmaQ/edit"",""3!Q2:Q36""))"),6496.743999999996)</f>
        <v>6496.744</v>
      </c>
      <c r="G65" s="40">
        <f>IFERROR(__xludf.DUMMYFUNCTION("IMPORTRANGE(""https://docs.google.com/spreadsheets/d/1829CoYW82aTBBUgqkPnJa94KlBWI-DowAnP4ENQCmaQ/edit"",""3!e43"")"),1845.0)</f>
        <v>1845</v>
      </c>
      <c r="H65" s="40">
        <f>IFERROR(__xludf.DUMMYFUNCTION("IMPORTRANGE(""https://docs.google.com/spreadsheets/d/1829CoYW82aTBBUgqkPnJa94KlBWI-DowAnP4ENQCmaQ/edit"",""3!e44"")"),0.0)</f>
        <v>0</v>
      </c>
      <c r="I65" s="40">
        <f t="shared" si="165"/>
        <v>1845</v>
      </c>
      <c r="J65" s="40">
        <f>IFERROR(__xludf.DUMMYFUNCTION("IMPORTRANGE(""https://docs.google.com/spreadsheets/d/1829CoYW82aTBBUgqkPnJa94KlBWI-DowAnP4ENQCmaQ/edit"",""3!e47"")"),3093.0)</f>
        <v>3093</v>
      </c>
      <c r="K65" s="40">
        <f>IFERROR(__xludf.DUMMYFUNCTION("IMPORTRANGE(""https://docs.google.com/spreadsheets/d/1829CoYW82aTBBUgqkPnJa94KlBWI-DowAnP4ENQCmaQ/edit"",""3!e48"")"),0.0)</f>
        <v>0</v>
      </c>
      <c r="L65" s="40">
        <f t="shared" si="166"/>
        <v>3093</v>
      </c>
      <c r="M65" s="40">
        <f t="shared" si="167"/>
        <v>4938</v>
      </c>
      <c r="N65" s="41">
        <f t="shared" si="168"/>
        <v>191.0807059</v>
      </c>
      <c r="O65" s="38">
        <v>6853.0</v>
      </c>
      <c r="P65" s="42">
        <f t="shared" si="169"/>
        <v>0.7205603385</v>
      </c>
      <c r="Q65" s="43">
        <v>1.5</v>
      </c>
      <c r="R65" s="42">
        <f t="shared" si="170"/>
        <v>0.5067153639</v>
      </c>
      <c r="S65" s="44">
        <f t="shared" si="171"/>
        <v>0.7600730458</v>
      </c>
      <c r="T65" s="43">
        <f>F65/33.74</f>
        <v>192.5531713</v>
      </c>
      <c r="U65" s="43">
        <f t="shared" si="172"/>
        <v>5.663328568</v>
      </c>
      <c r="V65" s="40">
        <f t="shared" si="173"/>
        <v>145.2352941</v>
      </c>
      <c r="X65" s="14" t="s">
        <v>2</v>
      </c>
      <c r="Y65" s="14" t="s">
        <v>3</v>
      </c>
      <c r="Z65" s="14" t="s">
        <v>4</v>
      </c>
      <c r="AA65" s="14" t="s">
        <v>5</v>
      </c>
      <c r="AB65" s="15" t="s">
        <v>6</v>
      </c>
      <c r="AC65" s="14" t="s">
        <v>7</v>
      </c>
      <c r="AD65" s="14" t="s">
        <v>8</v>
      </c>
      <c r="AE65" s="14" t="s">
        <v>9</v>
      </c>
      <c r="AF65" s="14" t="s">
        <v>10</v>
      </c>
      <c r="AG65" s="14" t="s">
        <v>11</v>
      </c>
      <c r="AH65" s="14" t="s">
        <v>12</v>
      </c>
      <c r="AI65" s="14" t="s">
        <v>13</v>
      </c>
      <c r="AJ65" s="15" t="s">
        <v>14</v>
      </c>
      <c r="AK65" s="14" t="s">
        <v>15</v>
      </c>
      <c r="AL65" s="14" t="s">
        <v>16</v>
      </c>
      <c r="AM65" s="16" t="s">
        <v>17</v>
      </c>
      <c r="AN65" s="17" t="s">
        <v>18</v>
      </c>
      <c r="AO65" s="18" t="s">
        <v>19</v>
      </c>
      <c r="AP65" s="19" t="s">
        <v>20</v>
      </c>
      <c r="AQ65" s="19" t="s">
        <v>21</v>
      </c>
      <c r="AR65" s="20" t="s">
        <v>22</v>
      </c>
    </row>
    <row r="66" ht="15.75" customHeight="1">
      <c r="A66" s="21"/>
      <c r="B66" s="38">
        <v>7.0</v>
      </c>
      <c r="C66" s="38" t="s">
        <v>24</v>
      </c>
      <c r="D66" s="39">
        <v>44.0</v>
      </c>
      <c r="E66" s="54">
        <f>IFERROR(__xludf.DUMMYFUNCTION("COUNT(IMPORTRANGE(""https://docs.google.com/spreadsheets/d/1E2x4oDZxEIsuC5nl-5Z0--MoN8b1dt9SbpRcCfNP84Q/edit"",""3!d2:d45""))"),42.0)</f>
        <v>42</v>
      </c>
      <c r="F66" s="55">
        <f>IFERROR(__xludf.DUMMYFUNCTION("SUM(IMPORTRANGE(""https://docs.google.com/spreadsheets/d/1E2x4oDZxEIsuC5nl-5Z0--MoN8b1dt9SbpRcCfNP84Q/edit"",""3!Q2:Q45""))"),8214.410999999995)</f>
        <v>8214.411</v>
      </c>
      <c r="G66" s="54">
        <f>IFERROR(__xludf.DUMMYFUNCTION("IMPORTRANGE(""https://docs.google.com/spreadsheets/d/1E2x4oDZxEIsuC5nl-5Z0--MoN8b1dt9SbpRcCfNP84Q/edit"",""3!e53"")"),987.0)</f>
        <v>987</v>
      </c>
      <c r="H66" s="54">
        <f>IFERROR(__xludf.DUMMYFUNCTION("IMPORTRANGE(""https://docs.google.com/spreadsheets/d/1E2x4oDZxEIsuC5nl-5Z0--MoN8b1dt9SbpRcCfNP84Q/edit"",""3!e54"")"),25.0)</f>
        <v>25</v>
      </c>
      <c r="I66" s="54">
        <f t="shared" si="165"/>
        <v>1012</v>
      </c>
      <c r="J66" s="54">
        <f>IFERROR(__xludf.DUMMYFUNCTION("IMPORTRANGE(""https://docs.google.com/spreadsheets/d/1E2x4oDZxEIsuC5nl-5Z0--MoN8b1dt9SbpRcCfNP84Q/edit"",""3!e57"")"),1450.0)</f>
        <v>1450</v>
      </c>
      <c r="K66" s="54">
        <f>IFERROR(__xludf.DUMMYFUNCTION("IMPORTRANGE(""https://docs.google.com/spreadsheets/d/1E2x4oDZxEIsuC5nl-5Z0--MoN8b1dt9SbpRcCfNP84Q/edit"",""3!e58"")"),0.0)</f>
        <v>0</v>
      </c>
      <c r="L66" s="40">
        <f t="shared" si="166"/>
        <v>1450</v>
      </c>
      <c r="M66" s="40">
        <f t="shared" si="167"/>
        <v>2462</v>
      </c>
      <c r="N66" s="41">
        <f t="shared" si="168"/>
        <v>195.5812143</v>
      </c>
      <c r="O66" s="38">
        <v>1580.0</v>
      </c>
      <c r="P66" s="56">
        <f t="shared" si="169"/>
        <v>1.558227848</v>
      </c>
      <c r="Q66" s="43">
        <v>1.5</v>
      </c>
      <c r="R66" s="42">
        <f t="shared" si="170"/>
        <v>0.1998114452</v>
      </c>
      <c r="S66" s="44">
        <f t="shared" si="171"/>
        <v>0.2997171678</v>
      </c>
      <c r="T66" s="43">
        <f>F66/26.805</f>
        <v>306.4506995</v>
      </c>
      <c r="U66" s="43">
        <f t="shared" si="172"/>
        <v>7.296445226</v>
      </c>
      <c r="V66" s="40">
        <f t="shared" si="173"/>
        <v>58.61904762</v>
      </c>
      <c r="X66" s="22">
        <v>1.0</v>
      </c>
      <c r="Y66" s="22" t="s">
        <v>28</v>
      </c>
      <c r="Z66" s="22">
        <f t="shared" ref="Z66:AI66" si="182">SUM(D61)</f>
        <v>33</v>
      </c>
      <c r="AA66" s="23">
        <f t="shared" si="182"/>
        <v>33</v>
      </c>
      <c r="AB66" s="25">
        <f t="shared" si="182"/>
        <v>6559.73</v>
      </c>
      <c r="AC66" s="23">
        <f t="shared" si="182"/>
        <v>2760</v>
      </c>
      <c r="AD66" s="23">
        <f t="shared" si="182"/>
        <v>72</v>
      </c>
      <c r="AE66" s="23">
        <f t="shared" si="182"/>
        <v>2832</v>
      </c>
      <c r="AF66" s="23">
        <f t="shared" si="182"/>
        <v>2988</v>
      </c>
      <c r="AG66" s="23">
        <f t="shared" si="182"/>
        <v>257</v>
      </c>
      <c r="AH66" s="23">
        <f t="shared" si="182"/>
        <v>3245</v>
      </c>
      <c r="AI66" s="23">
        <f t="shared" si="182"/>
        <v>6077</v>
      </c>
      <c r="AJ66" s="25">
        <f t="shared" ref="AJ66:AJ72" si="185">AB66/AA66</f>
        <v>198.779697</v>
      </c>
      <c r="AK66" s="22">
        <f t="shared" ref="AK66:AK67" si="186">SUM(O61)</f>
        <v>7315</v>
      </c>
      <c r="AL66" s="26">
        <f t="shared" ref="AL66:AL72" si="187">AI66/AK66</f>
        <v>0.830758715</v>
      </c>
      <c r="AM66" s="27">
        <f t="shared" ref="AM66:AM67" si="188">SUM(Q61)</f>
        <v>1.5</v>
      </c>
      <c r="AN66" s="26">
        <f t="shared" ref="AN66:AN72" si="189">AO66/AM66</f>
        <v>0.6176067206</v>
      </c>
      <c r="AO66" s="28">
        <f t="shared" ref="AO66:AO72" si="190">AI66/AB66</f>
        <v>0.9264100809</v>
      </c>
      <c r="AP66" s="27">
        <f t="shared" ref="AP66:AQ66" si="183">SUM(T61)</f>
        <v>212.3096093</v>
      </c>
      <c r="AQ66" s="27">
        <f t="shared" si="183"/>
        <v>6.433624526</v>
      </c>
      <c r="AR66" s="23">
        <f t="shared" ref="AR66:AR72" si="192">AI66/AA66</f>
        <v>184.1515152</v>
      </c>
    </row>
    <row r="67" ht="15.75" customHeight="1">
      <c r="A67" s="21"/>
      <c r="B67" s="38">
        <v>8.0</v>
      </c>
      <c r="C67" s="38" t="s">
        <v>25</v>
      </c>
      <c r="D67" s="57">
        <v>32.0</v>
      </c>
      <c r="E67" s="40">
        <f>IFERROR(__xludf.DUMMYFUNCTION("COUNT(IMPORTRANGE(""https://docs.google.com/spreadsheets/d/1KbRFOEYB0B44J_NSh1MwYQ1sLDlZXUHI-wuMLcZDn5k/edit"",""3!d2:D33""))"),32.0)</f>
        <v>32</v>
      </c>
      <c r="F67" s="45">
        <f>IFERROR(__xludf.DUMMYFUNCTION("SUM(IMPORTRANGE(""https://docs.google.com/spreadsheets/d/1KbRFOEYB0B44J_NSh1MwYQ1sLDlZXUHI-wuMLcZDn5k/edit"",""3!Q2:Q33""))"),6259.796000000002)</f>
        <v>6259.796</v>
      </c>
      <c r="G67" s="40">
        <f>IFERROR(__xludf.DUMMYFUNCTION("IMPORTRANGE(""https://docs.google.com/spreadsheets/d/1KbRFOEYB0B44J_NSh1MwYQ1sLDlZXUHI-wuMLcZDn5k/edit"",""3!e40"")"),2505.0)</f>
        <v>2505</v>
      </c>
      <c r="H67" s="40">
        <f>IFERROR(__xludf.DUMMYFUNCTION("IMPORTRANGE(""https://docs.google.com/spreadsheets/d/1KbRFOEYB0B44J_NSh1MwYQ1sLDlZXUHI-wuMLcZDn5k/edit"",""3!e41"")"),324.0)</f>
        <v>324</v>
      </c>
      <c r="I67" s="40">
        <f t="shared" si="165"/>
        <v>2829</v>
      </c>
      <c r="J67" s="40">
        <f>IFERROR(__xludf.DUMMYFUNCTION("IMPORTRANGE(""https://docs.google.com/spreadsheets/d/1KbRFOEYB0B44J_NSh1MwYQ1sLDlZXUHI-wuMLcZDn5k/edit"",""3!e44"")"),3280.0)</f>
        <v>3280</v>
      </c>
      <c r="K67" s="40">
        <f>IFERROR(__xludf.DUMMYFUNCTION("IMPORTRANGE(""https://docs.google.com/spreadsheets/d/1KbRFOEYB0B44J_NSh1MwYQ1sLDlZXUHI-wuMLcZDn5k/edit"",""3!e45"")"),174.0)</f>
        <v>174</v>
      </c>
      <c r="L67" s="40">
        <f>J67+K67</f>
        <v>3454</v>
      </c>
      <c r="M67" s="40">
        <f t="shared" si="167"/>
        <v>6283</v>
      </c>
      <c r="N67" s="41">
        <f t="shared" si="168"/>
        <v>195.618625</v>
      </c>
      <c r="O67" s="38">
        <v>6622.0</v>
      </c>
      <c r="P67" s="42">
        <f t="shared" si="169"/>
        <v>0.9488070069</v>
      </c>
      <c r="Q67" s="43">
        <v>1.5</v>
      </c>
      <c r="R67" s="42">
        <f t="shared" si="170"/>
        <v>0.6691378867</v>
      </c>
      <c r="S67" s="44">
        <f t="shared" si="171"/>
        <v>1.00370683</v>
      </c>
      <c r="T67" s="43">
        <f>F67/23.84</f>
        <v>262.5753356</v>
      </c>
      <c r="U67" s="43">
        <f t="shared" si="172"/>
        <v>8.205479237</v>
      </c>
      <c r="V67" s="40">
        <f t="shared" si="173"/>
        <v>196.34375</v>
      </c>
      <c r="X67" s="31">
        <v>2.0</v>
      </c>
      <c r="Y67" s="31" t="s">
        <v>30</v>
      </c>
      <c r="Z67" s="31">
        <f t="shared" ref="Z67:AI67" si="184">SUM(D62)</f>
        <v>60</v>
      </c>
      <c r="AA67" s="32">
        <f t="shared" si="184"/>
        <v>58</v>
      </c>
      <c r="AB67" s="33">
        <f t="shared" si="184"/>
        <v>11578.978</v>
      </c>
      <c r="AC67" s="32">
        <f t="shared" si="184"/>
        <v>3523</v>
      </c>
      <c r="AD67" s="32">
        <f t="shared" si="184"/>
        <v>35</v>
      </c>
      <c r="AE67" s="32">
        <f t="shared" si="184"/>
        <v>3558</v>
      </c>
      <c r="AF67" s="32">
        <f t="shared" si="184"/>
        <v>6051</v>
      </c>
      <c r="AG67" s="32">
        <f t="shared" si="184"/>
        <v>31</v>
      </c>
      <c r="AH67" s="32">
        <f t="shared" si="184"/>
        <v>6082</v>
      </c>
      <c r="AI67" s="32">
        <f t="shared" si="184"/>
        <v>9640</v>
      </c>
      <c r="AJ67" s="34">
        <f t="shared" si="185"/>
        <v>199.6375517</v>
      </c>
      <c r="AK67" s="31">
        <f t="shared" si="186"/>
        <v>11164</v>
      </c>
      <c r="AL67" s="35">
        <f t="shared" si="187"/>
        <v>0.8634897886</v>
      </c>
      <c r="AM67" s="36">
        <f t="shared" si="188"/>
        <v>1.5</v>
      </c>
      <c r="AN67" s="35">
        <f t="shared" si="189"/>
        <v>0.5550288347</v>
      </c>
      <c r="AO67" s="37">
        <f t="shared" si="190"/>
        <v>0.8325432521</v>
      </c>
      <c r="AP67" s="36">
        <f t="shared" ref="AP67:AQ67" si="191">SUM(T62)</f>
        <v>391.1420464</v>
      </c>
      <c r="AQ67" s="36">
        <f t="shared" si="191"/>
        <v>6.743828386</v>
      </c>
      <c r="AR67" s="32">
        <f t="shared" si="192"/>
        <v>166.2068966</v>
      </c>
    </row>
    <row r="68" ht="15.75" customHeight="1">
      <c r="A68" s="21"/>
      <c r="B68" s="38">
        <v>9.0</v>
      </c>
      <c r="C68" s="38" t="s">
        <v>36</v>
      </c>
      <c r="D68" s="58">
        <v>29.0</v>
      </c>
      <c r="E68" s="40">
        <f>IFERROR(__xludf.DUMMYFUNCTION("COUNT(IMPORTRANGE(""https://docs.google.com/spreadsheets/d/1VqqqRGfmmkT0JC4ILJva2p8P11jjV0FX-TSKAaqOigw/edit"",""3!d2:d31""))"),29.0)</f>
        <v>29</v>
      </c>
      <c r="F68" s="45">
        <f>IFERROR(__xludf.DUMMYFUNCTION("SUM(IMPORTRANGE(""https://docs.google.com/spreadsheets/d/1VqqqRGfmmkT0JC4ILJva2p8P11jjV0FX-TSKAaqOigw/edit"",""3!Q2:Q31""))"),5791.190000000001)</f>
        <v>5791.19</v>
      </c>
      <c r="G68" s="40">
        <f>IFERROR(__xludf.DUMMYFUNCTION("IMPORTRANGE(""https://docs.google.com/spreadsheets/d/1VqqqRGfmmkT0JC4ILJva2p8P11jjV0FX-TSKAaqOigw/edit"",""3!e38"")"),1567.0)</f>
        <v>1567</v>
      </c>
      <c r="H68" s="40">
        <f>IFERROR(__xludf.DUMMYFUNCTION("IMPORTRANGE(""https://docs.google.com/spreadsheets/d/1VqqqRGfmmkT0JC4ILJva2p8P11jjV0FX-TSKAaqOigw/edit"",""3!e39"")"),0.0)</f>
        <v>0</v>
      </c>
      <c r="I68" s="40">
        <f t="shared" si="165"/>
        <v>1567</v>
      </c>
      <c r="J68" s="40">
        <f>IFERROR(__xludf.DUMMYFUNCTION("IMPORTRANGE(""https://docs.google.com/spreadsheets/d/1VqqqRGfmmkT0JC4ILJva2p8P11jjV0FX-TSKAaqOigw/edit"",""3!e42"")"),2387.0)</f>
        <v>2387</v>
      </c>
      <c r="K68" s="40">
        <f>IFERROR(__xludf.DUMMYFUNCTION("IMPORTRANGE(""https://docs.google.com/spreadsheets/d/1VqqqRGfmmkT0JC4ILJva2p8P11jjV0FX-TSKAaqOigw/edit"",""3!e43"")"),0.0)</f>
        <v>0</v>
      </c>
      <c r="L68" s="40">
        <f t="shared" ref="L68:L77" si="195">SUM(J68:K68)</f>
        <v>2387</v>
      </c>
      <c r="M68" s="40">
        <f t="shared" si="167"/>
        <v>3954</v>
      </c>
      <c r="N68" s="41">
        <f t="shared" si="168"/>
        <v>199.6962069</v>
      </c>
      <c r="O68" s="38">
        <v>4796.0</v>
      </c>
      <c r="P68" s="42">
        <f t="shared" si="169"/>
        <v>0.8244370309</v>
      </c>
      <c r="Q68" s="43">
        <v>1.5</v>
      </c>
      <c r="R68" s="42">
        <f t="shared" si="170"/>
        <v>0.4551741525</v>
      </c>
      <c r="S68" s="44">
        <f t="shared" si="171"/>
        <v>0.6827612287</v>
      </c>
      <c r="T68" s="43">
        <f>F68/37.414</f>
        <v>154.7867109</v>
      </c>
      <c r="U68" s="43">
        <f t="shared" si="172"/>
        <v>5.337472788</v>
      </c>
      <c r="V68" s="40">
        <f t="shared" si="173"/>
        <v>136.3448276</v>
      </c>
      <c r="X68" s="22">
        <v>3.0</v>
      </c>
      <c r="Y68" s="22" t="s">
        <v>34</v>
      </c>
      <c r="Z68" s="22">
        <f t="shared" ref="Z68:AI68" si="193">SUM(D64)</f>
        <v>40</v>
      </c>
      <c r="AA68" s="23">
        <f t="shared" si="193"/>
        <v>39</v>
      </c>
      <c r="AB68" s="24">
        <f t="shared" si="193"/>
        <v>7780.548</v>
      </c>
      <c r="AC68" s="23">
        <f t="shared" si="193"/>
        <v>2602</v>
      </c>
      <c r="AD68" s="23">
        <f t="shared" si="193"/>
        <v>0</v>
      </c>
      <c r="AE68" s="23">
        <f t="shared" si="193"/>
        <v>2602</v>
      </c>
      <c r="AF68" s="23">
        <f t="shared" si="193"/>
        <v>3647</v>
      </c>
      <c r="AG68" s="23">
        <f t="shared" si="193"/>
        <v>0</v>
      </c>
      <c r="AH68" s="23">
        <f t="shared" si="193"/>
        <v>3647</v>
      </c>
      <c r="AI68" s="23">
        <f t="shared" si="193"/>
        <v>6249</v>
      </c>
      <c r="AJ68" s="25">
        <f t="shared" si="185"/>
        <v>199.5012308</v>
      </c>
      <c r="AK68" s="22">
        <f>SUM(O64)</f>
        <v>9354</v>
      </c>
      <c r="AL68" s="26">
        <f t="shared" si="187"/>
        <v>0.6680564464</v>
      </c>
      <c r="AM68" s="27">
        <f>SUM(Q64)</f>
        <v>1.5</v>
      </c>
      <c r="AN68" s="26">
        <f t="shared" si="189"/>
        <v>0.5354378638</v>
      </c>
      <c r="AO68" s="28">
        <f t="shared" si="190"/>
        <v>0.8031567956</v>
      </c>
      <c r="AP68" s="27">
        <f t="shared" ref="AP68:AQ68" si="194">SUM(T64)</f>
        <v>253.330772</v>
      </c>
      <c r="AQ68" s="27">
        <f t="shared" si="194"/>
        <v>6.49566082</v>
      </c>
      <c r="AR68" s="23">
        <f t="shared" si="192"/>
        <v>160.2307692</v>
      </c>
    </row>
    <row r="69" ht="15.75" customHeight="1">
      <c r="A69" s="21"/>
      <c r="B69" s="38">
        <v>10.0</v>
      </c>
      <c r="C69" s="38" t="s">
        <v>37</v>
      </c>
      <c r="D69" s="39">
        <v>30.0</v>
      </c>
      <c r="E69" s="40">
        <f>IFERROR(__xludf.DUMMYFUNCTION("COUNT(IMPORTRANGE(""https://docs.google.com/spreadsheets/d/1IYeRjQd_D6MRqoBKNaky3aSEUloYCJc5XDnPAbdyetk/edit"",""3!d2:d31""))"),30.0)</f>
        <v>30</v>
      </c>
      <c r="F69" s="45">
        <f>IFERROR(__xludf.DUMMYFUNCTION("SUM(IMPORTRANGE(""https://docs.google.com/spreadsheets/d/1IYeRjQd_D6MRqoBKNaky3aSEUloYCJc5XDnPAbdyetk/edit"",""3!Q2:Q31""))"),5861.772000000002)</f>
        <v>5861.772</v>
      </c>
      <c r="G69" s="40">
        <f>IFERROR(__xludf.DUMMYFUNCTION("(IMPORTRANGE(""https://docs.google.com/spreadsheets/d/1IYeRjQd_D6MRqoBKNaky3aSEUloYCJc5XDnPAbdyetk/edit"",""3!e38""))"),2041.0)</f>
        <v>2041</v>
      </c>
      <c r="H69" s="40">
        <f>IFERROR(__xludf.DUMMYFUNCTION("(IMPORTRANGE(""https://docs.google.com/spreadsheets/d/1IYeRjQd_D6MRqoBKNaky3aSEUloYCJc5XDnPAbdyetk/edit"",""3!e39""))"),75.0)</f>
        <v>75</v>
      </c>
      <c r="I69" s="40">
        <f t="shared" si="165"/>
        <v>2116</v>
      </c>
      <c r="J69" s="40">
        <f>IFERROR(__xludf.DUMMYFUNCTION("(IMPORTRANGE(""https://docs.google.com/spreadsheets/d/1IYeRjQd_D6MRqoBKNaky3aSEUloYCJc5XDnPAbdyetk/edit"",""3!e42""))"),2998.0)</f>
        <v>2998</v>
      </c>
      <c r="K69" s="40">
        <f>IFERROR(__xludf.DUMMYFUNCTION("(IMPORTRANGE(""https://docs.google.com/spreadsheets/d/1IYeRjQd_D6MRqoBKNaky3aSEUloYCJc5XDnPAbdyetk/edit"",""3!e43""))"),0.0)</f>
        <v>0</v>
      </c>
      <c r="L69" s="40">
        <f t="shared" si="195"/>
        <v>2998</v>
      </c>
      <c r="M69" s="40">
        <f t="shared" si="167"/>
        <v>5114</v>
      </c>
      <c r="N69" s="41">
        <f t="shared" si="168"/>
        <v>195.3924</v>
      </c>
      <c r="O69" s="38">
        <v>5887.0</v>
      </c>
      <c r="P69" s="42">
        <f t="shared" si="169"/>
        <v>0.868693732</v>
      </c>
      <c r="Q69" s="43">
        <v>1.5</v>
      </c>
      <c r="R69" s="42">
        <f t="shared" si="170"/>
        <v>0.5816216211</v>
      </c>
      <c r="S69" s="44">
        <f t="shared" si="171"/>
        <v>0.8724324317</v>
      </c>
      <c r="T69" s="43">
        <f>F69/24.792</f>
        <v>236.4380445</v>
      </c>
      <c r="U69" s="43">
        <f t="shared" si="172"/>
        <v>7.881268151</v>
      </c>
      <c r="V69" s="40">
        <f t="shared" si="173"/>
        <v>170.4666667</v>
      </c>
      <c r="X69" s="31">
        <v>4.0</v>
      </c>
      <c r="Y69" s="31" t="s">
        <v>38</v>
      </c>
      <c r="Z69" s="31">
        <f t="shared" ref="Z69:AI69" si="196">SUM(D72)</f>
        <v>30</v>
      </c>
      <c r="AA69" s="32">
        <f t="shared" si="196"/>
        <v>30</v>
      </c>
      <c r="AB69" s="33">
        <f t="shared" si="196"/>
        <v>6395.023</v>
      </c>
      <c r="AC69" s="32">
        <f t="shared" si="196"/>
        <v>1990</v>
      </c>
      <c r="AD69" s="32">
        <f t="shared" si="196"/>
        <v>97</v>
      </c>
      <c r="AE69" s="32">
        <f t="shared" si="196"/>
        <v>2087</v>
      </c>
      <c r="AF69" s="32">
        <f t="shared" si="196"/>
        <v>3197</v>
      </c>
      <c r="AG69" s="32">
        <f t="shared" si="196"/>
        <v>0</v>
      </c>
      <c r="AH69" s="32">
        <f t="shared" si="196"/>
        <v>3197</v>
      </c>
      <c r="AI69" s="32">
        <f t="shared" si="196"/>
        <v>5284</v>
      </c>
      <c r="AJ69" s="34">
        <f t="shared" si="185"/>
        <v>213.1674333</v>
      </c>
      <c r="AK69" s="31">
        <v>7324.0</v>
      </c>
      <c r="AL69" s="35">
        <f t="shared" si="187"/>
        <v>0.721463681</v>
      </c>
      <c r="AM69" s="36">
        <f>SUM(Q72)</f>
        <v>1.5</v>
      </c>
      <c r="AN69" s="35">
        <f t="shared" si="189"/>
        <v>0.5508450348</v>
      </c>
      <c r="AO69" s="37">
        <f t="shared" si="190"/>
        <v>0.8262675521</v>
      </c>
      <c r="AP69" s="36">
        <f t="shared" ref="AP69:AQ69" si="197">SUM(T72)</f>
        <v>155.2001699</v>
      </c>
      <c r="AQ69" s="36">
        <f t="shared" si="197"/>
        <v>5.173338996</v>
      </c>
      <c r="AR69" s="32">
        <f t="shared" si="192"/>
        <v>176.1333333</v>
      </c>
    </row>
    <row r="70" ht="15.75" customHeight="1">
      <c r="A70" s="21"/>
      <c r="B70" s="38">
        <v>12.0</v>
      </c>
      <c r="C70" s="38" t="s">
        <v>39</v>
      </c>
      <c r="D70" s="39">
        <v>28.0</v>
      </c>
      <c r="E70" s="40">
        <f>IFERROR(__xludf.DUMMYFUNCTION("COUNT(IMPORTRANGE(""https://docs.google.com/spreadsheets/d/1TAY2D35yAzyl8a_p5CuZehQvmatfj0b0Q8ICl8GtJBY/edit"",""3!d2:d29""))"),26.0)</f>
        <v>26</v>
      </c>
      <c r="F70" s="45">
        <f>IFERROR(__xludf.DUMMYFUNCTION("SUM(IMPORTRANGE(""https://docs.google.com/spreadsheets/d/1TAY2D35yAzyl8a_p5CuZehQvmatfj0b0Q8ICl8GtJBY/edit"",""3!Q2:Q29""))"),4772.062)</f>
        <v>4772.062</v>
      </c>
      <c r="G70" s="40">
        <f>IFERROR(__xludf.DUMMYFUNCTION("IMPORTRANGE(""https://docs.google.com/spreadsheets/d/1TAY2D35yAzyl8a_p5CuZehQvmatfj0b0Q8ICl8GtJBY/edit"",""3!e36"")"),1214.0)</f>
        <v>1214</v>
      </c>
      <c r="H70" s="40">
        <f>IFERROR(__xludf.DUMMYFUNCTION("(IMPORTRANGE(""https://docs.google.com/spreadsheets/d/1TAY2D35yAzyl8a_p5CuZehQvmatfj0b0Q8ICl8GtJBY/edit"",""3!e37""))"),0.0)</f>
        <v>0</v>
      </c>
      <c r="I70" s="40">
        <f t="shared" si="165"/>
        <v>1214</v>
      </c>
      <c r="J70" s="40">
        <f>IFERROR(__xludf.DUMMYFUNCTION("IMPORTRANGE(""https://docs.google.com/spreadsheets/d/1TAY2D35yAzyl8a_p5CuZehQvmatfj0b0Q8ICl8GtJBY/edit"",""3!e40"")"),1724.0)</f>
        <v>1724</v>
      </c>
      <c r="K70" s="40">
        <f>IFERROR(__xludf.DUMMYFUNCTION("IMPORTRANGE(""https://docs.google.com/spreadsheets/d/1TAY2D35yAzyl8a_p5CuZehQvmatfj0b0Q8ICl8GtJBY/edit"",""3!e41"")"),0.0)</f>
        <v>0</v>
      </c>
      <c r="L70" s="40">
        <f t="shared" si="195"/>
        <v>1724</v>
      </c>
      <c r="M70" s="40">
        <f t="shared" si="167"/>
        <v>2938</v>
      </c>
      <c r="N70" s="41">
        <f t="shared" si="168"/>
        <v>183.5408462</v>
      </c>
      <c r="O70" s="38">
        <v>3569.0</v>
      </c>
      <c r="P70" s="42">
        <f t="shared" si="169"/>
        <v>0.8231997758</v>
      </c>
      <c r="Q70" s="43">
        <v>1.5</v>
      </c>
      <c r="R70" s="42">
        <f t="shared" si="170"/>
        <v>0.4104445136</v>
      </c>
      <c r="S70" s="44">
        <f t="shared" si="171"/>
        <v>0.6156667705</v>
      </c>
      <c r="T70" s="43">
        <f>F70/21.463</f>
        <v>222.339002</v>
      </c>
      <c r="U70" s="43">
        <f t="shared" si="172"/>
        <v>8.551500077</v>
      </c>
      <c r="V70" s="40">
        <f t="shared" si="173"/>
        <v>113</v>
      </c>
      <c r="X70" s="31">
        <v>5.0</v>
      </c>
      <c r="Y70" s="31" t="s">
        <v>40</v>
      </c>
      <c r="Z70" s="31">
        <f t="shared" ref="Z70:AI70" si="198">SUM(D74)</f>
        <v>30</v>
      </c>
      <c r="AA70" s="32">
        <f t="shared" si="198"/>
        <v>29</v>
      </c>
      <c r="AB70" s="33">
        <f t="shared" si="198"/>
        <v>5745.486</v>
      </c>
      <c r="AC70" s="32">
        <f t="shared" si="198"/>
        <v>3290</v>
      </c>
      <c r="AD70" s="32">
        <f t="shared" si="198"/>
        <v>0</v>
      </c>
      <c r="AE70" s="32">
        <f t="shared" si="198"/>
        <v>3290</v>
      </c>
      <c r="AF70" s="32">
        <f t="shared" si="198"/>
        <v>3846</v>
      </c>
      <c r="AG70" s="32">
        <f t="shared" si="198"/>
        <v>0</v>
      </c>
      <c r="AH70" s="32">
        <f t="shared" si="198"/>
        <v>3846</v>
      </c>
      <c r="AI70" s="32">
        <f t="shared" si="198"/>
        <v>7136</v>
      </c>
      <c r="AJ70" s="34">
        <f t="shared" si="185"/>
        <v>198.1202069</v>
      </c>
      <c r="AK70" s="31">
        <f t="shared" ref="AK70:AK71" si="201">SUM(O74)</f>
        <v>8239</v>
      </c>
      <c r="AL70" s="35">
        <f t="shared" si="187"/>
        <v>0.8661245297</v>
      </c>
      <c r="AM70" s="36">
        <f t="shared" ref="AM70:AM71" si="202">SUM(Q74)</f>
        <v>1.5</v>
      </c>
      <c r="AN70" s="35">
        <f t="shared" si="189"/>
        <v>0.8280123445</v>
      </c>
      <c r="AO70" s="37">
        <f t="shared" si="190"/>
        <v>1.242018517</v>
      </c>
      <c r="AP70" s="36">
        <f t="shared" ref="AP70:AQ70" si="199">SUM(T74)</f>
        <v>202</v>
      </c>
      <c r="AQ70" s="36">
        <f t="shared" si="199"/>
        <v>6.965517241</v>
      </c>
      <c r="AR70" s="32">
        <f t="shared" si="192"/>
        <v>246.0689655</v>
      </c>
    </row>
    <row r="71" ht="15.75" customHeight="1">
      <c r="A71" s="21"/>
      <c r="B71" s="38">
        <v>12.0</v>
      </c>
      <c r="C71" s="38" t="s">
        <v>41</v>
      </c>
      <c r="D71" s="39">
        <v>24.0</v>
      </c>
      <c r="E71" s="40">
        <f>IFERROR(__xludf.DUMMYFUNCTION("COUNT(IMPORTRANGE(""https://docs.google.com/spreadsheets/d/1VAsUtLQHi7oV9NsI9EIHPnO1bcPJHeRgSbMoxSvPBME/edit"",""3!d2:d25""))"),24.0)</f>
        <v>24</v>
      </c>
      <c r="F71" s="45">
        <f>IFERROR(__xludf.DUMMYFUNCTION("SUM(IMPORTRANGE(""https://docs.google.com/spreadsheets/d/1VAsUtLQHi7oV9NsI9EIHPnO1bcPJHeRgSbMoxSvPBME/edit"",""3!Q2:Q25""))"),4621.968000000001)</f>
        <v>4621.968</v>
      </c>
      <c r="G71" s="40">
        <f>IFERROR(__xludf.DUMMYFUNCTION("IMPORTRANGE(""https://docs.google.com/spreadsheets/d/1VAsUtLQHi7oV9NsI9EIHPnO1bcPJHeRgSbMoxSvPBME/edit"",""3!e32"")"),1246.0)</f>
        <v>1246</v>
      </c>
      <c r="H71" s="40">
        <f>IFERROR(__xludf.DUMMYFUNCTION("IMPORTRANGE(""https://docs.google.com/spreadsheets/d/1VAsUtLQHi7oV9NsI9EIHPnO1bcPJHeRgSbMoxSvPBME/edit"",""3!e33"")"),0.0)</f>
        <v>0</v>
      </c>
      <c r="I71" s="40">
        <f t="shared" si="165"/>
        <v>1246</v>
      </c>
      <c r="J71" s="40">
        <f>IFERROR(__xludf.DUMMYFUNCTION("IMPORTRANGE(""https://docs.google.com/spreadsheets/d/1VAsUtLQHi7oV9NsI9EIHPnO1bcPJHeRgSbMoxSvPBME/edit"",""3!e36"")"),1816.0)</f>
        <v>1816</v>
      </c>
      <c r="K71" s="40">
        <f>IFERROR(__xludf.DUMMYFUNCTION("IMPORTRANGE(""https://docs.google.com/spreadsheets/d/1VAsUtLQHi7oV9NsI9EIHPnO1bcPJHeRgSbMoxSvPBME/edit"",""3!e37"")"),0.0)</f>
        <v>0</v>
      </c>
      <c r="L71" s="40">
        <f t="shared" si="195"/>
        <v>1816</v>
      </c>
      <c r="M71" s="40">
        <f t="shared" si="167"/>
        <v>3062</v>
      </c>
      <c r="N71" s="41">
        <f t="shared" si="168"/>
        <v>192.582</v>
      </c>
      <c r="O71" s="38">
        <v>3801.0</v>
      </c>
      <c r="P71" s="42">
        <f t="shared" si="169"/>
        <v>0.8055774796</v>
      </c>
      <c r="Q71" s="43">
        <v>1.5</v>
      </c>
      <c r="R71" s="42">
        <f t="shared" si="170"/>
        <v>0.4416589066</v>
      </c>
      <c r="S71" s="44">
        <f t="shared" si="171"/>
        <v>0.6624883599</v>
      </c>
      <c r="T71" s="43">
        <f>F71/29.628</f>
        <v>156</v>
      </c>
      <c r="U71" s="43">
        <f t="shared" si="172"/>
        <v>6.5</v>
      </c>
      <c r="V71" s="40">
        <f t="shared" si="173"/>
        <v>127.5833333</v>
      </c>
      <c r="X71" s="22">
        <v>6.0</v>
      </c>
      <c r="Y71" s="22" t="s">
        <v>42</v>
      </c>
      <c r="Z71" s="22">
        <f t="shared" ref="Z71:AI71" si="200">SUM(D75)</f>
        <v>33</v>
      </c>
      <c r="AA71" s="23">
        <f t="shared" si="200"/>
        <v>33</v>
      </c>
      <c r="AB71" s="24">
        <f t="shared" si="200"/>
        <v>6380.282</v>
      </c>
      <c r="AC71" s="23">
        <f t="shared" si="200"/>
        <v>3431</v>
      </c>
      <c r="AD71" s="23">
        <f t="shared" si="200"/>
        <v>0</v>
      </c>
      <c r="AE71" s="23">
        <f t="shared" si="200"/>
        <v>3431</v>
      </c>
      <c r="AF71" s="23">
        <f t="shared" si="200"/>
        <v>4376</v>
      </c>
      <c r="AG71" s="23">
        <f t="shared" si="200"/>
        <v>0</v>
      </c>
      <c r="AH71" s="23">
        <f t="shared" si="200"/>
        <v>4376</v>
      </c>
      <c r="AI71" s="23">
        <f t="shared" si="200"/>
        <v>7807</v>
      </c>
      <c r="AJ71" s="25">
        <f t="shared" si="185"/>
        <v>193.3418788</v>
      </c>
      <c r="AK71" s="22">
        <f t="shared" si="201"/>
        <v>9877</v>
      </c>
      <c r="AL71" s="26">
        <f t="shared" si="187"/>
        <v>0.790422193</v>
      </c>
      <c r="AM71" s="27">
        <f t="shared" si="202"/>
        <v>1.5</v>
      </c>
      <c r="AN71" s="26">
        <f t="shared" si="189"/>
        <v>0.8157424181</v>
      </c>
      <c r="AO71" s="28">
        <f t="shared" si="190"/>
        <v>1.223613627</v>
      </c>
      <c r="AP71" s="27">
        <f t="shared" ref="AP71:AQ71" si="203">SUM(T75)</f>
        <v>243.9411967</v>
      </c>
      <c r="AQ71" s="27">
        <f t="shared" si="203"/>
        <v>7.392157476</v>
      </c>
      <c r="AR71" s="23">
        <f t="shared" si="192"/>
        <v>236.5757576</v>
      </c>
    </row>
    <row r="72" ht="15.75" customHeight="1">
      <c r="A72" s="21"/>
      <c r="B72" s="38">
        <v>13.0</v>
      </c>
      <c r="C72" s="38" t="s">
        <v>43</v>
      </c>
      <c r="D72" s="39">
        <v>30.0</v>
      </c>
      <c r="E72" s="40">
        <f>IFERROR(__xludf.DUMMYFUNCTION("COUNT(IMPORTRANGE(""https://docs.google.com/spreadsheets/d/1p9Y_DGk7-TpRBFth-ljZceOIGCjQ0ylUeUq6xqnsZ-Q/edit"",""3!d2:d31""))"),30.0)</f>
        <v>30</v>
      </c>
      <c r="F72" s="45">
        <f>IFERROR(__xludf.DUMMYFUNCTION("SUM(IMPORTRANGE(""https://docs.google.com/spreadsheets/d/1p9Y_DGk7-TpRBFth-ljZceOIGCjQ0ylUeUq6xqnsZ-Q/edit"",""3!Q2:Q31""))"),6395.022999999997)</f>
        <v>6395.023</v>
      </c>
      <c r="G72" s="40">
        <f>IFERROR(__xludf.DUMMYFUNCTION("IMPORTRANGE(""https://docs.google.com/spreadsheets/d/1p9Y_DGk7-TpRBFth-ljZceOIGCjQ0ylUeUq6xqnsZ-Q/edit"",""3!e38"")"),1990.0)</f>
        <v>1990</v>
      </c>
      <c r="H72" s="40">
        <f>IFERROR(__xludf.DUMMYFUNCTION("IMPORTRANGE(""https://docs.google.com/spreadsheets/d/1p9Y_DGk7-TpRBFth-ljZceOIGCjQ0ylUeUq6xqnsZ-Q/edit"",""3!e39"")"),97.0)</f>
        <v>97</v>
      </c>
      <c r="I72" s="40">
        <f t="shared" si="165"/>
        <v>2087</v>
      </c>
      <c r="J72" s="40">
        <f>IFERROR(__xludf.DUMMYFUNCTION("IMPORTRANGE(""https://docs.google.com/spreadsheets/d/1p9Y_DGk7-TpRBFth-ljZceOIGCjQ0ylUeUq6xqnsZ-Q/edit"",""3!e42"")"),3197.0)</f>
        <v>3197</v>
      </c>
      <c r="K72" s="40">
        <f>IFERROR(__xludf.DUMMYFUNCTION("IMPORTRANGE(""https://docs.google.com/spreadsheets/d/1p9Y_DGk7-TpRBFth-ljZceOIGCjQ0ylUeUq6xqnsZ-Q/edit"",""3!e43"")"),0.0)</f>
        <v>0</v>
      </c>
      <c r="L72" s="40">
        <f t="shared" si="195"/>
        <v>3197</v>
      </c>
      <c r="M72" s="40">
        <f t="shared" si="167"/>
        <v>5284</v>
      </c>
      <c r="N72" s="41">
        <f t="shared" si="168"/>
        <v>213.1674333</v>
      </c>
      <c r="O72" s="38">
        <v>8345.0</v>
      </c>
      <c r="P72" s="42">
        <f t="shared" si="169"/>
        <v>0.6331935291</v>
      </c>
      <c r="Q72" s="43">
        <v>1.5</v>
      </c>
      <c r="R72" s="42">
        <f t="shared" si="170"/>
        <v>0.5508450348</v>
      </c>
      <c r="S72" s="44">
        <f t="shared" si="171"/>
        <v>0.8262675521</v>
      </c>
      <c r="T72" s="43">
        <f>F72/41.205</f>
        <v>155.2001699</v>
      </c>
      <c r="U72" s="43">
        <f t="shared" si="172"/>
        <v>5.173338996</v>
      </c>
      <c r="V72" s="40">
        <f t="shared" si="173"/>
        <v>176.1333333</v>
      </c>
      <c r="X72" s="46" t="s">
        <v>33</v>
      </c>
      <c r="Y72" s="46">
        <v>6.0</v>
      </c>
      <c r="Z72" s="46">
        <f t="shared" ref="Z72:AI72" si="204">SUM(Z66:Z71)</f>
        <v>226</v>
      </c>
      <c r="AA72" s="47">
        <f t="shared" si="204"/>
        <v>222</v>
      </c>
      <c r="AB72" s="49">
        <f t="shared" si="204"/>
        <v>44440.047</v>
      </c>
      <c r="AC72" s="47">
        <f t="shared" si="204"/>
        <v>17596</v>
      </c>
      <c r="AD72" s="47">
        <f t="shared" si="204"/>
        <v>204</v>
      </c>
      <c r="AE72" s="47">
        <f t="shared" si="204"/>
        <v>17800</v>
      </c>
      <c r="AF72" s="47">
        <f t="shared" si="204"/>
        <v>24105</v>
      </c>
      <c r="AG72" s="47">
        <f t="shared" si="204"/>
        <v>288</v>
      </c>
      <c r="AH72" s="47">
        <f t="shared" si="204"/>
        <v>24393</v>
      </c>
      <c r="AI72" s="47">
        <f t="shared" si="204"/>
        <v>42193</v>
      </c>
      <c r="AJ72" s="49">
        <f t="shared" si="185"/>
        <v>200.1803919</v>
      </c>
      <c r="AK72" s="46">
        <f>SUM(AK66:AK71)</f>
        <v>53273</v>
      </c>
      <c r="AL72" s="50">
        <f t="shared" si="187"/>
        <v>0.7920147166</v>
      </c>
      <c r="AM72" s="51">
        <v>1.5</v>
      </c>
      <c r="AN72" s="50">
        <f t="shared" si="189"/>
        <v>0.6329576264</v>
      </c>
      <c r="AO72" s="52">
        <f t="shared" si="190"/>
        <v>0.9494364396</v>
      </c>
      <c r="AP72" s="51">
        <f>SUM(AP66:AP71)</f>
        <v>1457.923794</v>
      </c>
      <c r="AQ72" s="51">
        <f>AP72/AA72</f>
        <v>6.567224299</v>
      </c>
      <c r="AR72" s="47">
        <f t="shared" si="192"/>
        <v>190.0585586</v>
      </c>
    </row>
    <row r="73" ht="15.75" customHeight="1">
      <c r="A73" s="21"/>
      <c r="B73" s="38">
        <v>14.0</v>
      </c>
      <c r="C73" s="38" t="s">
        <v>27</v>
      </c>
      <c r="D73" s="39">
        <v>30.0</v>
      </c>
      <c r="E73" s="40">
        <f>IFERROR(__xludf.DUMMYFUNCTION("COUNT(IMPORTRANGE(""https://docs.google.com/spreadsheets/d/1zJUDEKztv_fercXA0LYNw155qdzS7TJGhWLhquaW5IY/edit"",""3!d2:d31""))"),30.0)</f>
        <v>30</v>
      </c>
      <c r="F73" s="45">
        <f>IFERROR(__xludf.DUMMYFUNCTION("SUM(IMPORTRANGE(""https://docs.google.com/spreadsheets/d/1zJUDEKztv_fercXA0LYNw155qdzS7TJGhWLhquaW5IY/edit"",""3!Q2:Q31""))"),5753.489000000001)</f>
        <v>5753.489</v>
      </c>
      <c r="G73" s="40">
        <f>IFERROR(__xludf.DUMMYFUNCTION("IMPORTRANGE(""https://docs.google.com/spreadsheets/d/1zJUDEKztv_fercXA0LYNw155qdzS7TJGhWLhquaW5IY/edit"",""3!e38"")"),2703.0)</f>
        <v>2703</v>
      </c>
      <c r="H73" s="40">
        <f>IFERROR(__xludf.DUMMYFUNCTION("IMPORTRANGE(""https://docs.google.com/spreadsheets/d/1zJUDEKztv_fercXA0LYNw155qdzS7TJGhWLhquaW5IY/edit"",""3!e39"")"),0.0)</f>
        <v>0</v>
      </c>
      <c r="I73" s="40">
        <f t="shared" si="165"/>
        <v>2703</v>
      </c>
      <c r="J73" s="40">
        <f>IFERROR(__xludf.DUMMYFUNCTION("IMPORTRANGE(""https://docs.google.com/spreadsheets/d/1zJUDEKztv_fercXA0LYNw155qdzS7TJGhWLhquaW5IY/edit"",""3!e42"")"),3659.0)</f>
        <v>3659</v>
      </c>
      <c r="K73" s="40">
        <f>IFERROR(__xludf.DUMMYFUNCTION("IMPORTRANGE(""https://docs.google.com/spreadsheets/d/1zJUDEKztv_fercXA0LYNw155qdzS7TJGhWLhquaW5IY/edit"",""3!e43"")"),0.0)</f>
        <v>0</v>
      </c>
      <c r="L73" s="40">
        <f t="shared" si="195"/>
        <v>3659</v>
      </c>
      <c r="M73" s="40">
        <f t="shared" si="167"/>
        <v>6362</v>
      </c>
      <c r="N73" s="41">
        <f t="shared" si="168"/>
        <v>191.7829667</v>
      </c>
      <c r="O73" s="38">
        <v>8101.0</v>
      </c>
      <c r="P73" s="42">
        <f t="shared" si="169"/>
        <v>0.7853351438</v>
      </c>
      <c r="Q73" s="43">
        <v>1.5</v>
      </c>
      <c r="R73" s="42">
        <f t="shared" si="170"/>
        <v>0.7371758829</v>
      </c>
      <c r="S73" s="44">
        <f t="shared" si="171"/>
        <v>1.105763824</v>
      </c>
      <c r="T73" s="43">
        <f>F73/19.985</f>
        <v>287.8903678</v>
      </c>
      <c r="U73" s="43">
        <f t="shared" si="172"/>
        <v>9.596345593</v>
      </c>
      <c r="V73" s="40">
        <f t="shared" si="173"/>
        <v>212.0666667</v>
      </c>
      <c r="X73" s="59" t="s">
        <v>44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6"/>
    </row>
    <row r="74" ht="15.75" customHeight="1">
      <c r="A74" s="21"/>
      <c r="B74" s="38">
        <v>15.0</v>
      </c>
      <c r="C74" s="38" t="s">
        <v>40</v>
      </c>
      <c r="D74" s="39">
        <v>30.0</v>
      </c>
      <c r="E74" s="40">
        <f>IFERROR(__xludf.DUMMYFUNCTION("COUNT(IMPORTRANGE(""https://docs.google.com/spreadsheets/d/15GJA66Ucb-8RQ5vWVpq5HYaWoZZFX82SCeHChBujbrI/edit"",""3!d2:d31""))"),29.0)</f>
        <v>29</v>
      </c>
      <c r="F74" s="45">
        <f>IFERROR(__xludf.DUMMYFUNCTION("SUM(IMPORTRANGE(""https://docs.google.com/spreadsheets/d/15GJA66Ucb-8RQ5vWVpq5HYaWoZZFX82SCeHChBujbrI/edit"",""3!Q2:Q31""))"),5745.485999999999)</f>
        <v>5745.486</v>
      </c>
      <c r="G74" s="40">
        <f>IFERROR(__xludf.DUMMYFUNCTION("IMPORTRANGE(""https://docs.google.com/spreadsheets/d/15GJA66Ucb-8RQ5vWVpq5HYaWoZZFX82SCeHChBujbrI/edit"",""3!e38"")"),3290.0)</f>
        <v>3290</v>
      </c>
      <c r="H74" s="40">
        <f>IFERROR(__xludf.DUMMYFUNCTION("IMPORTRANGE(""https://docs.google.com/spreadsheets/d/15GJA66Ucb-8RQ5vWVpq5HYaWoZZFX82SCeHChBujbrI/edit"",""3!e39"")"),0.0)</f>
        <v>0</v>
      </c>
      <c r="I74" s="40">
        <f t="shared" si="165"/>
        <v>3290</v>
      </c>
      <c r="J74" s="40">
        <f>IFERROR(__xludf.DUMMYFUNCTION("IMPORTRANGE(""https://docs.google.com/spreadsheets/d/15GJA66Ucb-8RQ5vWVpq5HYaWoZZFX82SCeHChBujbrI/edit"",""3!e42"")"),3846.0)</f>
        <v>3846</v>
      </c>
      <c r="K74" s="40">
        <f>IFERROR(__xludf.DUMMYFUNCTION("IMPORTRANGE(""https://docs.google.com/spreadsheets/d/15GJA66Ucb-8RQ5vWVpq5HYaWoZZFX82SCeHChBujbrI/edit"",""3!e43"")"),0.0)</f>
        <v>0</v>
      </c>
      <c r="L74" s="40">
        <f t="shared" si="195"/>
        <v>3846</v>
      </c>
      <c r="M74" s="40">
        <f t="shared" si="167"/>
        <v>7136</v>
      </c>
      <c r="N74" s="41">
        <f t="shared" si="168"/>
        <v>198.1202069</v>
      </c>
      <c r="O74" s="38">
        <v>8239.0</v>
      </c>
      <c r="P74" s="42">
        <f t="shared" si="169"/>
        <v>0.8661245297</v>
      </c>
      <c r="Q74" s="43">
        <v>1.5</v>
      </c>
      <c r="R74" s="42">
        <f t="shared" si="170"/>
        <v>0.8280123445</v>
      </c>
      <c r="S74" s="44">
        <f t="shared" si="171"/>
        <v>1.242018517</v>
      </c>
      <c r="T74" s="43">
        <f>F74/28.443</f>
        <v>202</v>
      </c>
      <c r="U74" s="43">
        <f t="shared" si="172"/>
        <v>6.965517241</v>
      </c>
      <c r="V74" s="40">
        <f t="shared" si="173"/>
        <v>246.0689655</v>
      </c>
      <c r="X74" s="14" t="s">
        <v>2</v>
      </c>
      <c r="Y74" s="14" t="s">
        <v>3</v>
      </c>
      <c r="Z74" s="14" t="s">
        <v>4</v>
      </c>
      <c r="AA74" s="14" t="s">
        <v>5</v>
      </c>
      <c r="AB74" s="15" t="s">
        <v>6</v>
      </c>
      <c r="AC74" s="14" t="s">
        <v>7</v>
      </c>
      <c r="AD74" s="14" t="s">
        <v>8</v>
      </c>
      <c r="AE74" s="14" t="s">
        <v>9</v>
      </c>
      <c r="AF74" s="14" t="s">
        <v>10</v>
      </c>
      <c r="AG74" s="14" t="s">
        <v>11</v>
      </c>
      <c r="AH74" s="14" t="s">
        <v>12</v>
      </c>
      <c r="AI74" s="14" t="s">
        <v>13</v>
      </c>
      <c r="AJ74" s="15" t="s">
        <v>14</v>
      </c>
      <c r="AK74" s="14" t="s">
        <v>15</v>
      </c>
      <c r="AL74" s="14" t="s">
        <v>16</v>
      </c>
      <c r="AM74" s="16" t="s">
        <v>17</v>
      </c>
      <c r="AN74" s="17" t="s">
        <v>18</v>
      </c>
      <c r="AO74" s="18" t="s">
        <v>19</v>
      </c>
      <c r="AP74" s="19" t="s">
        <v>20</v>
      </c>
      <c r="AQ74" s="19" t="s">
        <v>21</v>
      </c>
      <c r="AR74" s="20" t="s">
        <v>22</v>
      </c>
    </row>
    <row r="75" ht="15.75" customHeight="1">
      <c r="A75" s="21"/>
      <c r="B75" s="38">
        <v>16.0</v>
      </c>
      <c r="C75" s="38" t="s">
        <v>42</v>
      </c>
      <c r="D75" s="39">
        <v>33.0</v>
      </c>
      <c r="E75" s="40">
        <f>IFERROR(__xludf.DUMMYFUNCTION("COUNT(IMPORTRANGE(""https://docs.google.com/spreadsheets/d/14Tu_jFPEdrIQ6DHYu6vRvJKQsbXr-48NY1tKy4-8JKI/edit"",""3!d2:d34""))"),33.0)</f>
        <v>33</v>
      </c>
      <c r="F75" s="45">
        <f>IFERROR(__xludf.DUMMYFUNCTION("SUM(IMPORTRANGE(""https://docs.google.com/spreadsheets/d/14Tu_jFPEdrIQ6DHYu6vRvJKQsbXr-48NY1tKy4-8JKI/edit"",""3!Q2:Q34""))"),6380.281999999997)</f>
        <v>6380.282</v>
      </c>
      <c r="G75" s="40">
        <f>IFERROR(__xludf.DUMMYFUNCTION("IMPORTRANGE(""https://docs.google.com/spreadsheets/d/14Tu_jFPEdrIQ6DHYu6vRvJKQsbXr-48NY1tKy4-8JKI/edit"",""3!e41"")"),3431.0)</f>
        <v>3431</v>
      </c>
      <c r="H75" s="40">
        <f>IFERROR(__xludf.DUMMYFUNCTION("IMPORTRANGE(""https://docs.google.com/spreadsheets/d/14Tu_jFPEdrIQ6DHYu6vRvJKQsbXr-48NY1tKy4-8JKI/edit"",""3!e42"")"),0.0)</f>
        <v>0</v>
      </c>
      <c r="I75" s="40">
        <f t="shared" si="165"/>
        <v>3431</v>
      </c>
      <c r="J75" s="40">
        <f>IFERROR(__xludf.DUMMYFUNCTION("IMPORTRANGE(""https://docs.google.com/spreadsheets/d/14Tu_jFPEdrIQ6DHYu6vRvJKQsbXr-48NY1tKy4-8JKI/edit"",""3!e45"")"),4376.0)</f>
        <v>4376</v>
      </c>
      <c r="K75" s="40">
        <f>IFERROR(__xludf.DUMMYFUNCTION("IMPORTRANGE(""https://docs.google.com/spreadsheets/d/14Tu_jFPEdrIQ6DHYu6vRvJKQsbXr-48NY1tKy4-8JKI/edit"",""3!e46"")"),0.0)</f>
        <v>0</v>
      </c>
      <c r="L75" s="40">
        <f t="shared" si="195"/>
        <v>4376</v>
      </c>
      <c r="M75" s="40">
        <f t="shared" si="167"/>
        <v>7807</v>
      </c>
      <c r="N75" s="41">
        <f t="shared" si="168"/>
        <v>193.3418788</v>
      </c>
      <c r="O75" s="38">
        <v>9877.0</v>
      </c>
      <c r="P75" s="42">
        <f t="shared" si="169"/>
        <v>0.790422193</v>
      </c>
      <c r="Q75" s="43">
        <v>1.5</v>
      </c>
      <c r="R75" s="42">
        <f t="shared" si="170"/>
        <v>0.8157424181</v>
      </c>
      <c r="S75" s="44">
        <f t="shared" si="171"/>
        <v>1.223613627</v>
      </c>
      <c r="T75" s="43">
        <f>F75/26.155</f>
        <v>243.9411967</v>
      </c>
      <c r="U75" s="43">
        <f t="shared" si="172"/>
        <v>7.392157476</v>
      </c>
      <c r="V75" s="40">
        <f t="shared" si="173"/>
        <v>236.5757576</v>
      </c>
      <c r="X75" s="31">
        <v>1.0</v>
      </c>
      <c r="Y75" s="31" t="s">
        <v>26</v>
      </c>
      <c r="Z75" s="31">
        <f t="shared" ref="Z75:AI75" si="205">SUM(D60)</f>
        <v>20</v>
      </c>
      <c r="AA75" s="32">
        <f t="shared" si="205"/>
        <v>20</v>
      </c>
      <c r="AB75" s="34">
        <f t="shared" si="205"/>
        <v>3805.56</v>
      </c>
      <c r="AC75" s="32">
        <f t="shared" si="205"/>
        <v>2384</v>
      </c>
      <c r="AD75" s="32">
        <f t="shared" si="205"/>
        <v>65</v>
      </c>
      <c r="AE75" s="32">
        <f t="shared" si="205"/>
        <v>2449</v>
      </c>
      <c r="AF75" s="32">
        <f t="shared" si="205"/>
        <v>2797</v>
      </c>
      <c r="AG75" s="32">
        <f t="shared" si="205"/>
        <v>0</v>
      </c>
      <c r="AH75" s="32">
        <f t="shared" si="205"/>
        <v>2797</v>
      </c>
      <c r="AI75" s="32">
        <f t="shared" si="205"/>
        <v>5246</v>
      </c>
      <c r="AJ75" s="34">
        <f t="shared" ref="AJ75:AJ81" si="208">AB75/AA75</f>
        <v>190.278</v>
      </c>
      <c r="AK75" s="31">
        <f>SUM(O60)</f>
        <v>5161</v>
      </c>
      <c r="AL75" s="67">
        <f t="shared" ref="AL75:AL81" si="209">AI75/AK75</f>
        <v>1.016469676</v>
      </c>
      <c r="AM75" s="36">
        <f>SUM(Q60)</f>
        <v>1.5</v>
      </c>
      <c r="AN75" s="35">
        <f t="shared" ref="AN75:AN81" si="210">AO75/AM75</f>
        <v>0.919006226</v>
      </c>
      <c r="AO75" s="37">
        <f t="shared" ref="AO75:AO81" si="211">AI75/AB75</f>
        <v>1.378509339</v>
      </c>
      <c r="AP75" s="36">
        <f t="shared" ref="AP75:AQ75" si="206">SUM(T60)</f>
        <v>264</v>
      </c>
      <c r="AQ75" s="36">
        <f t="shared" si="206"/>
        <v>13.2</v>
      </c>
      <c r="AR75" s="32">
        <f t="shared" ref="AR75:AR81" si="213">AI75/AA75</f>
        <v>262.3</v>
      </c>
    </row>
    <row r="76" ht="15.75" customHeight="1">
      <c r="A76" s="21"/>
      <c r="B76" s="38">
        <v>17.0</v>
      </c>
      <c r="C76" s="38" t="s">
        <v>29</v>
      </c>
      <c r="D76" s="39">
        <v>30.0</v>
      </c>
      <c r="E76" s="40">
        <f>IFERROR(__xludf.DUMMYFUNCTION("COUNT(IMPORTRANGE(""https://docs.google.com/spreadsheets/d/1ja_RQYsP0p5wRrACHojay4CW1wLx0QdS5tSwp-vYQ-s/edit"",""3!d2:d31""))"),29.0)</f>
        <v>29</v>
      </c>
      <c r="F76" s="45">
        <f>IFERROR(__xludf.DUMMYFUNCTION("SUM(IMPORTRANGE(""https://docs.google.com/spreadsheets/d/1ja_RQYsP0p5wRrACHojay4CW1wLx0QdS5tSwp-vYQ-s/edit"",""3!Q2:Q31""))"),5754.398000000002)</f>
        <v>5754.398</v>
      </c>
      <c r="G76" s="40">
        <f>IFERROR(__xludf.DUMMYFUNCTION("IMPORTRANGE(""https://docs.google.com/spreadsheets/d/1ja_RQYsP0p5wRrACHojay4CW1wLx0QdS5tSwp-vYQ-s/edit"",""3!e38"")"),2958.0)</f>
        <v>2958</v>
      </c>
      <c r="H76" s="40">
        <f>IFERROR(__xludf.DUMMYFUNCTION("IMPORTRANGE(""https://docs.google.com/spreadsheets/d/1ja_RQYsP0p5wRrACHojay4CW1wLx0QdS5tSwp-vYQ-s/edit"",""3!e39"")"),0.0)</f>
        <v>0</v>
      </c>
      <c r="I76" s="40">
        <f t="shared" si="165"/>
        <v>2958</v>
      </c>
      <c r="J76" s="40">
        <f>IFERROR(__xludf.DUMMYFUNCTION("IMPORTRANGE(""https://docs.google.com/spreadsheets/d/1ja_RQYsP0p5wRrACHojay4CW1wLx0QdS5tSwp-vYQ-s/edit"",""3!e42"")"),4116.0)</f>
        <v>4116</v>
      </c>
      <c r="K76" s="40">
        <f>IFERROR(__xludf.DUMMYFUNCTION("IMPORTRANGE(""https://docs.google.com/spreadsheets/d/1ja_RQYsP0p5wRrACHojay4CW1wLx0QdS5tSwp-vYQ-s/edit"",""3!e43"")"),0.0)</f>
        <v>0</v>
      </c>
      <c r="L76" s="40">
        <f t="shared" si="195"/>
        <v>4116</v>
      </c>
      <c r="M76" s="40">
        <f t="shared" si="167"/>
        <v>7074</v>
      </c>
      <c r="N76" s="41">
        <f t="shared" si="168"/>
        <v>198.4275172</v>
      </c>
      <c r="O76" s="38">
        <v>9201.0</v>
      </c>
      <c r="P76" s="42">
        <f t="shared" si="169"/>
        <v>0.7688294751</v>
      </c>
      <c r="Q76" s="43">
        <v>1.5</v>
      </c>
      <c r="R76" s="42">
        <f t="shared" si="170"/>
        <v>0.8195470664</v>
      </c>
      <c r="S76" s="44">
        <f t="shared" si="171"/>
        <v>1.2293206</v>
      </c>
      <c r="T76" s="43">
        <f>F76/26.038</f>
        <v>221</v>
      </c>
      <c r="U76" s="43">
        <f t="shared" si="172"/>
        <v>7.620689655</v>
      </c>
      <c r="V76" s="40">
        <f t="shared" si="173"/>
        <v>243.9310345</v>
      </c>
      <c r="X76" s="31">
        <v>2.0</v>
      </c>
      <c r="Y76" s="31" t="s">
        <v>32</v>
      </c>
      <c r="Z76" s="31">
        <f t="shared" ref="Z76:AI76" si="207">SUM(D63)</f>
        <v>42</v>
      </c>
      <c r="AA76" s="32">
        <f t="shared" si="207"/>
        <v>41</v>
      </c>
      <c r="AB76" s="33">
        <f t="shared" si="207"/>
        <v>8003.391</v>
      </c>
      <c r="AC76" s="31">
        <f t="shared" si="207"/>
        <v>4261</v>
      </c>
      <c r="AD76" s="31">
        <f t="shared" si="207"/>
        <v>0</v>
      </c>
      <c r="AE76" s="32">
        <f t="shared" si="207"/>
        <v>4261</v>
      </c>
      <c r="AF76" s="31">
        <f t="shared" si="207"/>
        <v>5609</v>
      </c>
      <c r="AG76" s="31">
        <f t="shared" si="207"/>
        <v>0</v>
      </c>
      <c r="AH76" s="32">
        <f t="shared" si="207"/>
        <v>5609</v>
      </c>
      <c r="AI76" s="32">
        <f t="shared" si="207"/>
        <v>9870</v>
      </c>
      <c r="AJ76" s="34">
        <f t="shared" si="208"/>
        <v>195.2046585</v>
      </c>
      <c r="AK76" s="31">
        <f>SUM(O63)</f>
        <v>13817</v>
      </c>
      <c r="AL76" s="35">
        <f t="shared" si="209"/>
        <v>0.7143374104</v>
      </c>
      <c r="AM76" s="36">
        <f>SUM(Q63)</f>
        <v>1.5</v>
      </c>
      <c r="AN76" s="35">
        <f t="shared" si="210"/>
        <v>0.8221515105</v>
      </c>
      <c r="AO76" s="37">
        <f t="shared" si="211"/>
        <v>1.233227266</v>
      </c>
      <c r="AP76" s="36">
        <f t="shared" ref="AP76:AQ76" si="212">SUM(T63)</f>
        <v>319</v>
      </c>
      <c r="AQ76" s="36">
        <f t="shared" si="212"/>
        <v>7.780487805</v>
      </c>
      <c r="AR76" s="32">
        <f t="shared" si="213"/>
        <v>240.7317073</v>
      </c>
    </row>
    <row r="77" ht="15.75" customHeight="1">
      <c r="A77" s="21"/>
      <c r="B77" s="38">
        <v>18.0</v>
      </c>
      <c r="C77" s="38" t="s">
        <v>31</v>
      </c>
      <c r="D77" s="39">
        <v>15.0</v>
      </c>
      <c r="E77" s="40">
        <f>IFERROR(__xludf.DUMMYFUNCTION("COUNT(IMPORTRANGE(""https://docs.google.com/spreadsheets/d/1ObnK1oSznTOmyW9Zcd2kxExl7TOnO2MNq_0giEKc_mE/edit"",""3!d2:d16""))"),14.0)</f>
        <v>14</v>
      </c>
      <c r="F77" s="41">
        <f>IFERROR(__xludf.DUMMYFUNCTION("SUM(IMPORTRANGE(""https://docs.google.com/spreadsheets/d/1ObnK1oSznTOmyW9Zcd2kxExl7TOnO2MNq_0giEKc_mE/edit"",""3!Q2:Q16""))"),2738.295)</f>
        <v>2738.295</v>
      </c>
      <c r="G77" s="40">
        <f>IFERROR(__xludf.DUMMYFUNCTION("IMPORTRANGE(""https://docs.google.com/spreadsheets/d/1ObnK1oSznTOmyW9Zcd2kxExl7TOnO2MNq_0giEKc_mE/edit"",""3!e23"")"),810.0)</f>
        <v>810</v>
      </c>
      <c r="H77" s="40">
        <f>IFERROR(__xludf.DUMMYFUNCTION("IMPORTRANGE(""https://docs.google.com/spreadsheets/d/1ObnK1oSznTOmyW9Zcd2kxExl7TOnO2MNq_0giEKc_mE/edit"",""3!e24"")"),0.0)</f>
        <v>0</v>
      </c>
      <c r="I77" s="40">
        <f t="shared" si="165"/>
        <v>810</v>
      </c>
      <c r="J77" s="40">
        <f>IFERROR(__xludf.DUMMYFUNCTION("IMPORTRANGE(""https://docs.google.com/spreadsheets/d/1ObnK1oSznTOmyW9Zcd2kxExl7TOnO2MNq_0giEKc_mE/edit"",""3!e27"")"),1056.0)</f>
        <v>1056</v>
      </c>
      <c r="K77" s="40">
        <f>IFERROR(__xludf.DUMMYFUNCTION("IMPORTRANGE(""https://docs.google.com/spreadsheets/d/1ObnK1oSznTOmyW9Zcd2kxExl7TOnO2MNq_0giEKc_mE/edit"",""3!e28"")"),0.0)</f>
        <v>0</v>
      </c>
      <c r="L77" s="40">
        <f t="shared" si="195"/>
        <v>1056</v>
      </c>
      <c r="M77" s="40">
        <f t="shared" si="167"/>
        <v>1866</v>
      </c>
      <c r="N77" s="41">
        <f t="shared" si="168"/>
        <v>195.5925</v>
      </c>
      <c r="O77" s="38">
        <v>2717.0</v>
      </c>
      <c r="P77" s="42">
        <f t="shared" si="169"/>
        <v>0.6867868973</v>
      </c>
      <c r="Q77" s="43">
        <v>1.5</v>
      </c>
      <c r="R77" s="42">
        <f t="shared" si="170"/>
        <v>0.4542972908</v>
      </c>
      <c r="S77" s="44">
        <f t="shared" si="171"/>
        <v>0.6814459362</v>
      </c>
      <c r="T77" s="43">
        <f>F77/43.465</f>
        <v>63</v>
      </c>
      <c r="U77" s="43">
        <f t="shared" si="172"/>
        <v>4.5</v>
      </c>
      <c r="V77" s="40">
        <f t="shared" si="173"/>
        <v>133.2857143</v>
      </c>
      <c r="X77" s="31">
        <v>3.0</v>
      </c>
      <c r="Y77" s="31" t="s">
        <v>36</v>
      </c>
      <c r="Z77" s="31">
        <f t="shared" ref="Z77:AI77" si="214">SUM(D68)</f>
        <v>29</v>
      </c>
      <c r="AA77" s="32">
        <f t="shared" si="214"/>
        <v>29</v>
      </c>
      <c r="AB77" s="33">
        <f t="shared" si="214"/>
        <v>5791.19</v>
      </c>
      <c r="AC77" s="32">
        <f t="shared" si="214"/>
        <v>1567</v>
      </c>
      <c r="AD77" s="32">
        <f t="shared" si="214"/>
        <v>0</v>
      </c>
      <c r="AE77" s="32">
        <f t="shared" si="214"/>
        <v>1567</v>
      </c>
      <c r="AF77" s="32">
        <f t="shared" si="214"/>
        <v>2387</v>
      </c>
      <c r="AG77" s="32">
        <f t="shared" si="214"/>
        <v>0</v>
      </c>
      <c r="AH77" s="32">
        <f t="shared" si="214"/>
        <v>2387</v>
      </c>
      <c r="AI77" s="32">
        <f t="shared" si="214"/>
        <v>3954</v>
      </c>
      <c r="AJ77" s="34">
        <f t="shared" si="208"/>
        <v>199.6962069</v>
      </c>
      <c r="AK77" s="31">
        <f t="shared" ref="AK77:AK80" si="218">SUM(O68)</f>
        <v>4796</v>
      </c>
      <c r="AL77" s="35">
        <f t="shared" si="209"/>
        <v>0.8244370309</v>
      </c>
      <c r="AM77" s="36">
        <f t="shared" ref="AM77:AM80" si="219">SUM(Q68)</f>
        <v>1.5</v>
      </c>
      <c r="AN77" s="35">
        <f t="shared" si="210"/>
        <v>0.4551741525</v>
      </c>
      <c r="AO77" s="37">
        <f t="shared" si="211"/>
        <v>0.6827612287</v>
      </c>
      <c r="AP77" s="36">
        <f t="shared" ref="AP77:AQ77" si="215">SUM(T68)</f>
        <v>154.7867109</v>
      </c>
      <c r="AQ77" s="36">
        <f t="shared" si="215"/>
        <v>5.337472788</v>
      </c>
      <c r="AR77" s="32">
        <f t="shared" si="213"/>
        <v>136.3448276</v>
      </c>
    </row>
    <row r="78" ht="15.75" customHeight="1">
      <c r="A78" s="21"/>
      <c r="B78" s="60" t="s">
        <v>33</v>
      </c>
      <c r="C78" s="60">
        <v>18.0</v>
      </c>
      <c r="D78" s="60">
        <f t="shared" ref="D78:M78" si="216">SUM(D60:D77)</f>
        <v>585</v>
      </c>
      <c r="E78" s="61">
        <f t="shared" si="216"/>
        <v>573</v>
      </c>
      <c r="F78" s="62">
        <f t="shared" si="216"/>
        <v>112513.123</v>
      </c>
      <c r="G78" s="61">
        <f t="shared" si="216"/>
        <v>42117</v>
      </c>
      <c r="H78" s="61">
        <f t="shared" si="216"/>
        <v>693</v>
      </c>
      <c r="I78" s="61">
        <f t="shared" si="216"/>
        <v>42810</v>
      </c>
      <c r="J78" s="61">
        <f t="shared" si="216"/>
        <v>58090</v>
      </c>
      <c r="K78" s="61">
        <f t="shared" si="216"/>
        <v>462</v>
      </c>
      <c r="L78" s="61">
        <f t="shared" si="216"/>
        <v>58552</v>
      </c>
      <c r="M78" s="61">
        <f t="shared" si="216"/>
        <v>101362</v>
      </c>
      <c r="N78" s="62">
        <f t="shared" si="168"/>
        <v>196.3579808</v>
      </c>
      <c r="O78" s="60">
        <f>SUM(O60:O77)</f>
        <v>126399</v>
      </c>
      <c r="P78" s="63">
        <f t="shared" si="169"/>
        <v>0.8019209013</v>
      </c>
      <c r="Q78" s="64">
        <v>1.5</v>
      </c>
      <c r="R78" s="63">
        <f t="shared" si="170"/>
        <v>0.6005936451</v>
      </c>
      <c r="S78" s="65">
        <f t="shared" si="171"/>
        <v>0.9008904677</v>
      </c>
      <c r="T78" s="64">
        <f>SUM(T60:T77)</f>
        <v>4143.957126</v>
      </c>
      <c r="U78" s="64">
        <f t="shared" si="172"/>
        <v>7.232036869</v>
      </c>
      <c r="V78" s="61">
        <f t="shared" si="173"/>
        <v>176.8970332</v>
      </c>
      <c r="X78" s="31">
        <v>4.0</v>
      </c>
      <c r="Y78" s="31" t="s">
        <v>37</v>
      </c>
      <c r="Z78" s="31">
        <f t="shared" ref="Z78:AI78" si="217">SUM(D69)</f>
        <v>30</v>
      </c>
      <c r="AA78" s="32">
        <f t="shared" si="217"/>
        <v>30</v>
      </c>
      <c r="AB78" s="33">
        <f t="shared" si="217"/>
        <v>5861.772</v>
      </c>
      <c r="AC78" s="32">
        <f t="shared" si="217"/>
        <v>2041</v>
      </c>
      <c r="AD78" s="32">
        <f t="shared" si="217"/>
        <v>75</v>
      </c>
      <c r="AE78" s="32">
        <f t="shared" si="217"/>
        <v>2116</v>
      </c>
      <c r="AF78" s="32">
        <f t="shared" si="217"/>
        <v>2998</v>
      </c>
      <c r="AG78" s="32">
        <f t="shared" si="217"/>
        <v>0</v>
      </c>
      <c r="AH78" s="32">
        <f t="shared" si="217"/>
        <v>2998</v>
      </c>
      <c r="AI78" s="32">
        <f t="shared" si="217"/>
        <v>5114</v>
      </c>
      <c r="AJ78" s="34">
        <f t="shared" si="208"/>
        <v>195.3924</v>
      </c>
      <c r="AK78" s="31">
        <f t="shared" si="218"/>
        <v>5887</v>
      </c>
      <c r="AL78" s="35">
        <f t="shared" si="209"/>
        <v>0.868693732</v>
      </c>
      <c r="AM78" s="36">
        <f t="shared" si="219"/>
        <v>1.5</v>
      </c>
      <c r="AN78" s="35">
        <f t="shared" si="210"/>
        <v>0.5816216211</v>
      </c>
      <c r="AO78" s="37">
        <f t="shared" si="211"/>
        <v>0.8724324317</v>
      </c>
      <c r="AP78" s="36">
        <f t="shared" ref="AP78:AQ78" si="220">SUM(T69)</f>
        <v>236.4380445</v>
      </c>
      <c r="AQ78" s="36">
        <f t="shared" si="220"/>
        <v>7.881268151</v>
      </c>
      <c r="AR78" s="32">
        <f t="shared" si="213"/>
        <v>170.4666667</v>
      </c>
    </row>
    <row r="79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X79" s="31">
        <v>5.0</v>
      </c>
      <c r="Y79" s="31" t="s">
        <v>39</v>
      </c>
      <c r="Z79" s="31">
        <f t="shared" ref="Z79:AI79" si="221">SUM(D70)</f>
        <v>28</v>
      </c>
      <c r="AA79" s="32">
        <f t="shared" si="221"/>
        <v>26</v>
      </c>
      <c r="AB79" s="33">
        <f t="shared" si="221"/>
        <v>4772.062</v>
      </c>
      <c r="AC79" s="32">
        <f t="shared" si="221"/>
        <v>1214</v>
      </c>
      <c r="AD79" s="32">
        <f t="shared" si="221"/>
        <v>0</v>
      </c>
      <c r="AE79" s="32">
        <f t="shared" si="221"/>
        <v>1214</v>
      </c>
      <c r="AF79" s="32">
        <f t="shared" si="221"/>
        <v>1724</v>
      </c>
      <c r="AG79" s="32">
        <f t="shared" si="221"/>
        <v>0</v>
      </c>
      <c r="AH79" s="32">
        <f t="shared" si="221"/>
        <v>1724</v>
      </c>
      <c r="AI79" s="32">
        <f t="shared" si="221"/>
        <v>2938</v>
      </c>
      <c r="AJ79" s="34">
        <f t="shared" si="208"/>
        <v>183.5408462</v>
      </c>
      <c r="AK79" s="31">
        <f t="shared" si="218"/>
        <v>3569</v>
      </c>
      <c r="AL79" s="35">
        <f t="shared" si="209"/>
        <v>0.8231997758</v>
      </c>
      <c r="AM79" s="36">
        <f t="shared" si="219"/>
        <v>1.5</v>
      </c>
      <c r="AN79" s="35">
        <f t="shared" si="210"/>
        <v>0.4104445136</v>
      </c>
      <c r="AO79" s="37">
        <f t="shared" si="211"/>
        <v>0.6156667705</v>
      </c>
      <c r="AP79" s="36">
        <f t="shared" ref="AP79:AQ79" si="222">SUM(T70)</f>
        <v>222.339002</v>
      </c>
      <c r="AQ79" s="36">
        <f t="shared" si="222"/>
        <v>8.551500077</v>
      </c>
      <c r="AR79" s="32">
        <f t="shared" si="213"/>
        <v>113</v>
      </c>
    </row>
    <row r="80" ht="15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X80" s="31">
        <v>6.0</v>
      </c>
      <c r="Y80" s="31" t="s">
        <v>41</v>
      </c>
      <c r="Z80" s="31">
        <f t="shared" ref="Z80:AI80" si="223">SUM(D71)</f>
        <v>24</v>
      </c>
      <c r="AA80" s="32">
        <f t="shared" si="223"/>
        <v>24</v>
      </c>
      <c r="AB80" s="33">
        <f t="shared" si="223"/>
        <v>4621.968</v>
      </c>
      <c r="AC80" s="32">
        <f t="shared" si="223"/>
        <v>1246</v>
      </c>
      <c r="AD80" s="32">
        <f t="shared" si="223"/>
        <v>0</v>
      </c>
      <c r="AE80" s="32">
        <f t="shared" si="223"/>
        <v>1246</v>
      </c>
      <c r="AF80" s="32">
        <f t="shared" si="223"/>
        <v>1816</v>
      </c>
      <c r="AG80" s="32">
        <f t="shared" si="223"/>
        <v>0</v>
      </c>
      <c r="AH80" s="32">
        <f t="shared" si="223"/>
        <v>1816</v>
      </c>
      <c r="AI80" s="32">
        <f t="shared" si="223"/>
        <v>3062</v>
      </c>
      <c r="AJ80" s="34">
        <f t="shared" si="208"/>
        <v>192.582</v>
      </c>
      <c r="AK80" s="31">
        <f t="shared" si="218"/>
        <v>3801</v>
      </c>
      <c r="AL80" s="35">
        <f t="shared" si="209"/>
        <v>0.8055774796</v>
      </c>
      <c r="AM80" s="36">
        <f t="shared" si="219"/>
        <v>1.5</v>
      </c>
      <c r="AN80" s="35">
        <f t="shared" si="210"/>
        <v>0.4416589066</v>
      </c>
      <c r="AO80" s="37">
        <f t="shared" si="211"/>
        <v>0.6624883599</v>
      </c>
      <c r="AP80" s="36">
        <f t="shared" ref="AP80:AQ80" si="224">SUM(T71)</f>
        <v>156</v>
      </c>
      <c r="AQ80" s="36">
        <f t="shared" si="224"/>
        <v>6.5</v>
      </c>
      <c r="AR80" s="32">
        <f t="shared" si="213"/>
        <v>127.5833333</v>
      </c>
    </row>
    <row r="81" ht="15.75" customHeight="1">
      <c r="A81" s="1" t="s">
        <v>45</v>
      </c>
      <c r="D81" s="2"/>
      <c r="X81" s="46" t="s">
        <v>33</v>
      </c>
      <c r="Y81" s="46">
        <v>6.0</v>
      </c>
      <c r="Z81" s="46">
        <f t="shared" ref="Z81:AI81" si="225">SUM(Z75:Z80)</f>
        <v>173</v>
      </c>
      <c r="AA81" s="47">
        <f t="shared" si="225"/>
        <v>170</v>
      </c>
      <c r="AB81" s="49">
        <f t="shared" si="225"/>
        <v>32855.943</v>
      </c>
      <c r="AC81" s="47">
        <f t="shared" si="225"/>
        <v>12713</v>
      </c>
      <c r="AD81" s="47">
        <f t="shared" si="225"/>
        <v>140</v>
      </c>
      <c r="AE81" s="47">
        <f t="shared" si="225"/>
        <v>12853</v>
      </c>
      <c r="AF81" s="47">
        <f t="shared" si="225"/>
        <v>17331</v>
      </c>
      <c r="AG81" s="47">
        <f t="shared" si="225"/>
        <v>0</v>
      </c>
      <c r="AH81" s="47">
        <f t="shared" si="225"/>
        <v>17331</v>
      </c>
      <c r="AI81" s="47">
        <f t="shared" si="225"/>
        <v>30184</v>
      </c>
      <c r="AJ81" s="49">
        <f t="shared" si="208"/>
        <v>193.2702529</v>
      </c>
      <c r="AK81" s="46">
        <f>SUM(AK75:AK80)</f>
        <v>37031</v>
      </c>
      <c r="AL81" s="50">
        <f t="shared" si="209"/>
        <v>0.8151008614</v>
      </c>
      <c r="AM81" s="51">
        <v>1.5</v>
      </c>
      <c r="AN81" s="50">
        <f t="shared" si="210"/>
        <v>0.6124513506</v>
      </c>
      <c r="AO81" s="52">
        <f t="shared" si="211"/>
        <v>0.9186770259</v>
      </c>
      <c r="AP81" s="51">
        <f>SUM(AP75:AP80)</f>
        <v>1352.563757</v>
      </c>
      <c r="AQ81" s="51">
        <f>AP81/AA81</f>
        <v>7.956257396</v>
      </c>
      <c r="AR81" s="47">
        <f t="shared" si="213"/>
        <v>177.5529412</v>
      </c>
    </row>
    <row r="82" ht="15.75" customHeight="1">
      <c r="A82" s="1" t="s">
        <v>45</v>
      </c>
      <c r="D82" s="2"/>
      <c r="X82" s="66" t="s">
        <v>1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6"/>
    </row>
    <row r="83" ht="15.75" customHeight="1">
      <c r="A83" s="7">
        <v>46238.0</v>
      </c>
      <c r="B83" s="8" t="s">
        <v>2</v>
      </c>
      <c r="C83" s="8" t="s">
        <v>3</v>
      </c>
      <c r="D83" s="8" t="s">
        <v>4</v>
      </c>
      <c r="E83" s="8" t="s">
        <v>5</v>
      </c>
      <c r="F83" s="9" t="s">
        <v>6</v>
      </c>
      <c r="G83" s="8" t="s">
        <v>7</v>
      </c>
      <c r="H83" s="8" t="s">
        <v>8</v>
      </c>
      <c r="I83" s="8" t="s">
        <v>9</v>
      </c>
      <c r="J83" s="8" t="s">
        <v>10</v>
      </c>
      <c r="K83" s="8" t="s">
        <v>11</v>
      </c>
      <c r="L83" s="8" t="s">
        <v>12</v>
      </c>
      <c r="M83" s="8" t="s">
        <v>13</v>
      </c>
      <c r="N83" s="9" t="s">
        <v>14</v>
      </c>
      <c r="O83" s="8" t="s">
        <v>15</v>
      </c>
      <c r="P83" s="8" t="s">
        <v>16</v>
      </c>
      <c r="Q83" s="8" t="s">
        <v>17</v>
      </c>
      <c r="R83" s="8" t="s">
        <v>18</v>
      </c>
      <c r="S83" s="11" t="s">
        <v>19</v>
      </c>
      <c r="T83" s="12" t="s">
        <v>20</v>
      </c>
      <c r="U83" s="12" t="s">
        <v>21</v>
      </c>
      <c r="V83" s="13" t="s">
        <v>22</v>
      </c>
      <c r="X83" s="14" t="s">
        <v>2</v>
      </c>
      <c r="Y83" s="14" t="s">
        <v>3</v>
      </c>
      <c r="Z83" s="14" t="s">
        <v>4</v>
      </c>
      <c r="AA83" s="14" t="s">
        <v>5</v>
      </c>
      <c r="AB83" s="15" t="s">
        <v>6</v>
      </c>
      <c r="AC83" s="14" t="s">
        <v>7</v>
      </c>
      <c r="AD83" s="14" t="s">
        <v>8</v>
      </c>
      <c r="AE83" s="14" t="s">
        <v>9</v>
      </c>
      <c r="AF83" s="14" t="s">
        <v>10</v>
      </c>
      <c r="AG83" s="14" t="s">
        <v>11</v>
      </c>
      <c r="AH83" s="14" t="s">
        <v>12</v>
      </c>
      <c r="AI83" s="14" t="s">
        <v>13</v>
      </c>
      <c r="AJ83" s="15" t="s">
        <v>14</v>
      </c>
      <c r="AK83" s="14" t="s">
        <v>15</v>
      </c>
      <c r="AL83" s="14" t="s">
        <v>16</v>
      </c>
      <c r="AM83" s="16" t="s">
        <v>17</v>
      </c>
      <c r="AN83" s="17" t="s">
        <v>18</v>
      </c>
      <c r="AO83" s="18" t="s">
        <v>19</v>
      </c>
      <c r="AP83" s="19" t="s">
        <v>20</v>
      </c>
      <c r="AQ83" s="19" t="s">
        <v>21</v>
      </c>
      <c r="AR83" s="20" t="s">
        <v>22</v>
      </c>
    </row>
    <row r="84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X84" s="22">
        <v>1.0</v>
      </c>
      <c r="Y84" s="22" t="s">
        <v>23</v>
      </c>
      <c r="Z84" s="22">
        <f t="shared" ref="Z84:AI84" si="226">SUM(D92)</f>
        <v>35</v>
      </c>
      <c r="AA84" s="23">
        <f t="shared" si="226"/>
        <v>35</v>
      </c>
      <c r="AB84" s="24">
        <f t="shared" si="226"/>
        <v>6515.408</v>
      </c>
      <c r="AC84" s="23">
        <f t="shared" si="226"/>
        <v>1779</v>
      </c>
      <c r="AD84" s="23">
        <f t="shared" si="226"/>
        <v>0</v>
      </c>
      <c r="AE84" s="23">
        <f t="shared" si="226"/>
        <v>1779</v>
      </c>
      <c r="AF84" s="23">
        <f t="shared" si="226"/>
        <v>3241</v>
      </c>
      <c r="AG84" s="23">
        <f t="shared" si="226"/>
        <v>0</v>
      </c>
      <c r="AH84" s="23">
        <f t="shared" si="226"/>
        <v>3241</v>
      </c>
      <c r="AI84" s="23">
        <f t="shared" si="226"/>
        <v>5020</v>
      </c>
      <c r="AJ84" s="25">
        <f t="shared" ref="AJ84:AJ86" si="229">AB84/AA84</f>
        <v>186.1545143</v>
      </c>
      <c r="AK84" s="22">
        <f>SUM(O92)</f>
        <v>6853</v>
      </c>
      <c r="AL84" s="26">
        <f t="shared" ref="AL84:AL90" si="230">AI84/AK84</f>
        <v>0.7325259011</v>
      </c>
      <c r="AM84" s="27">
        <f t="shared" ref="AM84:AM86" si="231">SUM(Q92)</f>
        <v>1.5</v>
      </c>
      <c r="AN84" s="26">
        <f t="shared" ref="AN84:AN90" si="232">AO84/AM84</f>
        <v>0.5136541974</v>
      </c>
      <c r="AO84" s="28">
        <f t="shared" ref="AO84:AO90" si="233">AI84/AB84</f>
        <v>0.770481296</v>
      </c>
      <c r="AP84" s="27">
        <f t="shared" ref="AP84:AQ84" si="227">SUM(T92)</f>
        <v>193.1063426</v>
      </c>
      <c r="AQ84" s="27">
        <f t="shared" si="227"/>
        <v>5.517324075</v>
      </c>
      <c r="AR84" s="23">
        <f t="shared" ref="AR84:AR90" si="235">AI84/AA84</f>
        <v>143.4285714</v>
      </c>
    </row>
    <row r="85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X85" s="22">
        <v>2.0</v>
      </c>
      <c r="Y85" s="22" t="s">
        <v>24</v>
      </c>
      <c r="Z85" s="22">
        <f t="shared" ref="Z85:AI85" si="228">SUM(D93)</f>
        <v>44</v>
      </c>
      <c r="AA85" s="23">
        <f t="shared" si="228"/>
        <v>43</v>
      </c>
      <c r="AB85" s="24">
        <f t="shared" si="228"/>
        <v>8110.693</v>
      </c>
      <c r="AC85" s="23">
        <f t="shared" si="228"/>
        <v>995</v>
      </c>
      <c r="AD85" s="23">
        <f t="shared" si="228"/>
        <v>26</v>
      </c>
      <c r="AE85" s="23">
        <f t="shared" si="228"/>
        <v>1021</v>
      </c>
      <c r="AF85" s="23">
        <f t="shared" si="228"/>
        <v>942</v>
      </c>
      <c r="AG85" s="23">
        <f t="shared" si="228"/>
        <v>49</v>
      </c>
      <c r="AH85" s="23">
        <f t="shared" si="228"/>
        <v>991</v>
      </c>
      <c r="AI85" s="23">
        <f t="shared" si="228"/>
        <v>2012</v>
      </c>
      <c r="AJ85" s="25">
        <f t="shared" si="229"/>
        <v>188.6207674</v>
      </c>
      <c r="AK85" s="22">
        <v>1580.0</v>
      </c>
      <c r="AL85" s="29">
        <f t="shared" si="230"/>
        <v>1.273417722</v>
      </c>
      <c r="AM85" s="27">
        <f t="shared" si="231"/>
        <v>1.5</v>
      </c>
      <c r="AN85" s="26">
        <f t="shared" si="232"/>
        <v>0.1653783879</v>
      </c>
      <c r="AO85" s="28">
        <f t="shared" si="233"/>
        <v>0.2480675819</v>
      </c>
      <c r="AP85" s="27">
        <f t="shared" ref="AP85:AQ85" si="234">SUM(T93)</f>
        <v>302.5813468</v>
      </c>
      <c r="AQ85" s="27">
        <f t="shared" si="234"/>
        <v>7.036775506</v>
      </c>
      <c r="AR85" s="23">
        <f t="shared" si="235"/>
        <v>46.79069767</v>
      </c>
    </row>
    <row r="86" ht="15.75" customHeight="1">
      <c r="A86" s="21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X86" s="31">
        <v>3.0</v>
      </c>
      <c r="Y86" s="31" t="s">
        <v>25</v>
      </c>
      <c r="Z86" s="31">
        <f t="shared" ref="Z86:AI86" si="236">SUM(D94)</f>
        <v>32</v>
      </c>
      <c r="AA86" s="32">
        <f t="shared" si="236"/>
        <v>32</v>
      </c>
      <c r="AB86" s="33">
        <f t="shared" si="236"/>
        <v>6062.432</v>
      </c>
      <c r="AC86" s="32">
        <f t="shared" si="236"/>
        <v>2333</v>
      </c>
      <c r="AD86" s="32">
        <f t="shared" si="236"/>
        <v>389</v>
      </c>
      <c r="AE86" s="32">
        <f t="shared" si="236"/>
        <v>2722</v>
      </c>
      <c r="AF86" s="32">
        <f t="shared" si="236"/>
        <v>3312</v>
      </c>
      <c r="AG86" s="32">
        <f t="shared" si="236"/>
        <v>290</v>
      </c>
      <c r="AH86" s="32">
        <f t="shared" si="236"/>
        <v>3602</v>
      </c>
      <c r="AI86" s="32">
        <f t="shared" si="236"/>
        <v>6324</v>
      </c>
      <c r="AJ86" s="34">
        <f t="shared" si="229"/>
        <v>189.451</v>
      </c>
      <c r="AK86" s="31">
        <f>SUM(O94)</f>
        <v>6622</v>
      </c>
      <c r="AL86" s="35">
        <f t="shared" si="230"/>
        <v>0.9549984899</v>
      </c>
      <c r="AM86" s="36">
        <f t="shared" si="231"/>
        <v>1.5</v>
      </c>
      <c r="AN86" s="35">
        <f t="shared" si="232"/>
        <v>0.6954304807</v>
      </c>
      <c r="AO86" s="37">
        <f t="shared" si="233"/>
        <v>1.043145721</v>
      </c>
      <c r="AP86" s="36">
        <f t="shared" ref="AP86:AQ86" si="237">SUM(T94)</f>
        <v>254.2966443</v>
      </c>
      <c r="AQ86" s="36">
        <f t="shared" si="237"/>
        <v>7.946770134</v>
      </c>
      <c r="AR86" s="32">
        <f t="shared" si="235"/>
        <v>197.625</v>
      </c>
    </row>
    <row r="87" ht="15.75" customHeight="1">
      <c r="A87" s="21"/>
      <c r="B87" s="38">
        <v>1.0</v>
      </c>
      <c r="C87" s="38" t="s">
        <v>26</v>
      </c>
      <c r="D87" s="39">
        <v>20.0</v>
      </c>
      <c r="E87" s="40">
        <f>IFERROR(__xludf.DUMMYFUNCTION("COUNT(IMPORTRANGE(""https://docs.google.com/spreadsheets/d/1iVFEBQOAONhqDIMRa2hQ7WkCQv0dJWSAmc0AzfvSCMg/edit"",""4!d2:d21""))"),20.0)</f>
        <v>20</v>
      </c>
      <c r="F87" s="41">
        <f>IFERROR(__xludf.DUMMYFUNCTION("SUM(IMPORTRANGE(""https://docs.google.com/spreadsheets/d/1iVFEBQOAONhqDIMRa2hQ7WkCQv0dJWSAmc0AzfvSCMg/edit"",""4!Q2:Q21""))"),3856.548)</f>
        <v>3856.548</v>
      </c>
      <c r="G87" s="40">
        <f>IFERROR(__xludf.DUMMYFUNCTION("IMPORTRANGE(""https://docs.google.com/spreadsheets/d/1iVFEBQOAONhqDIMRa2hQ7WkCQv0dJWSAmc0AzfvSCMg/edit"",""4!e28"")"),2472.0)</f>
        <v>2472</v>
      </c>
      <c r="H87" s="40">
        <f>IFERROR(__xludf.DUMMYFUNCTION("IMPORTRANGE(""https://docs.google.com/spreadsheets/d/1iVFEBQOAONhqDIMRa2hQ7WkCQv0dJWSAmc0AzfvSCMg/edit"",""4!e29"")"),0.0)</f>
        <v>0</v>
      </c>
      <c r="I87" s="40">
        <f t="shared" ref="I87:I104" si="240">SUM(G87:H87)</f>
        <v>2472</v>
      </c>
      <c r="J87" s="40">
        <f>IFERROR(__xludf.DUMMYFUNCTION("IMPORTRANGE(""https://docs.google.com/spreadsheets/d/1iVFEBQOAONhqDIMRa2hQ7WkCQv0dJWSAmc0AzfvSCMg/edit"",""4!e32"")"),2541.0)</f>
        <v>2541</v>
      </c>
      <c r="K87" s="40">
        <f>IFERROR(__xludf.DUMMYFUNCTION("IMPORTRANGE(""https://docs.google.com/spreadsheets/d/1iVFEBQOAONhqDIMRa2hQ7WkCQv0dJWSAmc0AzfvSCMg/edit"",""4!e33"")"),0.0)</f>
        <v>0</v>
      </c>
      <c r="L87" s="40">
        <f t="shared" ref="L87:L93" si="241">SUM(J87:K87)</f>
        <v>2541</v>
      </c>
      <c r="M87" s="40">
        <f t="shared" ref="M87:M104" si="242">SUM(I87+L87)</f>
        <v>5013</v>
      </c>
      <c r="N87" s="41">
        <f t="shared" ref="N87:N105" si="243">F87/E87</f>
        <v>192.8274</v>
      </c>
      <c r="O87" s="38">
        <v>5161.0</v>
      </c>
      <c r="P87" s="42">
        <f t="shared" ref="P87:P105" si="244">M87/O87</f>
        <v>0.9713233869</v>
      </c>
      <c r="Q87" s="43">
        <v>1.5</v>
      </c>
      <c r="R87" s="42">
        <f t="shared" ref="R87:R105" si="245">S87/Q87</f>
        <v>0.86657809</v>
      </c>
      <c r="S87" s="44">
        <f t="shared" ref="S87:S105" si="246">M87/F87</f>
        <v>1.299867135</v>
      </c>
      <c r="T87" s="43">
        <f>F87/14.415</f>
        <v>267.5371488</v>
      </c>
      <c r="U87" s="43">
        <f t="shared" ref="U87:U105" si="247">T87/E87</f>
        <v>13.37685744</v>
      </c>
      <c r="V87" s="40">
        <f t="shared" ref="V87:V105" si="248">M87/E87</f>
        <v>250.65</v>
      </c>
      <c r="X87" s="22">
        <v>4.0</v>
      </c>
      <c r="Y87" s="22" t="s">
        <v>27</v>
      </c>
      <c r="Z87" s="22">
        <f t="shared" ref="Z87:AK87" si="238">SUM(D100)</f>
        <v>30</v>
      </c>
      <c r="AA87" s="23">
        <f t="shared" si="238"/>
        <v>30</v>
      </c>
      <c r="AB87" s="24">
        <f t="shared" si="238"/>
        <v>5825.49</v>
      </c>
      <c r="AC87" s="23">
        <f t="shared" si="238"/>
        <v>2530</v>
      </c>
      <c r="AD87" s="23">
        <f t="shared" si="238"/>
        <v>0</v>
      </c>
      <c r="AE87" s="23">
        <f t="shared" si="238"/>
        <v>2530</v>
      </c>
      <c r="AF87" s="23">
        <f t="shared" si="238"/>
        <v>3382</v>
      </c>
      <c r="AG87" s="23">
        <f t="shared" si="238"/>
        <v>0</v>
      </c>
      <c r="AH87" s="23">
        <f t="shared" si="238"/>
        <v>3382</v>
      </c>
      <c r="AI87" s="23">
        <f t="shared" si="238"/>
        <v>5912</v>
      </c>
      <c r="AJ87" s="25">
        <f t="shared" si="238"/>
        <v>194.183</v>
      </c>
      <c r="AK87" s="22">
        <f t="shared" si="238"/>
        <v>8101</v>
      </c>
      <c r="AL87" s="26">
        <f t="shared" si="230"/>
        <v>0.7297864461</v>
      </c>
      <c r="AM87" s="27">
        <f>SUM(Q100)</f>
        <v>1.5</v>
      </c>
      <c r="AN87" s="26">
        <f t="shared" si="232"/>
        <v>0.6765668353</v>
      </c>
      <c r="AO87" s="28">
        <f t="shared" si="233"/>
        <v>1.014850253</v>
      </c>
      <c r="AP87" s="27">
        <f t="shared" ref="AP87:AQ87" si="239">SUM(T100)</f>
        <v>291.4931198</v>
      </c>
      <c r="AQ87" s="27">
        <f t="shared" si="239"/>
        <v>9.716437328</v>
      </c>
      <c r="AR87" s="23">
        <f t="shared" si="235"/>
        <v>197.0666667</v>
      </c>
    </row>
    <row r="88" ht="15.75" customHeight="1">
      <c r="A88" s="21"/>
      <c r="B88" s="38">
        <v>2.0</v>
      </c>
      <c r="C88" s="38" t="s">
        <v>28</v>
      </c>
      <c r="D88" s="39">
        <v>33.0</v>
      </c>
      <c r="E88" s="40">
        <f>IFERROR(__xludf.DUMMYFUNCTION("COUNT(IMPORTRANGE(""https://docs.google.com/spreadsheets/d/1tJCeYclgeJZ4Dc78t_SkhVjtacKW-5-VGim8X1rzUzk/edit"",""4!d2:d34""))"),32.0)</f>
        <v>32</v>
      </c>
      <c r="F88" s="41">
        <f>IFERROR(__xludf.DUMMYFUNCTION("SUM(IMPORTRANGE(""https://docs.google.com/spreadsheets/d/1tJCeYclgeJZ4Dc78t_SkhVjtacKW-5-VGim8X1rzUzk/edit"",""4!Q2:Q34""))"),6188.966)</f>
        <v>6188.966</v>
      </c>
      <c r="G88" s="40">
        <f>IFERROR(__xludf.DUMMYFUNCTION("IMPORTRANGE(""https://docs.google.com/spreadsheets/d/1tJCeYclgeJZ4Dc78t_SkhVjtacKW-5-VGim8X1rzUzk/edit"",""4!e41"")"),2582.0)</f>
        <v>2582</v>
      </c>
      <c r="H88" s="40">
        <f>IFERROR(__xludf.DUMMYFUNCTION("IMPORTRANGE(""https://docs.google.com/spreadsheets/d/1tJCeYclgeJZ4Dc78t_SkhVjtacKW-5-VGim8X1rzUzk/edit"",""4!e42"")"),237.0)</f>
        <v>237</v>
      </c>
      <c r="I88" s="40">
        <f t="shared" si="240"/>
        <v>2819</v>
      </c>
      <c r="J88" s="40">
        <f>IFERROR(__xludf.DUMMYFUNCTION("IMPORTRANGE(""https://docs.google.com/spreadsheets/d/1tJCeYclgeJZ4Dc78t_SkhVjtacKW-5-VGim8X1rzUzk/edit"",""4!e45"")"),3013.0)</f>
        <v>3013</v>
      </c>
      <c r="K88" s="40">
        <f>IFERROR(__xludf.DUMMYFUNCTION("IMPORTRANGE(""https://docs.google.com/spreadsheets/d/1tJCeYclgeJZ4Dc78t_SkhVjtacKW-5-VGim8X1rzUzk/edit"",""4!e46"")"),257.0)</f>
        <v>257</v>
      </c>
      <c r="L88" s="40">
        <f t="shared" si="241"/>
        <v>3270</v>
      </c>
      <c r="M88" s="40">
        <f t="shared" si="242"/>
        <v>6089</v>
      </c>
      <c r="N88" s="41">
        <f t="shared" si="243"/>
        <v>193.4051875</v>
      </c>
      <c r="O88" s="38">
        <v>7315.0</v>
      </c>
      <c r="P88" s="42">
        <f t="shared" si="244"/>
        <v>0.8323991798</v>
      </c>
      <c r="Q88" s="43">
        <v>1.5</v>
      </c>
      <c r="R88" s="42">
        <f t="shared" si="245"/>
        <v>0.6558984705</v>
      </c>
      <c r="S88" s="44">
        <f t="shared" si="246"/>
        <v>0.9838477057</v>
      </c>
      <c r="T88" s="43">
        <f>F88/30.897</f>
        <v>200.3096093</v>
      </c>
      <c r="U88" s="43">
        <f t="shared" si="247"/>
        <v>6.259675292</v>
      </c>
      <c r="V88" s="40">
        <f t="shared" si="248"/>
        <v>190.28125</v>
      </c>
      <c r="X88" s="22">
        <v>5.0</v>
      </c>
      <c r="Y88" s="22" t="s">
        <v>29</v>
      </c>
      <c r="Z88" s="22">
        <f t="shared" ref="Z88:AI88" si="249">SUM(D103)</f>
        <v>30</v>
      </c>
      <c r="AA88" s="23">
        <f t="shared" si="249"/>
        <v>29</v>
      </c>
      <c r="AB88" s="24">
        <f t="shared" si="249"/>
        <v>5858.55</v>
      </c>
      <c r="AC88" s="23">
        <f t="shared" si="249"/>
        <v>2803</v>
      </c>
      <c r="AD88" s="23">
        <f t="shared" si="249"/>
        <v>196</v>
      </c>
      <c r="AE88" s="23">
        <f t="shared" si="249"/>
        <v>2999</v>
      </c>
      <c r="AF88" s="23">
        <f t="shared" si="249"/>
        <v>4312</v>
      </c>
      <c r="AG88" s="23">
        <f t="shared" si="249"/>
        <v>0</v>
      </c>
      <c r="AH88" s="23">
        <f t="shared" si="249"/>
        <v>4312</v>
      </c>
      <c r="AI88" s="23">
        <f t="shared" si="249"/>
        <v>7311</v>
      </c>
      <c r="AJ88" s="25">
        <f t="shared" ref="AJ88:AJ90" si="252">AB88/AA88</f>
        <v>202.0189655</v>
      </c>
      <c r="AK88" s="22">
        <f t="shared" ref="AK88:AK89" si="253">SUM(O103)</f>
        <v>9201</v>
      </c>
      <c r="AL88" s="26">
        <f t="shared" si="230"/>
        <v>0.7945875448</v>
      </c>
      <c r="AM88" s="27">
        <f t="shared" ref="AM88:AM89" si="254">SUM(Q103)</f>
        <v>1.5</v>
      </c>
      <c r="AN88" s="26">
        <f t="shared" si="232"/>
        <v>0.8319464714</v>
      </c>
      <c r="AO88" s="28">
        <f t="shared" si="233"/>
        <v>1.247919707</v>
      </c>
      <c r="AP88" s="27">
        <f t="shared" ref="AP88:AQ88" si="250">SUM(T103)</f>
        <v>225</v>
      </c>
      <c r="AQ88" s="27">
        <f t="shared" si="250"/>
        <v>7.75862069</v>
      </c>
      <c r="AR88" s="23">
        <f t="shared" si="235"/>
        <v>252.1034483</v>
      </c>
    </row>
    <row r="89" ht="15.75" customHeight="1">
      <c r="A89" s="21"/>
      <c r="B89" s="38">
        <v>3.0</v>
      </c>
      <c r="C89" s="38" t="s">
        <v>30</v>
      </c>
      <c r="D89" s="39">
        <v>60.0</v>
      </c>
      <c r="E89" s="40">
        <f>IFERROR(__xludf.DUMMYFUNCTION("COUNT(IMPORTRANGE(""https://docs.google.com/spreadsheets/d/130gLEONC13J8KkQ6dk06x3bLRy_jCrAw2hXatQf2W50/edit"",""4!d2:d61""))"),60.0)</f>
        <v>60</v>
      </c>
      <c r="F89" s="45">
        <f>IFERROR(__xludf.DUMMYFUNCTION("SUM(IMPORTRANGE(""https://docs.google.com/spreadsheets/d/130gLEONC13J8KkQ6dk06x3bLRy_jCrAw2hXatQf2W50/edit"",""4!Q2:Q61""))"),11972.310999999989)</f>
        <v>11972.311</v>
      </c>
      <c r="G89" s="40">
        <f>IFERROR(__xludf.DUMMYFUNCTION("IMPORTRANGE(""https://docs.google.com/spreadsheets/d/130gLEONC13J8KkQ6dk06x3bLRy_jCrAw2hXatQf2W50/edit"",""4!e68"")"),3466.0)</f>
        <v>3466</v>
      </c>
      <c r="H89" s="40">
        <f>IFERROR(__xludf.DUMMYFUNCTION("IMPORTRANGE(""https://docs.google.com/spreadsheets/d/130gLEONC13J8KkQ6dk06x3bLRy_jCrAw2hXatQf2W50/edit"",""4!e69"")"),46.0)</f>
        <v>46</v>
      </c>
      <c r="I89" s="40">
        <f t="shared" si="240"/>
        <v>3512</v>
      </c>
      <c r="J89" s="40">
        <f>IFERROR(__xludf.DUMMYFUNCTION("IMPORTRANGE(""https://docs.google.com/spreadsheets/d/130gLEONC13J8KkQ6dk06x3bLRy_jCrAw2hXatQf2W50/edit"",""4!e72"")"),6014.0)</f>
        <v>6014</v>
      </c>
      <c r="K89" s="40">
        <f>IFERROR(__xludf.DUMMYFUNCTION("IMPORTRANGE(""https://docs.google.com/spreadsheets/d/130gLEONC13J8KkQ6dk06x3bLRy_jCrAw2hXatQf2W50/edit"",""4!e73"")"),57.0)</f>
        <v>57</v>
      </c>
      <c r="L89" s="40">
        <f t="shared" si="241"/>
        <v>6071</v>
      </c>
      <c r="M89" s="40">
        <f t="shared" si="242"/>
        <v>9583</v>
      </c>
      <c r="N89" s="41">
        <f t="shared" si="243"/>
        <v>199.5385167</v>
      </c>
      <c r="O89" s="38">
        <v>11164.0</v>
      </c>
      <c r="P89" s="42">
        <f t="shared" si="244"/>
        <v>0.8583840917</v>
      </c>
      <c r="Q89" s="43">
        <v>1.5</v>
      </c>
      <c r="R89" s="42">
        <f t="shared" si="245"/>
        <v>0.533620173</v>
      </c>
      <c r="S89" s="44">
        <f t="shared" si="246"/>
        <v>0.8004302595</v>
      </c>
      <c r="T89" s="43">
        <f>F89/29.603</f>
        <v>404.4289768</v>
      </c>
      <c r="U89" s="43">
        <f t="shared" si="247"/>
        <v>6.740482947</v>
      </c>
      <c r="V89" s="40">
        <f t="shared" si="248"/>
        <v>159.7166667</v>
      </c>
      <c r="X89" s="22">
        <v>6.0</v>
      </c>
      <c r="Y89" s="22" t="s">
        <v>31</v>
      </c>
      <c r="Z89" s="22">
        <f t="shared" ref="Z89:AI89" si="251">SUM(D104)</f>
        <v>15</v>
      </c>
      <c r="AA89" s="23">
        <f t="shared" si="251"/>
        <v>14</v>
      </c>
      <c r="AB89" s="25">
        <f t="shared" si="251"/>
        <v>2694.83</v>
      </c>
      <c r="AC89" s="23">
        <f t="shared" si="251"/>
        <v>847</v>
      </c>
      <c r="AD89" s="23">
        <f t="shared" si="251"/>
        <v>0</v>
      </c>
      <c r="AE89" s="23">
        <f t="shared" si="251"/>
        <v>847</v>
      </c>
      <c r="AF89" s="23">
        <f t="shared" si="251"/>
        <v>1099</v>
      </c>
      <c r="AG89" s="23">
        <f t="shared" si="251"/>
        <v>23</v>
      </c>
      <c r="AH89" s="23">
        <f t="shared" si="251"/>
        <v>1122</v>
      </c>
      <c r="AI89" s="23">
        <f t="shared" si="251"/>
        <v>1969</v>
      </c>
      <c r="AJ89" s="25">
        <f t="shared" si="252"/>
        <v>192.4878571</v>
      </c>
      <c r="AK89" s="22">
        <f t="shared" si="253"/>
        <v>2717</v>
      </c>
      <c r="AL89" s="26">
        <f t="shared" si="230"/>
        <v>0.7246963563</v>
      </c>
      <c r="AM89" s="27">
        <f t="shared" si="254"/>
        <v>1.5</v>
      </c>
      <c r="AN89" s="26">
        <f t="shared" si="232"/>
        <v>0.4871055564</v>
      </c>
      <c r="AO89" s="28">
        <f t="shared" si="233"/>
        <v>0.7306583347</v>
      </c>
      <c r="AP89" s="27">
        <f t="shared" ref="AP89:AQ89" si="255">SUM(T104)</f>
        <v>62</v>
      </c>
      <c r="AQ89" s="27">
        <f t="shared" si="255"/>
        <v>4.428571429</v>
      </c>
      <c r="AR89" s="23">
        <f t="shared" si="235"/>
        <v>140.6428571</v>
      </c>
    </row>
    <row r="90" ht="15.75" customHeight="1">
      <c r="A90" s="21"/>
      <c r="B90" s="38">
        <v>4.0</v>
      </c>
      <c r="C90" s="38" t="s">
        <v>32</v>
      </c>
      <c r="D90" s="39">
        <v>42.0</v>
      </c>
      <c r="E90" s="40">
        <f>IFERROR(__xludf.DUMMYFUNCTION("COUNT(IMPORTRANGE(""https://docs.google.com/spreadsheets/d/1gYHli7FuKQLm2Q-5LMR0UtkD-gRRA_p8s-phLPLDLgc/edit"",""4!d2:d43""))"),42.0)</f>
        <v>42</v>
      </c>
      <c r="F90" s="45">
        <f>IFERROR(__xludf.DUMMYFUNCTION("SUM(IMPORTRANGE(""https://docs.google.com/spreadsheets/d/1gYHli7FuKQLm2Q-5LMR0UtkD-gRRA_p8s-phLPLDLgc/edit"",""4!Q2:Q43""))"),8267.89999999999)</f>
        <v>8267.9</v>
      </c>
      <c r="G90" s="38">
        <f>IFERROR(__xludf.DUMMYFUNCTION("IMPORTRANGE(""https://docs.google.com/spreadsheets/d/1gYHli7FuKQLm2Q-5LMR0UtkD-gRRA_p8s-phLPLDLgc/edit"",""4!e50"")"),4583.0)</f>
        <v>4583</v>
      </c>
      <c r="H90" s="38">
        <f>IFERROR(__xludf.DUMMYFUNCTION("IMPORTRANGE(""https://docs.google.com/spreadsheets/d/1gYHli7FuKQLm2Q-5LMR0UtkD-gRRA_p8s-phLPLDLgc/edit"",""4!e51"")"),0.0)</f>
        <v>0</v>
      </c>
      <c r="I90" s="40">
        <f t="shared" si="240"/>
        <v>4583</v>
      </c>
      <c r="J90" s="38">
        <f>IFERROR(__xludf.DUMMYFUNCTION("IMPORTRANGE(""https://docs.google.com/spreadsheets/d/1gYHli7FuKQLm2Q-5LMR0UtkD-gRRA_p8s-phLPLDLgc/edit"",""4!e54"")"),5680.0)</f>
        <v>5680</v>
      </c>
      <c r="K90" s="38">
        <f>IFERROR(__xludf.DUMMYFUNCTION("IMPORTRANGE(""https://docs.google.com/spreadsheets/d/1gYHli7FuKQLm2Q-5LMR0UtkD-gRRA_p8s-phLPLDLgc/edit"",""4!e55"")"),0.0)</f>
        <v>0</v>
      </c>
      <c r="L90" s="40">
        <f t="shared" si="241"/>
        <v>5680</v>
      </c>
      <c r="M90" s="40">
        <f t="shared" si="242"/>
        <v>10263</v>
      </c>
      <c r="N90" s="41">
        <f t="shared" si="243"/>
        <v>196.8547619</v>
      </c>
      <c r="O90" s="38">
        <v>13817.0</v>
      </c>
      <c r="P90" s="42">
        <f t="shared" si="244"/>
        <v>0.7427806326</v>
      </c>
      <c r="Q90" s="43">
        <v>1.5</v>
      </c>
      <c r="R90" s="42">
        <f t="shared" si="245"/>
        <v>0.827537827</v>
      </c>
      <c r="S90" s="44">
        <f t="shared" si="246"/>
        <v>1.241306741</v>
      </c>
      <c r="T90" s="43">
        <f>F90/25.089</f>
        <v>329.5428275</v>
      </c>
      <c r="U90" s="43">
        <f t="shared" si="247"/>
        <v>7.846257798</v>
      </c>
      <c r="V90" s="40">
        <f t="shared" si="248"/>
        <v>244.3571429</v>
      </c>
      <c r="X90" s="46" t="s">
        <v>33</v>
      </c>
      <c r="Y90" s="46">
        <v>6.0</v>
      </c>
      <c r="Z90" s="46">
        <f t="shared" ref="Z90:AI90" si="256">SUM(Z84:Z89)</f>
        <v>186</v>
      </c>
      <c r="AA90" s="47">
        <f t="shared" si="256"/>
        <v>183</v>
      </c>
      <c r="AB90" s="48">
        <f t="shared" si="256"/>
        <v>35067.403</v>
      </c>
      <c r="AC90" s="47">
        <f t="shared" si="256"/>
        <v>11287</v>
      </c>
      <c r="AD90" s="47">
        <f t="shared" si="256"/>
        <v>611</v>
      </c>
      <c r="AE90" s="47">
        <f t="shared" si="256"/>
        <v>11898</v>
      </c>
      <c r="AF90" s="47">
        <f t="shared" si="256"/>
        <v>16288</v>
      </c>
      <c r="AG90" s="47">
        <f t="shared" si="256"/>
        <v>362</v>
      </c>
      <c r="AH90" s="47">
        <f t="shared" si="256"/>
        <v>16650</v>
      </c>
      <c r="AI90" s="47">
        <f t="shared" si="256"/>
        <v>28548</v>
      </c>
      <c r="AJ90" s="49">
        <f t="shared" si="252"/>
        <v>191.625153</v>
      </c>
      <c r="AK90" s="46">
        <f>SUM(AK84:AK89)</f>
        <v>35074</v>
      </c>
      <c r="AL90" s="50">
        <f t="shared" si="230"/>
        <v>0.8139362491</v>
      </c>
      <c r="AM90" s="51">
        <v>1.5</v>
      </c>
      <c r="AN90" s="50">
        <f t="shared" si="232"/>
        <v>0.5427262464</v>
      </c>
      <c r="AO90" s="52">
        <f t="shared" si="233"/>
        <v>0.8140893695</v>
      </c>
      <c r="AP90" s="51">
        <f>SUM(AP84:AP89)</f>
        <v>1328.477454</v>
      </c>
      <c r="AQ90" s="51">
        <f>AP90/AA90</f>
        <v>7.259439637</v>
      </c>
      <c r="AR90" s="47">
        <f t="shared" si="235"/>
        <v>156</v>
      </c>
    </row>
    <row r="91" ht="15.75" customHeight="1">
      <c r="A91" s="21"/>
      <c r="B91" s="38">
        <v>5.0</v>
      </c>
      <c r="C91" s="38" t="s">
        <v>34</v>
      </c>
      <c r="D91" s="39">
        <v>40.0</v>
      </c>
      <c r="E91" s="40">
        <f>IFERROR(__xludf.DUMMYFUNCTION("COUNT(IMPORTRANGE(""https://docs.google.com/spreadsheets/d/1ptS0qWBCKWkc9h2aXWT_YgMhN7yIv5WgAHRbF8l9Zpo/edit"",""4!d2:d41""))"),39.0)</f>
        <v>39</v>
      </c>
      <c r="F91" s="45">
        <f>IFERROR(__xludf.DUMMYFUNCTION("SUM(IMPORTRANGE(""https://docs.google.com/spreadsheets/d/1ptS0qWBCKWkc9h2aXWT_YgMhN7yIv5WgAHRbF8l9Zpo/edit"",""4!Q2:Q41""))"),7665.753000000002)</f>
        <v>7665.753</v>
      </c>
      <c r="G91" s="40">
        <f>IFERROR(__xludf.DUMMYFUNCTION("IMPORTRANGE(""https://docs.google.com/spreadsheets/d/1ptS0qWBCKWkc9h2aXWT_YgMhN7yIv5WgAHRbF8l9Zpo/edit"",""4!e48"")"),3098.0)</f>
        <v>3098</v>
      </c>
      <c r="H91" s="40">
        <f>IFERROR(__xludf.DUMMYFUNCTION("IMPORTRANGE(""https://docs.google.com/spreadsheets/d/1ptS0qWBCKWkc9h2aXWT_YgMhN7yIv5WgAHRbF8l9Zpo/edit"",""4!e49"")"),0.0)</f>
        <v>0</v>
      </c>
      <c r="I91" s="40">
        <f t="shared" si="240"/>
        <v>3098</v>
      </c>
      <c r="J91" s="40">
        <f>IFERROR(__xludf.DUMMYFUNCTION("IMPORTRANGE(""https://docs.google.com/spreadsheets/d/1ptS0qWBCKWkc9h2aXWT_YgMhN7yIv5WgAHRbF8l9Zpo/edit"",""4!e52"")"),3596.0)</f>
        <v>3596</v>
      </c>
      <c r="K91" s="40">
        <f>IFERROR(__xludf.DUMMYFUNCTION("IMPORTRANGE(""https://docs.google.com/spreadsheets/d/1ptS0qWBCKWkc9h2aXWT_YgMhN7yIv5WgAHRbF8l9Zpo/edit"",""4!e53"")"),114.0)</f>
        <v>114</v>
      </c>
      <c r="L91" s="40">
        <f t="shared" si="241"/>
        <v>3710</v>
      </c>
      <c r="M91" s="40">
        <f t="shared" si="242"/>
        <v>6808</v>
      </c>
      <c r="N91" s="41">
        <f t="shared" si="243"/>
        <v>196.5577692</v>
      </c>
      <c r="O91" s="38">
        <v>9354.0</v>
      </c>
      <c r="P91" s="42">
        <f t="shared" si="244"/>
        <v>0.7278169767</v>
      </c>
      <c r="Q91" s="43">
        <v>1.5</v>
      </c>
      <c r="R91" s="42">
        <f t="shared" si="245"/>
        <v>0.5920705594</v>
      </c>
      <c r="S91" s="44">
        <f t="shared" si="246"/>
        <v>0.888105839</v>
      </c>
      <c r="T91" s="43">
        <f>F91/30.713</f>
        <v>249.5931039</v>
      </c>
      <c r="U91" s="43">
        <f t="shared" si="247"/>
        <v>6.399823177</v>
      </c>
      <c r="V91" s="40">
        <f t="shared" si="248"/>
        <v>174.5641026</v>
      </c>
      <c r="X91" s="53" t="s">
        <v>35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6"/>
    </row>
    <row r="92" ht="15.75" customHeight="1">
      <c r="A92" s="21"/>
      <c r="B92" s="38">
        <v>6.0</v>
      </c>
      <c r="C92" s="38" t="s">
        <v>23</v>
      </c>
      <c r="D92" s="39">
        <v>35.0</v>
      </c>
      <c r="E92" s="40">
        <f>IFERROR(__xludf.DUMMYFUNCTION("COUNT(IMPORTRANGE(""https://docs.google.com/spreadsheets/d/1829CoYW82aTBBUgqkPnJa94KlBWI-DowAnP4ENQCmaQ/edit"",""4!d2:d36""))"),35.0)</f>
        <v>35</v>
      </c>
      <c r="F92" s="45">
        <f>IFERROR(__xludf.DUMMYFUNCTION("SUM(IMPORTRANGE(""https://docs.google.com/spreadsheets/d/1829CoYW82aTBBUgqkPnJa94KlBWI-DowAnP4ENQCmaQ/edit"",""4!Q2:Q36""))"),6515.407999999997)</f>
        <v>6515.408</v>
      </c>
      <c r="G92" s="40">
        <f>IFERROR(__xludf.DUMMYFUNCTION("IMPORTRANGE(""https://docs.google.com/spreadsheets/d/1829CoYW82aTBBUgqkPnJa94KlBWI-DowAnP4ENQCmaQ/edit"",""4!e43"")"),1779.0)</f>
        <v>1779</v>
      </c>
      <c r="H92" s="40">
        <f>IFERROR(__xludf.DUMMYFUNCTION("IMPORTRANGE(""https://docs.google.com/spreadsheets/d/1829CoYW82aTBBUgqkPnJa94KlBWI-DowAnP4ENQCmaQ/edit"",""4!e44"")"),0.0)</f>
        <v>0</v>
      </c>
      <c r="I92" s="40">
        <f t="shared" si="240"/>
        <v>1779</v>
      </c>
      <c r="J92" s="40">
        <f>IFERROR(__xludf.DUMMYFUNCTION("IMPORTRANGE(""https://docs.google.com/spreadsheets/d/1829CoYW82aTBBUgqkPnJa94KlBWI-DowAnP4ENQCmaQ/edit"",""4!e47"")"),3241.0)</f>
        <v>3241</v>
      </c>
      <c r="K92" s="40">
        <f>IFERROR(__xludf.DUMMYFUNCTION("IMPORTRANGE(""https://docs.google.com/spreadsheets/d/1829CoYW82aTBBUgqkPnJa94KlBWI-DowAnP4ENQCmaQ/edit"",""4!e48"")"),0.0)</f>
        <v>0</v>
      </c>
      <c r="L92" s="40">
        <f t="shared" si="241"/>
        <v>3241</v>
      </c>
      <c r="M92" s="40">
        <f t="shared" si="242"/>
        <v>5020</v>
      </c>
      <c r="N92" s="41">
        <f t="shared" si="243"/>
        <v>186.1545143</v>
      </c>
      <c r="O92" s="38">
        <v>6853.0</v>
      </c>
      <c r="P92" s="42">
        <f t="shared" si="244"/>
        <v>0.7325259011</v>
      </c>
      <c r="Q92" s="43">
        <v>1.5</v>
      </c>
      <c r="R92" s="42">
        <f t="shared" si="245"/>
        <v>0.5136541974</v>
      </c>
      <c r="S92" s="44">
        <f t="shared" si="246"/>
        <v>0.770481296</v>
      </c>
      <c r="T92" s="43">
        <f>F92/33.74</f>
        <v>193.1063426</v>
      </c>
      <c r="U92" s="43">
        <f t="shared" si="247"/>
        <v>5.517324075</v>
      </c>
      <c r="V92" s="40">
        <f t="shared" si="248"/>
        <v>143.4285714</v>
      </c>
      <c r="X92" s="14" t="s">
        <v>2</v>
      </c>
      <c r="Y92" s="14" t="s">
        <v>3</v>
      </c>
      <c r="Z92" s="14" t="s">
        <v>4</v>
      </c>
      <c r="AA92" s="14" t="s">
        <v>5</v>
      </c>
      <c r="AB92" s="15" t="s">
        <v>6</v>
      </c>
      <c r="AC92" s="14" t="s">
        <v>7</v>
      </c>
      <c r="AD92" s="14" t="s">
        <v>8</v>
      </c>
      <c r="AE92" s="14" t="s">
        <v>9</v>
      </c>
      <c r="AF92" s="14" t="s">
        <v>10</v>
      </c>
      <c r="AG92" s="14" t="s">
        <v>11</v>
      </c>
      <c r="AH92" s="14" t="s">
        <v>12</v>
      </c>
      <c r="AI92" s="14" t="s">
        <v>13</v>
      </c>
      <c r="AJ92" s="15" t="s">
        <v>14</v>
      </c>
      <c r="AK92" s="14" t="s">
        <v>15</v>
      </c>
      <c r="AL92" s="14" t="s">
        <v>16</v>
      </c>
      <c r="AM92" s="16" t="s">
        <v>17</v>
      </c>
      <c r="AN92" s="17" t="s">
        <v>18</v>
      </c>
      <c r="AO92" s="18" t="s">
        <v>19</v>
      </c>
      <c r="AP92" s="19" t="s">
        <v>20</v>
      </c>
      <c r="AQ92" s="19" t="s">
        <v>21</v>
      </c>
      <c r="AR92" s="20" t="s">
        <v>22</v>
      </c>
    </row>
    <row r="93" ht="15.75" customHeight="1">
      <c r="A93" s="21"/>
      <c r="B93" s="38">
        <v>7.0</v>
      </c>
      <c r="C93" s="38" t="s">
        <v>24</v>
      </c>
      <c r="D93" s="39">
        <v>44.0</v>
      </c>
      <c r="E93" s="54">
        <f>IFERROR(__xludf.DUMMYFUNCTION("COUNT(IMPORTRANGE(""https://docs.google.com/spreadsheets/d/1E2x4oDZxEIsuC5nl-5Z0--MoN8b1dt9SbpRcCfNP84Q/edit"",""4!d2:d45""))"),43.0)</f>
        <v>43</v>
      </c>
      <c r="F93" s="55">
        <f>IFERROR(__xludf.DUMMYFUNCTION("SUM(IMPORTRANGE(""https://docs.google.com/spreadsheets/d/1E2x4oDZxEIsuC5nl-5Z0--MoN8b1dt9SbpRcCfNP84Q/edit"",""4!Q2:Q45""))"),8110.692999999994)</f>
        <v>8110.693</v>
      </c>
      <c r="G93" s="54">
        <f>IFERROR(__xludf.DUMMYFUNCTION("IMPORTRANGE(""https://docs.google.com/spreadsheets/d/1E2x4oDZxEIsuC5nl-5Z0--MoN8b1dt9SbpRcCfNP84Q/edit"",""4!e53"")"),995.0)</f>
        <v>995</v>
      </c>
      <c r="H93" s="54">
        <f>IFERROR(__xludf.DUMMYFUNCTION("IMPORTRANGE(""https://docs.google.com/spreadsheets/d/1E2x4oDZxEIsuC5nl-5Z0--MoN8b1dt9SbpRcCfNP84Q/edit"",""4!e54"")"),26.0)</f>
        <v>26</v>
      </c>
      <c r="I93" s="54">
        <f t="shared" si="240"/>
        <v>1021</v>
      </c>
      <c r="J93" s="54">
        <f>IFERROR(__xludf.DUMMYFUNCTION("IMPORTRANGE(""https://docs.google.com/spreadsheets/d/1E2x4oDZxEIsuC5nl-5Z0--MoN8b1dt9SbpRcCfNP84Q/edit"",""4!e57"")"),942.0)</f>
        <v>942</v>
      </c>
      <c r="K93" s="54">
        <f>IFERROR(__xludf.DUMMYFUNCTION("IMPORTRANGE(""https://docs.google.com/spreadsheets/d/1E2x4oDZxEIsuC5nl-5Z0--MoN8b1dt9SbpRcCfNP84Q/edit"",""4!e58"")"),49.0)</f>
        <v>49</v>
      </c>
      <c r="L93" s="40">
        <f t="shared" si="241"/>
        <v>991</v>
      </c>
      <c r="M93" s="40">
        <f t="shared" si="242"/>
        <v>2012</v>
      </c>
      <c r="N93" s="41">
        <f t="shared" si="243"/>
        <v>188.6207674</v>
      </c>
      <c r="O93" s="38">
        <v>1580.0</v>
      </c>
      <c r="P93" s="56">
        <f t="shared" si="244"/>
        <v>1.273417722</v>
      </c>
      <c r="Q93" s="43">
        <v>1.5</v>
      </c>
      <c r="R93" s="42">
        <f t="shared" si="245"/>
        <v>0.1653783879</v>
      </c>
      <c r="S93" s="44">
        <f t="shared" si="246"/>
        <v>0.2480675819</v>
      </c>
      <c r="T93" s="43">
        <f>F93/26.805</f>
        <v>302.5813468</v>
      </c>
      <c r="U93" s="43">
        <f t="shared" si="247"/>
        <v>7.036775506</v>
      </c>
      <c r="V93" s="40">
        <f t="shared" si="248"/>
        <v>46.79069767</v>
      </c>
      <c r="X93" s="22">
        <v>1.0</v>
      </c>
      <c r="Y93" s="22" t="s">
        <v>28</v>
      </c>
      <c r="Z93" s="22">
        <f t="shared" ref="Z93:AI93" si="257">SUM(D88)</f>
        <v>33</v>
      </c>
      <c r="AA93" s="23">
        <f t="shared" si="257"/>
        <v>32</v>
      </c>
      <c r="AB93" s="25">
        <f t="shared" si="257"/>
        <v>6188.966</v>
      </c>
      <c r="AC93" s="23">
        <f t="shared" si="257"/>
        <v>2582</v>
      </c>
      <c r="AD93" s="23">
        <f t="shared" si="257"/>
        <v>237</v>
      </c>
      <c r="AE93" s="23">
        <f t="shared" si="257"/>
        <v>2819</v>
      </c>
      <c r="AF93" s="23">
        <f t="shared" si="257"/>
        <v>3013</v>
      </c>
      <c r="AG93" s="23">
        <f t="shared" si="257"/>
        <v>257</v>
      </c>
      <c r="AH93" s="23">
        <f t="shared" si="257"/>
        <v>3270</v>
      </c>
      <c r="AI93" s="23">
        <f t="shared" si="257"/>
        <v>6089</v>
      </c>
      <c r="AJ93" s="25">
        <f t="shared" ref="AJ93:AJ99" si="260">AB93/AA93</f>
        <v>193.4051875</v>
      </c>
      <c r="AK93" s="22">
        <f t="shared" ref="AK93:AK94" si="261">SUM(O88)</f>
        <v>7315</v>
      </c>
      <c r="AL93" s="26">
        <f t="shared" ref="AL93:AL99" si="262">AI93/AK93</f>
        <v>0.8323991798</v>
      </c>
      <c r="AM93" s="27">
        <f t="shared" ref="AM93:AM94" si="263">SUM(Q88)</f>
        <v>1.5</v>
      </c>
      <c r="AN93" s="26">
        <f t="shared" ref="AN93:AN99" si="264">AO93/AM93</f>
        <v>0.6558984705</v>
      </c>
      <c r="AO93" s="28">
        <f t="shared" ref="AO93:AO99" si="265">AI93/AB93</f>
        <v>0.9838477057</v>
      </c>
      <c r="AP93" s="27">
        <f t="shared" ref="AP93:AQ93" si="258">SUM(T88)</f>
        <v>200.3096093</v>
      </c>
      <c r="AQ93" s="27">
        <f t="shared" si="258"/>
        <v>6.259675292</v>
      </c>
      <c r="AR93" s="23">
        <f t="shared" ref="AR93:AR99" si="267">AI93/AA93</f>
        <v>190.28125</v>
      </c>
    </row>
    <row r="94" ht="15.75" customHeight="1">
      <c r="A94" s="21"/>
      <c r="B94" s="38">
        <v>8.0</v>
      </c>
      <c r="C94" s="38" t="s">
        <v>25</v>
      </c>
      <c r="D94" s="57">
        <v>32.0</v>
      </c>
      <c r="E94" s="40">
        <f>IFERROR(__xludf.DUMMYFUNCTION("COUNT(IMPORTRANGE(""https://docs.google.com/spreadsheets/d/1KbRFOEYB0B44J_NSh1MwYQ1sLDlZXUHI-wuMLcZDn5k/edit"",""4!d2:D33""))"),32.0)</f>
        <v>32</v>
      </c>
      <c r="F94" s="45">
        <f>IFERROR(__xludf.DUMMYFUNCTION("SUM(IMPORTRANGE(""https://docs.google.com/spreadsheets/d/1KbRFOEYB0B44J_NSh1MwYQ1sLDlZXUHI-wuMLcZDn5k/edit"",""4!Q2:Q33""))"),6062.432000000002)</f>
        <v>6062.432</v>
      </c>
      <c r="G94" s="40">
        <f>IFERROR(__xludf.DUMMYFUNCTION("IMPORTRANGE(""https://docs.google.com/spreadsheets/d/1KbRFOEYB0B44J_NSh1MwYQ1sLDlZXUHI-wuMLcZDn5k/edit"",""4!e40"")"),2333.0)</f>
        <v>2333</v>
      </c>
      <c r="H94" s="40">
        <f>IFERROR(__xludf.DUMMYFUNCTION("IMPORTRANGE(""https://docs.google.com/spreadsheets/d/1KbRFOEYB0B44J_NSh1MwYQ1sLDlZXUHI-wuMLcZDn5k/edit"",""4!e41"")"),389.0)</f>
        <v>389</v>
      </c>
      <c r="I94" s="40">
        <f t="shared" si="240"/>
        <v>2722</v>
      </c>
      <c r="J94" s="40">
        <f>IFERROR(__xludf.DUMMYFUNCTION("IMPORTRANGE(""https://docs.google.com/spreadsheets/d/1KbRFOEYB0B44J_NSh1MwYQ1sLDlZXUHI-wuMLcZDn5k/edit"",""4!e44"")"),3312.0)</f>
        <v>3312</v>
      </c>
      <c r="K94" s="40">
        <f>IFERROR(__xludf.DUMMYFUNCTION("IMPORTRANGE(""https://docs.google.com/spreadsheets/d/1KbRFOEYB0B44J_NSh1MwYQ1sLDlZXUHI-wuMLcZDn5k/edit"",""4!e45"")"),290.0)</f>
        <v>290</v>
      </c>
      <c r="L94" s="40">
        <f>J94+K94</f>
        <v>3602</v>
      </c>
      <c r="M94" s="40">
        <f t="shared" si="242"/>
        <v>6324</v>
      </c>
      <c r="N94" s="41">
        <f t="shared" si="243"/>
        <v>189.451</v>
      </c>
      <c r="O94" s="38">
        <v>6622.0</v>
      </c>
      <c r="P94" s="42">
        <f t="shared" si="244"/>
        <v>0.9549984899</v>
      </c>
      <c r="Q94" s="43">
        <v>1.5</v>
      </c>
      <c r="R94" s="42">
        <f t="shared" si="245"/>
        <v>0.6954304807</v>
      </c>
      <c r="S94" s="44">
        <f t="shared" si="246"/>
        <v>1.043145721</v>
      </c>
      <c r="T94" s="43">
        <f>F94/23.84</f>
        <v>254.2966443</v>
      </c>
      <c r="U94" s="43">
        <f t="shared" si="247"/>
        <v>7.946770134</v>
      </c>
      <c r="V94" s="40">
        <f t="shared" si="248"/>
        <v>197.625</v>
      </c>
      <c r="X94" s="31">
        <v>2.0</v>
      </c>
      <c r="Y94" s="31" t="s">
        <v>30</v>
      </c>
      <c r="Z94" s="31">
        <f t="shared" ref="Z94:AI94" si="259">SUM(D89)</f>
        <v>60</v>
      </c>
      <c r="AA94" s="32">
        <f t="shared" si="259"/>
        <v>60</v>
      </c>
      <c r="AB94" s="33">
        <f t="shared" si="259"/>
        <v>11972.311</v>
      </c>
      <c r="AC94" s="32">
        <f t="shared" si="259"/>
        <v>3466</v>
      </c>
      <c r="AD94" s="32">
        <f t="shared" si="259"/>
        <v>46</v>
      </c>
      <c r="AE94" s="32">
        <f t="shared" si="259"/>
        <v>3512</v>
      </c>
      <c r="AF94" s="32">
        <f t="shared" si="259"/>
        <v>6014</v>
      </c>
      <c r="AG94" s="32">
        <f t="shared" si="259"/>
        <v>57</v>
      </c>
      <c r="AH94" s="32">
        <f t="shared" si="259"/>
        <v>6071</v>
      </c>
      <c r="AI94" s="32">
        <f t="shared" si="259"/>
        <v>9583</v>
      </c>
      <c r="AJ94" s="34">
        <f t="shared" si="260"/>
        <v>199.5385167</v>
      </c>
      <c r="AK94" s="31">
        <f t="shared" si="261"/>
        <v>11164</v>
      </c>
      <c r="AL94" s="35">
        <f t="shared" si="262"/>
        <v>0.8583840917</v>
      </c>
      <c r="AM94" s="36">
        <f t="shared" si="263"/>
        <v>1.5</v>
      </c>
      <c r="AN94" s="35">
        <f t="shared" si="264"/>
        <v>0.533620173</v>
      </c>
      <c r="AO94" s="37">
        <f t="shared" si="265"/>
        <v>0.8004302595</v>
      </c>
      <c r="AP94" s="36">
        <f t="shared" ref="AP94:AQ94" si="266">SUM(T89)</f>
        <v>404.4289768</v>
      </c>
      <c r="AQ94" s="36">
        <f t="shared" si="266"/>
        <v>6.740482947</v>
      </c>
      <c r="AR94" s="32">
        <f t="shared" si="267"/>
        <v>159.7166667</v>
      </c>
    </row>
    <row r="95" ht="15.75" customHeight="1">
      <c r="A95" s="21"/>
      <c r="B95" s="38">
        <v>9.0</v>
      </c>
      <c r="C95" s="38" t="s">
        <v>36</v>
      </c>
      <c r="D95" s="58">
        <v>29.0</v>
      </c>
      <c r="E95" s="40">
        <f>IFERROR(__xludf.DUMMYFUNCTION("COUNT(IMPORTRANGE(""https://docs.google.com/spreadsheets/d/1VqqqRGfmmkT0JC4ILJva2p8P11jjV0FX-TSKAaqOigw/edit"",""4!d2:d31""))"),28.0)</f>
        <v>28</v>
      </c>
      <c r="F95" s="45">
        <f>IFERROR(__xludf.DUMMYFUNCTION("SUM(IMPORTRANGE(""https://docs.google.com/spreadsheets/d/1VqqqRGfmmkT0JC4ILJva2p8P11jjV0FX-TSKAaqOigw/edit"",""4!Q2:Q31""))"),5747.392000000001)</f>
        <v>5747.392</v>
      </c>
      <c r="G95" s="40">
        <f>IFERROR(__xludf.DUMMYFUNCTION("IMPORTRANGE(""https://docs.google.com/spreadsheets/d/1VqqqRGfmmkT0JC4ILJva2p8P11jjV0FX-TSKAaqOigw/edit"",""4!e38"")"),1592.0)</f>
        <v>1592</v>
      </c>
      <c r="H95" s="40">
        <f>IFERROR(__xludf.DUMMYFUNCTION("IMPORTRANGE(""https://docs.google.com/spreadsheets/d/1VqqqRGfmmkT0JC4ILJva2p8P11jjV0FX-TSKAaqOigw/edit"",""4!e39"")"),0.0)</f>
        <v>0</v>
      </c>
      <c r="I95" s="40">
        <f t="shared" si="240"/>
        <v>1592</v>
      </c>
      <c r="J95" s="40">
        <f>IFERROR(__xludf.DUMMYFUNCTION("IMPORTRANGE(""https://docs.google.com/spreadsheets/d/1VqqqRGfmmkT0JC4ILJva2p8P11jjV0FX-TSKAaqOigw/edit"",""4!e42"")"),2401.0)</f>
        <v>2401</v>
      </c>
      <c r="K95" s="40">
        <f>IFERROR(__xludf.DUMMYFUNCTION("IMPORTRANGE(""https://docs.google.com/spreadsheets/d/1VqqqRGfmmkT0JC4ILJva2p8P11jjV0FX-TSKAaqOigw/edit"",""4!e43"")"),0.0)</f>
        <v>0</v>
      </c>
      <c r="L95" s="40">
        <f t="shared" ref="L95:L104" si="270">SUM(J95:K95)</f>
        <v>2401</v>
      </c>
      <c r="M95" s="40">
        <f t="shared" si="242"/>
        <v>3993</v>
      </c>
      <c r="N95" s="41">
        <f t="shared" si="243"/>
        <v>205.264</v>
      </c>
      <c r="O95" s="38">
        <v>4796.0</v>
      </c>
      <c r="P95" s="42">
        <f t="shared" si="244"/>
        <v>0.8325688073</v>
      </c>
      <c r="Q95" s="43">
        <v>1.5</v>
      </c>
      <c r="R95" s="42">
        <f t="shared" si="245"/>
        <v>0.463166598</v>
      </c>
      <c r="S95" s="44">
        <f t="shared" si="246"/>
        <v>0.694749897</v>
      </c>
      <c r="T95" s="43">
        <f>F95/37.414</f>
        <v>153.6160795</v>
      </c>
      <c r="U95" s="43">
        <f t="shared" si="247"/>
        <v>5.486288555</v>
      </c>
      <c r="V95" s="40">
        <f t="shared" si="248"/>
        <v>142.6071429</v>
      </c>
      <c r="X95" s="22">
        <v>3.0</v>
      </c>
      <c r="Y95" s="22" t="s">
        <v>34</v>
      </c>
      <c r="Z95" s="22">
        <f t="shared" ref="Z95:AI95" si="268">SUM(D91)</f>
        <v>40</v>
      </c>
      <c r="AA95" s="23">
        <f t="shared" si="268"/>
        <v>39</v>
      </c>
      <c r="AB95" s="24">
        <f t="shared" si="268"/>
        <v>7665.753</v>
      </c>
      <c r="AC95" s="23">
        <f t="shared" si="268"/>
        <v>3098</v>
      </c>
      <c r="AD95" s="23">
        <f t="shared" si="268"/>
        <v>0</v>
      </c>
      <c r="AE95" s="23">
        <f t="shared" si="268"/>
        <v>3098</v>
      </c>
      <c r="AF95" s="23">
        <f t="shared" si="268"/>
        <v>3596</v>
      </c>
      <c r="AG95" s="23">
        <f t="shared" si="268"/>
        <v>114</v>
      </c>
      <c r="AH95" s="23">
        <f t="shared" si="268"/>
        <v>3710</v>
      </c>
      <c r="AI95" s="23">
        <f t="shared" si="268"/>
        <v>6808</v>
      </c>
      <c r="AJ95" s="25">
        <f t="shared" si="260"/>
        <v>196.5577692</v>
      </c>
      <c r="AK95" s="22">
        <f>SUM(O91)</f>
        <v>9354</v>
      </c>
      <c r="AL95" s="26">
        <f t="shared" si="262"/>
        <v>0.7278169767</v>
      </c>
      <c r="AM95" s="27">
        <f>SUM(Q91)</f>
        <v>1.5</v>
      </c>
      <c r="AN95" s="26">
        <f t="shared" si="264"/>
        <v>0.5920705594</v>
      </c>
      <c r="AO95" s="28">
        <f t="shared" si="265"/>
        <v>0.888105839</v>
      </c>
      <c r="AP95" s="27">
        <f t="shared" ref="AP95:AQ95" si="269">SUM(T91)</f>
        <v>249.5931039</v>
      </c>
      <c r="AQ95" s="27">
        <f t="shared" si="269"/>
        <v>6.399823177</v>
      </c>
      <c r="AR95" s="23">
        <f t="shared" si="267"/>
        <v>174.5641026</v>
      </c>
    </row>
    <row r="96" ht="15.75" customHeight="1">
      <c r="A96" s="21"/>
      <c r="B96" s="38">
        <v>10.0</v>
      </c>
      <c r="C96" s="38" t="s">
        <v>37</v>
      </c>
      <c r="D96" s="39">
        <v>30.0</v>
      </c>
      <c r="E96" s="40">
        <f>IFERROR(__xludf.DUMMYFUNCTION("COUNT(IMPORTRANGE(""https://docs.google.com/spreadsheets/d/1IYeRjQd_D6MRqoBKNaky3aSEUloYCJc5XDnPAbdyetk/edit"",""4!d2:d31""))"),30.0)</f>
        <v>30</v>
      </c>
      <c r="F96" s="45">
        <f>IFERROR(__xludf.DUMMYFUNCTION("SUM(IMPORTRANGE(""https://docs.google.com/spreadsheets/d/1IYeRjQd_D6MRqoBKNaky3aSEUloYCJc5XDnPAbdyetk/edit"",""4!Q2:Q31""))"),5985.732000000001)</f>
        <v>5985.732</v>
      </c>
      <c r="G96" s="40">
        <f>IFERROR(__xludf.DUMMYFUNCTION("(IMPORTRANGE(""https://docs.google.com/spreadsheets/d/1IYeRjQd_D6MRqoBKNaky3aSEUloYCJc5XDnPAbdyetk/edit"",""4!e38""))"),2118.0)</f>
        <v>2118</v>
      </c>
      <c r="H96" s="40">
        <f>IFERROR(__xludf.DUMMYFUNCTION("(IMPORTRANGE(""https://docs.google.com/spreadsheets/d/1IYeRjQd_D6MRqoBKNaky3aSEUloYCJc5XDnPAbdyetk/edit"",""4!e39""))"),60.0)</f>
        <v>60</v>
      </c>
      <c r="I96" s="40">
        <f t="shared" si="240"/>
        <v>2178</v>
      </c>
      <c r="J96" s="40">
        <f>IFERROR(__xludf.DUMMYFUNCTION("(IMPORTRANGE(""https://docs.google.com/spreadsheets/d/1IYeRjQd_D6MRqoBKNaky3aSEUloYCJc5XDnPAbdyetk/edit"",""4!e42""))"),3047.0)</f>
        <v>3047</v>
      </c>
      <c r="K96" s="40">
        <f>IFERROR(__xludf.DUMMYFUNCTION("(IMPORTRANGE(""https://docs.google.com/spreadsheets/d/1IYeRjQd_D6MRqoBKNaky3aSEUloYCJc5XDnPAbdyetk/edit"",""4!e43""))"),114.0)</f>
        <v>114</v>
      </c>
      <c r="L96" s="40">
        <f t="shared" si="270"/>
        <v>3161</v>
      </c>
      <c r="M96" s="40">
        <f t="shared" si="242"/>
        <v>5339</v>
      </c>
      <c r="N96" s="41">
        <f t="shared" si="243"/>
        <v>199.5244</v>
      </c>
      <c r="O96" s="38">
        <v>5887.0</v>
      </c>
      <c r="P96" s="42">
        <f t="shared" si="244"/>
        <v>0.9069135383</v>
      </c>
      <c r="Q96" s="43">
        <v>1.5</v>
      </c>
      <c r="R96" s="42">
        <f t="shared" si="245"/>
        <v>0.5946362673</v>
      </c>
      <c r="S96" s="44">
        <f t="shared" si="246"/>
        <v>0.8919544009</v>
      </c>
      <c r="T96" s="43">
        <f>F96/24.792</f>
        <v>241.4380445</v>
      </c>
      <c r="U96" s="43">
        <f t="shared" si="247"/>
        <v>8.047934818</v>
      </c>
      <c r="V96" s="40">
        <f t="shared" si="248"/>
        <v>177.9666667</v>
      </c>
      <c r="X96" s="31">
        <v>4.0</v>
      </c>
      <c r="Y96" s="31" t="s">
        <v>38</v>
      </c>
      <c r="Z96" s="31">
        <f t="shared" ref="Z96:AI96" si="271">SUM(D99)</f>
        <v>30</v>
      </c>
      <c r="AA96" s="32">
        <f t="shared" si="271"/>
        <v>30</v>
      </c>
      <c r="AB96" s="33">
        <f t="shared" si="271"/>
        <v>6366.688</v>
      </c>
      <c r="AC96" s="32">
        <f t="shared" si="271"/>
        <v>1915</v>
      </c>
      <c r="AD96" s="32">
        <f t="shared" si="271"/>
        <v>111</v>
      </c>
      <c r="AE96" s="32">
        <f t="shared" si="271"/>
        <v>2026</v>
      </c>
      <c r="AF96" s="32">
        <f t="shared" si="271"/>
        <v>2843</v>
      </c>
      <c r="AG96" s="32">
        <f t="shared" si="271"/>
        <v>179</v>
      </c>
      <c r="AH96" s="32">
        <f t="shared" si="271"/>
        <v>3022</v>
      </c>
      <c r="AI96" s="32">
        <f t="shared" si="271"/>
        <v>5048</v>
      </c>
      <c r="AJ96" s="34">
        <f t="shared" si="260"/>
        <v>212.2229333</v>
      </c>
      <c r="AK96" s="31">
        <v>7324.0</v>
      </c>
      <c r="AL96" s="35">
        <f t="shared" si="262"/>
        <v>0.689240852</v>
      </c>
      <c r="AM96" s="36">
        <f>SUM(Q99)</f>
        <v>1.5</v>
      </c>
      <c r="AN96" s="35">
        <f t="shared" si="264"/>
        <v>0.5285846163</v>
      </c>
      <c r="AO96" s="37">
        <f t="shared" si="265"/>
        <v>0.7928769244</v>
      </c>
      <c r="AP96" s="36">
        <f t="shared" ref="AP96:AQ96" si="272">SUM(T99)</f>
        <v>154.5125106</v>
      </c>
      <c r="AQ96" s="36">
        <f t="shared" si="272"/>
        <v>5.150417021</v>
      </c>
      <c r="AR96" s="32">
        <f t="shared" si="267"/>
        <v>168.2666667</v>
      </c>
    </row>
    <row r="97" ht="15.75" customHeight="1">
      <c r="A97" s="21"/>
      <c r="B97" s="38">
        <v>12.0</v>
      </c>
      <c r="C97" s="38" t="s">
        <v>39</v>
      </c>
      <c r="D97" s="39">
        <v>28.0</v>
      </c>
      <c r="E97" s="40">
        <f>IFERROR(__xludf.DUMMYFUNCTION("COUNT(IMPORTRANGE(""https://docs.google.com/spreadsheets/d/1TAY2D35yAzyl8a_p5CuZehQvmatfj0b0Q8ICl8GtJBY/edit"",""4!d2:d29""))"),26.0)</f>
        <v>26</v>
      </c>
      <c r="F97" s="45">
        <f>IFERROR(__xludf.DUMMYFUNCTION("SUM(IMPORTRANGE(""https://docs.google.com/spreadsheets/d/1TAY2D35yAzyl8a_p5CuZehQvmatfj0b0Q8ICl8GtJBY/edit"",""4!Q2:Q29""))"),4941.947)</f>
        <v>4941.947</v>
      </c>
      <c r="G97" s="40">
        <f>IFERROR(__xludf.DUMMYFUNCTION("IMPORTRANGE(""https://docs.google.com/spreadsheets/d/1TAY2D35yAzyl8a_p5CuZehQvmatfj0b0Q8ICl8GtJBY/edit"",""4!e36"")"),1128.0)</f>
        <v>1128</v>
      </c>
      <c r="H97" s="40">
        <f>IFERROR(__xludf.DUMMYFUNCTION("(IMPORTRANGE(""https://docs.google.com/spreadsheets/d/1TAY2D35yAzyl8a_p5CuZehQvmatfj0b0Q8ICl8GtJBY/edit"",""4!e37""))"),0.0)</f>
        <v>0</v>
      </c>
      <c r="I97" s="40">
        <f t="shared" si="240"/>
        <v>1128</v>
      </c>
      <c r="J97" s="40">
        <f>IFERROR(__xludf.DUMMYFUNCTION("IMPORTRANGE(""https://docs.google.com/spreadsheets/d/1TAY2D35yAzyl8a_p5CuZehQvmatfj0b0Q8ICl8GtJBY/edit"",""4!e40"")"),1771.0)</f>
        <v>1771</v>
      </c>
      <c r="K97" s="40">
        <f>IFERROR(__xludf.DUMMYFUNCTION("IMPORTRANGE(""https://docs.google.com/spreadsheets/d/1TAY2D35yAzyl8a_p5CuZehQvmatfj0b0Q8ICl8GtJBY/edit"",""4!e41"")"),0.0)</f>
        <v>0</v>
      </c>
      <c r="L97" s="40">
        <f t="shared" si="270"/>
        <v>1771</v>
      </c>
      <c r="M97" s="40">
        <f t="shared" si="242"/>
        <v>2899</v>
      </c>
      <c r="N97" s="41">
        <f t="shared" si="243"/>
        <v>190.0748846</v>
      </c>
      <c r="O97" s="38">
        <v>3569.0</v>
      </c>
      <c r="P97" s="42">
        <f t="shared" si="244"/>
        <v>0.8122723452</v>
      </c>
      <c r="Q97" s="43">
        <v>1.5</v>
      </c>
      <c r="R97" s="42">
        <f t="shared" si="245"/>
        <v>0.3910739364</v>
      </c>
      <c r="S97" s="44">
        <f t="shared" si="246"/>
        <v>0.5866109046</v>
      </c>
      <c r="T97" s="43">
        <f>F97/21.463</f>
        <v>230.2542515</v>
      </c>
      <c r="U97" s="43">
        <f t="shared" si="247"/>
        <v>8.85593275</v>
      </c>
      <c r="V97" s="40">
        <f t="shared" si="248"/>
        <v>111.5</v>
      </c>
      <c r="X97" s="31">
        <v>5.0</v>
      </c>
      <c r="Y97" s="31" t="s">
        <v>40</v>
      </c>
      <c r="Z97" s="31">
        <f t="shared" ref="Z97:AI97" si="273">SUM(D101)</f>
        <v>30</v>
      </c>
      <c r="AA97" s="32">
        <f t="shared" si="273"/>
        <v>29</v>
      </c>
      <c r="AB97" s="33">
        <f t="shared" si="273"/>
        <v>5717.043</v>
      </c>
      <c r="AC97" s="32">
        <f t="shared" si="273"/>
        <v>3181</v>
      </c>
      <c r="AD97" s="32">
        <f t="shared" si="273"/>
        <v>9</v>
      </c>
      <c r="AE97" s="32">
        <f t="shared" si="273"/>
        <v>3190</v>
      </c>
      <c r="AF97" s="32">
        <f t="shared" si="273"/>
        <v>3867</v>
      </c>
      <c r="AG97" s="32">
        <f t="shared" si="273"/>
        <v>20</v>
      </c>
      <c r="AH97" s="32">
        <f t="shared" si="273"/>
        <v>3887</v>
      </c>
      <c r="AI97" s="32">
        <f t="shared" si="273"/>
        <v>7077</v>
      </c>
      <c r="AJ97" s="34">
        <f t="shared" si="260"/>
        <v>197.1394138</v>
      </c>
      <c r="AK97" s="31">
        <f t="shared" ref="AK97:AK98" si="276">SUM(O101)</f>
        <v>8239</v>
      </c>
      <c r="AL97" s="35">
        <f t="shared" si="262"/>
        <v>0.8589634664</v>
      </c>
      <c r="AM97" s="36">
        <f t="shared" ref="AM97:AM98" si="277">SUM(Q101)</f>
        <v>1.5</v>
      </c>
      <c r="AN97" s="35">
        <f t="shared" si="264"/>
        <v>0.8252517954</v>
      </c>
      <c r="AO97" s="37">
        <f t="shared" si="265"/>
        <v>1.237877693</v>
      </c>
      <c r="AP97" s="36">
        <f t="shared" ref="AP97:AQ97" si="274">SUM(T101)</f>
        <v>201</v>
      </c>
      <c r="AQ97" s="36">
        <f t="shared" si="274"/>
        <v>6.931034483</v>
      </c>
      <c r="AR97" s="32">
        <f t="shared" si="267"/>
        <v>244.0344828</v>
      </c>
    </row>
    <row r="98" ht="15.75" customHeight="1">
      <c r="A98" s="21"/>
      <c r="B98" s="38">
        <v>12.0</v>
      </c>
      <c r="C98" s="38" t="s">
        <v>41</v>
      </c>
      <c r="D98" s="39">
        <v>24.0</v>
      </c>
      <c r="E98" s="40">
        <f>IFERROR(__xludf.DUMMYFUNCTION("COUNT(IMPORTRANGE(""https://docs.google.com/spreadsheets/d/1VAsUtLQHi7oV9NsI9EIHPnO1bcPJHeRgSbMoxSvPBME/edit"",""4!d2:d25""))"),24.0)</f>
        <v>24</v>
      </c>
      <c r="F98" s="45">
        <f>IFERROR(__xludf.DUMMYFUNCTION("SUM(IMPORTRANGE(""https://docs.google.com/spreadsheets/d/1VAsUtLQHi7oV9NsI9EIHPnO1bcPJHeRgSbMoxSvPBME/edit"",""4!Q2:Q25""))"),4750.356)</f>
        <v>4750.356</v>
      </c>
      <c r="G98" s="40">
        <f>IFERROR(__xludf.DUMMYFUNCTION("IMPORTRANGE(""https://docs.google.com/spreadsheets/d/1VAsUtLQHi7oV9NsI9EIHPnO1bcPJHeRgSbMoxSvPBME/edit"",""4!e32"")"),1245.0)</f>
        <v>1245</v>
      </c>
      <c r="H98" s="40">
        <f>IFERROR(__xludf.DUMMYFUNCTION("IMPORTRANGE(""https://docs.google.com/spreadsheets/d/1VAsUtLQHi7oV9NsI9EIHPnO1bcPJHeRgSbMoxSvPBME/edit"",""4!e33"")"),0.0)</f>
        <v>0</v>
      </c>
      <c r="I98" s="40">
        <f t="shared" si="240"/>
        <v>1245</v>
      </c>
      <c r="J98" s="40">
        <f>IFERROR(__xludf.DUMMYFUNCTION("IMPORTRANGE(""https://docs.google.com/spreadsheets/d/1VAsUtLQHi7oV9NsI9EIHPnO1bcPJHeRgSbMoxSvPBME/edit"",""4!e36"")"),1684.0)</f>
        <v>1684</v>
      </c>
      <c r="K98" s="40">
        <f>IFERROR(__xludf.DUMMYFUNCTION("IMPORTRANGE(""https://docs.google.com/spreadsheets/d/1VAsUtLQHi7oV9NsI9EIHPnO1bcPJHeRgSbMoxSvPBME/edit"",""4!e37"")"),0.0)</f>
        <v>0</v>
      </c>
      <c r="L98" s="40">
        <f t="shared" si="270"/>
        <v>1684</v>
      </c>
      <c r="M98" s="40">
        <f t="shared" si="242"/>
        <v>2929</v>
      </c>
      <c r="N98" s="41">
        <f t="shared" si="243"/>
        <v>197.9315</v>
      </c>
      <c r="O98" s="38">
        <v>3801.0</v>
      </c>
      <c r="P98" s="42">
        <f t="shared" si="244"/>
        <v>0.7705866877</v>
      </c>
      <c r="Q98" s="43">
        <v>1.5</v>
      </c>
      <c r="R98" s="42">
        <f t="shared" si="245"/>
        <v>0.4110569117</v>
      </c>
      <c r="S98" s="44">
        <f t="shared" si="246"/>
        <v>0.6165853675</v>
      </c>
      <c r="T98" s="43">
        <f>F98/29.628</f>
        <v>160.3333333</v>
      </c>
      <c r="U98" s="43">
        <f t="shared" si="247"/>
        <v>6.680555556</v>
      </c>
      <c r="V98" s="40">
        <f t="shared" si="248"/>
        <v>122.0416667</v>
      </c>
      <c r="X98" s="22">
        <v>6.0</v>
      </c>
      <c r="Y98" s="22" t="s">
        <v>42</v>
      </c>
      <c r="Z98" s="22">
        <f t="shared" ref="Z98:AI98" si="275">SUM(D102)</f>
        <v>33</v>
      </c>
      <c r="AA98" s="23">
        <f t="shared" si="275"/>
        <v>33</v>
      </c>
      <c r="AB98" s="24">
        <f t="shared" si="275"/>
        <v>6378.744</v>
      </c>
      <c r="AC98" s="23">
        <f t="shared" si="275"/>
        <v>2973</v>
      </c>
      <c r="AD98" s="23">
        <f t="shared" si="275"/>
        <v>0</v>
      </c>
      <c r="AE98" s="23">
        <f t="shared" si="275"/>
        <v>2973</v>
      </c>
      <c r="AF98" s="23">
        <f t="shared" si="275"/>
        <v>4629</v>
      </c>
      <c r="AG98" s="23">
        <f t="shared" si="275"/>
        <v>0</v>
      </c>
      <c r="AH98" s="23">
        <f t="shared" si="275"/>
        <v>4629</v>
      </c>
      <c r="AI98" s="23">
        <f t="shared" si="275"/>
        <v>7602</v>
      </c>
      <c r="AJ98" s="25">
        <f t="shared" si="260"/>
        <v>193.2952727</v>
      </c>
      <c r="AK98" s="22">
        <f t="shared" si="276"/>
        <v>9877</v>
      </c>
      <c r="AL98" s="26">
        <f t="shared" si="262"/>
        <v>0.7696669029</v>
      </c>
      <c r="AM98" s="27">
        <f t="shared" si="277"/>
        <v>1.5</v>
      </c>
      <c r="AN98" s="26">
        <f t="shared" si="264"/>
        <v>0.7945137789</v>
      </c>
      <c r="AO98" s="28">
        <f t="shared" si="265"/>
        <v>1.191770668</v>
      </c>
      <c r="AP98" s="27">
        <f t="shared" ref="AP98:AQ98" si="278">SUM(T102)</f>
        <v>243.8823934</v>
      </c>
      <c r="AQ98" s="27">
        <f t="shared" si="278"/>
        <v>7.390375558</v>
      </c>
      <c r="AR98" s="23">
        <f t="shared" si="267"/>
        <v>230.3636364</v>
      </c>
    </row>
    <row r="99" ht="15.75" customHeight="1">
      <c r="A99" s="21"/>
      <c r="B99" s="38">
        <v>13.0</v>
      </c>
      <c r="C99" s="38" t="s">
        <v>43</v>
      </c>
      <c r="D99" s="39">
        <v>30.0</v>
      </c>
      <c r="E99" s="40">
        <f>IFERROR(__xludf.DUMMYFUNCTION("COUNT(IMPORTRANGE(""https://docs.google.com/spreadsheets/d/1p9Y_DGk7-TpRBFth-ljZceOIGCjQ0ylUeUq6xqnsZ-Q/edit"",""4!d2:d31""))"),30.0)</f>
        <v>30</v>
      </c>
      <c r="F99" s="45">
        <f>IFERROR(__xludf.DUMMYFUNCTION("SUM(IMPORTRANGE(""https://docs.google.com/spreadsheets/d/1p9Y_DGk7-TpRBFth-ljZceOIGCjQ0ylUeUq6xqnsZ-Q/edit"",""4!Q2:Q31""))"),6366.687999999998)</f>
        <v>6366.688</v>
      </c>
      <c r="G99" s="40">
        <f>IFERROR(__xludf.DUMMYFUNCTION("IMPORTRANGE(""https://docs.google.com/spreadsheets/d/1p9Y_DGk7-TpRBFth-ljZceOIGCjQ0ylUeUq6xqnsZ-Q/edit"",""4!e38"")"),1915.0)</f>
        <v>1915</v>
      </c>
      <c r="H99" s="40">
        <f>IFERROR(__xludf.DUMMYFUNCTION("IMPORTRANGE(""https://docs.google.com/spreadsheets/d/1p9Y_DGk7-TpRBFth-ljZceOIGCjQ0ylUeUq6xqnsZ-Q/edit"",""4!e39"")"),111.0)</f>
        <v>111</v>
      </c>
      <c r="I99" s="40">
        <f t="shared" si="240"/>
        <v>2026</v>
      </c>
      <c r="J99" s="40">
        <f>IFERROR(__xludf.DUMMYFUNCTION("IMPORTRANGE(""https://docs.google.com/spreadsheets/d/1p9Y_DGk7-TpRBFth-ljZceOIGCjQ0ylUeUq6xqnsZ-Q/edit"",""4!e42"")"),2843.0)</f>
        <v>2843</v>
      </c>
      <c r="K99" s="40">
        <f>IFERROR(__xludf.DUMMYFUNCTION("IMPORTRANGE(""https://docs.google.com/spreadsheets/d/1p9Y_DGk7-TpRBFth-ljZceOIGCjQ0ylUeUq6xqnsZ-Q/edit"",""4!e43"")"),179.0)</f>
        <v>179</v>
      </c>
      <c r="L99" s="40">
        <f t="shared" si="270"/>
        <v>3022</v>
      </c>
      <c r="M99" s="40">
        <f t="shared" si="242"/>
        <v>5048</v>
      </c>
      <c r="N99" s="41">
        <f t="shared" si="243"/>
        <v>212.2229333</v>
      </c>
      <c r="O99" s="38">
        <v>8345.0</v>
      </c>
      <c r="P99" s="42">
        <f t="shared" si="244"/>
        <v>0.6049131216</v>
      </c>
      <c r="Q99" s="43">
        <v>1.5</v>
      </c>
      <c r="R99" s="42">
        <f t="shared" si="245"/>
        <v>0.5285846163</v>
      </c>
      <c r="S99" s="44">
        <f t="shared" si="246"/>
        <v>0.7928769244</v>
      </c>
      <c r="T99" s="43">
        <f>F99/41.205</f>
        <v>154.5125106</v>
      </c>
      <c r="U99" s="43">
        <f t="shared" si="247"/>
        <v>5.150417021</v>
      </c>
      <c r="V99" s="40">
        <f t="shared" si="248"/>
        <v>168.2666667</v>
      </c>
      <c r="X99" s="46" t="s">
        <v>33</v>
      </c>
      <c r="Y99" s="46">
        <v>6.0</v>
      </c>
      <c r="Z99" s="46">
        <f t="shared" ref="Z99:AI99" si="279">SUM(Z93:Z98)</f>
        <v>226</v>
      </c>
      <c r="AA99" s="47">
        <f t="shared" si="279"/>
        <v>223</v>
      </c>
      <c r="AB99" s="49">
        <f t="shared" si="279"/>
        <v>44289.505</v>
      </c>
      <c r="AC99" s="47">
        <f t="shared" si="279"/>
        <v>17215</v>
      </c>
      <c r="AD99" s="47">
        <f t="shared" si="279"/>
        <v>403</v>
      </c>
      <c r="AE99" s="47">
        <f t="shared" si="279"/>
        <v>17618</v>
      </c>
      <c r="AF99" s="47">
        <f t="shared" si="279"/>
        <v>23962</v>
      </c>
      <c r="AG99" s="47">
        <f t="shared" si="279"/>
        <v>627</v>
      </c>
      <c r="AH99" s="47">
        <f t="shared" si="279"/>
        <v>24589</v>
      </c>
      <c r="AI99" s="47">
        <f t="shared" si="279"/>
        <v>42207</v>
      </c>
      <c r="AJ99" s="49">
        <f t="shared" si="260"/>
        <v>198.6076457</v>
      </c>
      <c r="AK99" s="46">
        <f>SUM(AK93:AK98)</f>
        <v>53273</v>
      </c>
      <c r="AL99" s="50">
        <f t="shared" si="262"/>
        <v>0.7922775139</v>
      </c>
      <c r="AM99" s="51">
        <v>1.5</v>
      </c>
      <c r="AN99" s="50">
        <f t="shared" si="264"/>
        <v>0.6353198122</v>
      </c>
      <c r="AO99" s="52">
        <f t="shared" si="265"/>
        <v>0.9529797183</v>
      </c>
      <c r="AP99" s="51">
        <f>SUM(AP93:AP98)</f>
        <v>1453.726594</v>
      </c>
      <c r="AQ99" s="51">
        <f>AP99/AA99</f>
        <v>6.518953337</v>
      </c>
      <c r="AR99" s="47">
        <f t="shared" si="267"/>
        <v>189.2690583</v>
      </c>
    </row>
    <row r="100" ht="15.75" customHeight="1">
      <c r="A100" s="21"/>
      <c r="B100" s="38">
        <v>14.0</v>
      </c>
      <c r="C100" s="38" t="s">
        <v>27</v>
      </c>
      <c r="D100" s="39">
        <v>30.0</v>
      </c>
      <c r="E100" s="40">
        <f>IFERROR(__xludf.DUMMYFUNCTION("COUNT(IMPORTRANGE(""https://docs.google.com/spreadsheets/d/1zJUDEKztv_fercXA0LYNw155qdzS7TJGhWLhquaW5IY/edit"",""4!d2:d31""))"),30.0)</f>
        <v>30</v>
      </c>
      <c r="F100" s="45">
        <f>IFERROR(__xludf.DUMMYFUNCTION("SUM(IMPORTRANGE(""https://docs.google.com/spreadsheets/d/1zJUDEKztv_fercXA0LYNw155qdzS7TJGhWLhquaW5IY/edit"",""4!Q2:Q31""))"),5825.490000000002)</f>
        <v>5825.49</v>
      </c>
      <c r="G100" s="40">
        <f>IFERROR(__xludf.DUMMYFUNCTION("IMPORTRANGE(""https://docs.google.com/spreadsheets/d/1zJUDEKztv_fercXA0LYNw155qdzS7TJGhWLhquaW5IY/edit"",""4!e38"")"),2530.0)</f>
        <v>2530</v>
      </c>
      <c r="H100" s="40">
        <f>IFERROR(__xludf.DUMMYFUNCTION("IMPORTRANGE(""https://docs.google.com/spreadsheets/d/1zJUDEKztv_fercXA0LYNw155qdzS7TJGhWLhquaW5IY/edit"",""4!e39"")"),0.0)</f>
        <v>0</v>
      </c>
      <c r="I100" s="40">
        <f t="shared" si="240"/>
        <v>2530</v>
      </c>
      <c r="J100" s="40">
        <f>IFERROR(__xludf.DUMMYFUNCTION("IMPORTRANGE(""https://docs.google.com/spreadsheets/d/1zJUDEKztv_fercXA0LYNw155qdzS7TJGhWLhquaW5IY/edit"",""4!e42"")"),3382.0)</f>
        <v>3382</v>
      </c>
      <c r="K100" s="40">
        <f>IFERROR(__xludf.DUMMYFUNCTION("IMPORTRANGE(""https://docs.google.com/spreadsheets/d/1zJUDEKztv_fercXA0LYNw155qdzS7TJGhWLhquaW5IY/edit"",""4!e43"")"),0.0)</f>
        <v>0</v>
      </c>
      <c r="L100" s="40">
        <f t="shared" si="270"/>
        <v>3382</v>
      </c>
      <c r="M100" s="40">
        <f t="shared" si="242"/>
        <v>5912</v>
      </c>
      <c r="N100" s="41">
        <f t="shared" si="243"/>
        <v>194.183</v>
      </c>
      <c r="O100" s="38">
        <v>8101.0</v>
      </c>
      <c r="P100" s="42">
        <f t="shared" si="244"/>
        <v>0.7297864461</v>
      </c>
      <c r="Q100" s="43">
        <v>1.5</v>
      </c>
      <c r="R100" s="42">
        <f t="shared" si="245"/>
        <v>0.6765668353</v>
      </c>
      <c r="S100" s="44">
        <f t="shared" si="246"/>
        <v>1.014850253</v>
      </c>
      <c r="T100" s="43">
        <f>F100/19.985</f>
        <v>291.4931198</v>
      </c>
      <c r="U100" s="43">
        <f t="shared" si="247"/>
        <v>9.716437328</v>
      </c>
      <c r="V100" s="40">
        <f t="shared" si="248"/>
        <v>197.0666667</v>
      </c>
      <c r="X100" s="59" t="s">
        <v>44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6"/>
    </row>
    <row r="101" ht="15.75" customHeight="1">
      <c r="A101" s="21"/>
      <c r="B101" s="38">
        <v>15.0</v>
      </c>
      <c r="C101" s="38" t="s">
        <v>40</v>
      </c>
      <c r="D101" s="39">
        <v>30.0</v>
      </c>
      <c r="E101" s="40">
        <f>IFERROR(__xludf.DUMMYFUNCTION("COUNT(IMPORTRANGE(""https://docs.google.com/spreadsheets/d/15GJA66Ucb-8RQ5vWVpq5HYaWoZZFX82SCeHChBujbrI/edit"",""4!d2:d31""))"),29.0)</f>
        <v>29</v>
      </c>
      <c r="F101" s="45">
        <f>IFERROR(__xludf.DUMMYFUNCTION("SUM(IMPORTRANGE(""https://docs.google.com/spreadsheets/d/15GJA66Ucb-8RQ5vWVpq5HYaWoZZFX82SCeHChBujbrI/edit"",""4!Q2:Q31""))"),5717.042999999999)</f>
        <v>5717.043</v>
      </c>
      <c r="G101" s="40">
        <f>IFERROR(__xludf.DUMMYFUNCTION("IMPORTRANGE(""https://docs.google.com/spreadsheets/d/15GJA66Ucb-8RQ5vWVpq5HYaWoZZFX82SCeHChBujbrI/edit"",""4!e38"")"),3181.0)</f>
        <v>3181</v>
      </c>
      <c r="H101" s="40">
        <f>IFERROR(__xludf.DUMMYFUNCTION("IMPORTRANGE(""https://docs.google.com/spreadsheets/d/15GJA66Ucb-8RQ5vWVpq5HYaWoZZFX82SCeHChBujbrI/edit"",""4!e39"")"),9.0)</f>
        <v>9</v>
      </c>
      <c r="I101" s="40">
        <f t="shared" si="240"/>
        <v>3190</v>
      </c>
      <c r="J101" s="40">
        <f>IFERROR(__xludf.DUMMYFUNCTION("IMPORTRANGE(""https://docs.google.com/spreadsheets/d/15GJA66Ucb-8RQ5vWVpq5HYaWoZZFX82SCeHChBujbrI/edit"",""4!e42"")"),3867.0)</f>
        <v>3867</v>
      </c>
      <c r="K101" s="40">
        <f>IFERROR(__xludf.DUMMYFUNCTION("IMPORTRANGE(""https://docs.google.com/spreadsheets/d/15GJA66Ucb-8RQ5vWVpq5HYaWoZZFX82SCeHChBujbrI/edit"",""4!e43"")"),20.0)</f>
        <v>20</v>
      </c>
      <c r="L101" s="40">
        <f t="shared" si="270"/>
        <v>3887</v>
      </c>
      <c r="M101" s="40">
        <f t="shared" si="242"/>
        <v>7077</v>
      </c>
      <c r="N101" s="41">
        <f t="shared" si="243"/>
        <v>197.1394138</v>
      </c>
      <c r="O101" s="38">
        <v>8239.0</v>
      </c>
      <c r="P101" s="42">
        <f t="shared" si="244"/>
        <v>0.8589634664</v>
      </c>
      <c r="Q101" s="43">
        <v>1.5</v>
      </c>
      <c r="R101" s="42">
        <f t="shared" si="245"/>
        <v>0.8252517954</v>
      </c>
      <c r="S101" s="44">
        <f t="shared" si="246"/>
        <v>1.237877693</v>
      </c>
      <c r="T101" s="43">
        <f>F101/28.443</f>
        <v>201</v>
      </c>
      <c r="U101" s="43">
        <f t="shared" si="247"/>
        <v>6.931034483</v>
      </c>
      <c r="V101" s="40">
        <f t="shared" si="248"/>
        <v>244.0344828</v>
      </c>
      <c r="X101" s="14" t="s">
        <v>2</v>
      </c>
      <c r="Y101" s="14" t="s">
        <v>3</v>
      </c>
      <c r="Z101" s="14" t="s">
        <v>4</v>
      </c>
      <c r="AA101" s="14" t="s">
        <v>5</v>
      </c>
      <c r="AB101" s="15" t="s">
        <v>6</v>
      </c>
      <c r="AC101" s="14" t="s">
        <v>7</v>
      </c>
      <c r="AD101" s="14" t="s">
        <v>8</v>
      </c>
      <c r="AE101" s="14" t="s">
        <v>9</v>
      </c>
      <c r="AF101" s="14" t="s">
        <v>10</v>
      </c>
      <c r="AG101" s="14" t="s">
        <v>11</v>
      </c>
      <c r="AH101" s="14" t="s">
        <v>12</v>
      </c>
      <c r="AI101" s="14" t="s">
        <v>13</v>
      </c>
      <c r="AJ101" s="15" t="s">
        <v>14</v>
      </c>
      <c r="AK101" s="14" t="s">
        <v>15</v>
      </c>
      <c r="AL101" s="14" t="s">
        <v>16</v>
      </c>
      <c r="AM101" s="16" t="s">
        <v>17</v>
      </c>
      <c r="AN101" s="17" t="s">
        <v>18</v>
      </c>
      <c r="AO101" s="18" t="s">
        <v>19</v>
      </c>
      <c r="AP101" s="19" t="s">
        <v>20</v>
      </c>
      <c r="AQ101" s="19" t="s">
        <v>21</v>
      </c>
      <c r="AR101" s="20" t="s">
        <v>22</v>
      </c>
    </row>
    <row r="102" ht="15.75" customHeight="1">
      <c r="A102" s="21"/>
      <c r="B102" s="38">
        <v>16.0</v>
      </c>
      <c r="C102" s="38" t="s">
        <v>42</v>
      </c>
      <c r="D102" s="39">
        <v>33.0</v>
      </c>
      <c r="E102" s="40">
        <f>IFERROR(__xludf.DUMMYFUNCTION("COUNT(IMPORTRANGE(""https://docs.google.com/spreadsheets/d/14Tu_jFPEdrIQ6DHYu6vRvJKQsbXr-48NY1tKy4-8JKI/edit"",""4!d2:d34""))"),33.0)</f>
        <v>33</v>
      </c>
      <c r="F102" s="45">
        <f>IFERROR(__xludf.DUMMYFUNCTION("SUM(IMPORTRANGE(""https://docs.google.com/spreadsheets/d/14Tu_jFPEdrIQ6DHYu6vRvJKQsbXr-48NY1tKy4-8JKI/edit"",""4!Q2:Q34""))"),6378.743999999999)</f>
        <v>6378.744</v>
      </c>
      <c r="G102" s="40">
        <f>IFERROR(__xludf.DUMMYFUNCTION("IMPORTRANGE(""https://docs.google.com/spreadsheets/d/14Tu_jFPEdrIQ6DHYu6vRvJKQsbXr-48NY1tKy4-8JKI/edit"",""4!e41"")"),2973.0)</f>
        <v>2973</v>
      </c>
      <c r="H102" s="40">
        <f>IFERROR(__xludf.DUMMYFUNCTION("IMPORTRANGE(""https://docs.google.com/spreadsheets/d/14Tu_jFPEdrIQ6DHYu6vRvJKQsbXr-48NY1tKy4-8JKI/edit"",""4!e42"")"),0.0)</f>
        <v>0</v>
      </c>
      <c r="I102" s="40">
        <f t="shared" si="240"/>
        <v>2973</v>
      </c>
      <c r="J102" s="40">
        <f>IFERROR(__xludf.DUMMYFUNCTION("IMPORTRANGE(""https://docs.google.com/spreadsheets/d/14Tu_jFPEdrIQ6DHYu6vRvJKQsbXr-48NY1tKy4-8JKI/edit"",""4!e45"")"),4629.0)</f>
        <v>4629</v>
      </c>
      <c r="K102" s="40">
        <f>IFERROR(__xludf.DUMMYFUNCTION("IMPORTRANGE(""https://docs.google.com/spreadsheets/d/14Tu_jFPEdrIQ6DHYu6vRvJKQsbXr-48NY1tKy4-8JKI/edit"",""4!e46"")"),0.0)</f>
        <v>0</v>
      </c>
      <c r="L102" s="40">
        <f t="shared" si="270"/>
        <v>4629</v>
      </c>
      <c r="M102" s="40">
        <f t="shared" si="242"/>
        <v>7602</v>
      </c>
      <c r="N102" s="41">
        <f t="shared" si="243"/>
        <v>193.2952727</v>
      </c>
      <c r="O102" s="38">
        <v>9877.0</v>
      </c>
      <c r="P102" s="42">
        <f t="shared" si="244"/>
        <v>0.7696669029</v>
      </c>
      <c r="Q102" s="43">
        <v>1.5</v>
      </c>
      <c r="R102" s="42">
        <f t="shared" si="245"/>
        <v>0.7945137789</v>
      </c>
      <c r="S102" s="44">
        <f t="shared" si="246"/>
        <v>1.191770668</v>
      </c>
      <c r="T102" s="43">
        <f>F102/26.155</f>
        <v>243.8823934</v>
      </c>
      <c r="U102" s="43">
        <f t="shared" si="247"/>
        <v>7.390375558</v>
      </c>
      <c r="V102" s="40">
        <f t="shared" si="248"/>
        <v>230.3636364</v>
      </c>
      <c r="X102" s="31">
        <v>1.0</v>
      </c>
      <c r="Y102" s="31" t="s">
        <v>26</v>
      </c>
      <c r="Z102" s="31">
        <f t="shared" ref="Z102:AI102" si="280">SUM(D87)</f>
        <v>20</v>
      </c>
      <c r="AA102" s="32">
        <f t="shared" si="280"/>
        <v>20</v>
      </c>
      <c r="AB102" s="34">
        <f t="shared" si="280"/>
        <v>3856.548</v>
      </c>
      <c r="AC102" s="32">
        <f t="shared" si="280"/>
        <v>2472</v>
      </c>
      <c r="AD102" s="32">
        <f t="shared" si="280"/>
        <v>0</v>
      </c>
      <c r="AE102" s="32">
        <f t="shared" si="280"/>
        <v>2472</v>
      </c>
      <c r="AF102" s="32">
        <f t="shared" si="280"/>
        <v>2541</v>
      </c>
      <c r="AG102" s="32">
        <f t="shared" si="280"/>
        <v>0</v>
      </c>
      <c r="AH102" s="32">
        <f t="shared" si="280"/>
        <v>2541</v>
      </c>
      <c r="AI102" s="32">
        <f t="shared" si="280"/>
        <v>5013</v>
      </c>
      <c r="AJ102" s="34">
        <f t="shared" ref="AJ102:AJ108" si="283">AB102/AA102</f>
        <v>192.8274</v>
      </c>
      <c r="AK102" s="31">
        <f>SUM(O87)</f>
        <v>5161</v>
      </c>
      <c r="AL102" s="35">
        <f t="shared" ref="AL102:AL108" si="284">AI102/AK102</f>
        <v>0.9713233869</v>
      </c>
      <c r="AM102" s="36">
        <f>SUM(Q87)</f>
        <v>1.5</v>
      </c>
      <c r="AN102" s="35">
        <f t="shared" ref="AN102:AN108" si="285">AO102/AM102</f>
        <v>0.86657809</v>
      </c>
      <c r="AO102" s="37">
        <f t="shared" ref="AO102:AO108" si="286">AI102/AB102</f>
        <v>1.299867135</v>
      </c>
      <c r="AP102" s="36">
        <f t="shared" ref="AP102:AQ102" si="281">SUM(T87)</f>
        <v>267.5371488</v>
      </c>
      <c r="AQ102" s="36">
        <f t="shared" si="281"/>
        <v>13.37685744</v>
      </c>
      <c r="AR102" s="32">
        <f t="shared" ref="AR102:AR108" si="288">AI102/AA102</f>
        <v>250.65</v>
      </c>
    </row>
    <row r="103" ht="15.75" customHeight="1">
      <c r="A103" s="21"/>
      <c r="B103" s="38">
        <v>17.0</v>
      </c>
      <c r="C103" s="38" t="s">
        <v>29</v>
      </c>
      <c r="D103" s="39">
        <v>30.0</v>
      </c>
      <c r="E103" s="40">
        <f>IFERROR(__xludf.DUMMYFUNCTION("COUNT(IMPORTRANGE(""https://docs.google.com/spreadsheets/d/1ja_RQYsP0p5wRrACHojay4CW1wLx0QdS5tSwp-vYQ-s/edit"",""4!d2:d31""))"),29.0)</f>
        <v>29</v>
      </c>
      <c r="F103" s="45">
        <f>IFERROR(__xludf.DUMMYFUNCTION("SUM(IMPORTRANGE(""https://docs.google.com/spreadsheets/d/1ja_RQYsP0p5wRrACHojay4CW1wLx0QdS5tSwp-vYQ-s/edit"",""4!Q2:Q31""))"),5858.550000000001)</f>
        <v>5858.55</v>
      </c>
      <c r="G103" s="40">
        <f>IFERROR(__xludf.DUMMYFUNCTION("IMPORTRANGE(""https://docs.google.com/spreadsheets/d/1ja_RQYsP0p5wRrACHojay4CW1wLx0QdS5tSwp-vYQ-s/edit"",""4!e38"")"),2803.0)</f>
        <v>2803</v>
      </c>
      <c r="H103" s="40">
        <f>IFERROR(__xludf.DUMMYFUNCTION("IMPORTRANGE(""https://docs.google.com/spreadsheets/d/1ja_RQYsP0p5wRrACHojay4CW1wLx0QdS5tSwp-vYQ-s/edit"",""4!e39"")"),196.0)</f>
        <v>196</v>
      </c>
      <c r="I103" s="40">
        <f t="shared" si="240"/>
        <v>2999</v>
      </c>
      <c r="J103" s="40">
        <f>IFERROR(__xludf.DUMMYFUNCTION("IMPORTRANGE(""https://docs.google.com/spreadsheets/d/1ja_RQYsP0p5wRrACHojay4CW1wLx0QdS5tSwp-vYQ-s/edit"",""4!e42"")"),4312.0)</f>
        <v>4312</v>
      </c>
      <c r="K103" s="40">
        <f>IFERROR(__xludf.DUMMYFUNCTION("IMPORTRANGE(""https://docs.google.com/spreadsheets/d/1ja_RQYsP0p5wRrACHojay4CW1wLx0QdS5tSwp-vYQ-s/edit"",""4!e43"")"),0.0)</f>
        <v>0</v>
      </c>
      <c r="L103" s="40">
        <f t="shared" si="270"/>
        <v>4312</v>
      </c>
      <c r="M103" s="40">
        <f t="shared" si="242"/>
        <v>7311</v>
      </c>
      <c r="N103" s="41">
        <f t="shared" si="243"/>
        <v>202.0189655</v>
      </c>
      <c r="O103" s="38">
        <v>9201.0</v>
      </c>
      <c r="P103" s="42">
        <f t="shared" si="244"/>
        <v>0.7945875448</v>
      </c>
      <c r="Q103" s="43">
        <v>1.5</v>
      </c>
      <c r="R103" s="42">
        <f t="shared" si="245"/>
        <v>0.8319464714</v>
      </c>
      <c r="S103" s="44">
        <f t="shared" si="246"/>
        <v>1.247919707</v>
      </c>
      <c r="T103" s="43">
        <f>F103/26.038</f>
        <v>225</v>
      </c>
      <c r="U103" s="43">
        <f t="shared" si="247"/>
        <v>7.75862069</v>
      </c>
      <c r="V103" s="40">
        <f t="shared" si="248"/>
        <v>252.1034483</v>
      </c>
      <c r="X103" s="31">
        <v>2.0</v>
      </c>
      <c r="Y103" s="31" t="s">
        <v>32</v>
      </c>
      <c r="Z103" s="31">
        <f t="shared" ref="Z103:AI103" si="282">SUM(D90)</f>
        <v>42</v>
      </c>
      <c r="AA103" s="32">
        <f t="shared" si="282"/>
        <v>42</v>
      </c>
      <c r="AB103" s="33">
        <f t="shared" si="282"/>
        <v>8267.9</v>
      </c>
      <c r="AC103" s="31">
        <f t="shared" si="282"/>
        <v>4583</v>
      </c>
      <c r="AD103" s="31">
        <f t="shared" si="282"/>
        <v>0</v>
      </c>
      <c r="AE103" s="32">
        <f t="shared" si="282"/>
        <v>4583</v>
      </c>
      <c r="AF103" s="31">
        <f t="shared" si="282"/>
        <v>5680</v>
      </c>
      <c r="AG103" s="31">
        <f t="shared" si="282"/>
        <v>0</v>
      </c>
      <c r="AH103" s="32">
        <f t="shared" si="282"/>
        <v>5680</v>
      </c>
      <c r="AI103" s="32">
        <f t="shared" si="282"/>
        <v>10263</v>
      </c>
      <c r="AJ103" s="34">
        <f t="shared" si="283"/>
        <v>196.8547619</v>
      </c>
      <c r="AK103" s="31">
        <f>SUM(O90)</f>
        <v>13817</v>
      </c>
      <c r="AL103" s="35">
        <f t="shared" si="284"/>
        <v>0.7427806326</v>
      </c>
      <c r="AM103" s="36">
        <f>SUM(Q90)</f>
        <v>1.5</v>
      </c>
      <c r="AN103" s="35">
        <f t="shared" si="285"/>
        <v>0.827537827</v>
      </c>
      <c r="AO103" s="37">
        <f t="shared" si="286"/>
        <v>1.241306741</v>
      </c>
      <c r="AP103" s="36">
        <f t="shared" ref="AP103:AQ103" si="287">SUM(T90)</f>
        <v>329.5428275</v>
      </c>
      <c r="AQ103" s="36">
        <f t="shared" si="287"/>
        <v>7.846257798</v>
      </c>
      <c r="AR103" s="32">
        <f t="shared" si="288"/>
        <v>244.3571429</v>
      </c>
    </row>
    <row r="104" ht="15.75" customHeight="1">
      <c r="A104" s="21"/>
      <c r="B104" s="38">
        <v>18.0</v>
      </c>
      <c r="C104" s="38" t="s">
        <v>31</v>
      </c>
      <c r="D104" s="39">
        <v>15.0</v>
      </c>
      <c r="E104" s="40">
        <f>IFERROR(__xludf.DUMMYFUNCTION("COUNT(IMPORTRANGE(""https://docs.google.com/spreadsheets/d/1ObnK1oSznTOmyW9Zcd2kxExl7TOnO2MNq_0giEKc_mE/edit"",""4!d2:d16""))"),14.0)</f>
        <v>14</v>
      </c>
      <c r="F104" s="41">
        <f>IFERROR(__xludf.DUMMYFUNCTION("SUM(IMPORTRANGE(""https://docs.google.com/spreadsheets/d/1ObnK1oSznTOmyW9Zcd2kxExl7TOnO2MNq_0giEKc_mE/edit"",""4!Q2:Q16""))"),2694.8299999999995)</f>
        <v>2694.83</v>
      </c>
      <c r="G104" s="40">
        <f>IFERROR(__xludf.DUMMYFUNCTION("IMPORTRANGE(""https://docs.google.com/spreadsheets/d/1ObnK1oSznTOmyW9Zcd2kxExl7TOnO2MNq_0giEKc_mE/edit"",""4!e23"")"),847.0)</f>
        <v>847</v>
      </c>
      <c r="H104" s="40">
        <f>IFERROR(__xludf.DUMMYFUNCTION("IMPORTRANGE(""https://docs.google.com/spreadsheets/d/1ObnK1oSznTOmyW9Zcd2kxExl7TOnO2MNq_0giEKc_mE/edit"",""4!e24"")"),0.0)</f>
        <v>0</v>
      </c>
      <c r="I104" s="40">
        <f t="shared" si="240"/>
        <v>847</v>
      </c>
      <c r="J104" s="40">
        <f>IFERROR(__xludf.DUMMYFUNCTION("IMPORTRANGE(""https://docs.google.com/spreadsheets/d/1ObnK1oSznTOmyW9Zcd2kxExl7TOnO2MNq_0giEKc_mE/edit"",""4!e27"")"),1099.0)</f>
        <v>1099</v>
      </c>
      <c r="K104" s="40">
        <f>IFERROR(__xludf.DUMMYFUNCTION("IMPORTRANGE(""https://docs.google.com/spreadsheets/d/1ObnK1oSznTOmyW9Zcd2kxExl7TOnO2MNq_0giEKc_mE/edit"",""4!e28"")"),23.0)</f>
        <v>23</v>
      </c>
      <c r="L104" s="40">
        <f t="shared" si="270"/>
        <v>1122</v>
      </c>
      <c r="M104" s="40">
        <f t="shared" si="242"/>
        <v>1969</v>
      </c>
      <c r="N104" s="41">
        <f t="shared" si="243"/>
        <v>192.4878571</v>
      </c>
      <c r="O104" s="38">
        <v>2717.0</v>
      </c>
      <c r="P104" s="42">
        <f t="shared" si="244"/>
        <v>0.7246963563</v>
      </c>
      <c r="Q104" s="43">
        <v>1.5</v>
      </c>
      <c r="R104" s="42">
        <f t="shared" si="245"/>
        <v>0.4871055564</v>
      </c>
      <c r="S104" s="44">
        <f t="shared" si="246"/>
        <v>0.7306583347</v>
      </c>
      <c r="T104" s="43">
        <f>F104/43.465</f>
        <v>62</v>
      </c>
      <c r="U104" s="43">
        <f t="shared" si="247"/>
        <v>4.428571429</v>
      </c>
      <c r="V104" s="40">
        <f t="shared" si="248"/>
        <v>140.6428571</v>
      </c>
      <c r="X104" s="31">
        <v>3.0</v>
      </c>
      <c r="Y104" s="31" t="s">
        <v>36</v>
      </c>
      <c r="Z104" s="31">
        <f t="shared" ref="Z104:AI104" si="289">SUM(D95)</f>
        <v>29</v>
      </c>
      <c r="AA104" s="32">
        <f t="shared" si="289"/>
        <v>28</v>
      </c>
      <c r="AB104" s="33">
        <f t="shared" si="289"/>
        <v>5747.392</v>
      </c>
      <c r="AC104" s="32">
        <f t="shared" si="289"/>
        <v>1592</v>
      </c>
      <c r="AD104" s="32">
        <f t="shared" si="289"/>
        <v>0</v>
      </c>
      <c r="AE104" s="32">
        <f t="shared" si="289"/>
        <v>1592</v>
      </c>
      <c r="AF104" s="32">
        <f t="shared" si="289"/>
        <v>2401</v>
      </c>
      <c r="AG104" s="32">
        <f t="shared" si="289"/>
        <v>0</v>
      </c>
      <c r="AH104" s="32">
        <f t="shared" si="289"/>
        <v>2401</v>
      </c>
      <c r="AI104" s="32">
        <f t="shared" si="289"/>
        <v>3993</v>
      </c>
      <c r="AJ104" s="34">
        <f t="shared" si="283"/>
        <v>205.264</v>
      </c>
      <c r="AK104" s="31">
        <f t="shared" ref="AK104:AK107" si="293">SUM(O95)</f>
        <v>4796</v>
      </c>
      <c r="AL104" s="35">
        <f t="shared" si="284"/>
        <v>0.8325688073</v>
      </c>
      <c r="AM104" s="36">
        <f t="shared" ref="AM104:AM107" si="294">SUM(Q95)</f>
        <v>1.5</v>
      </c>
      <c r="AN104" s="35">
        <f t="shared" si="285"/>
        <v>0.463166598</v>
      </c>
      <c r="AO104" s="37">
        <f t="shared" si="286"/>
        <v>0.694749897</v>
      </c>
      <c r="AP104" s="36">
        <f t="shared" ref="AP104:AQ104" si="290">SUM(T95)</f>
        <v>153.6160795</v>
      </c>
      <c r="AQ104" s="36">
        <f t="shared" si="290"/>
        <v>5.486288555</v>
      </c>
      <c r="AR104" s="32">
        <f t="shared" si="288"/>
        <v>142.6071429</v>
      </c>
    </row>
    <row r="105" ht="15.75" customHeight="1">
      <c r="A105" s="21"/>
      <c r="B105" s="60" t="s">
        <v>33</v>
      </c>
      <c r="C105" s="60">
        <v>18.0</v>
      </c>
      <c r="D105" s="60">
        <f t="shared" ref="D105:M105" si="291">SUM(D87:D104)</f>
        <v>585</v>
      </c>
      <c r="E105" s="61">
        <f t="shared" si="291"/>
        <v>576</v>
      </c>
      <c r="F105" s="62">
        <f t="shared" si="291"/>
        <v>112906.783</v>
      </c>
      <c r="G105" s="61">
        <f t="shared" si="291"/>
        <v>41640</v>
      </c>
      <c r="H105" s="61">
        <f t="shared" si="291"/>
        <v>1074</v>
      </c>
      <c r="I105" s="61">
        <f t="shared" si="291"/>
        <v>42714</v>
      </c>
      <c r="J105" s="61">
        <f t="shared" si="291"/>
        <v>57374</v>
      </c>
      <c r="K105" s="61">
        <f t="shared" si="291"/>
        <v>1103</v>
      </c>
      <c r="L105" s="61">
        <f t="shared" si="291"/>
        <v>58477</v>
      </c>
      <c r="M105" s="61">
        <f t="shared" si="291"/>
        <v>101191</v>
      </c>
      <c r="N105" s="62">
        <f t="shared" si="243"/>
        <v>196.0187205</v>
      </c>
      <c r="O105" s="60">
        <f>SUM(O87:O104)</f>
        <v>126399</v>
      </c>
      <c r="P105" s="63">
        <f t="shared" si="244"/>
        <v>0.8005680425</v>
      </c>
      <c r="Q105" s="64">
        <v>1.5</v>
      </c>
      <c r="R105" s="63">
        <f t="shared" si="245"/>
        <v>0.597489937</v>
      </c>
      <c r="S105" s="65">
        <f t="shared" si="246"/>
        <v>0.8962349056</v>
      </c>
      <c r="T105" s="64">
        <f>SUM(T87:T104)</f>
        <v>4164.925733</v>
      </c>
      <c r="U105" s="64">
        <f t="shared" si="247"/>
        <v>7.230773842</v>
      </c>
      <c r="V105" s="61">
        <f t="shared" si="248"/>
        <v>175.6788194</v>
      </c>
      <c r="X105" s="31">
        <v>4.0</v>
      </c>
      <c r="Y105" s="31" t="s">
        <v>37</v>
      </c>
      <c r="Z105" s="31">
        <f t="shared" ref="Z105:AI105" si="292">SUM(D96)</f>
        <v>30</v>
      </c>
      <c r="AA105" s="32">
        <f t="shared" si="292"/>
        <v>30</v>
      </c>
      <c r="AB105" s="33">
        <f t="shared" si="292"/>
        <v>5985.732</v>
      </c>
      <c r="AC105" s="32">
        <f t="shared" si="292"/>
        <v>2118</v>
      </c>
      <c r="AD105" s="32">
        <f t="shared" si="292"/>
        <v>60</v>
      </c>
      <c r="AE105" s="32">
        <f t="shared" si="292"/>
        <v>2178</v>
      </c>
      <c r="AF105" s="32">
        <f t="shared" si="292"/>
        <v>3047</v>
      </c>
      <c r="AG105" s="32">
        <f t="shared" si="292"/>
        <v>114</v>
      </c>
      <c r="AH105" s="32">
        <f t="shared" si="292"/>
        <v>3161</v>
      </c>
      <c r="AI105" s="32">
        <f t="shared" si="292"/>
        <v>5339</v>
      </c>
      <c r="AJ105" s="34">
        <f t="shared" si="283"/>
        <v>199.5244</v>
      </c>
      <c r="AK105" s="31">
        <f t="shared" si="293"/>
        <v>5887</v>
      </c>
      <c r="AL105" s="35">
        <f t="shared" si="284"/>
        <v>0.9069135383</v>
      </c>
      <c r="AM105" s="36">
        <f t="shared" si="294"/>
        <v>1.5</v>
      </c>
      <c r="AN105" s="35">
        <f t="shared" si="285"/>
        <v>0.5946362673</v>
      </c>
      <c r="AO105" s="37">
        <f t="shared" si="286"/>
        <v>0.8919544009</v>
      </c>
      <c r="AP105" s="36">
        <f t="shared" ref="AP105:AQ105" si="295">SUM(T96)</f>
        <v>241.4380445</v>
      </c>
      <c r="AQ105" s="36">
        <f t="shared" si="295"/>
        <v>8.047934818</v>
      </c>
      <c r="AR105" s="32">
        <f t="shared" si="288"/>
        <v>177.9666667</v>
      </c>
    </row>
    <row r="106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X106" s="31">
        <v>5.0</v>
      </c>
      <c r="Y106" s="31" t="s">
        <v>39</v>
      </c>
      <c r="Z106" s="31">
        <f t="shared" ref="Z106:AI106" si="296">SUM(D97)</f>
        <v>28</v>
      </c>
      <c r="AA106" s="32">
        <f t="shared" si="296"/>
        <v>26</v>
      </c>
      <c r="AB106" s="33">
        <f t="shared" si="296"/>
        <v>4941.947</v>
      </c>
      <c r="AC106" s="32">
        <f t="shared" si="296"/>
        <v>1128</v>
      </c>
      <c r="AD106" s="32">
        <f t="shared" si="296"/>
        <v>0</v>
      </c>
      <c r="AE106" s="32">
        <f t="shared" si="296"/>
        <v>1128</v>
      </c>
      <c r="AF106" s="32">
        <f t="shared" si="296"/>
        <v>1771</v>
      </c>
      <c r="AG106" s="32">
        <f t="shared" si="296"/>
        <v>0</v>
      </c>
      <c r="AH106" s="32">
        <f t="shared" si="296"/>
        <v>1771</v>
      </c>
      <c r="AI106" s="32">
        <f t="shared" si="296"/>
        <v>2899</v>
      </c>
      <c r="AJ106" s="34">
        <f t="shared" si="283"/>
        <v>190.0748846</v>
      </c>
      <c r="AK106" s="31">
        <f t="shared" si="293"/>
        <v>3569</v>
      </c>
      <c r="AL106" s="35">
        <f t="shared" si="284"/>
        <v>0.8122723452</v>
      </c>
      <c r="AM106" s="36">
        <f t="shared" si="294"/>
        <v>1.5</v>
      </c>
      <c r="AN106" s="35">
        <f t="shared" si="285"/>
        <v>0.3910739364</v>
      </c>
      <c r="AO106" s="37">
        <f t="shared" si="286"/>
        <v>0.5866109046</v>
      </c>
      <c r="AP106" s="36">
        <f t="shared" ref="AP106:AQ106" si="297">SUM(T97)</f>
        <v>230.2542515</v>
      </c>
      <c r="AQ106" s="36">
        <f t="shared" si="297"/>
        <v>8.85593275</v>
      </c>
      <c r="AR106" s="32">
        <f t="shared" si="288"/>
        <v>111.5</v>
      </c>
    </row>
    <row r="107" ht="15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X107" s="31">
        <v>6.0</v>
      </c>
      <c r="Y107" s="31" t="s">
        <v>41</v>
      </c>
      <c r="Z107" s="31">
        <f t="shared" ref="Z107:AI107" si="298">SUM(D98)</f>
        <v>24</v>
      </c>
      <c r="AA107" s="32">
        <f t="shared" si="298"/>
        <v>24</v>
      </c>
      <c r="AB107" s="33">
        <f t="shared" si="298"/>
        <v>4750.356</v>
      </c>
      <c r="AC107" s="32">
        <f t="shared" si="298"/>
        <v>1245</v>
      </c>
      <c r="AD107" s="32">
        <f t="shared" si="298"/>
        <v>0</v>
      </c>
      <c r="AE107" s="32">
        <f t="shared" si="298"/>
        <v>1245</v>
      </c>
      <c r="AF107" s="32">
        <f t="shared" si="298"/>
        <v>1684</v>
      </c>
      <c r="AG107" s="32">
        <f t="shared" si="298"/>
        <v>0</v>
      </c>
      <c r="AH107" s="32">
        <f t="shared" si="298"/>
        <v>1684</v>
      </c>
      <c r="AI107" s="32">
        <f t="shared" si="298"/>
        <v>2929</v>
      </c>
      <c r="AJ107" s="34">
        <f t="shared" si="283"/>
        <v>197.9315</v>
      </c>
      <c r="AK107" s="31">
        <f t="shared" si="293"/>
        <v>3801</v>
      </c>
      <c r="AL107" s="35">
        <f t="shared" si="284"/>
        <v>0.7705866877</v>
      </c>
      <c r="AM107" s="36">
        <f t="shared" si="294"/>
        <v>1.5</v>
      </c>
      <c r="AN107" s="35">
        <f t="shared" si="285"/>
        <v>0.4110569117</v>
      </c>
      <c r="AO107" s="37">
        <f t="shared" si="286"/>
        <v>0.6165853675</v>
      </c>
      <c r="AP107" s="36">
        <f t="shared" ref="AP107:AQ107" si="299">SUM(T98)</f>
        <v>160.3333333</v>
      </c>
      <c r="AQ107" s="36">
        <f t="shared" si="299"/>
        <v>6.680555556</v>
      </c>
      <c r="AR107" s="32">
        <f t="shared" si="288"/>
        <v>122.0416667</v>
      </c>
    </row>
    <row r="108" ht="15.75" customHeight="1">
      <c r="A108" s="1" t="s">
        <v>45</v>
      </c>
      <c r="D108" s="2"/>
      <c r="X108" s="46" t="s">
        <v>33</v>
      </c>
      <c r="Y108" s="46">
        <v>6.0</v>
      </c>
      <c r="Z108" s="46">
        <f t="shared" ref="Z108:AI108" si="300">SUM(Z102:Z107)</f>
        <v>173</v>
      </c>
      <c r="AA108" s="47">
        <f t="shared" si="300"/>
        <v>170</v>
      </c>
      <c r="AB108" s="49">
        <f t="shared" si="300"/>
        <v>33549.875</v>
      </c>
      <c r="AC108" s="47">
        <f t="shared" si="300"/>
        <v>13138</v>
      </c>
      <c r="AD108" s="47">
        <f t="shared" si="300"/>
        <v>60</v>
      </c>
      <c r="AE108" s="47">
        <f t="shared" si="300"/>
        <v>13198</v>
      </c>
      <c r="AF108" s="47">
        <f t="shared" si="300"/>
        <v>17124</v>
      </c>
      <c r="AG108" s="47">
        <f t="shared" si="300"/>
        <v>114</v>
      </c>
      <c r="AH108" s="47">
        <f t="shared" si="300"/>
        <v>17238</v>
      </c>
      <c r="AI108" s="47">
        <f t="shared" si="300"/>
        <v>30436</v>
      </c>
      <c r="AJ108" s="49">
        <f t="shared" si="283"/>
        <v>197.3522059</v>
      </c>
      <c r="AK108" s="46">
        <f>SUM(AK102:AK107)</f>
        <v>37031</v>
      </c>
      <c r="AL108" s="50">
        <f t="shared" si="284"/>
        <v>0.8219059707</v>
      </c>
      <c r="AM108" s="51">
        <v>1.5</v>
      </c>
      <c r="AN108" s="50">
        <f t="shared" si="285"/>
        <v>0.6047911256</v>
      </c>
      <c r="AO108" s="52">
        <f t="shared" si="286"/>
        <v>0.9071866885</v>
      </c>
      <c r="AP108" s="51">
        <f>SUM(AP102:AP107)</f>
        <v>1382.721685</v>
      </c>
      <c r="AQ108" s="51">
        <f>AP108/AA108</f>
        <v>8.133656972</v>
      </c>
      <c r="AR108" s="47">
        <f t="shared" si="288"/>
        <v>179.0352941</v>
      </c>
    </row>
    <row r="109" ht="15.75" customHeight="1">
      <c r="A109" s="1" t="s">
        <v>45</v>
      </c>
      <c r="D109" s="2"/>
      <c r="X109" s="66" t="s">
        <v>1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6"/>
    </row>
    <row r="110" ht="15.75" customHeight="1">
      <c r="A110" s="7">
        <v>46239.0</v>
      </c>
      <c r="B110" s="8" t="s">
        <v>2</v>
      </c>
      <c r="C110" s="8" t="s">
        <v>3</v>
      </c>
      <c r="D110" s="8" t="s">
        <v>4</v>
      </c>
      <c r="E110" s="8" t="s">
        <v>5</v>
      </c>
      <c r="F110" s="9" t="s">
        <v>6</v>
      </c>
      <c r="G110" s="8" t="s">
        <v>7</v>
      </c>
      <c r="H110" s="8" t="s">
        <v>8</v>
      </c>
      <c r="I110" s="8" t="s">
        <v>9</v>
      </c>
      <c r="J110" s="8" t="s">
        <v>10</v>
      </c>
      <c r="K110" s="8" t="s">
        <v>11</v>
      </c>
      <c r="L110" s="8" t="s">
        <v>12</v>
      </c>
      <c r="M110" s="8" t="s">
        <v>13</v>
      </c>
      <c r="N110" s="9" t="s">
        <v>14</v>
      </c>
      <c r="O110" s="8" t="s">
        <v>15</v>
      </c>
      <c r="P110" s="8" t="s">
        <v>16</v>
      </c>
      <c r="Q110" s="8" t="s">
        <v>17</v>
      </c>
      <c r="R110" s="8" t="s">
        <v>18</v>
      </c>
      <c r="S110" s="11" t="s">
        <v>19</v>
      </c>
      <c r="T110" s="12" t="s">
        <v>20</v>
      </c>
      <c r="U110" s="12" t="s">
        <v>21</v>
      </c>
      <c r="V110" s="13" t="s">
        <v>22</v>
      </c>
      <c r="X110" s="14" t="s">
        <v>2</v>
      </c>
      <c r="Y110" s="14" t="s">
        <v>3</v>
      </c>
      <c r="Z110" s="14" t="s">
        <v>4</v>
      </c>
      <c r="AA110" s="14" t="s">
        <v>5</v>
      </c>
      <c r="AB110" s="15" t="s">
        <v>6</v>
      </c>
      <c r="AC110" s="14" t="s">
        <v>7</v>
      </c>
      <c r="AD110" s="14" t="s">
        <v>8</v>
      </c>
      <c r="AE110" s="14" t="s">
        <v>9</v>
      </c>
      <c r="AF110" s="14" t="s">
        <v>10</v>
      </c>
      <c r="AG110" s="14" t="s">
        <v>11</v>
      </c>
      <c r="AH110" s="14" t="s">
        <v>12</v>
      </c>
      <c r="AI110" s="14" t="s">
        <v>13</v>
      </c>
      <c r="AJ110" s="15" t="s">
        <v>14</v>
      </c>
      <c r="AK110" s="14" t="s">
        <v>15</v>
      </c>
      <c r="AL110" s="14" t="s">
        <v>16</v>
      </c>
      <c r="AM110" s="16" t="s">
        <v>17</v>
      </c>
      <c r="AN110" s="17" t="s">
        <v>18</v>
      </c>
      <c r="AO110" s="18" t="s">
        <v>19</v>
      </c>
      <c r="AP110" s="19" t="s">
        <v>20</v>
      </c>
      <c r="AQ110" s="19" t="s">
        <v>21</v>
      </c>
      <c r="AR110" s="20" t="s">
        <v>22</v>
      </c>
    </row>
    <row r="111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X111" s="22">
        <v>1.0</v>
      </c>
      <c r="Y111" s="22" t="s">
        <v>23</v>
      </c>
      <c r="Z111" s="22">
        <f t="shared" ref="Z111:AI111" si="301">SUM(D119)</f>
        <v>35</v>
      </c>
      <c r="AA111" s="23">
        <f t="shared" si="301"/>
        <v>33</v>
      </c>
      <c r="AB111" s="24">
        <f t="shared" si="301"/>
        <v>6579.3</v>
      </c>
      <c r="AC111" s="23">
        <f t="shared" si="301"/>
        <v>1845</v>
      </c>
      <c r="AD111" s="23">
        <f t="shared" si="301"/>
        <v>0</v>
      </c>
      <c r="AE111" s="23">
        <f t="shared" si="301"/>
        <v>1845</v>
      </c>
      <c r="AF111" s="23">
        <f t="shared" si="301"/>
        <v>3074</v>
      </c>
      <c r="AG111" s="23">
        <f t="shared" si="301"/>
        <v>0</v>
      </c>
      <c r="AH111" s="23">
        <f t="shared" si="301"/>
        <v>3074</v>
      </c>
      <c r="AI111" s="23">
        <f t="shared" si="301"/>
        <v>4919</v>
      </c>
      <c r="AJ111" s="25">
        <f t="shared" ref="AJ111:AJ113" si="304">AB111/AA111</f>
        <v>199.3727273</v>
      </c>
      <c r="AK111" s="22">
        <f>SUM(O119)</f>
        <v>6853</v>
      </c>
      <c r="AL111" s="26">
        <f t="shared" ref="AL111:AL117" si="305">AI111/AK111</f>
        <v>0.7177878301</v>
      </c>
      <c r="AM111" s="27">
        <f t="shared" ref="AM111:AM113" si="306">SUM(Q119)</f>
        <v>1.5</v>
      </c>
      <c r="AN111" s="26">
        <f t="shared" ref="AN111:AN117" si="307">AO111/AM111</f>
        <v>0.4984319507</v>
      </c>
      <c r="AO111" s="28">
        <f t="shared" ref="AO111:AO117" si="308">AI111/AB111</f>
        <v>0.7476479261</v>
      </c>
      <c r="AP111" s="27">
        <f t="shared" ref="AP111:AQ111" si="302">SUM(T119)</f>
        <v>195</v>
      </c>
      <c r="AQ111" s="27">
        <f t="shared" si="302"/>
        <v>5.909090909</v>
      </c>
      <c r="AR111" s="23">
        <f t="shared" ref="AR111:AR117" si="310">AI111/AA111</f>
        <v>149.0606061</v>
      </c>
    </row>
    <row r="11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X112" s="22">
        <v>2.0</v>
      </c>
      <c r="Y112" s="22" t="s">
        <v>24</v>
      </c>
      <c r="Z112" s="22">
        <f t="shared" ref="Z112:AI112" si="303">SUM(D120)</f>
        <v>44</v>
      </c>
      <c r="AA112" s="23">
        <f t="shared" si="303"/>
        <v>43</v>
      </c>
      <c r="AB112" s="24">
        <f t="shared" si="303"/>
        <v>8326.56</v>
      </c>
      <c r="AC112" s="23">
        <f t="shared" si="303"/>
        <v>1090</v>
      </c>
      <c r="AD112" s="23">
        <f t="shared" si="303"/>
        <v>0</v>
      </c>
      <c r="AE112" s="23">
        <f t="shared" si="303"/>
        <v>1090</v>
      </c>
      <c r="AF112" s="23">
        <f t="shared" si="303"/>
        <v>1521</v>
      </c>
      <c r="AG112" s="23">
        <f t="shared" si="303"/>
        <v>0</v>
      </c>
      <c r="AH112" s="23">
        <f t="shared" si="303"/>
        <v>1521</v>
      </c>
      <c r="AI112" s="23">
        <f t="shared" si="303"/>
        <v>2611</v>
      </c>
      <c r="AJ112" s="25">
        <f t="shared" si="304"/>
        <v>193.6409302</v>
      </c>
      <c r="AK112" s="22">
        <v>1580.0</v>
      </c>
      <c r="AL112" s="29">
        <f t="shared" si="305"/>
        <v>1.652531646</v>
      </c>
      <c r="AM112" s="27">
        <f t="shared" si="306"/>
        <v>1.5</v>
      </c>
      <c r="AN112" s="26">
        <f t="shared" si="307"/>
        <v>0.2090499158</v>
      </c>
      <c r="AO112" s="28">
        <f t="shared" si="308"/>
        <v>0.3135748737</v>
      </c>
      <c r="AP112" s="27">
        <f t="shared" ref="AP112:AQ112" si="309">SUM(T120)</f>
        <v>310.6345831</v>
      </c>
      <c r="AQ112" s="27">
        <f t="shared" si="309"/>
        <v>7.224060072</v>
      </c>
      <c r="AR112" s="23">
        <f t="shared" si="310"/>
        <v>60.72093023</v>
      </c>
    </row>
    <row r="113" ht="15.75" customHeight="1">
      <c r="A113" s="21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X113" s="31">
        <v>3.0</v>
      </c>
      <c r="Y113" s="31" t="s">
        <v>25</v>
      </c>
      <c r="Z113" s="31">
        <f t="shared" ref="Z113:AI113" si="311">SUM(D121)</f>
        <v>32</v>
      </c>
      <c r="AA113" s="32">
        <f t="shared" si="311"/>
        <v>32</v>
      </c>
      <c r="AB113" s="33">
        <f t="shared" si="311"/>
        <v>5805.924</v>
      </c>
      <c r="AC113" s="32">
        <f t="shared" si="311"/>
        <v>2185</v>
      </c>
      <c r="AD113" s="32">
        <f t="shared" si="311"/>
        <v>379</v>
      </c>
      <c r="AE113" s="32">
        <f t="shared" si="311"/>
        <v>2564</v>
      </c>
      <c r="AF113" s="32">
        <f t="shared" si="311"/>
        <v>3145</v>
      </c>
      <c r="AG113" s="32">
        <f t="shared" si="311"/>
        <v>413</v>
      </c>
      <c r="AH113" s="32">
        <f t="shared" si="311"/>
        <v>3558</v>
      </c>
      <c r="AI113" s="32">
        <f t="shared" si="311"/>
        <v>6122</v>
      </c>
      <c r="AJ113" s="34">
        <f t="shared" si="304"/>
        <v>181.435125</v>
      </c>
      <c r="AK113" s="31">
        <f>SUM(O121)</f>
        <v>6622</v>
      </c>
      <c r="AL113" s="35">
        <f t="shared" si="305"/>
        <v>0.9244941105</v>
      </c>
      <c r="AM113" s="36">
        <f t="shared" si="306"/>
        <v>1.5</v>
      </c>
      <c r="AN113" s="35">
        <f t="shared" si="307"/>
        <v>0.7029601719</v>
      </c>
      <c r="AO113" s="37">
        <f t="shared" si="308"/>
        <v>1.054440258</v>
      </c>
      <c r="AP113" s="36">
        <f t="shared" ref="AP113:AQ113" si="312">SUM(T121)</f>
        <v>243.5370805</v>
      </c>
      <c r="AQ113" s="36">
        <f t="shared" si="312"/>
        <v>7.610533767</v>
      </c>
      <c r="AR113" s="32">
        <f t="shared" si="310"/>
        <v>191.3125</v>
      </c>
    </row>
    <row r="114" ht="15.75" customHeight="1">
      <c r="A114" s="21"/>
      <c r="B114" s="38">
        <v>1.0</v>
      </c>
      <c r="C114" s="38" t="s">
        <v>26</v>
      </c>
      <c r="D114" s="39">
        <v>20.0</v>
      </c>
      <c r="E114" s="40">
        <f>IFERROR(__xludf.DUMMYFUNCTION("COUNT(IMPORTRANGE(""https://docs.google.com/spreadsheets/d/1iVFEBQOAONhqDIMRa2hQ7WkCQv0dJWSAmc0AzfvSCMg/edit"",""5!d2:d21""))"),20.0)</f>
        <v>20</v>
      </c>
      <c r="F114" s="41">
        <f>IFERROR(__xludf.DUMMYFUNCTION("SUM(IMPORTRANGE(""https://docs.google.com/spreadsheets/d/1iVFEBQOAONhqDIMRa2hQ7WkCQv0dJWSAmc0AzfvSCMg/edit"",""5!Q2:Q21""))"),3748.512)</f>
        <v>3748.512</v>
      </c>
      <c r="G114" s="40">
        <f>IFERROR(__xludf.DUMMYFUNCTION("IMPORTRANGE(""https://docs.google.com/spreadsheets/d/1iVFEBQOAONhqDIMRa2hQ7WkCQv0dJWSAmc0AzfvSCMg/edit"",""5!e28"")"),2172.0)</f>
        <v>2172</v>
      </c>
      <c r="H114" s="40">
        <f>IFERROR(__xludf.DUMMYFUNCTION("IMPORTRANGE(""https://docs.google.com/spreadsheets/d/1iVFEBQOAONhqDIMRa2hQ7WkCQv0dJWSAmc0AzfvSCMg/edit"",""5!e29"")"),20.0)</f>
        <v>20</v>
      </c>
      <c r="I114" s="40">
        <f t="shared" ref="I114:I131" si="315">SUM(G114:H114)</f>
        <v>2192</v>
      </c>
      <c r="J114" s="40">
        <f>IFERROR(__xludf.DUMMYFUNCTION("IMPORTRANGE(""https://docs.google.com/spreadsheets/d/1iVFEBQOAONhqDIMRa2hQ7WkCQv0dJWSAmc0AzfvSCMg/edit"",""5!e32"")"),2622.0)</f>
        <v>2622</v>
      </c>
      <c r="K114" s="40">
        <f>IFERROR(__xludf.DUMMYFUNCTION("IMPORTRANGE(""https://docs.google.com/spreadsheets/d/1iVFEBQOAONhqDIMRa2hQ7WkCQv0dJWSAmc0AzfvSCMg/edit"",""5!e33"")"),0.0)</f>
        <v>0</v>
      </c>
      <c r="L114" s="40">
        <f t="shared" ref="L114:L120" si="316">SUM(J114:K114)</f>
        <v>2622</v>
      </c>
      <c r="M114" s="40">
        <f t="shared" ref="M114:M131" si="317">SUM(I114+L114)</f>
        <v>4814</v>
      </c>
      <c r="N114" s="41">
        <f t="shared" ref="N114:N132" si="318">F114/E114</f>
        <v>187.4256</v>
      </c>
      <c r="O114" s="38">
        <v>5161.0</v>
      </c>
      <c r="P114" s="42">
        <f t="shared" ref="P114:P132" si="319">M114/O114</f>
        <v>0.932764968</v>
      </c>
      <c r="Q114" s="43">
        <v>1.5</v>
      </c>
      <c r="R114" s="42">
        <f t="shared" ref="R114:R132" si="320">S114/Q114</f>
        <v>0.8561619473</v>
      </c>
      <c r="S114" s="44">
        <f t="shared" ref="S114:S132" si="321">M114/F114</f>
        <v>1.284242921</v>
      </c>
      <c r="T114" s="43">
        <f>F114/14.415</f>
        <v>260.0424558</v>
      </c>
      <c r="U114" s="43">
        <f t="shared" ref="U114:U132" si="322">T114/E114</f>
        <v>13.00212279</v>
      </c>
      <c r="V114" s="40">
        <f t="shared" ref="V114:V132" si="323">M114/E114</f>
        <v>240.7</v>
      </c>
      <c r="X114" s="22">
        <v>4.0</v>
      </c>
      <c r="Y114" s="22" t="s">
        <v>27</v>
      </c>
      <c r="Z114" s="22">
        <f t="shared" ref="Z114:AK114" si="313">SUM(D127)</f>
        <v>30</v>
      </c>
      <c r="AA114" s="23">
        <f t="shared" si="313"/>
        <v>30</v>
      </c>
      <c r="AB114" s="24">
        <f t="shared" si="313"/>
        <v>5745.55</v>
      </c>
      <c r="AC114" s="23">
        <f t="shared" si="313"/>
        <v>2355</v>
      </c>
      <c r="AD114" s="23">
        <f t="shared" si="313"/>
        <v>103</v>
      </c>
      <c r="AE114" s="23">
        <f t="shared" si="313"/>
        <v>2458</v>
      </c>
      <c r="AF114" s="23">
        <f t="shared" si="313"/>
        <v>3052</v>
      </c>
      <c r="AG114" s="23">
        <f t="shared" si="313"/>
        <v>116</v>
      </c>
      <c r="AH114" s="23">
        <f t="shared" si="313"/>
        <v>3168</v>
      </c>
      <c r="AI114" s="23">
        <f t="shared" si="313"/>
        <v>5626</v>
      </c>
      <c r="AJ114" s="25">
        <f t="shared" si="313"/>
        <v>191.5183333</v>
      </c>
      <c r="AK114" s="22">
        <f t="shared" si="313"/>
        <v>8101</v>
      </c>
      <c r="AL114" s="26">
        <f t="shared" si="305"/>
        <v>0.6944821627</v>
      </c>
      <c r="AM114" s="27">
        <f>SUM(Q127)</f>
        <v>1.5</v>
      </c>
      <c r="AN114" s="26">
        <f t="shared" si="307"/>
        <v>0.6527950617</v>
      </c>
      <c r="AO114" s="28">
        <f t="shared" si="308"/>
        <v>0.9791925925</v>
      </c>
      <c r="AP114" s="27">
        <f t="shared" ref="AP114:AQ114" si="314">SUM(T127)</f>
        <v>287.4931198</v>
      </c>
      <c r="AQ114" s="27">
        <f t="shared" si="314"/>
        <v>9.583103995</v>
      </c>
      <c r="AR114" s="23">
        <f t="shared" si="310"/>
        <v>187.5333333</v>
      </c>
    </row>
    <row r="115" ht="15.75" customHeight="1">
      <c r="A115" s="21"/>
      <c r="B115" s="38">
        <v>2.0</v>
      </c>
      <c r="C115" s="38" t="s">
        <v>28</v>
      </c>
      <c r="D115" s="39">
        <v>33.0</v>
      </c>
      <c r="E115" s="40">
        <f>IFERROR(__xludf.DUMMYFUNCTION("COUNT(IMPORTRANGE(""https://docs.google.com/spreadsheets/d/1tJCeYclgeJZ4Dc78t_SkhVjtacKW-5-VGim8X1rzUzk/edit"",""5!d2:d34""))"),33.0)</f>
        <v>33</v>
      </c>
      <c r="F115" s="41">
        <f>IFERROR(__xludf.DUMMYFUNCTION("SUM(IMPORTRANGE(""https://docs.google.com/spreadsheets/d/1tJCeYclgeJZ4Dc78t_SkhVjtacKW-5-VGim8X1rzUzk/edit"",""5!Q2:Q34""))"),6405.244999999999)</f>
        <v>6405.245</v>
      </c>
      <c r="G115" s="40">
        <f>IFERROR(__xludf.DUMMYFUNCTION("IMPORTRANGE(""https://docs.google.com/spreadsheets/d/1tJCeYclgeJZ4Dc78t_SkhVjtacKW-5-VGim8X1rzUzk/edit"",""5!e41"")"),2651.0)</f>
        <v>2651</v>
      </c>
      <c r="H115" s="40">
        <f>IFERROR(__xludf.DUMMYFUNCTION("IMPORTRANGE(""https://docs.google.com/spreadsheets/d/1tJCeYclgeJZ4Dc78t_SkhVjtacKW-5-VGim8X1rzUzk/edit"",""5!e42"")"),213.0)</f>
        <v>213</v>
      </c>
      <c r="I115" s="40">
        <f t="shared" si="315"/>
        <v>2864</v>
      </c>
      <c r="J115" s="40">
        <f>IFERROR(__xludf.DUMMYFUNCTION("IMPORTRANGE(""https://docs.google.com/spreadsheets/d/1tJCeYclgeJZ4Dc78t_SkhVjtacKW-5-VGim8X1rzUzk/edit"",""5!e45"")"),3203.0)</f>
        <v>3203</v>
      </c>
      <c r="K115" s="40">
        <f>IFERROR(__xludf.DUMMYFUNCTION("IMPORTRANGE(""https://docs.google.com/spreadsheets/d/1tJCeYclgeJZ4Dc78t_SkhVjtacKW-5-VGim8X1rzUzk/edit"",""5!e46"")"),157.0)</f>
        <v>157</v>
      </c>
      <c r="L115" s="40">
        <f t="shared" si="316"/>
        <v>3360</v>
      </c>
      <c r="M115" s="40">
        <f t="shared" si="317"/>
        <v>6224</v>
      </c>
      <c r="N115" s="41">
        <f t="shared" si="318"/>
        <v>194.0983333</v>
      </c>
      <c r="O115" s="38">
        <v>7315.0</v>
      </c>
      <c r="P115" s="42">
        <f t="shared" si="319"/>
        <v>0.8508544087</v>
      </c>
      <c r="Q115" s="43">
        <v>1.5</v>
      </c>
      <c r="R115" s="42">
        <f t="shared" si="320"/>
        <v>0.647802439</v>
      </c>
      <c r="S115" s="44">
        <f t="shared" si="321"/>
        <v>0.9717036585</v>
      </c>
      <c r="T115" s="43">
        <f>F115/30.897</f>
        <v>207.3096093</v>
      </c>
      <c r="U115" s="43">
        <f t="shared" si="322"/>
        <v>6.282109374</v>
      </c>
      <c r="V115" s="40">
        <f t="shared" si="323"/>
        <v>188.6060606</v>
      </c>
      <c r="X115" s="22">
        <v>5.0</v>
      </c>
      <c r="Y115" s="22" t="s">
        <v>29</v>
      </c>
      <c r="Z115" s="22">
        <f t="shared" ref="Z115:AI115" si="324">SUM(D130)</f>
        <v>30</v>
      </c>
      <c r="AA115" s="23">
        <f t="shared" si="324"/>
        <v>29</v>
      </c>
      <c r="AB115" s="24">
        <f t="shared" si="324"/>
        <v>5702.322</v>
      </c>
      <c r="AC115" s="23">
        <f t="shared" si="324"/>
        <v>2696</v>
      </c>
      <c r="AD115" s="23">
        <f t="shared" si="324"/>
        <v>0</v>
      </c>
      <c r="AE115" s="23">
        <f t="shared" si="324"/>
        <v>2696</v>
      </c>
      <c r="AF115" s="23">
        <f t="shared" si="324"/>
        <v>4318</v>
      </c>
      <c r="AG115" s="23">
        <f t="shared" si="324"/>
        <v>0</v>
      </c>
      <c r="AH115" s="23">
        <f t="shared" si="324"/>
        <v>4318</v>
      </c>
      <c r="AI115" s="23">
        <f t="shared" si="324"/>
        <v>7014</v>
      </c>
      <c r="AJ115" s="25">
        <f t="shared" ref="AJ115:AJ117" si="327">AB115/AA115</f>
        <v>196.6317931</v>
      </c>
      <c r="AK115" s="22">
        <f t="shared" ref="AK115:AK116" si="328">SUM(O130)</f>
        <v>9201</v>
      </c>
      <c r="AL115" s="26">
        <f t="shared" si="305"/>
        <v>0.7623084447</v>
      </c>
      <c r="AM115" s="27">
        <f t="shared" ref="AM115:AM116" si="329">SUM(Q130)</f>
        <v>1.5</v>
      </c>
      <c r="AN115" s="26">
        <f t="shared" si="307"/>
        <v>0.8200168282</v>
      </c>
      <c r="AO115" s="28">
        <f t="shared" si="308"/>
        <v>1.230025242</v>
      </c>
      <c r="AP115" s="27">
        <f t="shared" ref="AP115:AQ115" si="325">SUM(T130)</f>
        <v>219</v>
      </c>
      <c r="AQ115" s="27">
        <f t="shared" si="325"/>
        <v>7.551724138</v>
      </c>
      <c r="AR115" s="23">
        <f t="shared" si="310"/>
        <v>241.862069</v>
      </c>
    </row>
    <row r="116" ht="15.75" customHeight="1">
      <c r="A116" s="21"/>
      <c r="B116" s="38">
        <v>3.0</v>
      </c>
      <c r="C116" s="38" t="s">
        <v>30</v>
      </c>
      <c r="D116" s="39">
        <v>60.0</v>
      </c>
      <c r="E116" s="40">
        <f>IFERROR(__xludf.DUMMYFUNCTION("COUNT(IMPORTRANGE(""https://docs.google.com/spreadsheets/d/130gLEONC13J8KkQ6dk06x3bLRy_jCrAw2hXatQf2W50/edit"",""5!d2:d61""))"),57.0)</f>
        <v>57</v>
      </c>
      <c r="F116" s="45">
        <f>IFERROR(__xludf.DUMMYFUNCTION("SUM(IMPORTRANGE(""https://docs.google.com/spreadsheets/d/130gLEONC13J8KkQ6dk06x3bLRy_jCrAw2hXatQf2W50/edit"",""5!Q2:Q61""))"),11401.359999999988)</f>
        <v>11401.36</v>
      </c>
      <c r="G116" s="40">
        <f>IFERROR(__xludf.DUMMYFUNCTION("IMPORTRANGE(""https://docs.google.com/spreadsheets/d/130gLEONC13J8KkQ6dk06x3bLRy_jCrAw2hXatQf2W50/edit"",""5!e68"")"),3430.0)</f>
        <v>3430</v>
      </c>
      <c r="H116" s="40">
        <f>IFERROR(__xludf.DUMMYFUNCTION("IMPORTRANGE(""https://docs.google.com/spreadsheets/d/130gLEONC13J8KkQ6dk06x3bLRy_jCrAw2hXatQf2W50/edit"",""5!e69"")"),0.0)</f>
        <v>0</v>
      </c>
      <c r="I116" s="40">
        <f t="shared" si="315"/>
        <v>3430</v>
      </c>
      <c r="J116" s="40">
        <f>IFERROR(__xludf.DUMMYFUNCTION("IMPORTRANGE(""https://docs.google.com/spreadsheets/d/130gLEONC13J8KkQ6dk06x3bLRy_jCrAw2hXatQf2W50/edit"",""5!e72"")"),5712.0)</f>
        <v>5712</v>
      </c>
      <c r="K116" s="40">
        <f>IFERROR(__xludf.DUMMYFUNCTION("IMPORTRANGE(""https://docs.google.com/spreadsheets/d/130gLEONC13J8KkQ6dk06x3bLRy_jCrAw2hXatQf2W50/edit"",""5!e73"")"),0.0)</f>
        <v>0</v>
      </c>
      <c r="L116" s="40">
        <f t="shared" si="316"/>
        <v>5712</v>
      </c>
      <c r="M116" s="40">
        <f t="shared" si="317"/>
        <v>9142</v>
      </c>
      <c r="N116" s="41">
        <f t="shared" si="318"/>
        <v>200.0238596</v>
      </c>
      <c r="O116" s="38">
        <v>11164.0</v>
      </c>
      <c r="P116" s="42">
        <f t="shared" si="319"/>
        <v>0.8188821211</v>
      </c>
      <c r="Q116" s="43">
        <v>1.5</v>
      </c>
      <c r="R116" s="42">
        <f t="shared" si="320"/>
        <v>0.5345561114</v>
      </c>
      <c r="S116" s="44">
        <f t="shared" si="321"/>
        <v>0.8018341672</v>
      </c>
      <c r="T116" s="43">
        <f>F116/29.603</f>
        <v>385.1420464</v>
      </c>
      <c r="U116" s="43">
        <f t="shared" si="322"/>
        <v>6.756878007</v>
      </c>
      <c r="V116" s="40">
        <f t="shared" si="323"/>
        <v>160.3859649</v>
      </c>
      <c r="X116" s="22">
        <v>6.0</v>
      </c>
      <c r="Y116" s="22" t="s">
        <v>31</v>
      </c>
      <c r="Z116" s="22">
        <f t="shared" ref="Z116:AI116" si="326">SUM(D131)</f>
        <v>15</v>
      </c>
      <c r="AA116" s="23">
        <f t="shared" si="326"/>
        <v>14</v>
      </c>
      <c r="AB116" s="25">
        <f t="shared" si="326"/>
        <v>2825.225</v>
      </c>
      <c r="AC116" s="23">
        <f t="shared" si="326"/>
        <v>882</v>
      </c>
      <c r="AD116" s="23">
        <f t="shared" si="326"/>
        <v>0</v>
      </c>
      <c r="AE116" s="23">
        <f t="shared" si="326"/>
        <v>882</v>
      </c>
      <c r="AF116" s="23">
        <f t="shared" si="326"/>
        <v>1138</v>
      </c>
      <c r="AG116" s="23">
        <f t="shared" si="326"/>
        <v>12</v>
      </c>
      <c r="AH116" s="23">
        <f t="shared" si="326"/>
        <v>1150</v>
      </c>
      <c r="AI116" s="23">
        <f t="shared" si="326"/>
        <v>2032</v>
      </c>
      <c r="AJ116" s="25">
        <f t="shared" si="327"/>
        <v>201.8017857</v>
      </c>
      <c r="AK116" s="22">
        <f t="shared" si="328"/>
        <v>2717</v>
      </c>
      <c r="AL116" s="26">
        <f t="shared" si="305"/>
        <v>0.7478836953</v>
      </c>
      <c r="AM116" s="27">
        <f t="shared" si="329"/>
        <v>1.5</v>
      </c>
      <c r="AN116" s="26">
        <f t="shared" si="307"/>
        <v>0.4794898341</v>
      </c>
      <c r="AO116" s="28">
        <f t="shared" si="308"/>
        <v>0.7192347512</v>
      </c>
      <c r="AP116" s="27">
        <f t="shared" ref="AP116:AQ116" si="330">SUM(T131)</f>
        <v>65</v>
      </c>
      <c r="AQ116" s="27">
        <f t="shared" si="330"/>
        <v>4.642857143</v>
      </c>
      <c r="AR116" s="23">
        <f t="shared" si="310"/>
        <v>145.1428571</v>
      </c>
    </row>
    <row r="117" ht="15.75" customHeight="1">
      <c r="A117" s="21"/>
      <c r="B117" s="38">
        <v>4.0</v>
      </c>
      <c r="C117" s="38" t="s">
        <v>32</v>
      </c>
      <c r="D117" s="39">
        <v>42.0</v>
      </c>
      <c r="E117" s="40">
        <f>IFERROR(__xludf.DUMMYFUNCTION("COUNT(IMPORTRANGE(""https://docs.google.com/spreadsheets/d/1gYHli7FuKQLm2Q-5LMR0UtkD-gRRA_p8s-phLPLDLgc/edit"",""5!d2:d43""))"),42.0)</f>
        <v>42</v>
      </c>
      <c r="F117" s="45">
        <f>IFERROR(__xludf.DUMMYFUNCTION("SUM(IMPORTRANGE(""https://docs.google.com/spreadsheets/d/1gYHli7FuKQLm2Q-5LMR0UtkD-gRRA_p8s-phLPLDLgc/edit"",""5!Q2:Q43""))"),8094.425999999994)</f>
        <v>8094.426</v>
      </c>
      <c r="G117" s="38">
        <f>IFERROR(__xludf.DUMMYFUNCTION("IMPORTRANGE(""https://docs.google.com/spreadsheets/d/1gYHli7FuKQLm2Q-5LMR0UtkD-gRRA_p8s-phLPLDLgc/edit"",""5!e50"")"),4825.0)</f>
        <v>4825</v>
      </c>
      <c r="H117" s="38">
        <f>IFERROR(__xludf.DUMMYFUNCTION("IMPORTRANGE(""https://docs.google.com/spreadsheets/d/1gYHli7FuKQLm2Q-5LMR0UtkD-gRRA_p8s-phLPLDLgc/edit"",""5!e51"")"),0.0)</f>
        <v>0</v>
      </c>
      <c r="I117" s="40">
        <f t="shared" si="315"/>
        <v>4825</v>
      </c>
      <c r="J117" s="38">
        <f>IFERROR(__xludf.DUMMYFUNCTION("IMPORTRANGE(""https://docs.google.com/spreadsheets/d/1gYHli7FuKQLm2Q-5LMR0UtkD-gRRA_p8s-phLPLDLgc/edit"",""5!e54"")"),5211.0)</f>
        <v>5211</v>
      </c>
      <c r="K117" s="38">
        <f>IFERROR(__xludf.DUMMYFUNCTION("IMPORTRANGE(""https://docs.google.com/spreadsheets/d/1gYHli7FuKQLm2Q-5LMR0UtkD-gRRA_p8s-phLPLDLgc/edit"",""5!e55"")"),0.0)</f>
        <v>0</v>
      </c>
      <c r="L117" s="40">
        <f t="shared" si="316"/>
        <v>5211</v>
      </c>
      <c r="M117" s="40">
        <f t="shared" si="317"/>
        <v>10036</v>
      </c>
      <c r="N117" s="41">
        <f t="shared" si="318"/>
        <v>192.7244286</v>
      </c>
      <c r="O117" s="38">
        <v>13817.0</v>
      </c>
      <c r="P117" s="42">
        <f t="shared" si="319"/>
        <v>0.7263515959</v>
      </c>
      <c r="Q117" s="43">
        <v>1.5</v>
      </c>
      <c r="R117" s="42">
        <f t="shared" si="320"/>
        <v>0.8265770379</v>
      </c>
      <c r="S117" s="44">
        <f t="shared" si="321"/>
        <v>1.239865557</v>
      </c>
      <c r="T117" s="43">
        <f>F117/25.089</f>
        <v>322.6284826</v>
      </c>
      <c r="U117" s="43">
        <f t="shared" si="322"/>
        <v>7.681630538</v>
      </c>
      <c r="V117" s="40">
        <f t="shared" si="323"/>
        <v>238.952381</v>
      </c>
      <c r="X117" s="46" t="s">
        <v>33</v>
      </c>
      <c r="Y117" s="46">
        <v>6.0</v>
      </c>
      <c r="Z117" s="46">
        <f t="shared" ref="Z117:AI117" si="331">SUM(Z111:Z116)</f>
        <v>186</v>
      </c>
      <c r="AA117" s="47">
        <f t="shared" si="331"/>
        <v>181</v>
      </c>
      <c r="AB117" s="48">
        <f t="shared" si="331"/>
        <v>34984.881</v>
      </c>
      <c r="AC117" s="47">
        <f t="shared" si="331"/>
        <v>11053</v>
      </c>
      <c r="AD117" s="47">
        <f t="shared" si="331"/>
        <v>482</v>
      </c>
      <c r="AE117" s="47">
        <f t="shared" si="331"/>
        <v>11535</v>
      </c>
      <c r="AF117" s="47">
        <f t="shared" si="331"/>
        <v>16248</v>
      </c>
      <c r="AG117" s="47">
        <f t="shared" si="331"/>
        <v>541</v>
      </c>
      <c r="AH117" s="47">
        <f t="shared" si="331"/>
        <v>16789</v>
      </c>
      <c r="AI117" s="47">
        <f t="shared" si="331"/>
        <v>28324</v>
      </c>
      <c r="AJ117" s="49">
        <f t="shared" si="327"/>
        <v>193.2866354</v>
      </c>
      <c r="AK117" s="46">
        <f>SUM(AK111:AK116)</f>
        <v>35074</v>
      </c>
      <c r="AL117" s="50">
        <f t="shared" si="305"/>
        <v>0.807549752</v>
      </c>
      <c r="AM117" s="51">
        <v>1.5</v>
      </c>
      <c r="AN117" s="50">
        <f t="shared" si="307"/>
        <v>0.5397379133</v>
      </c>
      <c r="AO117" s="52">
        <f t="shared" si="308"/>
        <v>0.8096068699</v>
      </c>
      <c r="AP117" s="51">
        <f>SUM(AP111:AP116)</f>
        <v>1320.664783</v>
      </c>
      <c r="AQ117" s="51">
        <f>AP117/AA117</f>
        <v>7.296490516</v>
      </c>
      <c r="AR117" s="47">
        <f t="shared" si="310"/>
        <v>156.4861878</v>
      </c>
    </row>
    <row r="118" ht="15.75" customHeight="1">
      <c r="A118" s="21"/>
      <c r="B118" s="38">
        <v>5.0</v>
      </c>
      <c r="C118" s="38" t="s">
        <v>34</v>
      </c>
      <c r="D118" s="39">
        <v>40.0</v>
      </c>
      <c r="E118" s="40">
        <f>IFERROR(__xludf.DUMMYFUNCTION("COUNT(IMPORTRANGE(""https://docs.google.com/spreadsheets/d/1ptS0qWBCKWkc9h2aXWT_YgMhN7yIv5WgAHRbF8l9Zpo/edit"",""5!d2:d41""))"),37.0)</f>
        <v>37</v>
      </c>
      <c r="F118" s="45">
        <f>IFERROR(__xludf.DUMMYFUNCTION("SUM(IMPORTRANGE(""https://docs.google.com/spreadsheets/d/1ptS0qWBCKWkc9h2aXWT_YgMhN7yIv5WgAHRbF8l9Zpo/edit"",""5!Q2:Q41""))"),7270.302000000002)</f>
        <v>7270.302</v>
      </c>
      <c r="G118" s="40">
        <f>IFERROR(__xludf.DUMMYFUNCTION("IMPORTRANGE(""https://docs.google.com/spreadsheets/d/1ptS0qWBCKWkc9h2aXWT_YgMhN7yIv5WgAHRbF8l9Zpo/edit"",""5!e48"")"),2664.0)</f>
        <v>2664</v>
      </c>
      <c r="H118" s="40">
        <f>IFERROR(__xludf.DUMMYFUNCTION("IMPORTRANGE(""https://docs.google.com/spreadsheets/d/1ptS0qWBCKWkc9h2aXWT_YgMhN7yIv5WgAHRbF8l9Zpo/edit"",""5!e49"")"),0.0)</f>
        <v>0</v>
      </c>
      <c r="I118" s="40">
        <f t="shared" si="315"/>
        <v>2664</v>
      </c>
      <c r="J118" s="40">
        <f>IFERROR(__xludf.DUMMYFUNCTION("IMPORTRANGE(""https://docs.google.com/spreadsheets/d/1ptS0qWBCKWkc9h2aXWT_YgMhN7yIv5WgAHRbF8l9Zpo/edit"",""5!e52"")"),3497.0)</f>
        <v>3497</v>
      </c>
      <c r="K118" s="40">
        <f>IFERROR(__xludf.DUMMYFUNCTION("IMPORTRANGE(""https://docs.google.com/spreadsheets/d/1ptS0qWBCKWkc9h2aXWT_YgMhN7yIv5WgAHRbF8l9Zpo/edit"",""5!e53"")"),0.0)</f>
        <v>0</v>
      </c>
      <c r="L118" s="40">
        <f t="shared" si="316"/>
        <v>3497</v>
      </c>
      <c r="M118" s="40">
        <f t="shared" si="317"/>
        <v>6161</v>
      </c>
      <c r="N118" s="41">
        <f t="shared" si="318"/>
        <v>196.4946486</v>
      </c>
      <c r="O118" s="38">
        <v>9354.0</v>
      </c>
      <c r="P118" s="42">
        <f t="shared" si="319"/>
        <v>0.6586487064</v>
      </c>
      <c r="Q118" s="43">
        <v>1.5</v>
      </c>
      <c r="R118" s="42">
        <f t="shared" si="320"/>
        <v>0.5649467289</v>
      </c>
      <c r="S118" s="44">
        <f t="shared" si="321"/>
        <v>0.8474200934</v>
      </c>
      <c r="T118" s="43">
        <f>F118/30.713</f>
        <v>236.7174161</v>
      </c>
      <c r="U118" s="43">
        <f t="shared" si="322"/>
        <v>6.397768002</v>
      </c>
      <c r="V118" s="40">
        <f t="shared" si="323"/>
        <v>166.5135135</v>
      </c>
      <c r="X118" s="53" t="s">
        <v>35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6"/>
    </row>
    <row r="119" ht="15.75" customHeight="1">
      <c r="A119" s="21"/>
      <c r="B119" s="38">
        <v>6.0</v>
      </c>
      <c r="C119" s="38" t="s">
        <v>23</v>
      </c>
      <c r="D119" s="39">
        <v>35.0</v>
      </c>
      <c r="E119" s="40">
        <f>IFERROR(__xludf.DUMMYFUNCTION("COUNT(IMPORTRANGE(""https://docs.google.com/spreadsheets/d/1829CoYW82aTBBUgqkPnJa94KlBWI-DowAnP4ENQCmaQ/edit"",""5!d2:d36""))"),33.0)</f>
        <v>33</v>
      </c>
      <c r="F119" s="45">
        <f>IFERROR(__xludf.DUMMYFUNCTION("SUM(IMPORTRANGE(""https://docs.google.com/spreadsheets/d/1829CoYW82aTBBUgqkPnJa94KlBWI-DowAnP4ENQCmaQ/edit"",""5!Q2:Q36""))"),6579.299999999996)</f>
        <v>6579.3</v>
      </c>
      <c r="G119" s="40">
        <f>IFERROR(__xludf.DUMMYFUNCTION("IMPORTRANGE(""https://docs.google.com/spreadsheets/d/1829CoYW82aTBBUgqkPnJa94KlBWI-DowAnP4ENQCmaQ/edit"",""5!e43"")"),1845.0)</f>
        <v>1845</v>
      </c>
      <c r="H119" s="40">
        <f>IFERROR(__xludf.DUMMYFUNCTION("IMPORTRANGE(""https://docs.google.com/spreadsheets/d/1829CoYW82aTBBUgqkPnJa94KlBWI-DowAnP4ENQCmaQ/edit"",""5!e44"")"),0.0)</f>
        <v>0</v>
      </c>
      <c r="I119" s="40">
        <f t="shared" si="315"/>
        <v>1845</v>
      </c>
      <c r="J119" s="40">
        <f>IFERROR(__xludf.DUMMYFUNCTION("IMPORTRANGE(""https://docs.google.com/spreadsheets/d/1829CoYW82aTBBUgqkPnJa94KlBWI-DowAnP4ENQCmaQ/edit"",""5!e47"")"),3074.0)</f>
        <v>3074</v>
      </c>
      <c r="K119" s="40">
        <f>IFERROR(__xludf.DUMMYFUNCTION("IMPORTRANGE(""https://docs.google.com/spreadsheets/d/1829CoYW82aTBBUgqkPnJa94KlBWI-DowAnP4ENQCmaQ/edit"",""5!e48"")"),0.0)</f>
        <v>0</v>
      </c>
      <c r="L119" s="40">
        <f t="shared" si="316"/>
        <v>3074</v>
      </c>
      <c r="M119" s="40">
        <f t="shared" si="317"/>
        <v>4919</v>
      </c>
      <c r="N119" s="41">
        <f t="shared" si="318"/>
        <v>199.3727273</v>
      </c>
      <c r="O119" s="38">
        <v>6853.0</v>
      </c>
      <c r="P119" s="42">
        <f t="shared" si="319"/>
        <v>0.7177878301</v>
      </c>
      <c r="Q119" s="43">
        <v>1.5</v>
      </c>
      <c r="R119" s="42">
        <f t="shared" si="320"/>
        <v>0.4984319507</v>
      </c>
      <c r="S119" s="44">
        <f t="shared" si="321"/>
        <v>0.7476479261</v>
      </c>
      <c r="T119" s="43">
        <f>F119/33.74</f>
        <v>195</v>
      </c>
      <c r="U119" s="43">
        <f t="shared" si="322"/>
        <v>5.909090909</v>
      </c>
      <c r="V119" s="40">
        <f t="shared" si="323"/>
        <v>149.0606061</v>
      </c>
      <c r="X119" s="14" t="s">
        <v>2</v>
      </c>
      <c r="Y119" s="14" t="s">
        <v>3</v>
      </c>
      <c r="Z119" s="14" t="s">
        <v>4</v>
      </c>
      <c r="AA119" s="14" t="s">
        <v>5</v>
      </c>
      <c r="AB119" s="15" t="s">
        <v>6</v>
      </c>
      <c r="AC119" s="14" t="s">
        <v>7</v>
      </c>
      <c r="AD119" s="14" t="s">
        <v>8</v>
      </c>
      <c r="AE119" s="14" t="s">
        <v>9</v>
      </c>
      <c r="AF119" s="14" t="s">
        <v>10</v>
      </c>
      <c r="AG119" s="14" t="s">
        <v>11</v>
      </c>
      <c r="AH119" s="14" t="s">
        <v>12</v>
      </c>
      <c r="AI119" s="14" t="s">
        <v>13</v>
      </c>
      <c r="AJ119" s="15" t="s">
        <v>14</v>
      </c>
      <c r="AK119" s="14" t="s">
        <v>15</v>
      </c>
      <c r="AL119" s="14" t="s">
        <v>16</v>
      </c>
      <c r="AM119" s="16" t="s">
        <v>17</v>
      </c>
      <c r="AN119" s="17" t="s">
        <v>18</v>
      </c>
      <c r="AO119" s="18" t="s">
        <v>19</v>
      </c>
      <c r="AP119" s="19" t="s">
        <v>20</v>
      </c>
      <c r="AQ119" s="19" t="s">
        <v>21</v>
      </c>
      <c r="AR119" s="20" t="s">
        <v>22</v>
      </c>
    </row>
    <row r="120" ht="15.75" customHeight="1">
      <c r="A120" s="21"/>
      <c r="B120" s="38">
        <v>7.0</v>
      </c>
      <c r="C120" s="38" t="s">
        <v>24</v>
      </c>
      <c r="D120" s="39">
        <v>44.0</v>
      </c>
      <c r="E120" s="54">
        <f>IFERROR(__xludf.DUMMYFUNCTION("COUNT(IMPORTRANGE(""https://docs.google.com/spreadsheets/d/1E2x4oDZxEIsuC5nl-5Z0--MoN8b1dt9SbpRcCfNP84Q/edit"",""5!d2:d45""))"),43.0)</f>
        <v>43</v>
      </c>
      <c r="F120" s="55">
        <f>IFERROR(__xludf.DUMMYFUNCTION("SUM(IMPORTRANGE(""https://docs.google.com/spreadsheets/d/1E2x4oDZxEIsuC5nl-5Z0--MoN8b1dt9SbpRcCfNP84Q/edit"",""5!Q2:Q45""))"),8326.559999999994)</f>
        <v>8326.56</v>
      </c>
      <c r="G120" s="54">
        <f>IFERROR(__xludf.DUMMYFUNCTION("IMPORTRANGE(""https://docs.google.com/spreadsheets/d/1E2x4oDZxEIsuC5nl-5Z0--MoN8b1dt9SbpRcCfNP84Q/edit"",""5!e53"")"),1090.0)</f>
        <v>1090</v>
      </c>
      <c r="H120" s="54">
        <f>IFERROR(__xludf.DUMMYFUNCTION("IMPORTRANGE(""https://docs.google.com/spreadsheets/d/1E2x4oDZxEIsuC5nl-5Z0--MoN8b1dt9SbpRcCfNP84Q/edit"",""5!e54"")"),0.0)</f>
        <v>0</v>
      </c>
      <c r="I120" s="54">
        <f t="shared" si="315"/>
        <v>1090</v>
      </c>
      <c r="J120" s="54">
        <f>IFERROR(__xludf.DUMMYFUNCTION("IMPORTRANGE(""https://docs.google.com/spreadsheets/d/1E2x4oDZxEIsuC5nl-5Z0--MoN8b1dt9SbpRcCfNP84Q/edit"",""5!e57"")"),1521.0)</f>
        <v>1521</v>
      </c>
      <c r="K120" s="54">
        <f>IFERROR(__xludf.DUMMYFUNCTION("IMPORTRANGE(""https://docs.google.com/spreadsheets/d/1E2x4oDZxEIsuC5nl-5Z0--MoN8b1dt9SbpRcCfNP84Q/edit"",""5!e58"")"),0.0)</f>
        <v>0</v>
      </c>
      <c r="L120" s="40">
        <f t="shared" si="316"/>
        <v>1521</v>
      </c>
      <c r="M120" s="40">
        <f t="shared" si="317"/>
        <v>2611</v>
      </c>
      <c r="N120" s="41">
        <f t="shared" si="318"/>
        <v>193.6409302</v>
      </c>
      <c r="O120" s="38">
        <v>1580.0</v>
      </c>
      <c r="P120" s="56">
        <f t="shared" si="319"/>
        <v>1.652531646</v>
      </c>
      <c r="Q120" s="43">
        <v>1.5</v>
      </c>
      <c r="R120" s="42">
        <f t="shared" si="320"/>
        <v>0.2090499158</v>
      </c>
      <c r="S120" s="44">
        <f t="shared" si="321"/>
        <v>0.3135748737</v>
      </c>
      <c r="T120" s="43">
        <f>F120/26.805</f>
        <v>310.6345831</v>
      </c>
      <c r="U120" s="43">
        <f t="shared" si="322"/>
        <v>7.224060072</v>
      </c>
      <c r="V120" s="40">
        <f t="shared" si="323"/>
        <v>60.72093023</v>
      </c>
      <c r="X120" s="22">
        <v>1.0</v>
      </c>
      <c r="Y120" s="22" t="s">
        <v>28</v>
      </c>
      <c r="Z120" s="22">
        <f t="shared" ref="Z120:AI120" si="332">SUM(D115)</f>
        <v>33</v>
      </c>
      <c r="AA120" s="23">
        <f t="shared" si="332"/>
        <v>33</v>
      </c>
      <c r="AB120" s="25">
        <f t="shared" si="332"/>
        <v>6405.245</v>
      </c>
      <c r="AC120" s="23">
        <f t="shared" si="332"/>
        <v>2651</v>
      </c>
      <c r="AD120" s="23">
        <f t="shared" si="332"/>
        <v>213</v>
      </c>
      <c r="AE120" s="23">
        <f t="shared" si="332"/>
        <v>2864</v>
      </c>
      <c r="AF120" s="23">
        <f t="shared" si="332"/>
        <v>3203</v>
      </c>
      <c r="AG120" s="23">
        <f t="shared" si="332"/>
        <v>157</v>
      </c>
      <c r="AH120" s="23">
        <f t="shared" si="332"/>
        <v>3360</v>
      </c>
      <c r="AI120" s="23">
        <f t="shared" si="332"/>
        <v>6224</v>
      </c>
      <c r="AJ120" s="25">
        <f t="shared" ref="AJ120:AJ126" si="335">AB120/AA120</f>
        <v>194.0983333</v>
      </c>
      <c r="AK120" s="22">
        <f t="shared" ref="AK120:AK121" si="336">SUM(O115)</f>
        <v>7315</v>
      </c>
      <c r="AL120" s="26">
        <f t="shared" ref="AL120:AL126" si="337">AI120/AK120</f>
        <v>0.8508544087</v>
      </c>
      <c r="AM120" s="27">
        <f t="shared" ref="AM120:AM121" si="338">SUM(Q115)</f>
        <v>1.5</v>
      </c>
      <c r="AN120" s="26">
        <f t="shared" ref="AN120:AN126" si="339">AO120/AM120</f>
        <v>0.647802439</v>
      </c>
      <c r="AO120" s="28">
        <f t="shared" ref="AO120:AO126" si="340">AI120/AB120</f>
        <v>0.9717036585</v>
      </c>
      <c r="AP120" s="27">
        <f t="shared" ref="AP120:AQ120" si="333">SUM(T115)</f>
        <v>207.3096093</v>
      </c>
      <c r="AQ120" s="27">
        <f t="shared" si="333"/>
        <v>6.282109374</v>
      </c>
      <c r="AR120" s="23">
        <f t="shared" ref="AR120:AR126" si="342">AI120/AA120</f>
        <v>188.6060606</v>
      </c>
    </row>
    <row r="121" ht="15.75" customHeight="1">
      <c r="A121" s="21"/>
      <c r="B121" s="38">
        <v>8.0</v>
      </c>
      <c r="C121" s="38" t="s">
        <v>25</v>
      </c>
      <c r="D121" s="57">
        <v>32.0</v>
      </c>
      <c r="E121" s="40">
        <f>IFERROR(__xludf.DUMMYFUNCTION("COUNT(IMPORTRANGE(""https://docs.google.com/spreadsheets/d/1KbRFOEYB0B44J_NSh1MwYQ1sLDlZXUHI-wuMLcZDn5k/edit"",""5!d2:D33""))"),32.0)</f>
        <v>32</v>
      </c>
      <c r="F121" s="45">
        <f>IFERROR(__xludf.DUMMYFUNCTION("SUM(IMPORTRANGE(""https://docs.google.com/spreadsheets/d/1KbRFOEYB0B44J_NSh1MwYQ1sLDlZXUHI-wuMLcZDn5k/edit"",""5!Q2:Q33""))"),5805.924000000002)</f>
        <v>5805.924</v>
      </c>
      <c r="G121" s="40">
        <f>IFERROR(__xludf.DUMMYFUNCTION("IMPORTRANGE(""https://docs.google.com/spreadsheets/d/1KbRFOEYB0B44J_NSh1MwYQ1sLDlZXUHI-wuMLcZDn5k/edit"",""5!e40"")"),2185.0)</f>
        <v>2185</v>
      </c>
      <c r="H121" s="40">
        <f>IFERROR(__xludf.DUMMYFUNCTION("IMPORTRANGE(""https://docs.google.com/spreadsheets/d/1KbRFOEYB0B44J_NSh1MwYQ1sLDlZXUHI-wuMLcZDn5k/edit"",""5!e41"")"),379.0)</f>
        <v>379</v>
      </c>
      <c r="I121" s="40">
        <f t="shared" si="315"/>
        <v>2564</v>
      </c>
      <c r="J121" s="40">
        <f>IFERROR(__xludf.DUMMYFUNCTION("IMPORTRANGE(""https://docs.google.com/spreadsheets/d/1KbRFOEYB0B44J_NSh1MwYQ1sLDlZXUHI-wuMLcZDn5k/edit"",""5!e44"")"),3145.0)</f>
        <v>3145</v>
      </c>
      <c r="K121" s="40">
        <f>IFERROR(__xludf.DUMMYFUNCTION("IMPORTRANGE(""https://docs.google.com/spreadsheets/d/1KbRFOEYB0B44J_NSh1MwYQ1sLDlZXUHI-wuMLcZDn5k/edit"",""5!e45"")"),413.0)</f>
        <v>413</v>
      </c>
      <c r="L121" s="40">
        <f>J121+K121</f>
        <v>3558</v>
      </c>
      <c r="M121" s="40">
        <f t="shared" si="317"/>
        <v>6122</v>
      </c>
      <c r="N121" s="41">
        <f t="shared" si="318"/>
        <v>181.435125</v>
      </c>
      <c r="O121" s="38">
        <v>6622.0</v>
      </c>
      <c r="P121" s="42">
        <f t="shared" si="319"/>
        <v>0.9244941105</v>
      </c>
      <c r="Q121" s="43">
        <v>1.5</v>
      </c>
      <c r="R121" s="42">
        <f t="shared" si="320"/>
        <v>0.7029601719</v>
      </c>
      <c r="S121" s="44">
        <f t="shared" si="321"/>
        <v>1.054440258</v>
      </c>
      <c r="T121" s="43">
        <f>F121/23.84</f>
        <v>243.5370805</v>
      </c>
      <c r="U121" s="43">
        <f t="shared" si="322"/>
        <v>7.610533767</v>
      </c>
      <c r="V121" s="40">
        <f t="shared" si="323"/>
        <v>191.3125</v>
      </c>
      <c r="X121" s="31">
        <v>2.0</v>
      </c>
      <c r="Y121" s="31" t="s">
        <v>30</v>
      </c>
      <c r="Z121" s="31">
        <f t="shared" ref="Z121:AI121" si="334">SUM(D116)</f>
        <v>60</v>
      </c>
      <c r="AA121" s="32">
        <f t="shared" si="334"/>
        <v>57</v>
      </c>
      <c r="AB121" s="33">
        <f t="shared" si="334"/>
        <v>11401.36</v>
      </c>
      <c r="AC121" s="32">
        <f t="shared" si="334"/>
        <v>3430</v>
      </c>
      <c r="AD121" s="32">
        <f t="shared" si="334"/>
        <v>0</v>
      </c>
      <c r="AE121" s="32">
        <f t="shared" si="334"/>
        <v>3430</v>
      </c>
      <c r="AF121" s="32">
        <f t="shared" si="334"/>
        <v>5712</v>
      </c>
      <c r="AG121" s="32">
        <f t="shared" si="334"/>
        <v>0</v>
      </c>
      <c r="AH121" s="32">
        <f t="shared" si="334"/>
        <v>5712</v>
      </c>
      <c r="AI121" s="32">
        <f t="shared" si="334"/>
        <v>9142</v>
      </c>
      <c r="AJ121" s="34">
        <f t="shared" si="335"/>
        <v>200.0238596</v>
      </c>
      <c r="AK121" s="31">
        <f t="shared" si="336"/>
        <v>11164</v>
      </c>
      <c r="AL121" s="35">
        <f t="shared" si="337"/>
        <v>0.8188821211</v>
      </c>
      <c r="AM121" s="36">
        <f t="shared" si="338"/>
        <v>1.5</v>
      </c>
      <c r="AN121" s="35">
        <f t="shared" si="339"/>
        <v>0.5345561114</v>
      </c>
      <c r="AO121" s="37">
        <f t="shared" si="340"/>
        <v>0.8018341672</v>
      </c>
      <c r="AP121" s="36">
        <f t="shared" ref="AP121:AQ121" si="341">SUM(T116)</f>
        <v>385.1420464</v>
      </c>
      <c r="AQ121" s="36">
        <f t="shared" si="341"/>
        <v>6.756878007</v>
      </c>
      <c r="AR121" s="32">
        <f t="shared" si="342"/>
        <v>160.3859649</v>
      </c>
    </row>
    <row r="122" ht="15.75" customHeight="1">
      <c r="A122" s="21"/>
      <c r="B122" s="38">
        <v>9.0</v>
      </c>
      <c r="C122" s="38" t="s">
        <v>36</v>
      </c>
      <c r="D122" s="58">
        <v>29.0</v>
      </c>
      <c r="E122" s="40">
        <f>IFERROR(__xludf.DUMMYFUNCTION("COUNT(IMPORTRANGE(""https://docs.google.com/spreadsheets/d/1VqqqRGfmmkT0JC4ILJva2p8P11jjV0FX-TSKAaqOigw/edit"",""5!d2:d31""))"),28.0)</f>
        <v>28</v>
      </c>
      <c r="F122" s="45">
        <f>IFERROR(__xludf.DUMMYFUNCTION("SUM(IMPORTRANGE(""https://docs.google.com/spreadsheets/d/1VqqqRGfmmkT0JC4ILJva2p8P11jjV0FX-TSKAaqOigw/edit"",""5!Q2:Q31""))"),5473.969000000002)</f>
        <v>5473.969</v>
      </c>
      <c r="G122" s="40">
        <f>IFERROR(__xludf.DUMMYFUNCTION("IMPORTRANGE(""https://docs.google.com/spreadsheets/d/1VqqqRGfmmkT0JC4ILJva2p8P11jjV0FX-TSKAaqOigw/edit"",""5!e38"")"),1551.0)</f>
        <v>1551</v>
      </c>
      <c r="H122" s="40">
        <f>IFERROR(__xludf.DUMMYFUNCTION("IMPORTRANGE(""https://docs.google.com/spreadsheets/d/1VqqqRGfmmkT0JC4ILJva2p8P11jjV0FX-TSKAaqOigw/edit"",""5!e39"")"),0.0)</f>
        <v>0</v>
      </c>
      <c r="I122" s="40">
        <f t="shared" si="315"/>
        <v>1551</v>
      </c>
      <c r="J122" s="40">
        <f>IFERROR(__xludf.DUMMYFUNCTION("IMPORTRANGE(""https://docs.google.com/spreadsheets/d/1VqqqRGfmmkT0JC4ILJva2p8P11jjV0FX-TSKAaqOigw/edit"",""5!e42"")"),2359.0)</f>
        <v>2359</v>
      </c>
      <c r="K122" s="40">
        <f>IFERROR(__xludf.DUMMYFUNCTION("IMPORTRANGE(""https://docs.google.com/spreadsheets/d/1VqqqRGfmmkT0JC4ILJva2p8P11jjV0FX-TSKAaqOigw/edit"",""5!e43"")"),0.0)</f>
        <v>0</v>
      </c>
      <c r="L122" s="40">
        <f t="shared" ref="L122:L131" si="345">SUM(J122:K122)</f>
        <v>2359</v>
      </c>
      <c r="M122" s="40">
        <f t="shared" si="317"/>
        <v>3910</v>
      </c>
      <c r="N122" s="41">
        <f t="shared" si="318"/>
        <v>195.4988929</v>
      </c>
      <c r="O122" s="38">
        <v>4796.0</v>
      </c>
      <c r="P122" s="42">
        <f t="shared" si="319"/>
        <v>0.8152627189</v>
      </c>
      <c r="Q122" s="43">
        <v>1.5</v>
      </c>
      <c r="R122" s="42">
        <f t="shared" si="320"/>
        <v>0.4761931729</v>
      </c>
      <c r="S122" s="44">
        <f t="shared" si="321"/>
        <v>0.7142897594</v>
      </c>
      <c r="T122" s="43">
        <f>F122/37.414</f>
        <v>146.3080398</v>
      </c>
      <c r="U122" s="43">
        <f t="shared" si="322"/>
        <v>5.225287135</v>
      </c>
      <c r="V122" s="40">
        <f t="shared" si="323"/>
        <v>139.6428571</v>
      </c>
      <c r="X122" s="22">
        <v>3.0</v>
      </c>
      <c r="Y122" s="22" t="s">
        <v>34</v>
      </c>
      <c r="Z122" s="22">
        <f t="shared" ref="Z122:AI122" si="343">SUM(D118)</f>
        <v>40</v>
      </c>
      <c r="AA122" s="23">
        <f t="shared" si="343"/>
        <v>37</v>
      </c>
      <c r="AB122" s="24">
        <f t="shared" si="343"/>
        <v>7270.302</v>
      </c>
      <c r="AC122" s="23">
        <f t="shared" si="343"/>
        <v>2664</v>
      </c>
      <c r="AD122" s="23">
        <f t="shared" si="343"/>
        <v>0</v>
      </c>
      <c r="AE122" s="23">
        <f t="shared" si="343"/>
        <v>2664</v>
      </c>
      <c r="AF122" s="23">
        <f t="shared" si="343"/>
        <v>3497</v>
      </c>
      <c r="AG122" s="23">
        <f t="shared" si="343"/>
        <v>0</v>
      </c>
      <c r="AH122" s="23">
        <f t="shared" si="343"/>
        <v>3497</v>
      </c>
      <c r="AI122" s="23">
        <f t="shared" si="343"/>
        <v>6161</v>
      </c>
      <c r="AJ122" s="25">
        <f t="shared" si="335"/>
        <v>196.4946486</v>
      </c>
      <c r="AK122" s="22">
        <f>SUM(O118)</f>
        <v>9354</v>
      </c>
      <c r="AL122" s="26">
        <f t="shared" si="337"/>
        <v>0.6586487064</v>
      </c>
      <c r="AM122" s="27">
        <f>SUM(Q118)</f>
        <v>1.5</v>
      </c>
      <c r="AN122" s="26">
        <f t="shared" si="339"/>
        <v>0.5649467289</v>
      </c>
      <c r="AO122" s="28">
        <f t="shared" si="340"/>
        <v>0.8474200934</v>
      </c>
      <c r="AP122" s="27">
        <f t="shared" ref="AP122:AQ122" si="344">SUM(T118)</f>
        <v>236.7174161</v>
      </c>
      <c r="AQ122" s="27">
        <f t="shared" si="344"/>
        <v>6.397768002</v>
      </c>
      <c r="AR122" s="23">
        <f t="shared" si="342"/>
        <v>166.5135135</v>
      </c>
    </row>
    <row r="123" ht="15.75" customHeight="1">
      <c r="A123" s="21"/>
      <c r="B123" s="38">
        <v>10.0</v>
      </c>
      <c r="C123" s="38" t="s">
        <v>37</v>
      </c>
      <c r="D123" s="39">
        <v>30.0</v>
      </c>
      <c r="E123" s="40">
        <f>IFERROR(__xludf.DUMMYFUNCTION("COUNT(IMPORTRANGE(""https://docs.google.com/spreadsheets/d/1IYeRjQd_D6MRqoBKNaky3aSEUloYCJc5XDnPAbdyetk/edit"",""5!d2:d31""))"),30.0)</f>
        <v>30</v>
      </c>
      <c r="F123" s="45">
        <f>IFERROR(__xludf.DUMMYFUNCTION("SUM(IMPORTRANGE(""https://docs.google.com/spreadsheets/d/1IYeRjQd_D6MRqoBKNaky3aSEUloYCJc5XDnPAbdyetk/edit"",""5!Q2:Q31""))"),5688.228000000001)</f>
        <v>5688.228</v>
      </c>
      <c r="G123" s="40">
        <f>IFERROR(__xludf.DUMMYFUNCTION("(IMPORTRANGE(""https://docs.google.com/spreadsheets/d/1IYeRjQd_D6MRqoBKNaky3aSEUloYCJc5XDnPAbdyetk/edit"",""5!e38""))"),1661.0)</f>
        <v>1661</v>
      </c>
      <c r="H123" s="40">
        <f>IFERROR(__xludf.DUMMYFUNCTION("(IMPORTRANGE(""https://docs.google.com/spreadsheets/d/1IYeRjQd_D6MRqoBKNaky3aSEUloYCJc5XDnPAbdyetk/edit"",""5!e39""))"),56.0)</f>
        <v>56</v>
      </c>
      <c r="I123" s="40">
        <f t="shared" si="315"/>
        <v>1717</v>
      </c>
      <c r="J123" s="40">
        <f>IFERROR(__xludf.DUMMYFUNCTION("(IMPORTRANGE(""https://docs.google.com/spreadsheets/d/1IYeRjQd_D6MRqoBKNaky3aSEUloYCJc5XDnPAbdyetk/edit"",""5!e42""))"),3074.0)</f>
        <v>3074</v>
      </c>
      <c r="K123" s="40">
        <f>IFERROR(__xludf.DUMMYFUNCTION("(IMPORTRANGE(""https://docs.google.com/spreadsheets/d/1IYeRjQd_D6MRqoBKNaky3aSEUloYCJc5XDnPAbdyetk/edit"",""5!e43""))"),105.0)</f>
        <v>105</v>
      </c>
      <c r="L123" s="40">
        <f t="shared" si="345"/>
        <v>3179</v>
      </c>
      <c r="M123" s="40">
        <f t="shared" si="317"/>
        <v>4896</v>
      </c>
      <c r="N123" s="41">
        <f t="shared" si="318"/>
        <v>189.6076</v>
      </c>
      <c r="O123" s="38">
        <v>5887.0</v>
      </c>
      <c r="P123" s="42">
        <f t="shared" si="319"/>
        <v>0.8316629862</v>
      </c>
      <c r="Q123" s="43">
        <v>1.5</v>
      </c>
      <c r="R123" s="42">
        <f t="shared" si="320"/>
        <v>0.5738166614</v>
      </c>
      <c r="S123" s="44">
        <f t="shared" si="321"/>
        <v>0.860724992</v>
      </c>
      <c r="T123" s="43">
        <f>F123/24.792</f>
        <v>229.4380445</v>
      </c>
      <c r="U123" s="43">
        <f t="shared" si="322"/>
        <v>7.647934818</v>
      </c>
      <c r="V123" s="40">
        <f t="shared" si="323"/>
        <v>163.2</v>
      </c>
      <c r="X123" s="31">
        <v>4.0</v>
      </c>
      <c r="Y123" s="31" t="s">
        <v>38</v>
      </c>
      <c r="Z123" s="31">
        <f t="shared" ref="Z123:AI123" si="346">SUM(D126)</f>
        <v>30</v>
      </c>
      <c r="AA123" s="32">
        <f t="shared" si="346"/>
        <v>30</v>
      </c>
      <c r="AB123" s="33">
        <f t="shared" si="346"/>
        <v>6119.458</v>
      </c>
      <c r="AC123" s="32">
        <f t="shared" si="346"/>
        <v>2098</v>
      </c>
      <c r="AD123" s="32">
        <f t="shared" si="346"/>
        <v>0</v>
      </c>
      <c r="AE123" s="32">
        <f t="shared" si="346"/>
        <v>2098</v>
      </c>
      <c r="AF123" s="32">
        <f t="shared" si="346"/>
        <v>2749</v>
      </c>
      <c r="AG123" s="32">
        <f t="shared" si="346"/>
        <v>203</v>
      </c>
      <c r="AH123" s="32">
        <f t="shared" si="346"/>
        <v>2952</v>
      </c>
      <c r="AI123" s="32">
        <f t="shared" si="346"/>
        <v>5050</v>
      </c>
      <c r="AJ123" s="34">
        <f t="shared" si="335"/>
        <v>203.9819333</v>
      </c>
      <c r="AK123" s="31">
        <v>7324.0</v>
      </c>
      <c r="AL123" s="35">
        <f t="shared" si="337"/>
        <v>0.6895139268</v>
      </c>
      <c r="AM123" s="36">
        <f>SUM(Q126)</f>
        <v>1.5</v>
      </c>
      <c r="AN123" s="35">
        <f t="shared" si="339"/>
        <v>0.5501576556</v>
      </c>
      <c r="AO123" s="37">
        <f t="shared" si="340"/>
        <v>0.8252364834</v>
      </c>
      <c r="AP123" s="36">
        <f t="shared" ref="AP123:AQ123" si="347">SUM(T126)</f>
        <v>148.5125106</v>
      </c>
      <c r="AQ123" s="36">
        <f t="shared" si="347"/>
        <v>4.950417021</v>
      </c>
      <c r="AR123" s="32">
        <f t="shared" si="342"/>
        <v>168.3333333</v>
      </c>
    </row>
    <row r="124" ht="15.75" customHeight="1">
      <c r="A124" s="21"/>
      <c r="B124" s="38">
        <v>12.0</v>
      </c>
      <c r="C124" s="38" t="s">
        <v>39</v>
      </c>
      <c r="D124" s="39">
        <v>28.0</v>
      </c>
      <c r="E124" s="40">
        <f>IFERROR(__xludf.DUMMYFUNCTION("COUNT(IMPORTRANGE(""https://docs.google.com/spreadsheets/d/1TAY2D35yAzyl8a_p5CuZehQvmatfj0b0Q8ICl8GtJBY/edit"",""5!d2:d29""))"),28.0)</f>
        <v>28</v>
      </c>
      <c r="F124" s="45">
        <f>IFERROR(__xludf.DUMMYFUNCTION("SUM(IMPORTRANGE(""https://docs.google.com/spreadsheets/d/1TAY2D35yAzyl8a_p5CuZehQvmatfj0b0Q8ICl8GtJBY/edit"",""5!Q2:Q29""))"),5394.4890000000005)</f>
        <v>5394.489</v>
      </c>
      <c r="G124" s="40">
        <f>IFERROR(__xludf.DUMMYFUNCTION("IMPORTRANGE(""https://docs.google.com/spreadsheets/d/1TAY2D35yAzyl8a_p5CuZehQvmatfj0b0Q8ICl8GtJBY/edit"",""5!e36"")"),1103.0)</f>
        <v>1103</v>
      </c>
      <c r="H124" s="40">
        <f>IFERROR(__xludf.DUMMYFUNCTION("(IMPORTRANGE(""https://docs.google.com/spreadsheets/d/1TAY2D35yAzyl8a_p5CuZehQvmatfj0b0Q8ICl8GtJBY/edit"",""5!e37""))"),100.0)</f>
        <v>100</v>
      </c>
      <c r="I124" s="40">
        <f t="shared" si="315"/>
        <v>1203</v>
      </c>
      <c r="J124" s="40">
        <f>IFERROR(__xludf.DUMMYFUNCTION("IMPORTRANGE(""https://docs.google.com/spreadsheets/d/1TAY2D35yAzyl8a_p5CuZehQvmatfj0b0Q8ICl8GtJBY/edit"",""5!e40"")"),1987.0)</f>
        <v>1987</v>
      </c>
      <c r="K124" s="40">
        <f>IFERROR(__xludf.DUMMYFUNCTION("IMPORTRANGE(""https://docs.google.com/spreadsheets/d/1TAY2D35yAzyl8a_p5CuZehQvmatfj0b0Q8ICl8GtJBY/edit"",""5!e41"")"),0.0)</f>
        <v>0</v>
      </c>
      <c r="L124" s="40">
        <f t="shared" si="345"/>
        <v>1987</v>
      </c>
      <c r="M124" s="40">
        <f t="shared" si="317"/>
        <v>3190</v>
      </c>
      <c r="N124" s="41">
        <f t="shared" si="318"/>
        <v>192.6603214</v>
      </c>
      <c r="O124" s="38">
        <v>3569.0</v>
      </c>
      <c r="P124" s="42">
        <f t="shared" si="319"/>
        <v>0.8938077893</v>
      </c>
      <c r="Q124" s="43">
        <v>1.5</v>
      </c>
      <c r="R124" s="42">
        <f t="shared" si="320"/>
        <v>0.3942294936</v>
      </c>
      <c r="S124" s="44">
        <f t="shared" si="321"/>
        <v>0.5913442404</v>
      </c>
      <c r="T124" s="43">
        <f>F124/21.463</f>
        <v>251.339002</v>
      </c>
      <c r="U124" s="43">
        <f t="shared" si="322"/>
        <v>8.976392929</v>
      </c>
      <c r="V124" s="40">
        <f t="shared" si="323"/>
        <v>113.9285714</v>
      </c>
      <c r="X124" s="31">
        <v>5.0</v>
      </c>
      <c r="Y124" s="31" t="s">
        <v>40</v>
      </c>
      <c r="Z124" s="31">
        <f t="shared" ref="Z124:AI124" si="348">SUM(D128)</f>
        <v>30</v>
      </c>
      <c r="AA124" s="32">
        <f t="shared" si="348"/>
        <v>29</v>
      </c>
      <c r="AB124" s="33">
        <f t="shared" si="348"/>
        <v>5245.734</v>
      </c>
      <c r="AC124" s="32">
        <f t="shared" si="348"/>
        <v>3132</v>
      </c>
      <c r="AD124" s="32">
        <f t="shared" si="348"/>
        <v>154</v>
      </c>
      <c r="AE124" s="32">
        <f t="shared" si="348"/>
        <v>3286</v>
      </c>
      <c r="AF124" s="32">
        <f t="shared" si="348"/>
        <v>3720</v>
      </c>
      <c r="AG124" s="32">
        <f t="shared" si="348"/>
        <v>0</v>
      </c>
      <c r="AH124" s="32">
        <f t="shared" si="348"/>
        <v>3720</v>
      </c>
      <c r="AI124" s="32">
        <f t="shared" si="348"/>
        <v>7006</v>
      </c>
      <c r="AJ124" s="34">
        <f t="shared" si="335"/>
        <v>180.8873793</v>
      </c>
      <c r="AK124" s="31">
        <f t="shared" ref="AK124:AK125" si="351">SUM(O128)</f>
        <v>8239</v>
      </c>
      <c r="AL124" s="35">
        <f t="shared" si="337"/>
        <v>0.8503459158</v>
      </c>
      <c r="AM124" s="36">
        <f t="shared" ref="AM124:AM125" si="352">SUM(Q128)</f>
        <v>1.5</v>
      </c>
      <c r="AN124" s="35">
        <f t="shared" si="339"/>
        <v>0.8903742864</v>
      </c>
      <c r="AO124" s="37">
        <f t="shared" si="340"/>
        <v>1.33556143</v>
      </c>
      <c r="AP124" s="36">
        <f t="shared" ref="AP124:AQ124" si="349">SUM(T128)</f>
        <v>184.4297015</v>
      </c>
      <c r="AQ124" s="36">
        <f t="shared" si="349"/>
        <v>6.35964488</v>
      </c>
      <c r="AR124" s="32">
        <f t="shared" si="342"/>
        <v>241.5862069</v>
      </c>
    </row>
    <row r="125" ht="15.75" customHeight="1">
      <c r="A125" s="21"/>
      <c r="B125" s="38">
        <v>12.0</v>
      </c>
      <c r="C125" s="38" t="s">
        <v>41</v>
      </c>
      <c r="D125" s="39">
        <v>24.0</v>
      </c>
      <c r="E125" s="40">
        <f>IFERROR(__xludf.DUMMYFUNCTION("COUNT(IMPORTRANGE(""https://docs.google.com/spreadsheets/d/1VAsUtLQHi7oV9NsI9EIHPnO1bcPJHeRgSbMoxSvPBME/edit"",""5!d2:d25""))"),24.0)</f>
        <v>24</v>
      </c>
      <c r="F125" s="45">
        <f>IFERROR(__xludf.DUMMYFUNCTION("SUM(IMPORTRANGE(""https://docs.google.com/spreadsheets/d/1VAsUtLQHi7oV9NsI9EIHPnO1bcPJHeRgSbMoxSvPBME/edit"",""5!Q2:Q25""))"),4704.268)</f>
        <v>4704.268</v>
      </c>
      <c r="G125" s="40">
        <f>IFERROR(__xludf.DUMMYFUNCTION("IMPORTRANGE(""https://docs.google.com/spreadsheets/d/1VAsUtLQHi7oV9NsI9EIHPnO1bcPJHeRgSbMoxSvPBME/edit"",""5!e32"")"),1077.0)</f>
        <v>1077</v>
      </c>
      <c r="H125" s="40">
        <f>IFERROR(__xludf.DUMMYFUNCTION("IMPORTRANGE(""https://docs.google.com/spreadsheets/d/1VAsUtLQHi7oV9NsI9EIHPnO1bcPJHeRgSbMoxSvPBME/edit"",""5!e33"")"),232.0)</f>
        <v>232</v>
      </c>
      <c r="I125" s="40">
        <f t="shared" si="315"/>
        <v>1309</v>
      </c>
      <c r="J125" s="40">
        <f>IFERROR(__xludf.DUMMYFUNCTION("IMPORTRANGE(""https://docs.google.com/spreadsheets/d/1VAsUtLQHi7oV9NsI9EIHPnO1bcPJHeRgSbMoxSvPBME/edit"",""5!e36"")"),1579.0)</f>
        <v>1579</v>
      </c>
      <c r="K125" s="40">
        <f>IFERROR(__xludf.DUMMYFUNCTION("IMPORTRANGE(""https://docs.google.com/spreadsheets/d/1VAsUtLQHi7oV9NsI9EIHPnO1bcPJHeRgSbMoxSvPBME/edit"",""5!e37"")"),45.0)</f>
        <v>45</v>
      </c>
      <c r="L125" s="40">
        <f t="shared" si="345"/>
        <v>1624</v>
      </c>
      <c r="M125" s="40">
        <f t="shared" si="317"/>
        <v>2933</v>
      </c>
      <c r="N125" s="41">
        <f t="shared" si="318"/>
        <v>196.0111667</v>
      </c>
      <c r="O125" s="38">
        <v>3801.0</v>
      </c>
      <c r="P125" s="42">
        <f t="shared" si="319"/>
        <v>0.7716390424</v>
      </c>
      <c r="Q125" s="43">
        <v>1.5</v>
      </c>
      <c r="R125" s="42">
        <f t="shared" si="320"/>
        <v>0.4156509224</v>
      </c>
      <c r="S125" s="44">
        <f t="shared" si="321"/>
        <v>0.6234763836</v>
      </c>
      <c r="T125" s="43">
        <f>F125/29.628</f>
        <v>158.7777778</v>
      </c>
      <c r="U125" s="43">
        <f t="shared" si="322"/>
        <v>6.615740741</v>
      </c>
      <c r="V125" s="40">
        <f t="shared" si="323"/>
        <v>122.2083333</v>
      </c>
      <c r="X125" s="22">
        <v>6.0</v>
      </c>
      <c r="Y125" s="22" t="s">
        <v>42</v>
      </c>
      <c r="Z125" s="22">
        <f t="shared" ref="Z125:AI125" si="350">SUM(D129)</f>
        <v>33</v>
      </c>
      <c r="AA125" s="23">
        <f t="shared" si="350"/>
        <v>33</v>
      </c>
      <c r="AB125" s="24">
        <f t="shared" si="350"/>
        <v>6580.291</v>
      </c>
      <c r="AC125" s="23">
        <f t="shared" si="350"/>
        <v>3175</v>
      </c>
      <c r="AD125" s="23">
        <f t="shared" si="350"/>
        <v>25</v>
      </c>
      <c r="AE125" s="23">
        <f t="shared" si="350"/>
        <v>3200</v>
      </c>
      <c r="AF125" s="23">
        <f t="shared" si="350"/>
        <v>4822</v>
      </c>
      <c r="AG125" s="23">
        <f t="shared" si="350"/>
        <v>29</v>
      </c>
      <c r="AH125" s="23">
        <f t="shared" si="350"/>
        <v>4851</v>
      </c>
      <c r="AI125" s="23">
        <f t="shared" si="350"/>
        <v>8051</v>
      </c>
      <c r="AJ125" s="25">
        <f t="shared" si="335"/>
        <v>199.4027576</v>
      </c>
      <c r="AK125" s="22">
        <f t="shared" si="351"/>
        <v>9877</v>
      </c>
      <c r="AL125" s="26">
        <f t="shared" si="337"/>
        <v>0.8151260504</v>
      </c>
      <c r="AM125" s="27">
        <f t="shared" si="352"/>
        <v>1.5</v>
      </c>
      <c r="AN125" s="26">
        <f t="shared" si="339"/>
        <v>0.8156680811</v>
      </c>
      <c r="AO125" s="28">
        <f t="shared" si="340"/>
        <v>1.223502122</v>
      </c>
      <c r="AP125" s="27">
        <f t="shared" ref="AP125:AQ125" si="353">SUM(T129)</f>
        <v>251.5882623</v>
      </c>
      <c r="AQ125" s="27">
        <f t="shared" si="353"/>
        <v>7.623886736</v>
      </c>
      <c r="AR125" s="23">
        <f t="shared" si="342"/>
        <v>243.969697</v>
      </c>
    </row>
    <row r="126" ht="15.75" customHeight="1">
      <c r="A126" s="21"/>
      <c r="B126" s="38">
        <v>13.0</v>
      </c>
      <c r="C126" s="38" t="s">
        <v>43</v>
      </c>
      <c r="D126" s="39">
        <v>30.0</v>
      </c>
      <c r="E126" s="40">
        <f>IFERROR(__xludf.DUMMYFUNCTION("COUNT(IMPORTRANGE(""https://docs.google.com/spreadsheets/d/1p9Y_DGk7-TpRBFth-ljZceOIGCjQ0ylUeUq6xqnsZ-Q/edit"",""5!d2:d31""))"),30.0)</f>
        <v>30</v>
      </c>
      <c r="F126" s="45">
        <f>IFERROR(__xludf.DUMMYFUNCTION("SUM(IMPORTRANGE(""https://docs.google.com/spreadsheets/d/1p9Y_DGk7-TpRBFth-ljZceOIGCjQ0ylUeUq6xqnsZ-Q/edit"",""5!Q2:Q31""))"),6119.457999999999)</f>
        <v>6119.458</v>
      </c>
      <c r="G126" s="40">
        <f>IFERROR(__xludf.DUMMYFUNCTION("IMPORTRANGE(""https://docs.google.com/spreadsheets/d/1p9Y_DGk7-TpRBFth-ljZceOIGCjQ0ylUeUq6xqnsZ-Q/edit"",""5!e38"")"),2098.0)</f>
        <v>2098</v>
      </c>
      <c r="H126" s="40">
        <f>IFERROR(__xludf.DUMMYFUNCTION("IMPORTRANGE(""https://docs.google.com/spreadsheets/d/1p9Y_DGk7-TpRBFth-ljZceOIGCjQ0ylUeUq6xqnsZ-Q/edit"",""5!e39"")"),0.0)</f>
        <v>0</v>
      </c>
      <c r="I126" s="40">
        <f t="shared" si="315"/>
        <v>2098</v>
      </c>
      <c r="J126" s="40">
        <f>IFERROR(__xludf.DUMMYFUNCTION("IMPORTRANGE(""https://docs.google.com/spreadsheets/d/1p9Y_DGk7-TpRBFth-ljZceOIGCjQ0ylUeUq6xqnsZ-Q/edit"",""5!e42"")"),2749.0)</f>
        <v>2749</v>
      </c>
      <c r="K126" s="40">
        <f>IFERROR(__xludf.DUMMYFUNCTION("IMPORTRANGE(""https://docs.google.com/spreadsheets/d/1p9Y_DGk7-TpRBFth-ljZceOIGCjQ0ylUeUq6xqnsZ-Q/edit"",""5!e43"")"),203.0)</f>
        <v>203</v>
      </c>
      <c r="L126" s="40">
        <f t="shared" si="345"/>
        <v>2952</v>
      </c>
      <c r="M126" s="40">
        <f t="shared" si="317"/>
        <v>5050</v>
      </c>
      <c r="N126" s="41">
        <f t="shared" si="318"/>
        <v>203.9819333</v>
      </c>
      <c r="O126" s="38">
        <v>8345.0</v>
      </c>
      <c r="P126" s="42">
        <f t="shared" si="319"/>
        <v>0.6051527861</v>
      </c>
      <c r="Q126" s="43">
        <v>1.5</v>
      </c>
      <c r="R126" s="42">
        <f t="shared" si="320"/>
        <v>0.5501576556</v>
      </c>
      <c r="S126" s="44">
        <f t="shared" si="321"/>
        <v>0.8252364834</v>
      </c>
      <c r="T126" s="43">
        <f>F126/41.205</f>
        <v>148.5125106</v>
      </c>
      <c r="U126" s="43">
        <f t="shared" si="322"/>
        <v>4.950417021</v>
      </c>
      <c r="V126" s="40">
        <f t="shared" si="323"/>
        <v>168.3333333</v>
      </c>
      <c r="X126" s="46" t="s">
        <v>33</v>
      </c>
      <c r="Y126" s="46">
        <v>6.0</v>
      </c>
      <c r="Z126" s="46">
        <f t="shared" ref="Z126:AI126" si="354">SUM(Z120:Z125)</f>
        <v>226</v>
      </c>
      <c r="AA126" s="47">
        <f t="shared" si="354"/>
        <v>219</v>
      </c>
      <c r="AB126" s="49">
        <f t="shared" si="354"/>
        <v>43022.39</v>
      </c>
      <c r="AC126" s="47">
        <f t="shared" si="354"/>
        <v>17150</v>
      </c>
      <c r="AD126" s="47">
        <f t="shared" si="354"/>
        <v>392</v>
      </c>
      <c r="AE126" s="47">
        <f t="shared" si="354"/>
        <v>17542</v>
      </c>
      <c r="AF126" s="47">
        <f t="shared" si="354"/>
        <v>23703</v>
      </c>
      <c r="AG126" s="47">
        <f t="shared" si="354"/>
        <v>389</v>
      </c>
      <c r="AH126" s="47">
        <f t="shared" si="354"/>
        <v>24092</v>
      </c>
      <c r="AI126" s="47">
        <f t="shared" si="354"/>
        <v>41634</v>
      </c>
      <c r="AJ126" s="49">
        <f t="shared" si="335"/>
        <v>196.4492694</v>
      </c>
      <c r="AK126" s="46">
        <f>SUM(AK120:AK125)</f>
        <v>53273</v>
      </c>
      <c r="AL126" s="50">
        <f t="shared" si="337"/>
        <v>0.7815215963</v>
      </c>
      <c r="AM126" s="51">
        <v>1.5</v>
      </c>
      <c r="AN126" s="50">
        <f t="shared" si="339"/>
        <v>0.6451524427</v>
      </c>
      <c r="AO126" s="52">
        <f t="shared" si="340"/>
        <v>0.9677286641</v>
      </c>
      <c r="AP126" s="51">
        <f>SUM(AP120:AP125)</f>
        <v>1413.699546</v>
      </c>
      <c r="AQ126" s="51">
        <f>AP126/AA126</f>
        <v>6.45524907</v>
      </c>
      <c r="AR126" s="47">
        <f t="shared" si="342"/>
        <v>190.109589</v>
      </c>
    </row>
    <row r="127" ht="15.75" customHeight="1">
      <c r="A127" s="21"/>
      <c r="B127" s="38">
        <v>14.0</v>
      </c>
      <c r="C127" s="38" t="s">
        <v>27</v>
      </c>
      <c r="D127" s="39">
        <v>30.0</v>
      </c>
      <c r="E127" s="40">
        <f>IFERROR(__xludf.DUMMYFUNCTION("COUNT(IMPORTRANGE(""https://docs.google.com/spreadsheets/d/1zJUDEKztv_fercXA0LYNw155qdzS7TJGhWLhquaW5IY/edit"",""5!d2:d31""))"),30.0)</f>
        <v>30</v>
      </c>
      <c r="F127" s="45">
        <f>IFERROR(__xludf.DUMMYFUNCTION("SUM(IMPORTRANGE(""https://docs.google.com/spreadsheets/d/1zJUDEKztv_fercXA0LYNw155qdzS7TJGhWLhquaW5IY/edit"",""5!Q2:Q31""))"),5745.55)</f>
        <v>5745.55</v>
      </c>
      <c r="G127" s="40">
        <f>IFERROR(__xludf.DUMMYFUNCTION("IMPORTRANGE(""https://docs.google.com/spreadsheets/d/1zJUDEKztv_fercXA0LYNw155qdzS7TJGhWLhquaW5IY/edit"",""5!e38"")"),2355.0)</f>
        <v>2355</v>
      </c>
      <c r="H127" s="40">
        <f>IFERROR(__xludf.DUMMYFUNCTION("IMPORTRANGE(""https://docs.google.com/spreadsheets/d/1zJUDEKztv_fercXA0LYNw155qdzS7TJGhWLhquaW5IY/edit"",""5!e39"")"),103.0)</f>
        <v>103</v>
      </c>
      <c r="I127" s="40">
        <f t="shared" si="315"/>
        <v>2458</v>
      </c>
      <c r="J127" s="40">
        <f>IFERROR(__xludf.DUMMYFUNCTION("IMPORTRANGE(""https://docs.google.com/spreadsheets/d/1zJUDEKztv_fercXA0LYNw155qdzS7TJGhWLhquaW5IY/edit"",""5!e42"")"),3052.0)</f>
        <v>3052</v>
      </c>
      <c r="K127" s="40">
        <f>IFERROR(__xludf.DUMMYFUNCTION("IMPORTRANGE(""https://docs.google.com/spreadsheets/d/1zJUDEKztv_fercXA0LYNw155qdzS7TJGhWLhquaW5IY/edit"",""5!e43"")"),116.0)</f>
        <v>116</v>
      </c>
      <c r="L127" s="40">
        <f t="shared" si="345"/>
        <v>3168</v>
      </c>
      <c r="M127" s="40">
        <f t="shared" si="317"/>
        <v>5626</v>
      </c>
      <c r="N127" s="41">
        <f t="shared" si="318"/>
        <v>191.5183333</v>
      </c>
      <c r="O127" s="38">
        <v>8101.0</v>
      </c>
      <c r="P127" s="42">
        <f t="shared" si="319"/>
        <v>0.6944821627</v>
      </c>
      <c r="Q127" s="43">
        <v>1.5</v>
      </c>
      <c r="R127" s="42">
        <f t="shared" si="320"/>
        <v>0.6527950617</v>
      </c>
      <c r="S127" s="44">
        <f t="shared" si="321"/>
        <v>0.9791925925</v>
      </c>
      <c r="T127" s="43">
        <f>F127/19.985</f>
        <v>287.4931198</v>
      </c>
      <c r="U127" s="43">
        <f t="shared" si="322"/>
        <v>9.583103995</v>
      </c>
      <c r="V127" s="40">
        <f t="shared" si="323"/>
        <v>187.5333333</v>
      </c>
      <c r="X127" s="59" t="s">
        <v>44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6"/>
    </row>
    <row r="128" ht="15.75" customHeight="1">
      <c r="A128" s="21"/>
      <c r="B128" s="38">
        <v>15.0</v>
      </c>
      <c r="C128" s="38" t="s">
        <v>40</v>
      </c>
      <c r="D128" s="39">
        <v>30.0</v>
      </c>
      <c r="E128" s="40">
        <f>IFERROR(__xludf.DUMMYFUNCTION("COUNT(IMPORTRANGE(""https://docs.google.com/spreadsheets/d/15GJA66Ucb-8RQ5vWVpq5HYaWoZZFX82SCeHChBujbrI/edit"",""5!d2:d31""))"),29.0)</f>
        <v>29</v>
      </c>
      <c r="F128" s="45">
        <f>IFERROR(__xludf.DUMMYFUNCTION("SUM(IMPORTRANGE(""https://docs.google.com/spreadsheets/d/15GJA66Ucb-8RQ5vWVpq5HYaWoZZFX82SCeHChBujbrI/edit"",""5!Q2:Q31""))"),5245.7339999999995)</f>
        <v>5245.734</v>
      </c>
      <c r="G128" s="40">
        <f>IFERROR(__xludf.DUMMYFUNCTION("IMPORTRANGE(""https://docs.google.com/spreadsheets/d/15GJA66Ucb-8RQ5vWVpq5HYaWoZZFX82SCeHChBujbrI/edit"",""5!e38"")"),3132.0)</f>
        <v>3132</v>
      </c>
      <c r="H128" s="40">
        <f>IFERROR(__xludf.DUMMYFUNCTION("IMPORTRANGE(""https://docs.google.com/spreadsheets/d/15GJA66Ucb-8RQ5vWVpq5HYaWoZZFX82SCeHChBujbrI/edit"",""5!e39"")"),154.0)</f>
        <v>154</v>
      </c>
      <c r="I128" s="40">
        <f t="shared" si="315"/>
        <v>3286</v>
      </c>
      <c r="J128" s="40">
        <f>IFERROR(__xludf.DUMMYFUNCTION("IMPORTRANGE(""https://docs.google.com/spreadsheets/d/15GJA66Ucb-8RQ5vWVpq5HYaWoZZFX82SCeHChBujbrI/edit"",""5!e42"")"),3720.0)</f>
        <v>3720</v>
      </c>
      <c r="K128" s="40">
        <f>IFERROR(__xludf.DUMMYFUNCTION("IMPORTRANGE(""https://docs.google.com/spreadsheets/d/15GJA66Ucb-8RQ5vWVpq5HYaWoZZFX82SCeHChBujbrI/edit"",""5!e43"")"),0.0)</f>
        <v>0</v>
      </c>
      <c r="L128" s="40">
        <f t="shared" si="345"/>
        <v>3720</v>
      </c>
      <c r="M128" s="40">
        <f t="shared" si="317"/>
        <v>7006</v>
      </c>
      <c r="N128" s="41">
        <f t="shared" si="318"/>
        <v>180.8873793</v>
      </c>
      <c r="O128" s="38">
        <v>8239.0</v>
      </c>
      <c r="P128" s="42">
        <f t="shared" si="319"/>
        <v>0.8503459158</v>
      </c>
      <c r="Q128" s="43">
        <v>1.5</v>
      </c>
      <c r="R128" s="42">
        <f t="shared" si="320"/>
        <v>0.8903742864</v>
      </c>
      <c r="S128" s="44">
        <f t="shared" si="321"/>
        <v>1.33556143</v>
      </c>
      <c r="T128" s="43">
        <f>F128/28.443</f>
        <v>184.4297015</v>
      </c>
      <c r="U128" s="43">
        <f t="shared" si="322"/>
        <v>6.35964488</v>
      </c>
      <c r="V128" s="40">
        <f t="shared" si="323"/>
        <v>241.5862069</v>
      </c>
      <c r="X128" s="14" t="s">
        <v>2</v>
      </c>
      <c r="Y128" s="14" t="s">
        <v>3</v>
      </c>
      <c r="Z128" s="14" t="s">
        <v>4</v>
      </c>
      <c r="AA128" s="14" t="s">
        <v>5</v>
      </c>
      <c r="AB128" s="15" t="s">
        <v>6</v>
      </c>
      <c r="AC128" s="14" t="s">
        <v>7</v>
      </c>
      <c r="AD128" s="14" t="s">
        <v>8</v>
      </c>
      <c r="AE128" s="14" t="s">
        <v>9</v>
      </c>
      <c r="AF128" s="14" t="s">
        <v>10</v>
      </c>
      <c r="AG128" s="14" t="s">
        <v>11</v>
      </c>
      <c r="AH128" s="14" t="s">
        <v>12</v>
      </c>
      <c r="AI128" s="14" t="s">
        <v>13</v>
      </c>
      <c r="AJ128" s="15" t="s">
        <v>14</v>
      </c>
      <c r="AK128" s="14" t="s">
        <v>15</v>
      </c>
      <c r="AL128" s="14" t="s">
        <v>16</v>
      </c>
      <c r="AM128" s="16" t="s">
        <v>17</v>
      </c>
      <c r="AN128" s="17" t="s">
        <v>18</v>
      </c>
      <c r="AO128" s="18" t="s">
        <v>19</v>
      </c>
      <c r="AP128" s="19" t="s">
        <v>20</v>
      </c>
      <c r="AQ128" s="19" t="s">
        <v>21</v>
      </c>
      <c r="AR128" s="20" t="s">
        <v>22</v>
      </c>
    </row>
    <row r="129" ht="15.75" customHeight="1">
      <c r="A129" s="21"/>
      <c r="B129" s="38">
        <v>16.0</v>
      </c>
      <c r="C129" s="38" t="s">
        <v>42</v>
      </c>
      <c r="D129" s="39">
        <v>33.0</v>
      </c>
      <c r="E129" s="40">
        <f>IFERROR(__xludf.DUMMYFUNCTION("COUNT(IMPORTRANGE(""https://docs.google.com/spreadsheets/d/14Tu_jFPEdrIQ6DHYu6vRvJKQsbXr-48NY1tKy4-8JKI/edit"",""5!d2:d34""))"),33.0)</f>
        <v>33</v>
      </c>
      <c r="F129" s="45">
        <f>IFERROR(__xludf.DUMMYFUNCTION("SUM(IMPORTRANGE(""https://docs.google.com/spreadsheets/d/14Tu_jFPEdrIQ6DHYu6vRvJKQsbXr-48NY1tKy4-8JKI/edit"",""5!Q2:Q34""))"),6580.290999999997)</f>
        <v>6580.291</v>
      </c>
      <c r="G129" s="40">
        <f>IFERROR(__xludf.DUMMYFUNCTION("IMPORTRANGE(""https://docs.google.com/spreadsheets/d/14Tu_jFPEdrIQ6DHYu6vRvJKQsbXr-48NY1tKy4-8JKI/edit"",""5!e41"")"),3175.0)</f>
        <v>3175</v>
      </c>
      <c r="H129" s="40">
        <f>IFERROR(__xludf.DUMMYFUNCTION("IMPORTRANGE(""https://docs.google.com/spreadsheets/d/14Tu_jFPEdrIQ6DHYu6vRvJKQsbXr-48NY1tKy4-8JKI/edit"",""5!e42"")"),25.0)</f>
        <v>25</v>
      </c>
      <c r="I129" s="40">
        <f t="shared" si="315"/>
        <v>3200</v>
      </c>
      <c r="J129" s="40">
        <f>IFERROR(__xludf.DUMMYFUNCTION("IMPORTRANGE(""https://docs.google.com/spreadsheets/d/14Tu_jFPEdrIQ6DHYu6vRvJKQsbXr-48NY1tKy4-8JKI/edit"",""5!e45"")"),4822.0)</f>
        <v>4822</v>
      </c>
      <c r="K129" s="40">
        <f>IFERROR(__xludf.DUMMYFUNCTION("IMPORTRANGE(""https://docs.google.com/spreadsheets/d/14Tu_jFPEdrIQ6DHYu6vRvJKQsbXr-48NY1tKy4-8JKI/edit"",""5!e46"")"),29.0)</f>
        <v>29</v>
      </c>
      <c r="L129" s="40">
        <f t="shared" si="345"/>
        <v>4851</v>
      </c>
      <c r="M129" s="40">
        <f t="shared" si="317"/>
        <v>8051</v>
      </c>
      <c r="N129" s="41">
        <f t="shared" si="318"/>
        <v>199.4027576</v>
      </c>
      <c r="O129" s="38">
        <v>9877.0</v>
      </c>
      <c r="P129" s="42">
        <f t="shared" si="319"/>
        <v>0.8151260504</v>
      </c>
      <c r="Q129" s="43">
        <v>1.5</v>
      </c>
      <c r="R129" s="42">
        <f t="shared" si="320"/>
        <v>0.8156680811</v>
      </c>
      <c r="S129" s="44">
        <f t="shared" si="321"/>
        <v>1.223502122</v>
      </c>
      <c r="T129" s="43">
        <f>F129/26.155</f>
        <v>251.5882623</v>
      </c>
      <c r="U129" s="43">
        <f t="shared" si="322"/>
        <v>7.623886736</v>
      </c>
      <c r="V129" s="40">
        <f t="shared" si="323"/>
        <v>243.969697</v>
      </c>
      <c r="X129" s="31">
        <v>1.0</v>
      </c>
      <c r="Y129" s="31" t="s">
        <v>26</v>
      </c>
      <c r="Z129" s="31">
        <f t="shared" ref="Z129:AI129" si="355">SUM(D114)</f>
        <v>20</v>
      </c>
      <c r="AA129" s="32">
        <f t="shared" si="355"/>
        <v>20</v>
      </c>
      <c r="AB129" s="34">
        <f t="shared" si="355"/>
        <v>3748.512</v>
      </c>
      <c r="AC129" s="32">
        <f t="shared" si="355"/>
        <v>2172</v>
      </c>
      <c r="AD129" s="32">
        <f t="shared" si="355"/>
        <v>20</v>
      </c>
      <c r="AE129" s="32">
        <f t="shared" si="355"/>
        <v>2192</v>
      </c>
      <c r="AF129" s="32">
        <f t="shared" si="355"/>
        <v>2622</v>
      </c>
      <c r="AG129" s="32">
        <f t="shared" si="355"/>
        <v>0</v>
      </c>
      <c r="AH129" s="32">
        <f t="shared" si="355"/>
        <v>2622</v>
      </c>
      <c r="AI129" s="32">
        <f t="shared" si="355"/>
        <v>4814</v>
      </c>
      <c r="AJ129" s="34">
        <f t="shared" ref="AJ129:AJ135" si="358">AB129/AA129</f>
        <v>187.4256</v>
      </c>
      <c r="AK129" s="31">
        <f>SUM(O114)</f>
        <v>5161</v>
      </c>
      <c r="AL129" s="35">
        <f t="shared" ref="AL129:AL135" si="359">AI129/AK129</f>
        <v>0.932764968</v>
      </c>
      <c r="AM129" s="36">
        <f>SUM(Q114)</f>
        <v>1.5</v>
      </c>
      <c r="AN129" s="35">
        <f t="shared" ref="AN129:AN135" si="360">AO129/AM129</f>
        <v>0.8561619473</v>
      </c>
      <c r="AO129" s="37">
        <f t="shared" ref="AO129:AO135" si="361">AI129/AB129</f>
        <v>1.284242921</v>
      </c>
      <c r="AP129" s="36">
        <f t="shared" ref="AP129:AQ129" si="356">SUM(T114)</f>
        <v>260.0424558</v>
      </c>
      <c r="AQ129" s="36">
        <f t="shared" si="356"/>
        <v>13.00212279</v>
      </c>
      <c r="AR129" s="32">
        <f t="shared" ref="AR129:AR135" si="363">AI129/AA129</f>
        <v>240.7</v>
      </c>
    </row>
    <row r="130" ht="15.75" customHeight="1">
      <c r="A130" s="21"/>
      <c r="B130" s="38">
        <v>17.0</v>
      </c>
      <c r="C130" s="38" t="s">
        <v>29</v>
      </c>
      <c r="D130" s="39">
        <v>30.0</v>
      </c>
      <c r="E130" s="40">
        <f>IFERROR(__xludf.DUMMYFUNCTION("COUNT(IMPORTRANGE(""https://docs.google.com/spreadsheets/d/1ja_RQYsP0p5wRrACHojay4CW1wLx0QdS5tSwp-vYQ-s/edit"",""5!d2:d31""))"),29.0)</f>
        <v>29</v>
      </c>
      <c r="F130" s="45">
        <f>IFERROR(__xludf.DUMMYFUNCTION("SUM(IMPORTRANGE(""https://docs.google.com/spreadsheets/d/1ja_RQYsP0p5wRrACHojay4CW1wLx0QdS5tSwp-vYQ-s/edit"",""5!Q2:Q31""))"),5702.322000000001)</f>
        <v>5702.322</v>
      </c>
      <c r="G130" s="40">
        <f>IFERROR(__xludf.DUMMYFUNCTION("IMPORTRANGE(""https://docs.google.com/spreadsheets/d/1ja_RQYsP0p5wRrACHojay4CW1wLx0QdS5tSwp-vYQ-s/edit"",""5!e38"")"),2696.0)</f>
        <v>2696</v>
      </c>
      <c r="H130" s="40">
        <f>IFERROR(__xludf.DUMMYFUNCTION("IMPORTRANGE(""https://docs.google.com/spreadsheets/d/1ja_RQYsP0p5wRrACHojay4CW1wLx0QdS5tSwp-vYQ-s/edit"",""5!e39"")"),0.0)</f>
        <v>0</v>
      </c>
      <c r="I130" s="40">
        <f t="shared" si="315"/>
        <v>2696</v>
      </c>
      <c r="J130" s="40">
        <f>IFERROR(__xludf.DUMMYFUNCTION("IMPORTRANGE(""https://docs.google.com/spreadsheets/d/1ja_RQYsP0p5wRrACHojay4CW1wLx0QdS5tSwp-vYQ-s/edit"",""5!e42"")"),4318.0)</f>
        <v>4318</v>
      </c>
      <c r="K130" s="40">
        <f>IFERROR(__xludf.DUMMYFUNCTION("IMPORTRANGE(""https://docs.google.com/spreadsheets/d/1ja_RQYsP0p5wRrACHojay4CW1wLx0QdS5tSwp-vYQ-s/edit"",""5!e43"")"),0.0)</f>
        <v>0</v>
      </c>
      <c r="L130" s="40">
        <f t="shared" si="345"/>
        <v>4318</v>
      </c>
      <c r="M130" s="40">
        <f t="shared" si="317"/>
        <v>7014</v>
      </c>
      <c r="N130" s="41">
        <f t="shared" si="318"/>
        <v>196.6317931</v>
      </c>
      <c r="O130" s="38">
        <v>9201.0</v>
      </c>
      <c r="P130" s="42">
        <f t="shared" si="319"/>
        <v>0.7623084447</v>
      </c>
      <c r="Q130" s="43">
        <v>1.5</v>
      </c>
      <c r="R130" s="42">
        <f t="shared" si="320"/>
        <v>0.8200168282</v>
      </c>
      <c r="S130" s="44">
        <f t="shared" si="321"/>
        <v>1.230025242</v>
      </c>
      <c r="T130" s="43">
        <f>F130/26.038</f>
        <v>219</v>
      </c>
      <c r="U130" s="43">
        <f t="shared" si="322"/>
        <v>7.551724138</v>
      </c>
      <c r="V130" s="40">
        <f t="shared" si="323"/>
        <v>241.862069</v>
      </c>
      <c r="X130" s="31">
        <v>2.0</v>
      </c>
      <c r="Y130" s="31" t="s">
        <v>32</v>
      </c>
      <c r="Z130" s="31">
        <f t="shared" ref="Z130:AI130" si="357">SUM(D117)</f>
        <v>42</v>
      </c>
      <c r="AA130" s="32">
        <f t="shared" si="357"/>
        <v>42</v>
      </c>
      <c r="AB130" s="33">
        <f t="shared" si="357"/>
        <v>8094.426</v>
      </c>
      <c r="AC130" s="31">
        <f t="shared" si="357"/>
        <v>4825</v>
      </c>
      <c r="AD130" s="31">
        <f t="shared" si="357"/>
        <v>0</v>
      </c>
      <c r="AE130" s="32">
        <f t="shared" si="357"/>
        <v>4825</v>
      </c>
      <c r="AF130" s="31">
        <f t="shared" si="357"/>
        <v>5211</v>
      </c>
      <c r="AG130" s="31">
        <f t="shared" si="357"/>
        <v>0</v>
      </c>
      <c r="AH130" s="32">
        <f t="shared" si="357"/>
        <v>5211</v>
      </c>
      <c r="AI130" s="32">
        <f t="shared" si="357"/>
        <v>10036</v>
      </c>
      <c r="AJ130" s="34">
        <f t="shared" si="358"/>
        <v>192.7244286</v>
      </c>
      <c r="AK130" s="31">
        <f>SUM(O117)</f>
        <v>13817</v>
      </c>
      <c r="AL130" s="35">
        <f t="shared" si="359"/>
        <v>0.7263515959</v>
      </c>
      <c r="AM130" s="36">
        <f>SUM(Q117)</f>
        <v>1.5</v>
      </c>
      <c r="AN130" s="35">
        <f t="shared" si="360"/>
        <v>0.8265770379</v>
      </c>
      <c r="AO130" s="37">
        <f t="shared" si="361"/>
        <v>1.239865557</v>
      </c>
      <c r="AP130" s="36">
        <f t="shared" ref="AP130:AQ130" si="362">SUM(T117)</f>
        <v>322.6284826</v>
      </c>
      <c r="AQ130" s="36">
        <f t="shared" si="362"/>
        <v>7.681630538</v>
      </c>
      <c r="AR130" s="32">
        <f t="shared" si="363"/>
        <v>238.952381</v>
      </c>
    </row>
    <row r="131" ht="15.75" customHeight="1">
      <c r="A131" s="21"/>
      <c r="B131" s="38">
        <v>18.0</v>
      </c>
      <c r="C131" s="38" t="s">
        <v>31</v>
      </c>
      <c r="D131" s="39">
        <v>15.0</v>
      </c>
      <c r="E131" s="40">
        <f>IFERROR(__xludf.DUMMYFUNCTION("COUNT(IMPORTRANGE(""https://docs.google.com/spreadsheets/d/1ObnK1oSznTOmyW9Zcd2kxExl7TOnO2MNq_0giEKc_mE/edit"",""5!d2:d16""))"),14.0)</f>
        <v>14</v>
      </c>
      <c r="F131" s="41">
        <f>IFERROR(__xludf.DUMMYFUNCTION("SUM(IMPORTRANGE(""https://docs.google.com/spreadsheets/d/1ObnK1oSznTOmyW9Zcd2kxExl7TOnO2MNq_0giEKc_mE/edit"",""5!Q2:Q16""))"),2825.225)</f>
        <v>2825.225</v>
      </c>
      <c r="G131" s="40">
        <f>IFERROR(__xludf.DUMMYFUNCTION("IMPORTRANGE(""https://docs.google.com/spreadsheets/d/1ObnK1oSznTOmyW9Zcd2kxExl7TOnO2MNq_0giEKc_mE/edit"",""5!e23"")"),882.0)</f>
        <v>882</v>
      </c>
      <c r="H131" s="40">
        <f>IFERROR(__xludf.DUMMYFUNCTION("IMPORTRANGE(""https://docs.google.com/spreadsheets/d/1ObnK1oSznTOmyW9Zcd2kxExl7TOnO2MNq_0giEKc_mE/edit"",""5!e24"")"),0.0)</f>
        <v>0</v>
      </c>
      <c r="I131" s="40">
        <f t="shared" si="315"/>
        <v>882</v>
      </c>
      <c r="J131" s="40">
        <f>IFERROR(__xludf.DUMMYFUNCTION("IMPORTRANGE(""https://docs.google.com/spreadsheets/d/1ObnK1oSznTOmyW9Zcd2kxExl7TOnO2MNq_0giEKc_mE/edit"",""5!e27"")"),1138.0)</f>
        <v>1138</v>
      </c>
      <c r="K131" s="40">
        <f>IFERROR(__xludf.DUMMYFUNCTION("IMPORTRANGE(""https://docs.google.com/spreadsheets/d/1ObnK1oSznTOmyW9Zcd2kxExl7TOnO2MNq_0giEKc_mE/edit"",""5!e28"")"),12.0)</f>
        <v>12</v>
      </c>
      <c r="L131" s="40">
        <f t="shared" si="345"/>
        <v>1150</v>
      </c>
      <c r="M131" s="40">
        <f t="shared" si="317"/>
        <v>2032</v>
      </c>
      <c r="N131" s="41">
        <f t="shared" si="318"/>
        <v>201.8017857</v>
      </c>
      <c r="O131" s="38">
        <v>2717.0</v>
      </c>
      <c r="P131" s="42">
        <f t="shared" si="319"/>
        <v>0.7478836953</v>
      </c>
      <c r="Q131" s="43">
        <v>1.5</v>
      </c>
      <c r="R131" s="42">
        <f t="shared" si="320"/>
        <v>0.4794898341</v>
      </c>
      <c r="S131" s="44">
        <f t="shared" si="321"/>
        <v>0.7192347512</v>
      </c>
      <c r="T131" s="43">
        <f>F131/43.465</f>
        <v>65</v>
      </c>
      <c r="U131" s="43">
        <f t="shared" si="322"/>
        <v>4.642857143</v>
      </c>
      <c r="V131" s="40">
        <f t="shared" si="323"/>
        <v>145.1428571</v>
      </c>
      <c r="X131" s="31">
        <v>3.0</v>
      </c>
      <c r="Y131" s="31" t="s">
        <v>36</v>
      </c>
      <c r="Z131" s="31">
        <f t="shared" ref="Z131:AI131" si="364">SUM(D122)</f>
        <v>29</v>
      </c>
      <c r="AA131" s="32">
        <f t="shared" si="364"/>
        <v>28</v>
      </c>
      <c r="AB131" s="33">
        <f t="shared" si="364"/>
        <v>5473.969</v>
      </c>
      <c r="AC131" s="32">
        <f t="shared" si="364"/>
        <v>1551</v>
      </c>
      <c r="AD131" s="32">
        <f t="shared" si="364"/>
        <v>0</v>
      </c>
      <c r="AE131" s="32">
        <f t="shared" si="364"/>
        <v>1551</v>
      </c>
      <c r="AF131" s="32">
        <f t="shared" si="364"/>
        <v>2359</v>
      </c>
      <c r="AG131" s="32">
        <f t="shared" si="364"/>
        <v>0</v>
      </c>
      <c r="AH131" s="32">
        <f t="shared" si="364"/>
        <v>2359</v>
      </c>
      <c r="AI131" s="32">
        <f t="shared" si="364"/>
        <v>3910</v>
      </c>
      <c r="AJ131" s="34">
        <f t="shared" si="358"/>
        <v>195.4988929</v>
      </c>
      <c r="AK131" s="31">
        <f t="shared" ref="AK131:AK134" si="368">SUM(O122)</f>
        <v>4796</v>
      </c>
      <c r="AL131" s="35">
        <f t="shared" si="359"/>
        <v>0.8152627189</v>
      </c>
      <c r="AM131" s="36">
        <f t="shared" ref="AM131:AM134" si="369">SUM(Q122)</f>
        <v>1.5</v>
      </c>
      <c r="AN131" s="35">
        <f t="shared" si="360"/>
        <v>0.4761931729</v>
      </c>
      <c r="AO131" s="37">
        <f t="shared" si="361"/>
        <v>0.7142897594</v>
      </c>
      <c r="AP131" s="36">
        <f t="shared" ref="AP131:AQ131" si="365">SUM(T122)</f>
        <v>146.3080398</v>
      </c>
      <c r="AQ131" s="36">
        <f t="shared" si="365"/>
        <v>5.225287135</v>
      </c>
      <c r="AR131" s="32">
        <f t="shared" si="363"/>
        <v>139.6428571</v>
      </c>
    </row>
    <row r="132" ht="15.75" customHeight="1">
      <c r="A132" s="21"/>
      <c r="B132" s="60" t="s">
        <v>33</v>
      </c>
      <c r="C132" s="60">
        <v>18.0</v>
      </c>
      <c r="D132" s="60">
        <f t="shared" ref="D132:M132" si="366">SUM(D114:D131)</f>
        <v>585</v>
      </c>
      <c r="E132" s="61">
        <f t="shared" si="366"/>
        <v>572</v>
      </c>
      <c r="F132" s="62">
        <f t="shared" si="366"/>
        <v>111111.163</v>
      </c>
      <c r="G132" s="61">
        <f t="shared" si="366"/>
        <v>40592</v>
      </c>
      <c r="H132" s="61">
        <f t="shared" si="366"/>
        <v>1282</v>
      </c>
      <c r="I132" s="61">
        <f t="shared" si="366"/>
        <v>41874</v>
      </c>
      <c r="J132" s="61">
        <f t="shared" si="366"/>
        <v>56783</v>
      </c>
      <c r="K132" s="61">
        <f t="shared" si="366"/>
        <v>1080</v>
      </c>
      <c r="L132" s="61">
        <f t="shared" si="366"/>
        <v>57863</v>
      </c>
      <c r="M132" s="61">
        <f t="shared" si="366"/>
        <v>99737</v>
      </c>
      <c r="N132" s="62">
        <f t="shared" si="318"/>
        <v>194.250285</v>
      </c>
      <c r="O132" s="60">
        <f>SUM(O114:O131)</f>
        <v>126399</v>
      </c>
      <c r="P132" s="63">
        <f t="shared" si="319"/>
        <v>0.7890647869</v>
      </c>
      <c r="Q132" s="64">
        <v>1.5</v>
      </c>
      <c r="R132" s="63">
        <f t="shared" si="320"/>
        <v>0.5984217205</v>
      </c>
      <c r="S132" s="65">
        <f t="shared" si="321"/>
        <v>0.8976325808</v>
      </c>
      <c r="T132" s="64">
        <f>SUM(T114:T131)</f>
        <v>4102.898132</v>
      </c>
      <c r="U132" s="64">
        <f t="shared" si="322"/>
        <v>7.172898832</v>
      </c>
      <c r="V132" s="61">
        <f t="shared" si="323"/>
        <v>174.3653846</v>
      </c>
      <c r="X132" s="31">
        <v>4.0</v>
      </c>
      <c r="Y132" s="31" t="s">
        <v>37</v>
      </c>
      <c r="Z132" s="31">
        <f t="shared" ref="Z132:AI132" si="367">SUM(D123)</f>
        <v>30</v>
      </c>
      <c r="AA132" s="32">
        <f t="shared" si="367"/>
        <v>30</v>
      </c>
      <c r="AB132" s="33">
        <f t="shared" si="367"/>
        <v>5688.228</v>
      </c>
      <c r="AC132" s="32">
        <f t="shared" si="367"/>
        <v>1661</v>
      </c>
      <c r="AD132" s="32">
        <f t="shared" si="367"/>
        <v>56</v>
      </c>
      <c r="AE132" s="32">
        <f t="shared" si="367"/>
        <v>1717</v>
      </c>
      <c r="AF132" s="32">
        <f t="shared" si="367"/>
        <v>3074</v>
      </c>
      <c r="AG132" s="32">
        <f t="shared" si="367"/>
        <v>105</v>
      </c>
      <c r="AH132" s="32">
        <f t="shared" si="367"/>
        <v>3179</v>
      </c>
      <c r="AI132" s="32">
        <f t="shared" si="367"/>
        <v>4896</v>
      </c>
      <c r="AJ132" s="34">
        <f t="shared" si="358"/>
        <v>189.6076</v>
      </c>
      <c r="AK132" s="31">
        <f t="shared" si="368"/>
        <v>5887</v>
      </c>
      <c r="AL132" s="35">
        <f t="shared" si="359"/>
        <v>0.8316629862</v>
      </c>
      <c r="AM132" s="36">
        <f t="shared" si="369"/>
        <v>1.5</v>
      </c>
      <c r="AN132" s="35">
        <f t="shared" si="360"/>
        <v>0.5738166614</v>
      </c>
      <c r="AO132" s="37">
        <f t="shared" si="361"/>
        <v>0.860724992</v>
      </c>
      <c r="AP132" s="36">
        <f t="shared" ref="AP132:AQ132" si="370">SUM(T123)</f>
        <v>229.4380445</v>
      </c>
      <c r="AQ132" s="36">
        <f t="shared" si="370"/>
        <v>7.647934818</v>
      </c>
      <c r="AR132" s="32">
        <f t="shared" si="363"/>
        <v>163.2</v>
      </c>
    </row>
    <row r="133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X133" s="31">
        <v>5.0</v>
      </c>
      <c r="Y133" s="31" t="s">
        <v>39</v>
      </c>
      <c r="Z133" s="31">
        <f t="shared" ref="Z133:AI133" si="371">SUM(D124)</f>
        <v>28</v>
      </c>
      <c r="AA133" s="32">
        <f t="shared" si="371"/>
        <v>28</v>
      </c>
      <c r="AB133" s="33">
        <f t="shared" si="371"/>
        <v>5394.489</v>
      </c>
      <c r="AC133" s="32">
        <f t="shared" si="371"/>
        <v>1103</v>
      </c>
      <c r="AD133" s="32">
        <f t="shared" si="371"/>
        <v>100</v>
      </c>
      <c r="AE133" s="32">
        <f t="shared" si="371"/>
        <v>1203</v>
      </c>
      <c r="AF133" s="32">
        <f t="shared" si="371"/>
        <v>1987</v>
      </c>
      <c r="AG133" s="32">
        <f t="shared" si="371"/>
        <v>0</v>
      </c>
      <c r="AH133" s="32">
        <f t="shared" si="371"/>
        <v>1987</v>
      </c>
      <c r="AI133" s="32">
        <f t="shared" si="371"/>
        <v>3190</v>
      </c>
      <c r="AJ133" s="34">
        <f t="shared" si="358"/>
        <v>192.6603214</v>
      </c>
      <c r="AK133" s="31">
        <f t="shared" si="368"/>
        <v>3569</v>
      </c>
      <c r="AL133" s="35">
        <f t="shared" si="359"/>
        <v>0.8938077893</v>
      </c>
      <c r="AM133" s="36">
        <f t="shared" si="369"/>
        <v>1.5</v>
      </c>
      <c r="AN133" s="35">
        <f t="shared" si="360"/>
        <v>0.3942294936</v>
      </c>
      <c r="AO133" s="37">
        <f t="shared" si="361"/>
        <v>0.5913442404</v>
      </c>
      <c r="AP133" s="36">
        <f t="shared" ref="AP133:AQ133" si="372">SUM(T124)</f>
        <v>251.339002</v>
      </c>
      <c r="AQ133" s="36">
        <f t="shared" si="372"/>
        <v>8.976392929</v>
      </c>
      <c r="AR133" s="32">
        <f t="shared" si="363"/>
        <v>113.9285714</v>
      </c>
    </row>
    <row r="134" ht="15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X134" s="31">
        <v>6.0</v>
      </c>
      <c r="Y134" s="31" t="s">
        <v>41</v>
      </c>
      <c r="Z134" s="31">
        <f t="shared" ref="Z134:AI134" si="373">SUM(D125)</f>
        <v>24</v>
      </c>
      <c r="AA134" s="32">
        <f t="shared" si="373"/>
        <v>24</v>
      </c>
      <c r="AB134" s="33">
        <f t="shared" si="373"/>
        <v>4704.268</v>
      </c>
      <c r="AC134" s="32">
        <f t="shared" si="373"/>
        <v>1077</v>
      </c>
      <c r="AD134" s="32">
        <f t="shared" si="373"/>
        <v>232</v>
      </c>
      <c r="AE134" s="32">
        <f t="shared" si="373"/>
        <v>1309</v>
      </c>
      <c r="AF134" s="32">
        <f t="shared" si="373"/>
        <v>1579</v>
      </c>
      <c r="AG134" s="32">
        <f t="shared" si="373"/>
        <v>45</v>
      </c>
      <c r="AH134" s="32">
        <f t="shared" si="373"/>
        <v>1624</v>
      </c>
      <c r="AI134" s="32">
        <f t="shared" si="373"/>
        <v>2933</v>
      </c>
      <c r="AJ134" s="34">
        <f t="shared" si="358"/>
        <v>196.0111667</v>
      </c>
      <c r="AK134" s="31">
        <f t="shared" si="368"/>
        <v>3801</v>
      </c>
      <c r="AL134" s="35">
        <f t="shared" si="359"/>
        <v>0.7716390424</v>
      </c>
      <c r="AM134" s="36">
        <f t="shared" si="369"/>
        <v>1.5</v>
      </c>
      <c r="AN134" s="35">
        <f t="shared" si="360"/>
        <v>0.4156509224</v>
      </c>
      <c r="AO134" s="37">
        <f t="shared" si="361"/>
        <v>0.6234763836</v>
      </c>
      <c r="AP134" s="36">
        <f t="shared" ref="AP134:AQ134" si="374">SUM(T125)</f>
        <v>158.7777778</v>
      </c>
      <c r="AQ134" s="36">
        <f t="shared" si="374"/>
        <v>6.615740741</v>
      </c>
      <c r="AR134" s="32">
        <f t="shared" si="363"/>
        <v>122.2083333</v>
      </c>
    </row>
    <row r="135" ht="15.75" customHeight="1">
      <c r="A135" s="1" t="s">
        <v>45</v>
      </c>
      <c r="D135" s="2"/>
      <c r="X135" s="46" t="s">
        <v>33</v>
      </c>
      <c r="Y135" s="46">
        <v>6.0</v>
      </c>
      <c r="Z135" s="46">
        <f t="shared" ref="Z135:AI135" si="375">SUM(Z129:Z134)</f>
        <v>173</v>
      </c>
      <c r="AA135" s="47">
        <f t="shared" si="375"/>
        <v>172</v>
      </c>
      <c r="AB135" s="49">
        <f t="shared" si="375"/>
        <v>33103.892</v>
      </c>
      <c r="AC135" s="47">
        <f t="shared" si="375"/>
        <v>12389</v>
      </c>
      <c r="AD135" s="47">
        <f t="shared" si="375"/>
        <v>408</v>
      </c>
      <c r="AE135" s="47">
        <f t="shared" si="375"/>
        <v>12797</v>
      </c>
      <c r="AF135" s="47">
        <f t="shared" si="375"/>
        <v>16832</v>
      </c>
      <c r="AG135" s="47">
        <f t="shared" si="375"/>
        <v>150</v>
      </c>
      <c r="AH135" s="47">
        <f t="shared" si="375"/>
        <v>16982</v>
      </c>
      <c r="AI135" s="47">
        <f t="shared" si="375"/>
        <v>29779</v>
      </c>
      <c r="AJ135" s="49">
        <f t="shared" si="358"/>
        <v>192.4644884</v>
      </c>
      <c r="AK135" s="46">
        <f>SUM(AK129:AK134)</f>
        <v>37031</v>
      </c>
      <c r="AL135" s="50">
        <f t="shared" si="359"/>
        <v>0.8041640787</v>
      </c>
      <c r="AM135" s="51">
        <v>1.5</v>
      </c>
      <c r="AN135" s="50">
        <f t="shared" si="360"/>
        <v>0.5997079336</v>
      </c>
      <c r="AO135" s="52">
        <f t="shared" si="361"/>
        <v>0.8995619005</v>
      </c>
      <c r="AP135" s="51">
        <f>SUM(AP129:AP134)</f>
        <v>1368.533802</v>
      </c>
      <c r="AQ135" s="51">
        <f>AP135/AA135</f>
        <v>7.956591875</v>
      </c>
      <c r="AR135" s="47">
        <f t="shared" si="363"/>
        <v>173.1337209</v>
      </c>
    </row>
    <row r="136" ht="15.75" customHeight="1">
      <c r="A136" s="1" t="s">
        <v>45</v>
      </c>
      <c r="D136" s="2"/>
      <c r="X136" s="66" t="s">
        <v>1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6"/>
    </row>
    <row r="137" ht="15.75" customHeight="1">
      <c r="A137" s="7">
        <v>46240.0</v>
      </c>
      <c r="B137" s="8" t="s">
        <v>2</v>
      </c>
      <c r="C137" s="8" t="s">
        <v>3</v>
      </c>
      <c r="D137" s="8" t="s">
        <v>4</v>
      </c>
      <c r="E137" s="8" t="s">
        <v>5</v>
      </c>
      <c r="F137" s="9" t="s">
        <v>6</v>
      </c>
      <c r="G137" s="8" t="s">
        <v>7</v>
      </c>
      <c r="H137" s="8" t="s">
        <v>8</v>
      </c>
      <c r="I137" s="8" t="s">
        <v>9</v>
      </c>
      <c r="J137" s="8" t="s">
        <v>10</v>
      </c>
      <c r="K137" s="8" t="s">
        <v>11</v>
      </c>
      <c r="L137" s="8" t="s">
        <v>12</v>
      </c>
      <c r="M137" s="8" t="s">
        <v>13</v>
      </c>
      <c r="N137" s="9" t="s">
        <v>14</v>
      </c>
      <c r="O137" s="8" t="s">
        <v>15</v>
      </c>
      <c r="P137" s="8" t="s">
        <v>16</v>
      </c>
      <c r="Q137" s="8" t="s">
        <v>17</v>
      </c>
      <c r="R137" s="8" t="s">
        <v>18</v>
      </c>
      <c r="S137" s="11" t="s">
        <v>19</v>
      </c>
      <c r="T137" s="12" t="s">
        <v>20</v>
      </c>
      <c r="U137" s="12" t="s">
        <v>21</v>
      </c>
      <c r="V137" s="13" t="s">
        <v>22</v>
      </c>
      <c r="X137" s="14" t="s">
        <v>2</v>
      </c>
      <c r="Y137" s="14" t="s">
        <v>3</v>
      </c>
      <c r="Z137" s="14" t="s">
        <v>4</v>
      </c>
      <c r="AA137" s="14" t="s">
        <v>5</v>
      </c>
      <c r="AB137" s="15" t="s">
        <v>6</v>
      </c>
      <c r="AC137" s="14" t="s">
        <v>7</v>
      </c>
      <c r="AD137" s="14" t="s">
        <v>8</v>
      </c>
      <c r="AE137" s="14" t="s">
        <v>9</v>
      </c>
      <c r="AF137" s="14" t="s">
        <v>10</v>
      </c>
      <c r="AG137" s="14" t="s">
        <v>11</v>
      </c>
      <c r="AH137" s="14" t="s">
        <v>12</v>
      </c>
      <c r="AI137" s="14" t="s">
        <v>13</v>
      </c>
      <c r="AJ137" s="15" t="s">
        <v>14</v>
      </c>
      <c r="AK137" s="14" t="s">
        <v>15</v>
      </c>
      <c r="AL137" s="14" t="s">
        <v>16</v>
      </c>
      <c r="AM137" s="16" t="s">
        <v>17</v>
      </c>
      <c r="AN137" s="17" t="s">
        <v>18</v>
      </c>
      <c r="AO137" s="18" t="s">
        <v>19</v>
      </c>
      <c r="AP137" s="19" t="s">
        <v>20</v>
      </c>
      <c r="AQ137" s="19" t="s">
        <v>21</v>
      </c>
      <c r="AR137" s="20" t="s">
        <v>22</v>
      </c>
    </row>
    <row r="138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X138" s="22">
        <v>1.0</v>
      </c>
      <c r="Y138" s="22" t="s">
        <v>23</v>
      </c>
      <c r="Z138" s="22">
        <f t="shared" ref="Z138:AI138" si="376">SUM(D146)</f>
        <v>35</v>
      </c>
      <c r="AA138" s="23">
        <f t="shared" si="376"/>
        <v>34</v>
      </c>
      <c r="AB138" s="24">
        <f t="shared" si="376"/>
        <v>6714.26</v>
      </c>
      <c r="AC138" s="23">
        <f t="shared" si="376"/>
        <v>1547</v>
      </c>
      <c r="AD138" s="23">
        <f t="shared" si="376"/>
        <v>0</v>
      </c>
      <c r="AE138" s="23">
        <f t="shared" si="376"/>
        <v>1547</v>
      </c>
      <c r="AF138" s="23">
        <f t="shared" si="376"/>
        <v>3478</v>
      </c>
      <c r="AG138" s="23">
        <f t="shared" si="376"/>
        <v>0</v>
      </c>
      <c r="AH138" s="23">
        <f t="shared" si="376"/>
        <v>3478</v>
      </c>
      <c r="AI138" s="23">
        <f t="shared" si="376"/>
        <v>5025</v>
      </c>
      <c r="AJ138" s="25">
        <f t="shared" ref="AJ138:AJ140" si="379">AB138/AA138</f>
        <v>197.4782353</v>
      </c>
      <c r="AK138" s="22">
        <f>SUM(O146)</f>
        <v>6853</v>
      </c>
      <c r="AL138" s="26">
        <f t="shared" ref="AL138:AL144" si="380">AI138/AK138</f>
        <v>0.7332555085</v>
      </c>
      <c r="AM138" s="27">
        <f t="shared" ref="AM138:AM140" si="381">SUM(Q146)</f>
        <v>1.5</v>
      </c>
      <c r="AN138" s="26">
        <f t="shared" ref="AN138:AN144" si="382">AO138/AM138</f>
        <v>0.498938081</v>
      </c>
      <c r="AO138" s="28">
        <f t="shared" ref="AO138:AO144" si="383">AI138/AB138</f>
        <v>0.7484071216</v>
      </c>
      <c r="AP138" s="27">
        <f t="shared" ref="AP138:AQ138" si="377">SUM(T146)</f>
        <v>199</v>
      </c>
      <c r="AQ138" s="27">
        <f t="shared" si="377"/>
        <v>5.852941176</v>
      </c>
      <c r="AR138" s="23">
        <f t="shared" ref="AR138:AR144" si="385">AI138/AA138</f>
        <v>147.7941176</v>
      </c>
    </row>
    <row r="139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X139" s="22">
        <v>2.0</v>
      </c>
      <c r="Y139" s="22" t="s">
        <v>24</v>
      </c>
      <c r="Z139" s="22">
        <f t="shared" ref="Z139:AI139" si="378">SUM(D147)</f>
        <v>44</v>
      </c>
      <c r="AA139" s="23">
        <f t="shared" si="378"/>
        <v>43</v>
      </c>
      <c r="AB139" s="24">
        <f t="shared" si="378"/>
        <v>8489.173</v>
      </c>
      <c r="AC139" s="23">
        <f t="shared" si="378"/>
        <v>899</v>
      </c>
      <c r="AD139" s="23">
        <f t="shared" si="378"/>
        <v>23</v>
      </c>
      <c r="AE139" s="23">
        <f t="shared" si="378"/>
        <v>922</v>
      </c>
      <c r="AF139" s="23">
        <f t="shared" si="378"/>
        <v>1691</v>
      </c>
      <c r="AG139" s="23">
        <f t="shared" si="378"/>
        <v>26</v>
      </c>
      <c r="AH139" s="23">
        <f t="shared" si="378"/>
        <v>1717</v>
      </c>
      <c r="AI139" s="23">
        <f t="shared" si="378"/>
        <v>2639</v>
      </c>
      <c r="AJ139" s="25">
        <f t="shared" si="379"/>
        <v>197.4226279</v>
      </c>
      <c r="AK139" s="22">
        <v>1580.0</v>
      </c>
      <c r="AL139" s="29">
        <f t="shared" si="380"/>
        <v>1.670253165</v>
      </c>
      <c r="AM139" s="27">
        <f t="shared" si="381"/>
        <v>1.5</v>
      </c>
      <c r="AN139" s="26">
        <f t="shared" si="382"/>
        <v>0.2072443727</v>
      </c>
      <c r="AO139" s="28">
        <f t="shared" si="383"/>
        <v>0.3108665591</v>
      </c>
      <c r="AP139" s="27">
        <f t="shared" ref="AP139:AQ139" si="384">SUM(T147)</f>
        <v>316.7011005</v>
      </c>
      <c r="AQ139" s="27">
        <f t="shared" si="384"/>
        <v>7.365141873</v>
      </c>
      <c r="AR139" s="23">
        <f t="shared" si="385"/>
        <v>61.37209302</v>
      </c>
    </row>
    <row r="140" ht="15.75" customHeight="1">
      <c r="A140" s="21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X140" s="31">
        <v>3.0</v>
      </c>
      <c r="Y140" s="31" t="s">
        <v>25</v>
      </c>
      <c r="Z140" s="31">
        <f t="shared" ref="Z140:AI140" si="386">SUM(D148)</f>
        <v>32</v>
      </c>
      <c r="AA140" s="32">
        <f t="shared" si="386"/>
        <v>32</v>
      </c>
      <c r="AB140" s="33">
        <f t="shared" si="386"/>
        <v>6224.008</v>
      </c>
      <c r="AC140" s="32">
        <f t="shared" si="386"/>
        <v>2442</v>
      </c>
      <c r="AD140" s="32">
        <f t="shared" si="386"/>
        <v>426</v>
      </c>
      <c r="AE140" s="32">
        <f t="shared" si="386"/>
        <v>2868</v>
      </c>
      <c r="AF140" s="32">
        <f t="shared" si="386"/>
        <v>2782</v>
      </c>
      <c r="AG140" s="32">
        <f t="shared" si="386"/>
        <v>397</v>
      </c>
      <c r="AH140" s="32">
        <f t="shared" si="386"/>
        <v>3179</v>
      </c>
      <c r="AI140" s="32">
        <f t="shared" si="386"/>
        <v>6047</v>
      </c>
      <c r="AJ140" s="34">
        <f t="shared" si="379"/>
        <v>194.50025</v>
      </c>
      <c r="AK140" s="31">
        <f>SUM(O148)</f>
        <v>6622</v>
      </c>
      <c r="AL140" s="35">
        <f t="shared" si="380"/>
        <v>0.9131682271</v>
      </c>
      <c r="AM140" s="36">
        <f t="shared" si="381"/>
        <v>1.5</v>
      </c>
      <c r="AN140" s="35">
        <f t="shared" si="382"/>
        <v>0.6477069652</v>
      </c>
      <c r="AO140" s="37">
        <f t="shared" si="383"/>
        <v>0.9715604479</v>
      </c>
      <c r="AP140" s="36">
        <f t="shared" ref="AP140:AQ140" si="387">SUM(T148)</f>
        <v>261.0741611</v>
      </c>
      <c r="AQ140" s="36">
        <f t="shared" si="387"/>
        <v>8.158567534</v>
      </c>
      <c r="AR140" s="32">
        <f t="shared" si="385"/>
        <v>188.96875</v>
      </c>
    </row>
    <row r="141" ht="15.75" customHeight="1">
      <c r="A141" s="21"/>
      <c r="B141" s="38">
        <v>1.0</v>
      </c>
      <c r="C141" s="38" t="s">
        <v>26</v>
      </c>
      <c r="D141" s="39">
        <v>20.0</v>
      </c>
      <c r="E141" s="40">
        <f>IFERROR(__xludf.DUMMYFUNCTION("COUNT(IMPORTRANGE(""https://docs.google.com/spreadsheets/d/1iVFEBQOAONhqDIMRa2hQ7WkCQv0dJWSAmc0AzfvSCMg/edit"",""6!d2:d21""))"),19.0)</f>
        <v>19</v>
      </c>
      <c r="F141" s="41">
        <f>IFERROR(__xludf.DUMMYFUNCTION("SUM(IMPORTRANGE(""https://docs.google.com/spreadsheets/d/1iVFEBQOAONhqDIMRa2hQ7WkCQv0dJWSAmc0AzfvSCMg/edit"",""6!Q2:Q21""))"),3690.8520000000003)</f>
        <v>3690.852</v>
      </c>
      <c r="G141" s="40">
        <f>IFERROR(__xludf.DUMMYFUNCTION("IMPORTRANGE(""https://docs.google.com/spreadsheets/d/1iVFEBQOAONhqDIMRa2hQ7WkCQv0dJWSAmc0AzfvSCMg/edit"",""6!e28"")"),2154.0)</f>
        <v>2154</v>
      </c>
      <c r="H141" s="40">
        <f>IFERROR(__xludf.DUMMYFUNCTION("IMPORTRANGE(""https://docs.google.com/spreadsheets/d/1iVFEBQOAONhqDIMRa2hQ7WkCQv0dJWSAmc0AzfvSCMg/edit"",""6!e29"")"),40.0)</f>
        <v>40</v>
      </c>
      <c r="I141" s="40">
        <f t="shared" ref="I141:I158" si="390">SUM(G141:H141)</f>
        <v>2194</v>
      </c>
      <c r="J141" s="40">
        <f>IFERROR(__xludf.DUMMYFUNCTION("IMPORTRANGE(""https://docs.google.com/spreadsheets/d/1iVFEBQOAONhqDIMRa2hQ7WkCQv0dJWSAmc0AzfvSCMg/edit"",""6!e32"")"),3020.0)</f>
        <v>3020</v>
      </c>
      <c r="K141" s="40">
        <f>IFERROR(__xludf.DUMMYFUNCTION("IMPORTRANGE(""https://docs.google.com/spreadsheets/d/1iVFEBQOAONhqDIMRa2hQ7WkCQv0dJWSAmc0AzfvSCMg/edit"",""6!e33"")"),45.0)</f>
        <v>45</v>
      </c>
      <c r="L141" s="40">
        <f t="shared" ref="L141:L147" si="391">SUM(J141:K141)</f>
        <v>3065</v>
      </c>
      <c r="M141" s="40">
        <f t="shared" ref="M141:M158" si="392">SUM(I141+L141)</f>
        <v>5259</v>
      </c>
      <c r="N141" s="41">
        <f t="shared" ref="N141:N159" si="393">F141/E141</f>
        <v>194.2553684</v>
      </c>
      <c r="O141" s="38">
        <v>5161.0</v>
      </c>
      <c r="P141" s="56">
        <f t="shared" ref="P141:P159" si="394">M141/O141</f>
        <v>1.018988568</v>
      </c>
      <c r="Q141" s="43">
        <v>1.5</v>
      </c>
      <c r="R141" s="42">
        <f t="shared" ref="R141:R159" si="395">S141/Q141</f>
        <v>0.9499161711</v>
      </c>
      <c r="S141" s="44">
        <f t="shared" ref="S141:S159" si="396">M141/F141</f>
        <v>1.424874257</v>
      </c>
      <c r="T141" s="43">
        <f>F141/14.415</f>
        <v>256.0424558</v>
      </c>
      <c r="U141" s="43">
        <f t="shared" ref="U141:U159" si="397">T141/E141</f>
        <v>13.47591873</v>
      </c>
      <c r="V141" s="40">
        <f t="shared" ref="V141:V159" si="398">M141/E141</f>
        <v>276.7894737</v>
      </c>
      <c r="X141" s="22">
        <v>4.0</v>
      </c>
      <c r="Y141" s="22" t="s">
        <v>27</v>
      </c>
      <c r="Z141" s="22">
        <f t="shared" ref="Z141:AK141" si="388">SUM(D154)</f>
        <v>30</v>
      </c>
      <c r="AA141" s="23">
        <f t="shared" si="388"/>
        <v>29</v>
      </c>
      <c r="AB141" s="24">
        <f t="shared" si="388"/>
        <v>5411.828</v>
      </c>
      <c r="AC141" s="23">
        <f t="shared" si="388"/>
        <v>2382</v>
      </c>
      <c r="AD141" s="23">
        <f t="shared" si="388"/>
        <v>172</v>
      </c>
      <c r="AE141" s="23">
        <f t="shared" si="388"/>
        <v>2554</v>
      </c>
      <c r="AF141" s="23">
        <f t="shared" si="388"/>
        <v>3320</v>
      </c>
      <c r="AG141" s="23">
        <f t="shared" si="388"/>
        <v>61</v>
      </c>
      <c r="AH141" s="23">
        <f t="shared" si="388"/>
        <v>3381</v>
      </c>
      <c r="AI141" s="23">
        <f t="shared" si="388"/>
        <v>5935</v>
      </c>
      <c r="AJ141" s="25">
        <f t="shared" si="388"/>
        <v>186.6147586</v>
      </c>
      <c r="AK141" s="22">
        <f t="shared" si="388"/>
        <v>8101</v>
      </c>
      <c r="AL141" s="26">
        <f t="shared" si="380"/>
        <v>0.7326256018</v>
      </c>
      <c r="AM141" s="27">
        <f>SUM(Q154)</f>
        <v>1.5</v>
      </c>
      <c r="AN141" s="26">
        <f t="shared" si="382"/>
        <v>0.7311146375</v>
      </c>
      <c r="AO141" s="28">
        <f t="shared" si="383"/>
        <v>1.096671956</v>
      </c>
      <c r="AP141" s="27">
        <f t="shared" ref="AP141:AQ141" si="389">SUM(T154)</f>
        <v>270.7944959</v>
      </c>
      <c r="AQ141" s="27">
        <f t="shared" si="389"/>
        <v>9.337741237</v>
      </c>
      <c r="AR141" s="23">
        <f t="shared" si="385"/>
        <v>204.6551724</v>
      </c>
    </row>
    <row r="142" ht="15.75" customHeight="1">
      <c r="A142" s="21"/>
      <c r="B142" s="38">
        <v>2.0</v>
      </c>
      <c r="C142" s="38" t="s">
        <v>28</v>
      </c>
      <c r="D142" s="39">
        <v>33.0</v>
      </c>
      <c r="E142" s="40">
        <f>IFERROR(__xludf.DUMMYFUNCTION("COUNT(IMPORTRANGE(""https://docs.google.com/spreadsheets/d/1tJCeYclgeJZ4Dc78t_SkhVjtacKW-5-VGim8X1rzUzk/edit"",""6!d2:d34""))"),33.0)</f>
        <v>33</v>
      </c>
      <c r="F142" s="41">
        <f>IFERROR(__xludf.DUMMYFUNCTION("SUM(IMPORTRANGE(""https://docs.google.com/spreadsheets/d/1tJCeYclgeJZ4Dc78t_SkhVjtacKW-5-VGim8X1rzUzk/edit"",""6!Q2:Q34""))"),6497.935999999998)</f>
        <v>6497.936</v>
      </c>
      <c r="G142" s="40">
        <f>IFERROR(__xludf.DUMMYFUNCTION("IMPORTRANGE(""https://docs.google.com/spreadsheets/d/1tJCeYclgeJZ4Dc78t_SkhVjtacKW-5-VGim8X1rzUzk/edit"",""6!e41"")"),2268.0)</f>
        <v>2268</v>
      </c>
      <c r="H142" s="40">
        <f>IFERROR(__xludf.DUMMYFUNCTION("IMPORTRANGE(""https://docs.google.com/spreadsheets/d/1tJCeYclgeJZ4Dc78t_SkhVjtacKW-5-VGim8X1rzUzk/edit"",""6!e42"")"),157.0)</f>
        <v>157</v>
      </c>
      <c r="I142" s="40">
        <f t="shared" si="390"/>
        <v>2425</v>
      </c>
      <c r="J142" s="40">
        <f>IFERROR(__xludf.DUMMYFUNCTION("IMPORTRANGE(""https://docs.google.com/spreadsheets/d/1tJCeYclgeJZ4Dc78t_SkhVjtacKW-5-VGim8X1rzUzk/edit"",""6!e45"")"),3517.0)</f>
        <v>3517</v>
      </c>
      <c r="K142" s="40">
        <f>IFERROR(__xludf.DUMMYFUNCTION("IMPORTRANGE(""https://docs.google.com/spreadsheets/d/1tJCeYclgeJZ4Dc78t_SkhVjtacKW-5-VGim8X1rzUzk/edit"",""6!e46"")"),170.0)</f>
        <v>170</v>
      </c>
      <c r="L142" s="40">
        <f t="shared" si="391"/>
        <v>3687</v>
      </c>
      <c r="M142" s="40">
        <f t="shared" si="392"/>
        <v>6112</v>
      </c>
      <c r="N142" s="41">
        <f t="shared" si="393"/>
        <v>196.9071515</v>
      </c>
      <c r="O142" s="38">
        <v>7315.0</v>
      </c>
      <c r="P142" s="42">
        <f t="shared" si="394"/>
        <v>0.835543404</v>
      </c>
      <c r="Q142" s="43">
        <v>1.5</v>
      </c>
      <c r="R142" s="42">
        <f t="shared" si="395"/>
        <v>0.627070914</v>
      </c>
      <c r="S142" s="44">
        <f t="shared" si="396"/>
        <v>0.940606371</v>
      </c>
      <c r="T142" s="43">
        <f>F142/30.897</f>
        <v>210.3096093</v>
      </c>
      <c r="U142" s="43">
        <f t="shared" si="397"/>
        <v>6.373018465</v>
      </c>
      <c r="V142" s="40">
        <f t="shared" si="398"/>
        <v>185.2121212</v>
      </c>
      <c r="X142" s="22">
        <v>5.0</v>
      </c>
      <c r="Y142" s="22" t="s">
        <v>29</v>
      </c>
      <c r="Z142" s="22">
        <f t="shared" ref="Z142:AI142" si="399">SUM(D157)</f>
        <v>30</v>
      </c>
      <c r="AA142" s="23">
        <f t="shared" si="399"/>
        <v>29</v>
      </c>
      <c r="AB142" s="24">
        <f t="shared" si="399"/>
        <v>5832.512</v>
      </c>
      <c r="AC142" s="23">
        <f t="shared" si="399"/>
        <v>2687</v>
      </c>
      <c r="AD142" s="23">
        <f t="shared" si="399"/>
        <v>0</v>
      </c>
      <c r="AE142" s="23">
        <f t="shared" si="399"/>
        <v>2687</v>
      </c>
      <c r="AF142" s="23">
        <f t="shared" si="399"/>
        <v>4344</v>
      </c>
      <c r="AG142" s="23">
        <f t="shared" si="399"/>
        <v>0</v>
      </c>
      <c r="AH142" s="23">
        <f t="shared" si="399"/>
        <v>4344</v>
      </c>
      <c r="AI142" s="23">
        <f t="shared" si="399"/>
        <v>7031</v>
      </c>
      <c r="AJ142" s="25">
        <f t="shared" ref="AJ142:AJ144" si="402">AB142/AA142</f>
        <v>201.1211034</v>
      </c>
      <c r="AK142" s="22">
        <f t="shared" ref="AK142:AK143" si="403">SUM(O157)</f>
        <v>9201</v>
      </c>
      <c r="AL142" s="26">
        <f t="shared" si="380"/>
        <v>0.76415607</v>
      </c>
      <c r="AM142" s="27">
        <f t="shared" ref="AM142:AM143" si="404">SUM(Q157)</f>
        <v>1.5</v>
      </c>
      <c r="AN142" s="26">
        <f t="shared" si="382"/>
        <v>0.8036560119</v>
      </c>
      <c r="AO142" s="28">
        <f t="shared" si="383"/>
        <v>1.205484018</v>
      </c>
      <c r="AP142" s="27">
        <f t="shared" ref="AP142:AQ142" si="400">SUM(T157)</f>
        <v>224</v>
      </c>
      <c r="AQ142" s="27">
        <f t="shared" si="400"/>
        <v>7.724137931</v>
      </c>
      <c r="AR142" s="23">
        <f t="shared" si="385"/>
        <v>242.4482759</v>
      </c>
    </row>
    <row r="143" ht="15.75" customHeight="1">
      <c r="A143" s="21"/>
      <c r="B143" s="38">
        <v>3.0</v>
      </c>
      <c r="C143" s="38" t="s">
        <v>30</v>
      </c>
      <c r="D143" s="39">
        <v>60.0</v>
      </c>
      <c r="E143" s="40">
        <f>IFERROR(__xludf.DUMMYFUNCTION("COUNT(IMPORTRANGE(""https://docs.google.com/spreadsheets/d/130gLEONC13J8KkQ6dk06x3bLRy_jCrAw2hXatQf2W50/edit"",""6!d2:d61""))"),57.0)</f>
        <v>57</v>
      </c>
      <c r="F143" s="45">
        <f>IFERROR(__xludf.DUMMYFUNCTION("SUM(IMPORTRANGE(""https://docs.google.com/spreadsheets/d/130gLEONC13J8KkQ6dk06x3bLRy_jCrAw2hXatQf2W50/edit"",""6!Q2:Q61""))"),11337.948999999988)</f>
        <v>11337.949</v>
      </c>
      <c r="G143" s="40">
        <f>IFERROR(__xludf.DUMMYFUNCTION("IMPORTRANGE(""https://docs.google.com/spreadsheets/d/130gLEONC13J8KkQ6dk06x3bLRy_jCrAw2hXatQf2W50/edit"",""6!e68"")"),2876.0)</f>
        <v>2876</v>
      </c>
      <c r="H143" s="40">
        <f>IFERROR(__xludf.DUMMYFUNCTION("IMPORTRANGE(""https://docs.google.com/spreadsheets/d/130gLEONC13J8KkQ6dk06x3bLRy_jCrAw2hXatQf2W50/edit"",""6!e69"")"),0.0)</f>
        <v>0</v>
      </c>
      <c r="I143" s="40">
        <f t="shared" si="390"/>
        <v>2876</v>
      </c>
      <c r="J143" s="40">
        <f>IFERROR(__xludf.DUMMYFUNCTION("IMPORTRANGE(""https://docs.google.com/spreadsheets/d/130gLEONC13J8KkQ6dk06x3bLRy_jCrAw2hXatQf2W50/edit"",""6!e72"")"),6435.0)</f>
        <v>6435</v>
      </c>
      <c r="K143" s="40">
        <f>IFERROR(__xludf.DUMMYFUNCTION("IMPORTRANGE(""https://docs.google.com/spreadsheets/d/130gLEONC13J8KkQ6dk06x3bLRy_jCrAw2hXatQf2W50/edit"",""6!e73"")"),21.0)</f>
        <v>21</v>
      </c>
      <c r="L143" s="40">
        <f t="shared" si="391"/>
        <v>6456</v>
      </c>
      <c r="M143" s="40">
        <f t="shared" si="392"/>
        <v>9332</v>
      </c>
      <c r="N143" s="41">
        <f t="shared" si="393"/>
        <v>198.911386</v>
      </c>
      <c r="O143" s="38">
        <v>11164.0</v>
      </c>
      <c r="P143" s="42">
        <f t="shared" si="394"/>
        <v>0.8359011107</v>
      </c>
      <c r="Q143" s="43">
        <v>1.5</v>
      </c>
      <c r="R143" s="42">
        <f t="shared" si="395"/>
        <v>0.5487177031</v>
      </c>
      <c r="S143" s="44">
        <f t="shared" si="396"/>
        <v>0.8230765547</v>
      </c>
      <c r="T143" s="43">
        <f>F143/29.603</f>
        <v>383</v>
      </c>
      <c r="U143" s="43">
        <f t="shared" si="397"/>
        <v>6.719298246</v>
      </c>
      <c r="V143" s="40">
        <f t="shared" si="398"/>
        <v>163.7192982</v>
      </c>
      <c r="X143" s="22">
        <v>6.0</v>
      </c>
      <c r="Y143" s="22" t="s">
        <v>31</v>
      </c>
      <c r="Z143" s="22">
        <f t="shared" ref="Z143:AI143" si="401">SUM(D158)</f>
        <v>15</v>
      </c>
      <c r="AA143" s="23">
        <f t="shared" si="401"/>
        <v>14</v>
      </c>
      <c r="AB143" s="25">
        <f t="shared" si="401"/>
        <v>2868.69</v>
      </c>
      <c r="AC143" s="23">
        <f t="shared" si="401"/>
        <v>949</v>
      </c>
      <c r="AD143" s="23">
        <f t="shared" si="401"/>
        <v>0</v>
      </c>
      <c r="AE143" s="23">
        <f t="shared" si="401"/>
        <v>949</v>
      </c>
      <c r="AF143" s="23">
        <f t="shared" si="401"/>
        <v>1081</v>
      </c>
      <c r="AG143" s="23">
        <f t="shared" si="401"/>
        <v>9</v>
      </c>
      <c r="AH143" s="23">
        <f t="shared" si="401"/>
        <v>1090</v>
      </c>
      <c r="AI143" s="23">
        <f t="shared" si="401"/>
        <v>2039</v>
      </c>
      <c r="AJ143" s="25">
        <f t="shared" si="402"/>
        <v>204.9064286</v>
      </c>
      <c r="AK143" s="22">
        <f t="shared" si="403"/>
        <v>2717</v>
      </c>
      <c r="AL143" s="26">
        <f t="shared" si="380"/>
        <v>0.7504600662</v>
      </c>
      <c r="AM143" s="27">
        <f t="shared" si="404"/>
        <v>1.5</v>
      </c>
      <c r="AN143" s="26">
        <f t="shared" si="382"/>
        <v>0.4738515954</v>
      </c>
      <c r="AO143" s="28">
        <f t="shared" si="383"/>
        <v>0.7107773932</v>
      </c>
      <c r="AP143" s="27">
        <f t="shared" ref="AP143:AQ143" si="405">SUM(T158)</f>
        <v>66</v>
      </c>
      <c r="AQ143" s="27">
        <f t="shared" si="405"/>
        <v>4.714285714</v>
      </c>
      <c r="AR143" s="23">
        <f t="shared" si="385"/>
        <v>145.6428571</v>
      </c>
    </row>
    <row r="144" ht="15.75" customHeight="1">
      <c r="A144" s="21"/>
      <c r="B144" s="38">
        <v>4.0</v>
      </c>
      <c r="C144" s="38" t="s">
        <v>32</v>
      </c>
      <c r="D144" s="39">
        <v>42.0</v>
      </c>
      <c r="E144" s="40">
        <f>IFERROR(__xludf.DUMMYFUNCTION("COUNT(IMPORTRANGE(""https://docs.google.com/spreadsheets/d/1gYHli7FuKQLm2Q-5LMR0UtkD-gRRA_p8s-phLPLDLgc/edit"",""6!d2:d43""))"),42.0)</f>
        <v>42</v>
      </c>
      <c r="F144" s="45">
        <f>IFERROR(__xludf.DUMMYFUNCTION("SUM(IMPORTRANGE(""https://docs.google.com/spreadsheets/d/1gYHli7FuKQLm2Q-5LMR0UtkD-gRRA_p8s-phLPLDLgc/edit"",""6!Q2:Q43""))"),8078.657999999992)</f>
        <v>8078.658</v>
      </c>
      <c r="G144" s="38">
        <f>IFERROR(__xludf.DUMMYFUNCTION("IMPORTRANGE(""https://docs.google.com/spreadsheets/d/1gYHli7FuKQLm2Q-5LMR0UtkD-gRRA_p8s-phLPLDLgc/edit"",""6!e50"")"),4748.0)</f>
        <v>4748</v>
      </c>
      <c r="H144" s="38">
        <f>IFERROR(__xludf.DUMMYFUNCTION("IMPORTRANGE(""https://docs.google.com/spreadsheets/d/1gYHli7FuKQLm2Q-5LMR0UtkD-gRRA_p8s-phLPLDLgc/edit"",""6!e51"")"),0.0)</f>
        <v>0</v>
      </c>
      <c r="I144" s="40">
        <f t="shared" si="390"/>
        <v>4748</v>
      </c>
      <c r="J144" s="38">
        <f>IFERROR(__xludf.DUMMYFUNCTION("IMPORTRANGE(""https://docs.google.com/spreadsheets/d/1gYHli7FuKQLm2Q-5LMR0UtkD-gRRA_p8s-phLPLDLgc/edit"",""6!e54"")"),5516.0)</f>
        <v>5516</v>
      </c>
      <c r="K144" s="38">
        <f>IFERROR(__xludf.DUMMYFUNCTION("IMPORTRANGE(""https://docs.google.com/spreadsheets/d/1gYHli7FuKQLm2Q-5LMR0UtkD-gRRA_p8s-phLPLDLgc/edit"",""6!e55"")"),0.0)</f>
        <v>0</v>
      </c>
      <c r="L144" s="40">
        <f t="shared" si="391"/>
        <v>5516</v>
      </c>
      <c r="M144" s="40">
        <f t="shared" si="392"/>
        <v>10264</v>
      </c>
      <c r="N144" s="41">
        <f t="shared" si="393"/>
        <v>192.349</v>
      </c>
      <c r="O144" s="38">
        <v>13817.0</v>
      </c>
      <c r="P144" s="42">
        <f t="shared" si="394"/>
        <v>0.7428530072</v>
      </c>
      <c r="Q144" s="43">
        <v>1.5</v>
      </c>
      <c r="R144" s="42">
        <f t="shared" si="395"/>
        <v>0.8470053648</v>
      </c>
      <c r="S144" s="44">
        <f t="shared" si="396"/>
        <v>1.270508047</v>
      </c>
      <c r="T144" s="43">
        <f>F144/25.089</f>
        <v>322</v>
      </c>
      <c r="U144" s="43">
        <f t="shared" si="397"/>
        <v>7.666666667</v>
      </c>
      <c r="V144" s="40">
        <f t="shared" si="398"/>
        <v>244.3809524</v>
      </c>
      <c r="X144" s="46" t="s">
        <v>33</v>
      </c>
      <c r="Y144" s="46">
        <v>6.0</v>
      </c>
      <c r="Z144" s="46">
        <f t="shared" ref="Z144:AI144" si="406">SUM(Z138:Z143)</f>
        <v>186</v>
      </c>
      <c r="AA144" s="47">
        <f t="shared" si="406"/>
        <v>181</v>
      </c>
      <c r="AB144" s="48">
        <f t="shared" si="406"/>
        <v>35540.471</v>
      </c>
      <c r="AC144" s="47">
        <f t="shared" si="406"/>
        <v>10906</v>
      </c>
      <c r="AD144" s="47">
        <f t="shared" si="406"/>
        <v>621</v>
      </c>
      <c r="AE144" s="47">
        <f t="shared" si="406"/>
        <v>11527</v>
      </c>
      <c r="AF144" s="47">
        <f t="shared" si="406"/>
        <v>16696</v>
      </c>
      <c r="AG144" s="47">
        <f t="shared" si="406"/>
        <v>493</v>
      </c>
      <c r="AH144" s="47">
        <f t="shared" si="406"/>
        <v>17189</v>
      </c>
      <c r="AI144" s="47">
        <f t="shared" si="406"/>
        <v>28716</v>
      </c>
      <c r="AJ144" s="49">
        <f t="shared" si="402"/>
        <v>196.3561934</v>
      </c>
      <c r="AK144" s="46">
        <f>SUM(AK138:AK143)</f>
        <v>35074</v>
      </c>
      <c r="AL144" s="50">
        <f t="shared" si="380"/>
        <v>0.8187261219</v>
      </c>
      <c r="AM144" s="51">
        <v>1.5</v>
      </c>
      <c r="AN144" s="50">
        <f t="shared" si="382"/>
        <v>0.5386535254</v>
      </c>
      <c r="AO144" s="52">
        <f t="shared" si="383"/>
        <v>0.8079802882</v>
      </c>
      <c r="AP144" s="51">
        <f>SUM(AP138:AP143)</f>
        <v>1337.569757</v>
      </c>
      <c r="AQ144" s="51">
        <f>AP144/AA144</f>
        <v>7.389888163</v>
      </c>
      <c r="AR144" s="47">
        <f t="shared" si="385"/>
        <v>158.6519337</v>
      </c>
    </row>
    <row r="145" ht="15.75" customHeight="1">
      <c r="A145" s="21"/>
      <c r="B145" s="38">
        <v>5.0</v>
      </c>
      <c r="C145" s="38" t="s">
        <v>34</v>
      </c>
      <c r="D145" s="39">
        <v>40.0</v>
      </c>
      <c r="E145" s="40">
        <f>IFERROR(__xludf.DUMMYFUNCTION("COUNT(IMPORTRANGE(""https://docs.google.com/spreadsheets/d/1ptS0qWBCKWkc9h2aXWT_YgMhN7yIv5WgAHRbF8l9Zpo/edit"",""6!d2:d41""))"),40.0)</f>
        <v>40</v>
      </c>
      <c r="F145" s="45">
        <f>IFERROR(__xludf.DUMMYFUNCTION("SUM(IMPORTRANGE(""https://docs.google.com/spreadsheets/d/1ptS0qWBCKWkc9h2aXWT_YgMhN7yIv5WgAHRbF8l9Zpo/edit"",""6!Q2:Q41""))"),7852.119000000002)</f>
        <v>7852.119</v>
      </c>
      <c r="G145" s="40">
        <f>IFERROR(__xludf.DUMMYFUNCTION("IMPORTRANGE(""https://docs.google.com/spreadsheets/d/1ptS0qWBCKWkc9h2aXWT_YgMhN7yIv5WgAHRbF8l9Zpo/edit"",""6!e48"")"),2909.0)</f>
        <v>2909</v>
      </c>
      <c r="H145" s="40">
        <f>IFERROR(__xludf.DUMMYFUNCTION("IMPORTRANGE(""https://docs.google.com/spreadsheets/d/1ptS0qWBCKWkc9h2aXWT_YgMhN7yIv5WgAHRbF8l9Zpo/edit"",""6!e49"")"),0.0)</f>
        <v>0</v>
      </c>
      <c r="I145" s="40">
        <f t="shared" si="390"/>
        <v>2909</v>
      </c>
      <c r="J145" s="40">
        <f>IFERROR(__xludf.DUMMYFUNCTION("IMPORTRANGE(""https://docs.google.com/spreadsheets/d/1ptS0qWBCKWkc9h2aXWT_YgMhN7yIv5WgAHRbF8l9Zpo/edit"",""6!e52"")"),3443.0)</f>
        <v>3443</v>
      </c>
      <c r="K145" s="40">
        <f>IFERROR(__xludf.DUMMYFUNCTION("IMPORTRANGE(""https://docs.google.com/spreadsheets/d/1ptS0qWBCKWkc9h2aXWT_YgMhN7yIv5WgAHRbF8l9Zpo/edit"",""6!e53"")"),0.0)</f>
        <v>0</v>
      </c>
      <c r="L145" s="40">
        <f t="shared" si="391"/>
        <v>3443</v>
      </c>
      <c r="M145" s="40">
        <f t="shared" si="392"/>
        <v>6352</v>
      </c>
      <c r="N145" s="41">
        <f t="shared" si="393"/>
        <v>196.302975</v>
      </c>
      <c r="O145" s="38">
        <v>9354.0</v>
      </c>
      <c r="P145" s="42">
        <f t="shared" si="394"/>
        <v>0.6790677785</v>
      </c>
      <c r="Q145" s="43">
        <v>1.5</v>
      </c>
      <c r="R145" s="42">
        <f t="shared" si="395"/>
        <v>0.5393024057</v>
      </c>
      <c r="S145" s="44">
        <f t="shared" si="396"/>
        <v>0.8089536086</v>
      </c>
      <c r="T145" s="43">
        <f>F145/30.713</f>
        <v>255.6610881</v>
      </c>
      <c r="U145" s="43">
        <f t="shared" si="397"/>
        <v>6.391527203</v>
      </c>
      <c r="V145" s="40">
        <f t="shared" si="398"/>
        <v>158.8</v>
      </c>
      <c r="X145" s="53" t="s">
        <v>35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6"/>
    </row>
    <row r="146" ht="15.75" customHeight="1">
      <c r="A146" s="21"/>
      <c r="B146" s="38">
        <v>6.0</v>
      </c>
      <c r="C146" s="38" t="s">
        <v>23</v>
      </c>
      <c r="D146" s="39">
        <v>35.0</v>
      </c>
      <c r="E146" s="40">
        <f>IFERROR(__xludf.DUMMYFUNCTION("COUNT(IMPORTRANGE(""https://docs.google.com/spreadsheets/d/1829CoYW82aTBBUgqkPnJa94KlBWI-DowAnP4ENQCmaQ/edit"",""6!d2:d36""))"),34.0)</f>
        <v>34</v>
      </c>
      <c r="F146" s="45">
        <f>IFERROR(__xludf.DUMMYFUNCTION("SUM(IMPORTRANGE(""https://docs.google.com/spreadsheets/d/1829CoYW82aTBBUgqkPnJa94KlBWI-DowAnP4ENQCmaQ/edit"",""6!Q2:Q36""))"),6714.259999999996)</f>
        <v>6714.26</v>
      </c>
      <c r="G146" s="40">
        <f>IFERROR(__xludf.DUMMYFUNCTION("IMPORTRANGE(""https://docs.google.com/spreadsheets/d/1829CoYW82aTBBUgqkPnJa94KlBWI-DowAnP4ENQCmaQ/edit"",""6!e43"")"),1547.0)</f>
        <v>1547</v>
      </c>
      <c r="H146" s="40">
        <f>IFERROR(__xludf.DUMMYFUNCTION("IMPORTRANGE(""https://docs.google.com/spreadsheets/d/1829CoYW82aTBBUgqkPnJa94KlBWI-DowAnP4ENQCmaQ/edit"",""6!e44"")"),0.0)</f>
        <v>0</v>
      </c>
      <c r="I146" s="40">
        <f t="shared" si="390"/>
        <v>1547</v>
      </c>
      <c r="J146" s="40">
        <f>IFERROR(__xludf.DUMMYFUNCTION("IMPORTRANGE(""https://docs.google.com/spreadsheets/d/1829CoYW82aTBBUgqkPnJa94KlBWI-DowAnP4ENQCmaQ/edit"",""6!e47"")"),3478.0)</f>
        <v>3478</v>
      </c>
      <c r="K146" s="40">
        <f>IFERROR(__xludf.DUMMYFUNCTION("IMPORTRANGE(""https://docs.google.com/spreadsheets/d/1829CoYW82aTBBUgqkPnJa94KlBWI-DowAnP4ENQCmaQ/edit"",""6!e48"")"),0.0)</f>
        <v>0</v>
      </c>
      <c r="L146" s="40">
        <f t="shared" si="391"/>
        <v>3478</v>
      </c>
      <c r="M146" s="40">
        <f t="shared" si="392"/>
        <v>5025</v>
      </c>
      <c r="N146" s="41">
        <f t="shared" si="393"/>
        <v>197.4782353</v>
      </c>
      <c r="O146" s="38">
        <v>6853.0</v>
      </c>
      <c r="P146" s="42">
        <f t="shared" si="394"/>
        <v>0.7332555085</v>
      </c>
      <c r="Q146" s="43">
        <v>1.5</v>
      </c>
      <c r="R146" s="42">
        <f t="shared" si="395"/>
        <v>0.498938081</v>
      </c>
      <c r="S146" s="44">
        <f t="shared" si="396"/>
        <v>0.7484071216</v>
      </c>
      <c r="T146" s="43">
        <f>F146/33.74</f>
        <v>199</v>
      </c>
      <c r="U146" s="43">
        <f t="shared" si="397"/>
        <v>5.852941176</v>
      </c>
      <c r="V146" s="40">
        <f t="shared" si="398"/>
        <v>147.7941176</v>
      </c>
      <c r="X146" s="14" t="s">
        <v>2</v>
      </c>
      <c r="Y146" s="14" t="s">
        <v>3</v>
      </c>
      <c r="Z146" s="14" t="s">
        <v>4</v>
      </c>
      <c r="AA146" s="14" t="s">
        <v>5</v>
      </c>
      <c r="AB146" s="15" t="s">
        <v>6</v>
      </c>
      <c r="AC146" s="14" t="s">
        <v>7</v>
      </c>
      <c r="AD146" s="14" t="s">
        <v>8</v>
      </c>
      <c r="AE146" s="14" t="s">
        <v>9</v>
      </c>
      <c r="AF146" s="14" t="s">
        <v>10</v>
      </c>
      <c r="AG146" s="14" t="s">
        <v>11</v>
      </c>
      <c r="AH146" s="14" t="s">
        <v>12</v>
      </c>
      <c r="AI146" s="14" t="s">
        <v>13</v>
      </c>
      <c r="AJ146" s="15" t="s">
        <v>14</v>
      </c>
      <c r="AK146" s="14" t="s">
        <v>15</v>
      </c>
      <c r="AL146" s="14" t="s">
        <v>16</v>
      </c>
      <c r="AM146" s="16" t="s">
        <v>17</v>
      </c>
      <c r="AN146" s="17" t="s">
        <v>18</v>
      </c>
      <c r="AO146" s="18" t="s">
        <v>19</v>
      </c>
      <c r="AP146" s="19" t="s">
        <v>20</v>
      </c>
      <c r="AQ146" s="19" t="s">
        <v>21</v>
      </c>
      <c r="AR146" s="20" t="s">
        <v>22</v>
      </c>
    </row>
    <row r="147" ht="15.75" customHeight="1">
      <c r="A147" s="21"/>
      <c r="B147" s="38">
        <v>7.0</v>
      </c>
      <c r="C147" s="38" t="s">
        <v>24</v>
      </c>
      <c r="D147" s="39">
        <v>44.0</v>
      </c>
      <c r="E147" s="54">
        <f>IFERROR(__xludf.DUMMYFUNCTION("COUNT(IMPORTRANGE(""https://docs.google.com/spreadsheets/d/1E2x4oDZxEIsuC5nl-5Z0--MoN8b1dt9SbpRcCfNP84Q/edit"",""6!d2:d45""))"),43.0)</f>
        <v>43</v>
      </c>
      <c r="F147" s="55">
        <f>IFERROR(__xludf.DUMMYFUNCTION("SUM(IMPORTRANGE(""https://docs.google.com/spreadsheets/d/1E2x4oDZxEIsuC5nl-5Z0--MoN8b1dt9SbpRcCfNP84Q/edit"",""6!Q2:Q45""))"),8489.172999999993)</f>
        <v>8489.173</v>
      </c>
      <c r="G147" s="54">
        <f>IFERROR(__xludf.DUMMYFUNCTION("IMPORTRANGE(""https://docs.google.com/spreadsheets/d/1E2x4oDZxEIsuC5nl-5Z0--MoN8b1dt9SbpRcCfNP84Q/edit"",""6!e53"")"),899.0)</f>
        <v>899</v>
      </c>
      <c r="H147" s="54">
        <f>IFERROR(__xludf.DUMMYFUNCTION("IMPORTRANGE(""https://docs.google.com/spreadsheets/d/1E2x4oDZxEIsuC5nl-5Z0--MoN8b1dt9SbpRcCfNP84Q/edit"",""6!e54"")"),23.0)</f>
        <v>23</v>
      </c>
      <c r="I147" s="54">
        <f t="shared" si="390"/>
        <v>922</v>
      </c>
      <c r="J147" s="54">
        <f>IFERROR(__xludf.DUMMYFUNCTION("IMPORTRANGE(""https://docs.google.com/spreadsheets/d/1E2x4oDZxEIsuC5nl-5Z0--MoN8b1dt9SbpRcCfNP84Q/edit"",""6!e57"")"),1691.0)</f>
        <v>1691</v>
      </c>
      <c r="K147" s="54">
        <f>IFERROR(__xludf.DUMMYFUNCTION("IMPORTRANGE(""https://docs.google.com/spreadsheets/d/1E2x4oDZxEIsuC5nl-5Z0--MoN8b1dt9SbpRcCfNP84Q/edit"",""6!e58"")"),26.0)</f>
        <v>26</v>
      </c>
      <c r="L147" s="40">
        <f t="shared" si="391"/>
        <v>1717</v>
      </c>
      <c r="M147" s="40">
        <f t="shared" si="392"/>
        <v>2639</v>
      </c>
      <c r="N147" s="41">
        <f t="shared" si="393"/>
        <v>197.4226279</v>
      </c>
      <c r="O147" s="38">
        <v>1580.0</v>
      </c>
      <c r="P147" s="56">
        <f t="shared" si="394"/>
        <v>1.670253165</v>
      </c>
      <c r="Q147" s="43">
        <v>1.5</v>
      </c>
      <c r="R147" s="42">
        <f t="shared" si="395"/>
        <v>0.2072443727</v>
      </c>
      <c r="S147" s="44">
        <f t="shared" si="396"/>
        <v>0.3108665591</v>
      </c>
      <c r="T147" s="43">
        <f>F147/26.805</f>
        <v>316.7011005</v>
      </c>
      <c r="U147" s="43">
        <f t="shared" si="397"/>
        <v>7.365141873</v>
      </c>
      <c r="V147" s="40">
        <f t="shared" si="398"/>
        <v>61.37209302</v>
      </c>
      <c r="X147" s="22">
        <v>1.0</v>
      </c>
      <c r="Y147" s="22" t="s">
        <v>28</v>
      </c>
      <c r="Z147" s="22">
        <f t="shared" ref="Z147:AI147" si="407">SUM(D142)</f>
        <v>33</v>
      </c>
      <c r="AA147" s="23">
        <f t="shared" si="407"/>
        <v>33</v>
      </c>
      <c r="AB147" s="25">
        <f t="shared" si="407"/>
        <v>6497.936</v>
      </c>
      <c r="AC147" s="23">
        <f t="shared" si="407"/>
        <v>2268</v>
      </c>
      <c r="AD147" s="23">
        <f t="shared" si="407"/>
        <v>157</v>
      </c>
      <c r="AE147" s="23">
        <f t="shared" si="407"/>
        <v>2425</v>
      </c>
      <c r="AF147" s="23">
        <f t="shared" si="407"/>
        <v>3517</v>
      </c>
      <c r="AG147" s="23">
        <f t="shared" si="407"/>
        <v>170</v>
      </c>
      <c r="AH147" s="23">
        <f t="shared" si="407"/>
        <v>3687</v>
      </c>
      <c r="AI147" s="23">
        <f t="shared" si="407"/>
        <v>6112</v>
      </c>
      <c r="AJ147" s="25">
        <f t="shared" ref="AJ147:AJ153" si="410">AB147/AA147</f>
        <v>196.9071515</v>
      </c>
      <c r="AK147" s="22">
        <f t="shared" ref="AK147:AK148" si="411">SUM(O142)</f>
        <v>7315</v>
      </c>
      <c r="AL147" s="26">
        <f t="shared" ref="AL147:AL153" si="412">AI147/AK147</f>
        <v>0.835543404</v>
      </c>
      <c r="AM147" s="27">
        <f t="shared" ref="AM147:AM148" si="413">SUM(Q142)</f>
        <v>1.5</v>
      </c>
      <c r="AN147" s="26">
        <f t="shared" ref="AN147:AN153" si="414">AO147/AM147</f>
        <v>0.627070914</v>
      </c>
      <c r="AO147" s="28">
        <f t="shared" ref="AO147:AO153" si="415">AI147/AB147</f>
        <v>0.940606371</v>
      </c>
      <c r="AP147" s="27">
        <f t="shared" ref="AP147:AQ147" si="408">SUM(T142)</f>
        <v>210.3096093</v>
      </c>
      <c r="AQ147" s="27">
        <f t="shared" si="408"/>
        <v>6.373018465</v>
      </c>
      <c r="AR147" s="23">
        <f t="shared" ref="AR147:AR153" si="417">AI147/AA147</f>
        <v>185.2121212</v>
      </c>
    </row>
    <row r="148" ht="15.75" customHeight="1">
      <c r="A148" s="21"/>
      <c r="B148" s="38">
        <v>8.0</v>
      </c>
      <c r="C148" s="38" t="s">
        <v>25</v>
      </c>
      <c r="D148" s="57">
        <v>32.0</v>
      </c>
      <c r="E148" s="40">
        <f>IFERROR(__xludf.DUMMYFUNCTION("COUNT(IMPORTRANGE(""https://docs.google.com/spreadsheets/d/1KbRFOEYB0B44J_NSh1MwYQ1sLDlZXUHI-wuMLcZDn5k/edit"",""6!d2:D33""))"),32.0)</f>
        <v>32</v>
      </c>
      <c r="F148" s="45">
        <f>IFERROR(__xludf.DUMMYFUNCTION("SUM(IMPORTRANGE(""https://docs.google.com/spreadsheets/d/1KbRFOEYB0B44J_NSh1MwYQ1sLDlZXUHI-wuMLcZDn5k/edit"",""6!Q2:Q33""))"),6224.0080000000025)</f>
        <v>6224.008</v>
      </c>
      <c r="G148" s="40">
        <f>IFERROR(__xludf.DUMMYFUNCTION("IMPORTRANGE(""https://docs.google.com/spreadsheets/d/1KbRFOEYB0B44J_NSh1MwYQ1sLDlZXUHI-wuMLcZDn5k/edit"",""6!e40"")"),2442.0)</f>
        <v>2442</v>
      </c>
      <c r="H148" s="40">
        <f>IFERROR(__xludf.DUMMYFUNCTION("IMPORTRANGE(""https://docs.google.com/spreadsheets/d/1KbRFOEYB0B44J_NSh1MwYQ1sLDlZXUHI-wuMLcZDn5k/edit"",""6!e41"")"),426.0)</f>
        <v>426</v>
      </c>
      <c r="I148" s="40">
        <f t="shared" si="390"/>
        <v>2868</v>
      </c>
      <c r="J148" s="40">
        <f>IFERROR(__xludf.DUMMYFUNCTION("IMPORTRANGE(""https://docs.google.com/spreadsheets/d/1KbRFOEYB0B44J_NSh1MwYQ1sLDlZXUHI-wuMLcZDn5k/edit"",""6!e44"")"),2782.0)</f>
        <v>2782</v>
      </c>
      <c r="K148" s="40">
        <f>IFERROR(__xludf.DUMMYFUNCTION("IMPORTRANGE(""https://docs.google.com/spreadsheets/d/1KbRFOEYB0B44J_NSh1MwYQ1sLDlZXUHI-wuMLcZDn5k/edit"",""6!e45"")"),397.0)</f>
        <v>397</v>
      </c>
      <c r="L148" s="40">
        <f>J148+K148</f>
        <v>3179</v>
      </c>
      <c r="M148" s="40">
        <f t="shared" si="392"/>
        <v>6047</v>
      </c>
      <c r="N148" s="41">
        <f t="shared" si="393"/>
        <v>194.50025</v>
      </c>
      <c r="O148" s="38">
        <v>6622.0</v>
      </c>
      <c r="P148" s="42">
        <f t="shared" si="394"/>
        <v>0.9131682271</v>
      </c>
      <c r="Q148" s="43">
        <v>1.5</v>
      </c>
      <c r="R148" s="42">
        <f t="shared" si="395"/>
        <v>0.6477069652</v>
      </c>
      <c r="S148" s="44">
        <f t="shared" si="396"/>
        <v>0.9715604479</v>
      </c>
      <c r="T148" s="43">
        <f>F148/23.84</f>
        <v>261.0741611</v>
      </c>
      <c r="U148" s="43">
        <f t="shared" si="397"/>
        <v>8.158567534</v>
      </c>
      <c r="V148" s="40">
        <f t="shared" si="398"/>
        <v>188.96875</v>
      </c>
      <c r="X148" s="31">
        <v>2.0</v>
      </c>
      <c r="Y148" s="31" t="s">
        <v>30</v>
      </c>
      <c r="Z148" s="31">
        <f t="shared" ref="Z148:AI148" si="409">SUM(D143)</f>
        <v>60</v>
      </c>
      <c r="AA148" s="32">
        <f t="shared" si="409"/>
        <v>57</v>
      </c>
      <c r="AB148" s="33">
        <f t="shared" si="409"/>
        <v>11337.949</v>
      </c>
      <c r="AC148" s="32">
        <f t="shared" si="409"/>
        <v>2876</v>
      </c>
      <c r="AD148" s="32">
        <f t="shared" si="409"/>
        <v>0</v>
      </c>
      <c r="AE148" s="32">
        <f t="shared" si="409"/>
        <v>2876</v>
      </c>
      <c r="AF148" s="32">
        <f t="shared" si="409"/>
        <v>6435</v>
      </c>
      <c r="AG148" s="32">
        <f t="shared" si="409"/>
        <v>21</v>
      </c>
      <c r="AH148" s="32">
        <f t="shared" si="409"/>
        <v>6456</v>
      </c>
      <c r="AI148" s="32">
        <f t="shared" si="409"/>
        <v>9332</v>
      </c>
      <c r="AJ148" s="34">
        <f t="shared" si="410"/>
        <v>198.911386</v>
      </c>
      <c r="AK148" s="31">
        <f t="shared" si="411"/>
        <v>11164</v>
      </c>
      <c r="AL148" s="35">
        <f t="shared" si="412"/>
        <v>0.8359011107</v>
      </c>
      <c r="AM148" s="36">
        <f t="shared" si="413"/>
        <v>1.5</v>
      </c>
      <c r="AN148" s="35">
        <f t="shared" si="414"/>
        <v>0.5487177031</v>
      </c>
      <c r="AO148" s="37">
        <f t="shared" si="415"/>
        <v>0.8230765547</v>
      </c>
      <c r="AP148" s="36">
        <f t="shared" ref="AP148:AQ148" si="416">SUM(T143)</f>
        <v>383</v>
      </c>
      <c r="AQ148" s="36">
        <f t="shared" si="416"/>
        <v>6.719298246</v>
      </c>
      <c r="AR148" s="32">
        <f t="shared" si="417"/>
        <v>163.7192982</v>
      </c>
    </row>
    <row r="149" ht="15.75" customHeight="1">
      <c r="A149" s="21"/>
      <c r="B149" s="38">
        <v>9.0</v>
      </c>
      <c r="C149" s="38" t="s">
        <v>36</v>
      </c>
      <c r="D149" s="58">
        <v>29.0</v>
      </c>
      <c r="E149" s="40">
        <f>IFERROR(__xludf.DUMMYFUNCTION("COUNT(IMPORTRANGE(""https://docs.google.com/spreadsheets/d/1VqqqRGfmmkT0JC4ILJva2p8P11jjV0FX-TSKAaqOigw/edit"",""6!d2:d31""))"),28.0)</f>
        <v>28</v>
      </c>
      <c r="F149" s="45">
        <f>IFERROR(__xludf.DUMMYFUNCTION("SUM(IMPORTRANGE(""https://docs.google.com/spreadsheets/d/1VqqqRGfmmkT0JC4ILJva2p8P11jjV0FX-TSKAaqOigw/edit"",""6!Q2:Q31""))"),5568.302000000002)</f>
        <v>5568.302</v>
      </c>
      <c r="G149" s="40">
        <f>IFERROR(__xludf.DUMMYFUNCTION("IMPORTRANGE(""https://docs.google.com/spreadsheets/d/1VqqqRGfmmkT0JC4ILJva2p8P11jjV0FX-TSKAaqOigw/edit"",""6!e38"")"),1536.0)</f>
        <v>1536</v>
      </c>
      <c r="H149" s="40">
        <f>IFERROR(__xludf.DUMMYFUNCTION("IMPORTRANGE(""https://docs.google.com/spreadsheets/d/1VqqqRGfmmkT0JC4ILJva2p8P11jjV0FX-TSKAaqOigw/edit"",""6!e39"")"),46.0)</f>
        <v>46</v>
      </c>
      <c r="I149" s="40">
        <f t="shared" si="390"/>
        <v>1582</v>
      </c>
      <c r="J149" s="40">
        <f>IFERROR(__xludf.DUMMYFUNCTION("IMPORTRANGE(""https://docs.google.com/spreadsheets/d/1VqqqRGfmmkT0JC4ILJva2p8P11jjV0FX-TSKAaqOigw/edit"",""6!e42"")"),2270.0)</f>
        <v>2270</v>
      </c>
      <c r="K149" s="40">
        <f>IFERROR(__xludf.DUMMYFUNCTION("IMPORTRANGE(""https://docs.google.com/spreadsheets/d/1VqqqRGfmmkT0JC4ILJva2p8P11jjV0FX-TSKAaqOigw/edit"",""6!e43"")"),74.0)</f>
        <v>74</v>
      </c>
      <c r="L149" s="40">
        <f t="shared" ref="L149:L158" si="420">SUM(J149:K149)</f>
        <v>2344</v>
      </c>
      <c r="M149" s="40">
        <f t="shared" si="392"/>
        <v>3926</v>
      </c>
      <c r="N149" s="41">
        <f t="shared" si="393"/>
        <v>198.8679286</v>
      </c>
      <c r="O149" s="38">
        <v>4796.0</v>
      </c>
      <c r="P149" s="42">
        <f t="shared" si="394"/>
        <v>0.8185988324</v>
      </c>
      <c r="Q149" s="43">
        <v>1.5</v>
      </c>
      <c r="R149" s="42">
        <f t="shared" si="395"/>
        <v>0.4700415555</v>
      </c>
      <c r="S149" s="44">
        <f t="shared" si="396"/>
        <v>0.7050623332</v>
      </c>
      <c r="T149" s="43">
        <f>F149/37.414</f>
        <v>148.8293687</v>
      </c>
      <c r="U149" s="43">
        <f t="shared" si="397"/>
        <v>5.315334596</v>
      </c>
      <c r="V149" s="40">
        <f t="shared" si="398"/>
        <v>140.2142857</v>
      </c>
      <c r="X149" s="22">
        <v>3.0</v>
      </c>
      <c r="Y149" s="22" t="s">
        <v>34</v>
      </c>
      <c r="Z149" s="22">
        <f t="shared" ref="Z149:AI149" si="418">SUM(D145)</f>
        <v>40</v>
      </c>
      <c r="AA149" s="23">
        <f t="shared" si="418"/>
        <v>40</v>
      </c>
      <c r="AB149" s="24">
        <f t="shared" si="418"/>
        <v>7852.119</v>
      </c>
      <c r="AC149" s="23">
        <f t="shared" si="418"/>
        <v>2909</v>
      </c>
      <c r="AD149" s="23">
        <f t="shared" si="418"/>
        <v>0</v>
      </c>
      <c r="AE149" s="23">
        <f t="shared" si="418"/>
        <v>2909</v>
      </c>
      <c r="AF149" s="23">
        <f t="shared" si="418"/>
        <v>3443</v>
      </c>
      <c r="AG149" s="23">
        <f t="shared" si="418"/>
        <v>0</v>
      </c>
      <c r="AH149" s="23">
        <f t="shared" si="418"/>
        <v>3443</v>
      </c>
      <c r="AI149" s="23">
        <f t="shared" si="418"/>
        <v>6352</v>
      </c>
      <c r="AJ149" s="25">
        <f t="shared" si="410"/>
        <v>196.302975</v>
      </c>
      <c r="AK149" s="22">
        <f>SUM(O145)</f>
        <v>9354</v>
      </c>
      <c r="AL149" s="26">
        <f t="shared" si="412"/>
        <v>0.6790677785</v>
      </c>
      <c r="AM149" s="27">
        <f>SUM(Q145)</f>
        <v>1.5</v>
      </c>
      <c r="AN149" s="26">
        <f t="shared" si="414"/>
        <v>0.5393024057</v>
      </c>
      <c r="AO149" s="28">
        <f t="shared" si="415"/>
        <v>0.8089536086</v>
      </c>
      <c r="AP149" s="27">
        <f t="shared" ref="AP149:AQ149" si="419">SUM(T145)</f>
        <v>255.6610881</v>
      </c>
      <c r="AQ149" s="27">
        <f t="shared" si="419"/>
        <v>6.391527203</v>
      </c>
      <c r="AR149" s="23">
        <f t="shared" si="417"/>
        <v>158.8</v>
      </c>
    </row>
    <row r="150" ht="15.75" customHeight="1">
      <c r="A150" s="21"/>
      <c r="B150" s="38">
        <v>10.0</v>
      </c>
      <c r="C150" s="38" t="s">
        <v>37</v>
      </c>
      <c r="D150" s="39">
        <v>30.0</v>
      </c>
      <c r="E150" s="40">
        <f>IFERROR(__xludf.DUMMYFUNCTION("COUNT(IMPORTRANGE(""https://docs.google.com/spreadsheets/d/1IYeRjQd_D6MRqoBKNaky3aSEUloYCJc5XDnPAbdyetk/edit"",""6!d2:d31""))"),27.0)</f>
        <v>27</v>
      </c>
      <c r="F150" s="45">
        <f>IFERROR(__xludf.DUMMYFUNCTION("SUM(IMPORTRANGE(""https://docs.google.com/spreadsheets/d/1IYeRjQd_D6MRqoBKNaky3aSEUloYCJc5XDnPAbdyetk/edit"",""6!Q2:Q31""))"),5352.45)</f>
        <v>5352.45</v>
      </c>
      <c r="G150" s="40">
        <f>IFERROR(__xludf.DUMMYFUNCTION("(IMPORTRANGE(""https://docs.google.com/spreadsheets/d/1IYeRjQd_D6MRqoBKNaky3aSEUloYCJc5XDnPAbdyetk/edit"",""6!e38""))"),2102.0)</f>
        <v>2102</v>
      </c>
      <c r="H150" s="40">
        <f>IFERROR(__xludf.DUMMYFUNCTION("(IMPORTRANGE(""https://docs.google.com/spreadsheets/d/1IYeRjQd_D6MRqoBKNaky3aSEUloYCJc5XDnPAbdyetk/edit"",""6!e39""))"),56.0)</f>
        <v>56</v>
      </c>
      <c r="I150" s="40">
        <f t="shared" si="390"/>
        <v>2158</v>
      </c>
      <c r="J150" s="40">
        <f>IFERROR(__xludf.DUMMYFUNCTION("(IMPORTRANGE(""https://docs.google.com/spreadsheets/d/1IYeRjQd_D6MRqoBKNaky3aSEUloYCJc5XDnPAbdyetk/edit"",""6!e42""))"),2834.0)</f>
        <v>2834</v>
      </c>
      <c r="K150" s="40">
        <f>IFERROR(__xludf.DUMMYFUNCTION("(IMPORTRANGE(""https://docs.google.com/spreadsheets/d/1IYeRjQd_D6MRqoBKNaky3aSEUloYCJc5XDnPAbdyetk/edit"",""6!e43""))"),113.0)</f>
        <v>113</v>
      </c>
      <c r="L150" s="40">
        <f t="shared" si="420"/>
        <v>2947</v>
      </c>
      <c r="M150" s="40">
        <f t="shared" si="392"/>
        <v>5105</v>
      </c>
      <c r="N150" s="41">
        <f t="shared" si="393"/>
        <v>198.2388889</v>
      </c>
      <c r="O150" s="38">
        <v>5887.0</v>
      </c>
      <c r="P150" s="42">
        <f t="shared" si="394"/>
        <v>0.8671649397</v>
      </c>
      <c r="Q150" s="43">
        <v>1.5</v>
      </c>
      <c r="R150" s="42">
        <f t="shared" si="395"/>
        <v>0.6358458899</v>
      </c>
      <c r="S150" s="44">
        <f t="shared" si="396"/>
        <v>0.9537688348</v>
      </c>
      <c r="T150" s="43">
        <f>F150/24.792</f>
        <v>215.8942401</v>
      </c>
      <c r="U150" s="43">
        <f t="shared" si="397"/>
        <v>7.996082966</v>
      </c>
      <c r="V150" s="40">
        <f t="shared" si="398"/>
        <v>189.0740741</v>
      </c>
      <c r="X150" s="31">
        <v>4.0</v>
      </c>
      <c r="Y150" s="31" t="s">
        <v>38</v>
      </c>
      <c r="Z150" s="31">
        <f t="shared" ref="Z150:AI150" si="421">SUM(D153)</f>
        <v>30</v>
      </c>
      <c r="AA150" s="32">
        <f t="shared" si="421"/>
        <v>30</v>
      </c>
      <c r="AB150" s="33">
        <f t="shared" si="421"/>
        <v>6182.812</v>
      </c>
      <c r="AC150" s="32">
        <f t="shared" si="421"/>
        <v>2471</v>
      </c>
      <c r="AD150" s="32">
        <f t="shared" si="421"/>
        <v>0</v>
      </c>
      <c r="AE150" s="32">
        <f t="shared" si="421"/>
        <v>2471</v>
      </c>
      <c r="AF150" s="32">
        <f t="shared" si="421"/>
        <v>2928</v>
      </c>
      <c r="AG150" s="32">
        <f t="shared" si="421"/>
        <v>42</v>
      </c>
      <c r="AH150" s="32">
        <f t="shared" si="421"/>
        <v>2970</v>
      </c>
      <c r="AI150" s="32">
        <f t="shared" si="421"/>
        <v>5441</v>
      </c>
      <c r="AJ150" s="34">
        <f t="shared" si="410"/>
        <v>206.0937333</v>
      </c>
      <c r="AK150" s="31">
        <v>7324.0</v>
      </c>
      <c r="AL150" s="35">
        <f t="shared" si="412"/>
        <v>0.7429000546</v>
      </c>
      <c r="AM150" s="36">
        <f>SUM(Q153)</f>
        <v>1.5</v>
      </c>
      <c r="AN150" s="35">
        <f t="shared" si="414"/>
        <v>0.5866801923</v>
      </c>
      <c r="AO150" s="37">
        <f t="shared" si="415"/>
        <v>0.8800202885</v>
      </c>
      <c r="AP150" s="36">
        <f t="shared" ref="AP150:AQ150" si="422">SUM(T153)</f>
        <v>150.0500425</v>
      </c>
      <c r="AQ150" s="36">
        <f t="shared" si="422"/>
        <v>5.001668082</v>
      </c>
      <c r="AR150" s="32">
        <f t="shared" si="417"/>
        <v>181.3666667</v>
      </c>
    </row>
    <row r="151" ht="15.75" customHeight="1">
      <c r="A151" s="21"/>
      <c r="B151" s="38">
        <v>12.0</v>
      </c>
      <c r="C151" s="38" t="s">
        <v>39</v>
      </c>
      <c r="D151" s="39">
        <v>28.0</v>
      </c>
      <c r="E151" s="40">
        <f>IFERROR(__xludf.DUMMYFUNCTION("COUNT(IMPORTRANGE(""https://docs.google.com/spreadsheets/d/1TAY2D35yAzyl8a_p5CuZehQvmatfj0b0Q8ICl8GtJBY/edit"",""6!d2:d29""))"),27.0)</f>
        <v>27</v>
      </c>
      <c r="F151" s="45">
        <f>IFERROR(__xludf.DUMMYFUNCTION("SUM(IMPORTRANGE(""https://docs.google.com/spreadsheets/d/1TAY2D35yAzyl8a_p5CuZehQvmatfj0b0Q8ICl8GtJBY/edit"",""6!Q2:Q29""))"),5029.618)</f>
        <v>5029.618</v>
      </c>
      <c r="G151" s="40">
        <f>IFERROR(__xludf.DUMMYFUNCTION("IMPORTRANGE(""https://docs.google.com/spreadsheets/d/1TAY2D35yAzyl8a_p5CuZehQvmatfj0b0Q8ICl8GtJBY/edit"",""6!e36"")"),1071.0)</f>
        <v>1071</v>
      </c>
      <c r="H151" s="40">
        <f>IFERROR(__xludf.DUMMYFUNCTION("(IMPORTRANGE(""https://docs.google.com/spreadsheets/d/1TAY2D35yAzyl8a_p5CuZehQvmatfj0b0Q8ICl8GtJBY/edit"",""6!e37""))"),25.0)</f>
        <v>25</v>
      </c>
      <c r="I151" s="40">
        <f t="shared" si="390"/>
        <v>1096</v>
      </c>
      <c r="J151" s="40">
        <f>IFERROR(__xludf.DUMMYFUNCTION("IMPORTRANGE(""https://docs.google.com/spreadsheets/d/1TAY2D35yAzyl8a_p5CuZehQvmatfj0b0Q8ICl8GtJBY/edit"",""6!e40"")"),1701.0)</f>
        <v>1701</v>
      </c>
      <c r="K151" s="40">
        <f>IFERROR(__xludf.DUMMYFUNCTION("IMPORTRANGE(""https://docs.google.com/spreadsheets/d/1TAY2D35yAzyl8a_p5CuZehQvmatfj0b0Q8ICl8GtJBY/edit"",""6!e41"")"),0.0)</f>
        <v>0</v>
      </c>
      <c r="L151" s="40">
        <f t="shared" si="420"/>
        <v>1701</v>
      </c>
      <c r="M151" s="40">
        <f t="shared" si="392"/>
        <v>2797</v>
      </c>
      <c r="N151" s="41">
        <f t="shared" si="393"/>
        <v>186.2821481</v>
      </c>
      <c r="O151" s="38">
        <v>3569.0</v>
      </c>
      <c r="P151" s="42">
        <f t="shared" si="394"/>
        <v>0.7836929112</v>
      </c>
      <c r="Q151" s="43">
        <v>1.5</v>
      </c>
      <c r="R151" s="42">
        <f t="shared" si="395"/>
        <v>0.3707372343</v>
      </c>
      <c r="S151" s="44">
        <f t="shared" si="396"/>
        <v>0.5561058514</v>
      </c>
      <c r="T151" s="43">
        <f>F151/21.463</f>
        <v>234.339002</v>
      </c>
      <c r="U151" s="43">
        <f t="shared" si="397"/>
        <v>8.679222296</v>
      </c>
      <c r="V151" s="40">
        <f t="shared" si="398"/>
        <v>103.5925926</v>
      </c>
      <c r="X151" s="31">
        <v>5.0</v>
      </c>
      <c r="Y151" s="31" t="s">
        <v>40</v>
      </c>
      <c r="Z151" s="31">
        <f t="shared" ref="Z151:AI151" si="423">SUM(D155)</f>
        <v>30</v>
      </c>
      <c r="AA151" s="32">
        <f t="shared" si="423"/>
        <v>29</v>
      </c>
      <c r="AB151" s="33">
        <f t="shared" si="423"/>
        <v>5517.942</v>
      </c>
      <c r="AC151" s="32">
        <f t="shared" si="423"/>
        <v>3471</v>
      </c>
      <c r="AD151" s="32">
        <f t="shared" si="423"/>
        <v>15</v>
      </c>
      <c r="AE151" s="32">
        <f t="shared" si="423"/>
        <v>3486</v>
      </c>
      <c r="AF151" s="32">
        <f t="shared" si="423"/>
        <v>3804</v>
      </c>
      <c r="AG151" s="32">
        <f t="shared" si="423"/>
        <v>0</v>
      </c>
      <c r="AH151" s="32">
        <f t="shared" si="423"/>
        <v>3804</v>
      </c>
      <c r="AI151" s="32">
        <f t="shared" si="423"/>
        <v>7290</v>
      </c>
      <c r="AJ151" s="34">
        <f t="shared" si="410"/>
        <v>190.2738621</v>
      </c>
      <c r="AK151" s="31">
        <f t="shared" ref="AK151:AK152" si="426">SUM(O155)</f>
        <v>8239</v>
      </c>
      <c r="AL151" s="35">
        <f t="shared" si="412"/>
        <v>0.8848161185</v>
      </c>
      <c r="AM151" s="36">
        <f t="shared" ref="AM151:AM152" si="427">SUM(Q155)</f>
        <v>1.5</v>
      </c>
      <c r="AN151" s="35">
        <f t="shared" si="414"/>
        <v>0.8807631541</v>
      </c>
      <c r="AO151" s="37">
        <f t="shared" si="415"/>
        <v>1.321144731</v>
      </c>
      <c r="AP151" s="36">
        <f t="shared" ref="AP151:AQ151" si="424">SUM(T155)</f>
        <v>194</v>
      </c>
      <c r="AQ151" s="36">
        <f t="shared" si="424"/>
        <v>6.689655172</v>
      </c>
      <c r="AR151" s="32">
        <f t="shared" si="417"/>
        <v>251.3793103</v>
      </c>
    </row>
    <row r="152" ht="15.75" customHeight="1">
      <c r="A152" s="21"/>
      <c r="B152" s="38">
        <v>12.0</v>
      </c>
      <c r="C152" s="38" t="s">
        <v>41</v>
      </c>
      <c r="D152" s="39">
        <v>24.0</v>
      </c>
      <c r="E152" s="40">
        <f>IFERROR(__xludf.DUMMYFUNCTION("COUNT(IMPORTRANGE(""https://docs.google.com/spreadsheets/d/1VAsUtLQHi7oV9NsI9EIHPnO1bcPJHeRgSbMoxSvPBME/edit"",""6!d2:d25""))"),24.0)</f>
        <v>24</v>
      </c>
      <c r="F152" s="45">
        <f>IFERROR(__xludf.DUMMYFUNCTION("SUM(IMPORTRANGE(""https://docs.google.com/spreadsheets/d/1VAsUtLQHi7oV9NsI9EIHPnO1bcPJHeRgSbMoxSvPBME/edit"",""6!Q2:Q25""))"),4763.524)</f>
        <v>4763.524</v>
      </c>
      <c r="G152" s="40">
        <f>IFERROR(__xludf.DUMMYFUNCTION("IMPORTRANGE(""https://docs.google.com/spreadsheets/d/1VAsUtLQHi7oV9NsI9EIHPnO1bcPJHeRgSbMoxSvPBME/edit"",""6!e32"")"),1290.0)</f>
        <v>1290</v>
      </c>
      <c r="H152" s="40">
        <f>IFERROR(__xludf.DUMMYFUNCTION("IMPORTRANGE(""https://docs.google.com/spreadsheets/d/1VAsUtLQHi7oV9NsI9EIHPnO1bcPJHeRgSbMoxSvPBME/edit"",""6!e33"")"),0.0)</f>
        <v>0</v>
      </c>
      <c r="I152" s="40">
        <f t="shared" si="390"/>
        <v>1290</v>
      </c>
      <c r="J152" s="40">
        <f>IFERROR(__xludf.DUMMYFUNCTION("IMPORTRANGE(""https://docs.google.com/spreadsheets/d/1VAsUtLQHi7oV9NsI9EIHPnO1bcPJHeRgSbMoxSvPBME/edit"",""6!e36"")"),1675.0)</f>
        <v>1675</v>
      </c>
      <c r="K152" s="40">
        <f>IFERROR(__xludf.DUMMYFUNCTION("IMPORTRANGE(""https://docs.google.com/spreadsheets/d/1VAsUtLQHi7oV9NsI9EIHPnO1bcPJHeRgSbMoxSvPBME/edit"",""6!e37"")"),0.0)</f>
        <v>0</v>
      </c>
      <c r="L152" s="40">
        <f t="shared" si="420"/>
        <v>1675</v>
      </c>
      <c r="M152" s="40">
        <f t="shared" si="392"/>
        <v>2965</v>
      </c>
      <c r="N152" s="41">
        <f t="shared" si="393"/>
        <v>198.4801667</v>
      </c>
      <c r="O152" s="38">
        <v>3801.0</v>
      </c>
      <c r="P152" s="42">
        <f t="shared" si="394"/>
        <v>0.7800578795</v>
      </c>
      <c r="Q152" s="43">
        <v>1.5</v>
      </c>
      <c r="R152" s="42">
        <f t="shared" si="395"/>
        <v>0.4149588974</v>
      </c>
      <c r="S152" s="44">
        <f t="shared" si="396"/>
        <v>0.6224383461</v>
      </c>
      <c r="T152" s="43">
        <f>F152/29.628</f>
        <v>160.7777778</v>
      </c>
      <c r="U152" s="43">
        <f t="shared" si="397"/>
        <v>6.699074074</v>
      </c>
      <c r="V152" s="40">
        <f t="shared" si="398"/>
        <v>123.5416667</v>
      </c>
      <c r="X152" s="22">
        <v>6.0</v>
      </c>
      <c r="Y152" s="22" t="s">
        <v>42</v>
      </c>
      <c r="Z152" s="22">
        <f t="shared" ref="Z152:AI152" si="425">SUM(D156)</f>
        <v>33</v>
      </c>
      <c r="AA152" s="23">
        <f t="shared" si="425"/>
        <v>33</v>
      </c>
      <c r="AB152" s="24">
        <f t="shared" si="425"/>
        <v>6501.826</v>
      </c>
      <c r="AC152" s="23">
        <f t="shared" si="425"/>
        <v>3147</v>
      </c>
      <c r="AD152" s="23">
        <f t="shared" si="425"/>
        <v>100</v>
      </c>
      <c r="AE152" s="23">
        <f t="shared" si="425"/>
        <v>3247</v>
      </c>
      <c r="AF152" s="23">
        <f t="shared" si="425"/>
        <v>4567</v>
      </c>
      <c r="AG152" s="23">
        <f t="shared" si="425"/>
        <v>17</v>
      </c>
      <c r="AH152" s="23">
        <f t="shared" si="425"/>
        <v>4584</v>
      </c>
      <c r="AI152" s="23">
        <f t="shared" si="425"/>
        <v>7831</v>
      </c>
      <c r="AJ152" s="25">
        <f t="shared" si="410"/>
        <v>197.0250303</v>
      </c>
      <c r="AK152" s="22">
        <f t="shared" si="426"/>
        <v>9877</v>
      </c>
      <c r="AL152" s="26">
        <f t="shared" si="412"/>
        <v>0.7928520806</v>
      </c>
      <c r="AM152" s="27">
        <f t="shared" si="427"/>
        <v>1.5</v>
      </c>
      <c r="AN152" s="26">
        <f t="shared" si="414"/>
        <v>0.8029539189</v>
      </c>
      <c r="AO152" s="28">
        <f t="shared" si="415"/>
        <v>1.204430878</v>
      </c>
      <c r="AP152" s="27">
        <f t="shared" ref="AP152:AQ152" si="428">SUM(T156)</f>
        <v>248.5882623</v>
      </c>
      <c r="AQ152" s="27">
        <f t="shared" si="428"/>
        <v>7.532977645</v>
      </c>
      <c r="AR152" s="23">
        <f t="shared" si="417"/>
        <v>237.3030303</v>
      </c>
    </row>
    <row r="153" ht="15.75" customHeight="1">
      <c r="A153" s="21"/>
      <c r="B153" s="38">
        <v>13.0</v>
      </c>
      <c r="C153" s="38" t="s">
        <v>43</v>
      </c>
      <c r="D153" s="39">
        <v>30.0</v>
      </c>
      <c r="E153" s="40">
        <f>IFERROR(__xludf.DUMMYFUNCTION("COUNT(IMPORTRANGE(""https://docs.google.com/spreadsheets/d/1p9Y_DGk7-TpRBFth-ljZceOIGCjQ0ylUeUq6xqnsZ-Q/edit"",""6!d2:d31""))"),30.0)</f>
        <v>30</v>
      </c>
      <c r="F153" s="45">
        <f>IFERROR(__xludf.DUMMYFUNCTION("SUM(IMPORTRANGE(""https://docs.google.com/spreadsheets/d/1p9Y_DGk7-TpRBFth-ljZceOIGCjQ0ylUeUq6xqnsZ-Q/edit"",""6!Q2:Q31""))"),6182.811999999999)</f>
        <v>6182.812</v>
      </c>
      <c r="G153" s="40">
        <f>IFERROR(__xludf.DUMMYFUNCTION("IMPORTRANGE(""https://docs.google.com/spreadsheets/d/1p9Y_DGk7-TpRBFth-ljZceOIGCjQ0ylUeUq6xqnsZ-Q/edit"",""6!e38"")"),2471.0)</f>
        <v>2471</v>
      </c>
      <c r="H153" s="40">
        <f>IFERROR(__xludf.DUMMYFUNCTION("IMPORTRANGE(""https://docs.google.com/spreadsheets/d/1p9Y_DGk7-TpRBFth-ljZceOIGCjQ0ylUeUq6xqnsZ-Q/edit"",""6!e39"")"),0.0)</f>
        <v>0</v>
      </c>
      <c r="I153" s="40">
        <f t="shared" si="390"/>
        <v>2471</v>
      </c>
      <c r="J153" s="40">
        <f>IFERROR(__xludf.DUMMYFUNCTION("IMPORTRANGE(""https://docs.google.com/spreadsheets/d/1p9Y_DGk7-TpRBFth-ljZceOIGCjQ0ylUeUq6xqnsZ-Q/edit"",""6!e42"")"),2928.0)</f>
        <v>2928</v>
      </c>
      <c r="K153" s="40">
        <f>IFERROR(__xludf.DUMMYFUNCTION("IMPORTRANGE(""https://docs.google.com/spreadsheets/d/1p9Y_DGk7-TpRBFth-ljZceOIGCjQ0ylUeUq6xqnsZ-Q/edit"",""6!e43"")"),42.0)</f>
        <v>42</v>
      </c>
      <c r="L153" s="40">
        <f t="shared" si="420"/>
        <v>2970</v>
      </c>
      <c r="M153" s="40">
        <f t="shared" si="392"/>
        <v>5441</v>
      </c>
      <c r="N153" s="41">
        <f t="shared" si="393"/>
        <v>206.0937333</v>
      </c>
      <c r="O153" s="38">
        <v>8345.0</v>
      </c>
      <c r="P153" s="42">
        <f t="shared" si="394"/>
        <v>0.6520071899</v>
      </c>
      <c r="Q153" s="43">
        <v>1.5</v>
      </c>
      <c r="R153" s="42">
        <f t="shared" si="395"/>
        <v>0.5866801923</v>
      </c>
      <c r="S153" s="44">
        <f t="shared" si="396"/>
        <v>0.8800202885</v>
      </c>
      <c r="T153" s="43">
        <f>F153/41.205</f>
        <v>150.0500425</v>
      </c>
      <c r="U153" s="43">
        <f t="shared" si="397"/>
        <v>5.001668082</v>
      </c>
      <c r="V153" s="40">
        <f t="shared" si="398"/>
        <v>181.3666667</v>
      </c>
      <c r="X153" s="46" t="s">
        <v>33</v>
      </c>
      <c r="Y153" s="46">
        <v>6.0</v>
      </c>
      <c r="Z153" s="46">
        <f t="shared" ref="Z153:AI153" si="429">SUM(Z147:Z152)</f>
        <v>226</v>
      </c>
      <c r="AA153" s="47">
        <f t="shared" si="429"/>
        <v>222</v>
      </c>
      <c r="AB153" s="49">
        <f t="shared" si="429"/>
        <v>43890.584</v>
      </c>
      <c r="AC153" s="47">
        <f t="shared" si="429"/>
        <v>17142</v>
      </c>
      <c r="AD153" s="47">
        <f t="shared" si="429"/>
        <v>272</v>
      </c>
      <c r="AE153" s="47">
        <f t="shared" si="429"/>
        <v>17414</v>
      </c>
      <c r="AF153" s="47">
        <f t="shared" si="429"/>
        <v>24694</v>
      </c>
      <c r="AG153" s="47">
        <f t="shared" si="429"/>
        <v>250</v>
      </c>
      <c r="AH153" s="47">
        <f t="shared" si="429"/>
        <v>24944</v>
      </c>
      <c r="AI153" s="47">
        <f t="shared" si="429"/>
        <v>42358</v>
      </c>
      <c r="AJ153" s="49">
        <f t="shared" si="410"/>
        <v>197.7053333</v>
      </c>
      <c r="AK153" s="46">
        <f>SUM(AK147:AK152)</f>
        <v>53273</v>
      </c>
      <c r="AL153" s="50">
        <f t="shared" si="412"/>
        <v>0.7951119704</v>
      </c>
      <c r="AM153" s="51">
        <v>1.5</v>
      </c>
      <c r="AN153" s="50">
        <f t="shared" si="414"/>
        <v>0.6433878088</v>
      </c>
      <c r="AO153" s="52">
        <f t="shared" si="415"/>
        <v>0.9650817132</v>
      </c>
      <c r="AP153" s="51">
        <f>SUM(AP147:AP152)</f>
        <v>1441.609002</v>
      </c>
      <c r="AQ153" s="51">
        <f>AP153/AA153</f>
        <v>6.493734244</v>
      </c>
      <c r="AR153" s="47">
        <f t="shared" si="417"/>
        <v>190.8018018</v>
      </c>
    </row>
    <row r="154" ht="15.75" customHeight="1">
      <c r="A154" s="21"/>
      <c r="B154" s="38">
        <v>14.0</v>
      </c>
      <c r="C154" s="38" t="s">
        <v>27</v>
      </c>
      <c r="D154" s="39">
        <v>30.0</v>
      </c>
      <c r="E154" s="40">
        <f>IFERROR(__xludf.DUMMYFUNCTION("COUNT(IMPORTRANGE(""https://docs.google.com/spreadsheets/d/1zJUDEKztv_fercXA0LYNw155qdzS7TJGhWLhquaW5IY/edit"",""6!d2:d31""))"),29.0)</f>
        <v>29</v>
      </c>
      <c r="F154" s="45">
        <f>IFERROR(__xludf.DUMMYFUNCTION("SUM(IMPORTRANGE(""https://docs.google.com/spreadsheets/d/1zJUDEKztv_fercXA0LYNw155qdzS7TJGhWLhquaW5IY/edit"",""6!Q2:Q31""))"),5411.827999999999)</f>
        <v>5411.828</v>
      </c>
      <c r="G154" s="40">
        <f>IFERROR(__xludf.DUMMYFUNCTION("IMPORTRANGE(""https://docs.google.com/spreadsheets/d/1zJUDEKztv_fercXA0LYNw155qdzS7TJGhWLhquaW5IY/edit"",""6!e38"")"),2382.0)</f>
        <v>2382</v>
      </c>
      <c r="H154" s="40">
        <f>IFERROR(__xludf.DUMMYFUNCTION("IMPORTRANGE(""https://docs.google.com/spreadsheets/d/1zJUDEKztv_fercXA0LYNw155qdzS7TJGhWLhquaW5IY/edit"",""6!e39"")"),172.0)</f>
        <v>172</v>
      </c>
      <c r="I154" s="40">
        <f t="shared" si="390"/>
        <v>2554</v>
      </c>
      <c r="J154" s="40">
        <f>IFERROR(__xludf.DUMMYFUNCTION("IMPORTRANGE(""https://docs.google.com/spreadsheets/d/1zJUDEKztv_fercXA0LYNw155qdzS7TJGhWLhquaW5IY/edit"",""6!e42"")"),3320.0)</f>
        <v>3320</v>
      </c>
      <c r="K154" s="40">
        <f>IFERROR(__xludf.DUMMYFUNCTION("IMPORTRANGE(""https://docs.google.com/spreadsheets/d/1zJUDEKztv_fercXA0LYNw155qdzS7TJGhWLhquaW5IY/edit"",""6!e43"")"),61.0)</f>
        <v>61</v>
      </c>
      <c r="L154" s="40">
        <f t="shared" si="420"/>
        <v>3381</v>
      </c>
      <c r="M154" s="40">
        <f t="shared" si="392"/>
        <v>5935</v>
      </c>
      <c r="N154" s="41">
        <f t="shared" si="393"/>
        <v>186.6147586</v>
      </c>
      <c r="O154" s="38">
        <v>8101.0</v>
      </c>
      <c r="P154" s="42">
        <f t="shared" si="394"/>
        <v>0.7326256018</v>
      </c>
      <c r="Q154" s="43">
        <v>1.5</v>
      </c>
      <c r="R154" s="42">
        <f t="shared" si="395"/>
        <v>0.7311146375</v>
      </c>
      <c r="S154" s="44">
        <f t="shared" si="396"/>
        <v>1.096671956</v>
      </c>
      <c r="T154" s="43">
        <f>F154/19.985</f>
        <v>270.7944959</v>
      </c>
      <c r="U154" s="43">
        <f t="shared" si="397"/>
        <v>9.337741237</v>
      </c>
      <c r="V154" s="40">
        <f t="shared" si="398"/>
        <v>204.6551724</v>
      </c>
      <c r="X154" s="59" t="s">
        <v>44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6"/>
    </row>
    <row r="155" ht="15.75" customHeight="1">
      <c r="A155" s="21"/>
      <c r="B155" s="38">
        <v>15.0</v>
      </c>
      <c r="C155" s="38" t="s">
        <v>40</v>
      </c>
      <c r="D155" s="39">
        <v>30.0</v>
      </c>
      <c r="E155" s="40">
        <f>IFERROR(__xludf.DUMMYFUNCTION("COUNT(IMPORTRANGE(""https://docs.google.com/spreadsheets/d/15GJA66Ucb-8RQ5vWVpq5HYaWoZZFX82SCeHChBujbrI/edit"",""6!d2:d31""))"),29.0)</f>
        <v>29</v>
      </c>
      <c r="F155" s="45">
        <f>IFERROR(__xludf.DUMMYFUNCTION("SUM(IMPORTRANGE(""https://docs.google.com/spreadsheets/d/15GJA66Ucb-8RQ5vWVpq5HYaWoZZFX82SCeHChBujbrI/edit"",""6!Q2:Q31""))"),5517.941999999999)</f>
        <v>5517.942</v>
      </c>
      <c r="G155" s="40">
        <f>IFERROR(__xludf.DUMMYFUNCTION("IMPORTRANGE(""https://docs.google.com/spreadsheets/d/15GJA66Ucb-8RQ5vWVpq5HYaWoZZFX82SCeHChBujbrI/edit"",""6!e38"")"),3471.0)</f>
        <v>3471</v>
      </c>
      <c r="H155" s="40">
        <f>IFERROR(__xludf.DUMMYFUNCTION("IMPORTRANGE(""https://docs.google.com/spreadsheets/d/15GJA66Ucb-8RQ5vWVpq5HYaWoZZFX82SCeHChBujbrI/edit"",""6!e39"")"),15.0)</f>
        <v>15</v>
      </c>
      <c r="I155" s="40">
        <f t="shared" si="390"/>
        <v>3486</v>
      </c>
      <c r="J155" s="40">
        <f>IFERROR(__xludf.DUMMYFUNCTION("IMPORTRANGE(""https://docs.google.com/spreadsheets/d/15GJA66Ucb-8RQ5vWVpq5HYaWoZZFX82SCeHChBujbrI/edit"",""6!e42"")"),3804.0)</f>
        <v>3804</v>
      </c>
      <c r="K155" s="40">
        <f>IFERROR(__xludf.DUMMYFUNCTION("IMPORTRANGE(""https://docs.google.com/spreadsheets/d/15GJA66Ucb-8RQ5vWVpq5HYaWoZZFX82SCeHChBujbrI/edit"",""6!e43"")"),0.0)</f>
        <v>0</v>
      </c>
      <c r="L155" s="40">
        <f t="shared" si="420"/>
        <v>3804</v>
      </c>
      <c r="M155" s="40">
        <f t="shared" si="392"/>
        <v>7290</v>
      </c>
      <c r="N155" s="41">
        <f t="shared" si="393"/>
        <v>190.2738621</v>
      </c>
      <c r="O155" s="38">
        <v>8239.0</v>
      </c>
      <c r="P155" s="42">
        <f t="shared" si="394"/>
        <v>0.8848161185</v>
      </c>
      <c r="Q155" s="43">
        <v>1.5</v>
      </c>
      <c r="R155" s="42">
        <f t="shared" si="395"/>
        <v>0.8807631541</v>
      </c>
      <c r="S155" s="44">
        <f t="shared" si="396"/>
        <v>1.321144731</v>
      </c>
      <c r="T155" s="43">
        <f>F155/28.443</f>
        <v>194</v>
      </c>
      <c r="U155" s="43">
        <f t="shared" si="397"/>
        <v>6.689655172</v>
      </c>
      <c r="V155" s="40">
        <f t="shared" si="398"/>
        <v>251.3793103</v>
      </c>
      <c r="X155" s="14" t="s">
        <v>2</v>
      </c>
      <c r="Y155" s="14" t="s">
        <v>3</v>
      </c>
      <c r="Z155" s="14" t="s">
        <v>4</v>
      </c>
      <c r="AA155" s="14" t="s">
        <v>5</v>
      </c>
      <c r="AB155" s="15" t="s">
        <v>6</v>
      </c>
      <c r="AC155" s="14" t="s">
        <v>7</v>
      </c>
      <c r="AD155" s="14" t="s">
        <v>8</v>
      </c>
      <c r="AE155" s="14" t="s">
        <v>9</v>
      </c>
      <c r="AF155" s="14" t="s">
        <v>10</v>
      </c>
      <c r="AG155" s="14" t="s">
        <v>11</v>
      </c>
      <c r="AH155" s="14" t="s">
        <v>12</v>
      </c>
      <c r="AI155" s="14" t="s">
        <v>13</v>
      </c>
      <c r="AJ155" s="15" t="s">
        <v>14</v>
      </c>
      <c r="AK155" s="14" t="s">
        <v>15</v>
      </c>
      <c r="AL155" s="14" t="s">
        <v>16</v>
      </c>
      <c r="AM155" s="16" t="s">
        <v>17</v>
      </c>
      <c r="AN155" s="17" t="s">
        <v>18</v>
      </c>
      <c r="AO155" s="18" t="s">
        <v>19</v>
      </c>
      <c r="AP155" s="19" t="s">
        <v>20</v>
      </c>
      <c r="AQ155" s="19" t="s">
        <v>21</v>
      </c>
      <c r="AR155" s="20" t="s">
        <v>22</v>
      </c>
    </row>
    <row r="156" ht="15.75" customHeight="1">
      <c r="A156" s="21"/>
      <c r="B156" s="38">
        <v>16.0</v>
      </c>
      <c r="C156" s="38" t="s">
        <v>42</v>
      </c>
      <c r="D156" s="39">
        <v>33.0</v>
      </c>
      <c r="E156" s="40">
        <f>IFERROR(__xludf.DUMMYFUNCTION("COUNT(IMPORTRANGE(""https://docs.google.com/spreadsheets/d/14Tu_jFPEdrIQ6DHYu6vRvJKQsbXr-48NY1tKy4-8JKI/edit"",""6!d2:d34""))"),33.0)</f>
        <v>33</v>
      </c>
      <c r="F156" s="45">
        <f>IFERROR(__xludf.DUMMYFUNCTION("SUM(IMPORTRANGE(""https://docs.google.com/spreadsheets/d/14Tu_jFPEdrIQ6DHYu6vRvJKQsbXr-48NY1tKy4-8JKI/edit"",""6!Q2:Q34""))"),6501.825999999998)</f>
        <v>6501.826</v>
      </c>
      <c r="G156" s="40">
        <f>IFERROR(__xludf.DUMMYFUNCTION("IMPORTRANGE(""https://docs.google.com/spreadsheets/d/14Tu_jFPEdrIQ6DHYu6vRvJKQsbXr-48NY1tKy4-8JKI/edit"",""6!e41"")"),3147.0)</f>
        <v>3147</v>
      </c>
      <c r="H156" s="40">
        <f>IFERROR(__xludf.DUMMYFUNCTION("IMPORTRANGE(""https://docs.google.com/spreadsheets/d/14Tu_jFPEdrIQ6DHYu6vRvJKQsbXr-48NY1tKy4-8JKI/edit"",""6!e42"")"),100.0)</f>
        <v>100</v>
      </c>
      <c r="I156" s="40">
        <f t="shared" si="390"/>
        <v>3247</v>
      </c>
      <c r="J156" s="40">
        <f>IFERROR(__xludf.DUMMYFUNCTION("IMPORTRANGE(""https://docs.google.com/spreadsheets/d/14Tu_jFPEdrIQ6DHYu6vRvJKQsbXr-48NY1tKy4-8JKI/edit"",""6!e45"")"),4567.0)</f>
        <v>4567</v>
      </c>
      <c r="K156" s="40">
        <f>IFERROR(__xludf.DUMMYFUNCTION("IMPORTRANGE(""https://docs.google.com/spreadsheets/d/14Tu_jFPEdrIQ6DHYu6vRvJKQsbXr-48NY1tKy4-8JKI/edit"",""6!e46"")"),17.0)</f>
        <v>17</v>
      </c>
      <c r="L156" s="40">
        <f t="shared" si="420"/>
        <v>4584</v>
      </c>
      <c r="M156" s="40">
        <f t="shared" si="392"/>
        <v>7831</v>
      </c>
      <c r="N156" s="41">
        <f t="shared" si="393"/>
        <v>197.0250303</v>
      </c>
      <c r="O156" s="38">
        <v>9877.0</v>
      </c>
      <c r="P156" s="42">
        <f t="shared" si="394"/>
        <v>0.7928520806</v>
      </c>
      <c r="Q156" s="43">
        <v>1.5</v>
      </c>
      <c r="R156" s="42">
        <f t="shared" si="395"/>
        <v>0.8029539189</v>
      </c>
      <c r="S156" s="44">
        <f t="shared" si="396"/>
        <v>1.204430878</v>
      </c>
      <c r="T156" s="43">
        <f>F156/26.155</f>
        <v>248.5882623</v>
      </c>
      <c r="U156" s="43">
        <f t="shared" si="397"/>
        <v>7.532977645</v>
      </c>
      <c r="V156" s="40">
        <f t="shared" si="398"/>
        <v>237.3030303</v>
      </c>
      <c r="X156" s="31">
        <v>1.0</v>
      </c>
      <c r="Y156" s="31" t="s">
        <v>26</v>
      </c>
      <c r="Z156" s="31">
        <f t="shared" ref="Z156:AI156" si="430">SUM(D141)</f>
        <v>20</v>
      </c>
      <c r="AA156" s="32">
        <f t="shared" si="430"/>
        <v>19</v>
      </c>
      <c r="AB156" s="34">
        <f t="shared" si="430"/>
        <v>3690.852</v>
      </c>
      <c r="AC156" s="32">
        <f t="shared" si="430"/>
        <v>2154</v>
      </c>
      <c r="AD156" s="32">
        <f t="shared" si="430"/>
        <v>40</v>
      </c>
      <c r="AE156" s="32">
        <f t="shared" si="430"/>
        <v>2194</v>
      </c>
      <c r="AF156" s="32">
        <f t="shared" si="430"/>
        <v>3020</v>
      </c>
      <c r="AG156" s="32">
        <f t="shared" si="430"/>
        <v>45</v>
      </c>
      <c r="AH156" s="32">
        <f t="shared" si="430"/>
        <v>3065</v>
      </c>
      <c r="AI156" s="32">
        <f t="shared" si="430"/>
        <v>5259</v>
      </c>
      <c r="AJ156" s="34">
        <f t="shared" ref="AJ156:AJ162" si="433">AB156/AA156</f>
        <v>194.2553684</v>
      </c>
      <c r="AK156" s="31">
        <f>SUM(O141)</f>
        <v>5161</v>
      </c>
      <c r="AL156" s="67">
        <f t="shared" ref="AL156:AL162" si="434">AI156/AK156</f>
        <v>1.018988568</v>
      </c>
      <c r="AM156" s="36">
        <f>SUM(Q141)</f>
        <v>1.5</v>
      </c>
      <c r="AN156" s="35">
        <f t="shared" ref="AN156:AN162" si="435">AO156/AM156</f>
        <v>0.9499161711</v>
      </c>
      <c r="AO156" s="37">
        <f t="shared" ref="AO156:AO162" si="436">AI156/AB156</f>
        <v>1.424874257</v>
      </c>
      <c r="AP156" s="36">
        <f t="shared" ref="AP156:AQ156" si="431">SUM(T141)</f>
        <v>256.0424558</v>
      </c>
      <c r="AQ156" s="36">
        <f t="shared" si="431"/>
        <v>13.47591873</v>
      </c>
      <c r="AR156" s="32">
        <f t="shared" ref="AR156:AR162" si="438">AI156/AA156</f>
        <v>276.7894737</v>
      </c>
    </row>
    <row r="157" ht="15.75" customHeight="1">
      <c r="A157" s="21"/>
      <c r="B157" s="38">
        <v>17.0</v>
      </c>
      <c r="C157" s="38" t="s">
        <v>29</v>
      </c>
      <c r="D157" s="39">
        <v>30.0</v>
      </c>
      <c r="E157" s="40">
        <f>IFERROR(__xludf.DUMMYFUNCTION("COUNT(IMPORTRANGE(""https://docs.google.com/spreadsheets/d/1ja_RQYsP0p5wRrACHojay4CW1wLx0QdS5tSwp-vYQ-s/edit"",""6!d2:d31""))"),29.0)</f>
        <v>29</v>
      </c>
      <c r="F157" s="45">
        <f>IFERROR(__xludf.DUMMYFUNCTION("SUM(IMPORTRANGE(""https://docs.google.com/spreadsheets/d/1ja_RQYsP0p5wRrACHojay4CW1wLx0QdS5tSwp-vYQ-s/edit"",""6!Q2:Q31""))"),5832.5120000000015)</f>
        <v>5832.512</v>
      </c>
      <c r="G157" s="40">
        <f>IFERROR(__xludf.DUMMYFUNCTION("IMPORTRANGE(""https://docs.google.com/spreadsheets/d/1ja_RQYsP0p5wRrACHojay4CW1wLx0QdS5tSwp-vYQ-s/edit"",""6!e38"")"),2687.0)</f>
        <v>2687</v>
      </c>
      <c r="H157" s="40">
        <f>IFERROR(__xludf.DUMMYFUNCTION("IMPORTRANGE(""https://docs.google.com/spreadsheets/d/1ja_RQYsP0p5wRrACHojay4CW1wLx0QdS5tSwp-vYQ-s/edit"",""6!e39"")"),0.0)</f>
        <v>0</v>
      </c>
      <c r="I157" s="40">
        <f t="shared" si="390"/>
        <v>2687</v>
      </c>
      <c r="J157" s="40">
        <f>IFERROR(__xludf.DUMMYFUNCTION("IMPORTRANGE(""https://docs.google.com/spreadsheets/d/1ja_RQYsP0p5wRrACHojay4CW1wLx0QdS5tSwp-vYQ-s/edit"",""6!e42"")"),4344.0)</f>
        <v>4344</v>
      </c>
      <c r="K157" s="40">
        <f>IFERROR(__xludf.DUMMYFUNCTION("IMPORTRANGE(""https://docs.google.com/spreadsheets/d/1ja_RQYsP0p5wRrACHojay4CW1wLx0QdS5tSwp-vYQ-s/edit"",""6!e43"")"),0.0)</f>
        <v>0</v>
      </c>
      <c r="L157" s="40">
        <f t="shared" si="420"/>
        <v>4344</v>
      </c>
      <c r="M157" s="40">
        <f t="shared" si="392"/>
        <v>7031</v>
      </c>
      <c r="N157" s="41">
        <f t="shared" si="393"/>
        <v>201.1211034</v>
      </c>
      <c r="O157" s="38">
        <v>9201.0</v>
      </c>
      <c r="P157" s="42">
        <f t="shared" si="394"/>
        <v>0.76415607</v>
      </c>
      <c r="Q157" s="43">
        <v>1.5</v>
      </c>
      <c r="R157" s="42">
        <f t="shared" si="395"/>
        <v>0.8036560119</v>
      </c>
      <c r="S157" s="44">
        <f t="shared" si="396"/>
        <v>1.205484018</v>
      </c>
      <c r="T157" s="43">
        <f>F157/26.038</f>
        <v>224</v>
      </c>
      <c r="U157" s="43">
        <f t="shared" si="397"/>
        <v>7.724137931</v>
      </c>
      <c r="V157" s="40">
        <f t="shared" si="398"/>
        <v>242.4482759</v>
      </c>
      <c r="X157" s="31">
        <v>2.0</v>
      </c>
      <c r="Y157" s="31" t="s">
        <v>32</v>
      </c>
      <c r="Z157" s="31">
        <f t="shared" ref="Z157:AI157" si="432">SUM(D144)</f>
        <v>42</v>
      </c>
      <c r="AA157" s="32">
        <f t="shared" si="432"/>
        <v>42</v>
      </c>
      <c r="AB157" s="33">
        <f t="shared" si="432"/>
        <v>8078.658</v>
      </c>
      <c r="AC157" s="31">
        <f t="shared" si="432"/>
        <v>4748</v>
      </c>
      <c r="AD157" s="31">
        <f t="shared" si="432"/>
        <v>0</v>
      </c>
      <c r="AE157" s="32">
        <f t="shared" si="432"/>
        <v>4748</v>
      </c>
      <c r="AF157" s="31">
        <f t="shared" si="432"/>
        <v>5516</v>
      </c>
      <c r="AG157" s="31">
        <f t="shared" si="432"/>
        <v>0</v>
      </c>
      <c r="AH157" s="32">
        <f t="shared" si="432"/>
        <v>5516</v>
      </c>
      <c r="AI157" s="32">
        <f t="shared" si="432"/>
        <v>10264</v>
      </c>
      <c r="AJ157" s="34">
        <f t="shared" si="433"/>
        <v>192.349</v>
      </c>
      <c r="AK157" s="31">
        <f>SUM(O144)</f>
        <v>13817</v>
      </c>
      <c r="AL157" s="35">
        <f t="shared" si="434"/>
        <v>0.7428530072</v>
      </c>
      <c r="AM157" s="36">
        <f>SUM(Q144)</f>
        <v>1.5</v>
      </c>
      <c r="AN157" s="35">
        <f t="shared" si="435"/>
        <v>0.8470053648</v>
      </c>
      <c r="AO157" s="37">
        <f t="shared" si="436"/>
        <v>1.270508047</v>
      </c>
      <c r="AP157" s="36">
        <f t="shared" ref="AP157:AQ157" si="437">SUM(T144)</f>
        <v>322</v>
      </c>
      <c r="AQ157" s="36">
        <f t="shared" si="437"/>
        <v>7.666666667</v>
      </c>
      <c r="AR157" s="32">
        <f t="shared" si="438"/>
        <v>244.3809524</v>
      </c>
    </row>
    <row r="158" ht="15.75" customHeight="1">
      <c r="A158" s="21"/>
      <c r="B158" s="38">
        <v>18.0</v>
      </c>
      <c r="C158" s="38" t="s">
        <v>31</v>
      </c>
      <c r="D158" s="39">
        <v>15.0</v>
      </c>
      <c r="E158" s="40">
        <f>IFERROR(__xludf.DUMMYFUNCTION("COUNT(IMPORTRANGE(""https://docs.google.com/spreadsheets/d/1ObnK1oSznTOmyW9Zcd2kxExl7TOnO2MNq_0giEKc_mE/edit"",""6!d2:d16""))"),14.0)</f>
        <v>14</v>
      </c>
      <c r="F158" s="41">
        <f>IFERROR(__xludf.DUMMYFUNCTION("SUM(IMPORTRANGE(""https://docs.google.com/spreadsheets/d/1ObnK1oSznTOmyW9Zcd2kxExl7TOnO2MNq_0giEKc_mE/edit"",""6!Q2:Q16""))"),2868.6899999999996)</f>
        <v>2868.69</v>
      </c>
      <c r="G158" s="40">
        <f>IFERROR(__xludf.DUMMYFUNCTION("IMPORTRANGE(""https://docs.google.com/spreadsheets/d/1ObnK1oSznTOmyW9Zcd2kxExl7TOnO2MNq_0giEKc_mE/edit"",""6!e23"")"),949.0)</f>
        <v>949</v>
      </c>
      <c r="H158" s="40">
        <f>IFERROR(__xludf.DUMMYFUNCTION("IMPORTRANGE(""https://docs.google.com/spreadsheets/d/1ObnK1oSznTOmyW9Zcd2kxExl7TOnO2MNq_0giEKc_mE/edit"",""6!e24"")"),0.0)</f>
        <v>0</v>
      </c>
      <c r="I158" s="40">
        <f t="shared" si="390"/>
        <v>949</v>
      </c>
      <c r="J158" s="40">
        <f>IFERROR(__xludf.DUMMYFUNCTION("IMPORTRANGE(""https://docs.google.com/spreadsheets/d/1ObnK1oSznTOmyW9Zcd2kxExl7TOnO2MNq_0giEKc_mE/edit"",""6!e27"")"),1081.0)</f>
        <v>1081</v>
      </c>
      <c r="K158" s="40">
        <f>IFERROR(__xludf.DUMMYFUNCTION("IMPORTRANGE(""https://docs.google.com/spreadsheets/d/1ObnK1oSznTOmyW9Zcd2kxExl7TOnO2MNq_0giEKc_mE/edit"",""6!e28"")"),9.0)</f>
        <v>9</v>
      </c>
      <c r="L158" s="40">
        <f t="shared" si="420"/>
        <v>1090</v>
      </c>
      <c r="M158" s="40">
        <f t="shared" si="392"/>
        <v>2039</v>
      </c>
      <c r="N158" s="41">
        <f t="shared" si="393"/>
        <v>204.9064286</v>
      </c>
      <c r="O158" s="38">
        <v>2717.0</v>
      </c>
      <c r="P158" s="42">
        <f t="shared" si="394"/>
        <v>0.7504600662</v>
      </c>
      <c r="Q158" s="43">
        <v>1.5</v>
      </c>
      <c r="R158" s="42">
        <f t="shared" si="395"/>
        <v>0.4738515954</v>
      </c>
      <c r="S158" s="44">
        <f t="shared" si="396"/>
        <v>0.7107773932</v>
      </c>
      <c r="T158" s="43">
        <f>F158/43.465</f>
        <v>66</v>
      </c>
      <c r="U158" s="43">
        <f t="shared" si="397"/>
        <v>4.714285714</v>
      </c>
      <c r="V158" s="40">
        <f t="shared" si="398"/>
        <v>145.6428571</v>
      </c>
      <c r="X158" s="31">
        <v>3.0</v>
      </c>
      <c r="Y158" s="31" t="s">
        <v>36</v>
      </c>
      <c r="Z158" s="31">
        <f t="shared" ref="Z158:AI158" si="439">SUM(D149)</f>
        <v>29</v>
      </c>
      <c r="AA158" s="32">
        <f t="shared" si="439"/>
        <v>28</v>
      </c>
      <c r="AB158" s="33">
        <f t="shared" si="439"/>
        <v>5568.302</v>
      </c>
      <c r="AC158" s="32">
        <f t="shared" si="439"/>
        <v>1536</v>
      </c>
      <c r="AD158" s="32">
        <f t="shared" si="439"/>
        <v>46</v>
      </c>
      <c r="AE158" s="32">
        <f t="shared" si="439"/>
        <v>1582</v>
      </c>
      <c r="AF158" s="32">
        <f t="shared" si="439"/>
        <v>2270</v>
      </c>
      <c r="AG158" s="32">
        <f t="shared" si="439"/>
        <v>74</v>
      </c>
      <c r="AH158" s="32">
        <f t="shared" si="439"/>
        <v>2344</v>
      </c>
      <c r="AI158" s="32">
        <f t="shared" si="439"/>
        <v>3926</v>
      </c>
      <c r="AJ158" s="34">
        <f t="shared" si="433"/>
        <v>198.8679286</v>
      </c>
      <c r="AK158" s="31">
        <f t="shared" ref="AK158:AK161" si="443">SUM(O149)</f>
        <v>4796</v>
      </c>
      <c r="AL158" s="35">
        <f t="shared" si="434"/>
        <v>0.8185988324</v>
      </c>
      <c r="AM158" s="36">
        <f t="shared" ref="AM158:AM161" si="444">SUM(Q149)</f>
        <v>1.5</v>
      </c>
      <c r="AN158" s="35">
        <f t="shared" si="435"/>
        <v>0.4700415555</v>
      </c>
      <c r="AO158" s="37">
        <f t="shared" si="436"/>
        <v>0.7050623332</v>
      </c>
      <c r="AP158" s="36">
        <f t="shared" ref="AP158:AQ158" si="440">SUM(T149)</f>
        <v>148.8293687</v>
      </c>
      <c r="AQ158" s="36">
        <f t="shared" si="440"/>
        <v>5.315334596</v>
      </c>
      <c r="AR158" s="32">
        <f t="shared" si="438"/>
        <v>140.2142857</v>
      </c>
    </row>
    <row r="159" ht="15.75" customHeight="1">
      <c r="A159" s="21"/>
      <c r="B159" s="60" t="s">
        <v>33</v>
      </c>
      <c r="C159" s="60">
        <v>18.0</v>
      </c>
      <c r="D159" s="60">
        <f t="shared" ref="D159:M159" si="441">SUM(D141:D158)</f>
        <v>585</v>
      </c>
      <c r="E159" s="61">
        <f t="shared" si="441"/>
        <v>570</v>
      </c>
      <c r="F159" s="62">
        <f t="shared" si="441"/>
        <v>111914.459</v>
      </c>
      <c r="G159" s="61">
        <f t="shared" si="441"/>
        <v>40949</v>
      </c>
      <c r="H159" s="61">
        <f t="shared" si="441"/>
        <v>1060</v>
      </c>
      <c r="I159" s="61">
        <f t="shared" si="441"/>
        <v>42009</v>
      </c>
      <c r="J159" s="61">
        <f t="shared" si="441"/>
        <v>58406</v>
      </c>
      <c r="K159" s="61">
        <f t="shared" si="441"/>
        <v>975</v>
      </c>
      <c r="L159" s="61">
        <f t="shared" si="441"/>
        <v>59381</v>
      </c>
      <c r="M159" s="61">
        <f t="shared" si="441"/>
        <v>101390</v>
      </c>
      <c r="N159" s="62">
        <f t="shared" si="393"/>
        <v>196.3411561</v>
      </c>
      <c r="O159" s="60">
        <f>SUM(O141:O158)</f>
        <v>126399</v>
      </c>
      <c r="P159" s="63">
        <f t="shared" si="394"/>
        <v>0.802142422</v>
      </c>
      <c r="Q159" s="64">
        <v>1.5</v>
      </c>
      <c r="R159" s="63">
        <f t="shared" si="395"/>
        <v>0.6039731947</v>
      </c>
      <c r="S159" s="65">
        <f t="shared" si="396"/>
        <v>0.905959792</v>
      </c>
      <c r="T159" s="64">
        <f>SUM(T141:T158)</f>
        <v>4117.061604</v>
      </c>
      <c r="U159" s="64">
        <f t="shared" si="397"/>
        <v>7.222915095</v>
      </c>
      <c r="V159" s="61">
        <f t="shared" si="398"/>
        <v>177.877193</v>
      </c>
      <c r="X159" s="31">
        <v>4.0</v>
      </c>
      <c r="Y159" s="31" t="s">
        <v>37</v>
      </c>
      <c r="Z159" s="31">
        <f t="shared" ref="Z159:AI159" si="442">SUM(D150)</f>
        <v>30</v>
      </c>
      <c r="AA159" s="32">
        <f t="shared" si="442"/>
        <v>27</v>
      </c>
      <c r="AB159" s="33">
        <f t="shared" si="442"/>
        <v>5352.45</v>
      </c>
      <c r="AC159" s="32">
        <f t="shared" si="442"/>
        <v>2102</v>
      </c>
      <c r="AD159" s="32">
        <f t="shared" si="442"/>
        <v>56</v>
      </c>
      <c r="AE159" s="32">
        <f t="shared" si="442"/>
        <v>2158</v>
      </c>
      <c r="AF159" s="32">
        <f t="shared" si="442"/>
        <v>2834</v>
      </c>
      <c r="AG159" s="32">
        <f t="shared" si="442"/>
        <v>113</v>
      </c>
      <c r="AH159" s="32">
        <f t="shared" si="442"/>
        <v>2947</v>
      </c>
      <c r="AI159" s="32">
        <f t="shared" si="442"/>
        <v>5105</v>
      </c>
      <c r="AJ159" s="34">
        <f t="shared" si="433"/>
        <v>198.2388889</v>
      </c>
      <c r="AK159" s="31">
        <f t="shared" si="443"/>
        <v>5887</v>
      </c>
      <c r="AL159" s="35">
        <f t="shared" si="434"/>
        <v>0.8671649397</v>
      </c>
      <c r="AM159" s="36">
        <f t="shared" si="444"/>
        <v>1.5</v>
      </c>
      <c r="AN159" s="35">
        <f t="shared" si="435"/>
        <v>0.6358458899</v>
      </c>
      <c r="AO159" s="37">
        <f t="shared" si="436"/>
        <v>0.9537688348</v>
      </c>
      <c r="AP159" s="36">
        <f t="shared" ref="AP159:AQ159" si="445">SUM(T150)</f>
        <v>215.8942401</v>
      </c>
      <c r="AQ159" s="36">
        <f t="shared" si="445"/>
        <v>7.996082966</v>
      </c>
      <c r="AR159" s="32">
        <f t="shared" si="438"/>
        <v>189.0740741</v>
      </c>
    </row>
    <row r="160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X160" s="31">
        <v>5.0</v>
      </c>
      <c r="Y160" s="31" t="s">
        <v>39</v>
      </c>
      <c r="Z160" s="31">
        <f t="shared" ref="Z160:AI160" si="446">SUM(D151)</f>
        <v>28</v>
      </c>
      <c r="AA160" s="32">
        <f t="shared" si="446"/>
        <v>27</v>
      </c>
      <c r="AB160" s="33">
        <f t="shared" si="446"/>
        <v>5029.618</v>
      </c>
      <c r="AC160" s="32">
        <f t="shared" si="446"/>
        <v>1071</v>
      </c>
      <c r="AD160" s="32">
        <f t="shared" si="446"/>
        <v>25</v>
      </c>
      <c r="AE160" s="32">
        <f t="shared" si="446"/>
        <v>1096</v>
      </c>
      <c r="AF160" s="32">
        <f t="shared" si="446"/>
        <v>1701</v>
      </c>
      <c r="AG160" s="32">
        <f t="shared" si="446"/>
        <v>0</v>
      </c>
      <c r="AH160" s="32">
        <f t="shared" si="446"/>
        <v>1701</v>
      </c>
      <c r="AI160" s="32">
        <f t="shared" si="446"/>
        <v>2797</v>
      </c>
      <c r="AJ160" s="34">
        <f t="shared" si="433"/>
        <v>186.2821481</v>
      </c>
      <c r="AK160" s="31">
        <f t="shared" si="443"/>
        <v>3569</v>
      </c>
      <c r="AL160" s="35">
        <f t="shared" si="434"/>
        <v>0.7836929112</v>
      </c>
      <c r="AM160" s="36">
        <f t="shared" si="444"/>
        <v>1.5</v>
      </c>
      <c r="AN160" s="35">
        <f t="shared" si="435"/>
        <v>0.3707372343</v>
      </c>
      <c r="AO160" s="37">
        <f t="shared" si="436"/>
        <v>0.5561058514</v>
      </c>
      <c r="AP160" s="36">
        <f t="shared" ref="AP160:AQ160" si="447">SUM(T151)</f>
        <v>234.339002</v>
      </c>
      <c r="AQ160" s="36">
        <f t="shared" si="447"/>
        <v>8.679222296</v>
      </c>
      <c r="AR160" s="32">
        <f t="shared" si="438"/>
        <v>103.5925926</v>
      </c>
    </row>
    <row r="161" ht="15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X161" s="31">
        <v>6.0</v>
      </c>
      <c r="Y161" s="31" t="s">
        <v>41</v>
      </c>
      <c r="Z161" s="31">
        <f t="shared" ref="Z161:AI161" si="448">SUM(D152)</f>
        <v>24</v>
      </c>
      <c r="AA161" s="32">
        <f t="shared" si="448"/>
        <v>24</v>
      </c>
      <c r="AB161" s="33">
        <f t="shared" si="448"/>
        <v>4763.524</v>
      </c>
      <c r="AC161" s="32">
        <f t="shared" si="448"/>
        <v>1290</v>
      </c>
      <c r="AD161" s="32">
        <f t="shared" si="448"/>
        <v>0</v>
      </c>
      <c r="AE161" s="32">
        <f t="shared" si="448"/>
        <v>1290</v>
      </c>
      <c r="AF161" s="32">
        <f t="shared" si="448"/>
        <v>1675</v>
      </c>
      <c r="AG161" s="32">
        <f t="shared" si="448"/>
        <v>0</v>
      </c>
      <c r="AH161" s="32">
        <f t="shared" si="448"/>
        <v>1675</v>
      </c>
      <c r="AI161" s="32">
        <f t="shared" si="448"/>
        <v>2965</v>
      </c>
      <c r="AJ161" s="34">
        <f t="shared" si="433"/>
        <v>198.4801667</v>
      </c>
      <c r="AK161" s="31">
        <f t="shared" si="443"/>
        <v>3801</v>
      </c>
      <c r="AL161" s="35">
        <f t="shared" si="434"/>
        <v>0.7800578795</v>
      </c>
      <c r="AM161" s="36">
        <f t="shared" si="444"/>
        <v>1.5</v>
      </c>
      <c r="AN161" s="35">
        <f t="shared" si="435"/>
        <v>0.4149588974</v>
      </c>
      <c r="AO161" s="37">
        <f t="shared" si="436"/>
        <v>0.6224383461</v>
      </c>
      <c r="AP161" s="36">
        <f t="shared" ref="AP161:AQ161" si="449">SUM(T152)</f>
        <v>160.7777778</v>
      </c>
      <c r="AQ161" s="36">
        <f t="shared" si="449"/>
        <v>6.699074074</v>
      </c>
      <c r="AR161" s="32">
        <f t="shared" si="438"/>
        <v>123.5416667</v>
      </c>
    </row>
    <row r="162" ht="15.75" customHeight="1">
      <c r="A162" s="1" t="s">
        <v>45</v>
      </c>
      <c r="D162" s="2"/>
      <c r="X162" s="46" t="s">
        <v>33</v>
      </c>
      <c r="Y162" s="46">
        <v>6.0</v>
      </c>
      <c r="Z162" s="46">
        <f t="shared" ref="Z162:AI162" si="450">SUM(Z156:Z161)</f>
        <v>173</v>
      </c>
      <c r="AA162" s="47">
        <f t="shared" si="450"/>
        <v>167</v>
      </c>
      <c r="AB162" s="49">
        <f t="shared" si="450"/>
        <v>32483.404</v>
      </c>
      <c r="AC162" s="47">
        <f t="shared" si="450"/>
        <v>12901</v>
      </c>
      <c r="AD162" s="47">
        <f t="shared" si="450"/>
        <v>167</v>
      </c>
      <c r="AE162" s="47">
        <f t="shared" si="450"/>
        <v>13068</v>
      </c>
      <c r="AF162" s="47">
        <f t="shared" si="450"/>
        <v>17016</v>
      </c>
      <c r="AG162" s="47">
        <f t="shared" si="450"/>
        <v>232</v>
      </c>
      <c r="AH162" s="47">
        <f t="shared" si="450"/>
        <v>17248</v>
      </c>
      <c r="AI162" s="47">
        <f t="shared" si="450"/>
        <v>30316</v>
      </c>
      <c r="AJ162" s="49">
        <f t="shared" si="433"/>
        <v>194.5114012</v>
      </c>
      <c r="AK162" s="46">
        <f>SUM(AK156:AK161)</f>
        <v>37031</v>
      </c>
      <c r="AL162" s="50">
        <f t="shared" si="434"/>
        <v>0.8186654425</v>
      </c>
      <c r="AM162" s="51">
        <v>1.5</v>
      </c>
      <c r="AN162" s="50">
        <f t="shared" si="435"/>
        <v>0.6221843827</v>
      </c>
      <c r="AO162" s="52">
        <f t="shared" si="436"/>
        <v>0.9332765741</v>
      </c>
      <c r="AP162" s="51">
        <f>SUM(AP156:AP161)</f>
        <v>1337.882844</v>
      </c>
      <c r="AQ162" s="51">
        <f>AP162/AA162</f>
        <v>8.011274517</v>
      </c>
      <c r="AR162" s="47">
        <f t="shared" si="438"/>
        <v>181.5329341</v>
      </c>
    </row>
    <row r="163" ht="15.75" customHeight="1">
      <c r="A163" s="1" t="s">
        <v>45</v>
      </c>
      <c r="D163" s="2"/>
      <c r="X163" s="66" t="s">
        <v>1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6"/>
    </row>
    <row r="164" ht="15.75" customHeight="1">
      <c r="A164" s="7">
        <v>46241.0</v>
      </c>
      <c r="B164" s="8" t="s">
        <v>2</v>
      </c>
      <c r="C164" s="8" t="s">
        <v>3</v>
      </c>
      <c r="D164" s="8" t="s">
        <v>4</v>
      </c>
      <c r="E164" s="8" t="s">
        <v>5</v>
      </c>
      <c r="F164" s="9" t="s">
        <v>6</v>
      </c>
      <c r="G164" s="8" t="s">
        <v>7</v>
      </c>
      <c r="H164" s="8" t="s">
        <v>8</v>
      </c>
      <c r="I164" s="8" t="s">
        <v>9</v>
      </c>
      <c r="J164" s="8" t="s">
        <v>10</v>
      </c>
      <c r="K164" s="8" t="s">
        <v>11</v>
      </c>
      <c r="L164" s="8" t="s">
        <v>12</v>
      </c>
      <c r="M164" s="8" t="s">
        <v>13</v>
      </c>
      <c r="N164" s="9" t="s">
        <v>14</v>
      </c>
      <c r="O164" s="8" t="s">
        <v>15</v>
      </c>
      <c r="P164" s="8" t="s">
        <v>16</v>
      </c>
      <c r="Q164" s="8" t="s">
        <v>17</v>
      </c>
      <c r="R164" s="8" t="s">
        <v>18</v>
      </c>
      <c r="S164" s="11" t="s">
        <v>19</v>
      </c>
      <c r="T164" s="12" t="s">
        <v>20</v>
      </c>
      <c r="U164" s="12" t="s">
        <v>21</v>
      </c>
      <c r="V164" s="13" t="s">
        <v>22</v>
      </c>
      <c r="X164" s="14" t="s">
        <v>2</v>
      </c>
      <c r="Y164" s="14" t="s">
        <v>3</v>
      </c>
      <c r="Z164" s="14" t="s">
        <v>4</v>
      </c>
      <c r="AA164" s="14" t="s">
        <v>5</v>
      </c>
      <c r="AB164" s="15" t="s">
        <v>6</v>
      </c>
      <c r="AC164" s="14" t="s">
        <v>7</v>
      </c>
      <c r="AD164" s="14" t="s">
        <v>8</v>
      </c>
      <c r="AE164" s="14" t="s">
        <v>9</v>
      </c>
      <c r="AF164" s="14" t="s">
        <v>10</v>
      </c>
      <c r="AG164" s="14" t="s">
        <v>11</v>
      </c>
      <c r="AH164" s="14" t="s">
        <v>12</v>
      </c>
      <c r="AI164" s="14" t="s">
        <v>13</v>
      </c>
      <c r="AJ164" s="15" t="s">
        <v>14</v>
      </c>
      <c r="AK164" s="14" t="s">
        <v>15</v>
      </c>
      <c r="AL164" s="14" t="s">
        <v>16</v>
      </c>
      <c r="AM164" s="16" t="s">
        <v>17</v>
      </c>
      <c r="AN164" s="17" t="s">
        <v>18</v>
      </c>
      <c r="AO164" s="18" t="s">
        <v>19</v>
      </c>
      <c r="AP164" s="19" t="s">
        <v>20</v>
      </c>
      <c r="AQ164" s="19" t="s">
        <v>21</v>
      </c>
      <c r="AR164" s="20" t="s">
        <v>22</v>
      </c>
    </row>
    <row r="165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X165" s="22">
        <v>1.0</v>
      </c>
      <c r="Y165" s="22" t="s">
        <v>23</v>
      </c>
      <c r="Z165" s="22">
        <f t="shared" ref="Z165:AI165" si="451">SUM(D173)</f>
        <v>35</v>
      </c>
      <c r="AA165" s="23">
        <f t="shared" si="451"/>
        <v>34</v>
      </c>
      <c r="AB165" s="24">
        <f t="shared" si="451"/>
        <v>6545.56</v>
      </c>
      <c r="AC165" s="23">
        <f t="shared" si="451"/>
        <v>2016</v>
      </c>
      <c r="AD165" s="23">
        <f t="shared" si="451"/>
        <v>0</v>
      </c>
      <c r="AE165" s="23">
        <f t="shared" si="451"/>
        <v>2016</v>
      </c>
      <c r="AF165" s="23">
        <f t="shared" si="451"/>
        <v>2970</v>
      </c>
      <c r="AG165" s="23">
        <f t="shared" si="451"/>
        <v>0</v>
      </c>
      <c r="AH165" s="23">
        <f t="shared" si="451"/>
        <v>2970</v>
      </c>
      <c r="AI165" s="23">
        <f t="shared" si="451"/>
        <v>4986</v>
      </c>
      <c r="AJ165" s="25">
        <f t="shared" ref="AJ165:AJ167" si="454">AB165/AA165</f>
        <v>192.5164706</v>
      </c>
      <c r="AK165" s="22">
        <f>SUM(O173)</f>
        <v>6853</v>
      </c>
      <c r="AL165" s="26">
        <f t="shared" ref="AL165:AL171" si="455">AI165/AK165</f>
        <v>0.7275645703</v>
      </c>
      <c r="AM165" s="27">
        <f t="shared" ref="AM165:AM167" si="456">SUM(Q173)</f>
        <v>1.5</v>
      </c>
      <c r="AN165" s="26">
        <f t="shared" ref="AN165:AN171" si="457">AO165/AM165</f>
        <v>0.5078251517</v>
      </c>
      <c r="AO165" s="28">
        <f t="shared" ref="AO165:AO171" si="458">AI165/AB165</f>
        <v>0.7617377276</v>
      </c>
      <c r="AP165" s="27">
        <f t="shared" ref="AP165:AQ165" si="452">SUM(T173)</f>
        <v>194</v>
      </c>
      <c r="AQ165" s="27">
        <f t="shared" si="452"/>
        <v>5.705882353</v>
      </c>
      <c r="AR165" s="23">
        <f t="shared" ref="AR165:AR171" si="460">AI165/AA165</f>
        <v>146.6470588</v>
      </c>
    </row>
    <row r="166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X166" s="22">
        <v>2.0</v>
      </c>
      <c r="Y166" s="22" t="s">
        <v>24</v>
      </c>
      <c r="Z166" s="22">
        <f t="shared" ref="Z166:AI166" si="453">SUM(D174)</f>
        <v>44</v>
      </c>
      <c r="AA166" s="23">
        <f t="shared" si="453"/>
        <v>43</v>
      </c>
      <c r="AB166" s="24">
        <f t="shared" si="453"/>
        <v>8531.206</v>
      </c>
      <c r="AC166" s="23">
        <f t="shared" si="453"/>
        <v>1020</v>
      </c>
      <c r="AD166" s="23">
        <f t="shared" si="453"/>
        <v>0</v>
      </c>
      <c r="AE166" s="23">
        <f t="shared" si="453"/>
        <v>1020</v>
      </c>
      <c r="AF166" s="23">
        <f t="shared" si="453"/>
        <v>1405</v>
      </c>
      <c r="AG166" s="23">
        <f t="shared" si="453"/>
        <v>0</v>
      </c>
      <c r="AH166" s="23">
        <f t="shared" si="453"/>
        <v>1405</v>
      </c>
      <c r="AI166" s="23">
        <f t="shared" si="453"/>
        <v>2425</v>
      </c>
      <c r="AJ166" s="25">
        <f t="shared" si="454"/>
        <v>198.4001395</v>
      </c>
      <c r="AK166" s="22">
        <v>1580.0</v>
      </c>
      <c r="AL166" s="29">
        <f t="shared" si="455"/>
        <v>1.534810127</v>
      </c>
      <c r="AM166" s="27">
        <f t="shared" si="456"/>
        <v>1.5</v>
      </c>
      <c r="AN166" s="26">
        <f t="shared" si="457"/>
        <v>0.1895003668</v>
      </c>
      <c r="AO166" s="28">
        <f t="shared" si="458"/>
        <v>0.2842505503</v>
      </c>
      <c r="AP166" s="27">
        <f t="shared" ref="AP166:AQ166" si="459">SUM(T174)</f>
        <v>318.2692035</v>
      </c>
      <c r="AQ166" s="27">
        <f t="shared" si="459"/>
        <v>7.401609384</v>
      </c>
      <c r="AR166" s="23">
        <f t="shared" si="460"/>
        <v>56.39534884</v>
      </c>
    </row>
    <row r="167" ht="15.75" customHeight="1">
      <c r="A167" s="21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X167" s="31">
        <v>3.0</v>
      </c>
      <c r="Y167" s="31" t="s">
        <v>25</v>
      </c>
      <c r="Z167" s="31">
        <f t="shared" ref="Z167:AI167" si="461">SUM(D175)</f>
        <v>32</v>
      </c>
      <c r="AA167" s="32">
        <f t="shared" si="461"/>
        <v>32</v>
      </c>
      <c r="AB167" s="33">
        <f t="shared" si="461"/>
        <v>6058.896</v>
      </c>
      <c r="AC167" s="32">
        <f t="shared" si="461"/>
        <v>2290</v>
      </c>
      <c r="AD167" s="32">
        <f t="shared" si="461"/>
        <v>302</v>
      </c>
      <c r="AE167" s="32">
        <f t="shared" si="461"/>
        <v>2592</v>
      </c>
      <c r="AF167" s="32">
        <f t="shared" si="461"/>
        <v>3268</v>
      </c>
      <c r="AG167" s="32">
        <f t="shared" si="461"/>
        <v>350</v>
      </c>
      <c r="AH167" s="32">
        <f t="shared" si="461"/>
        <v>3618</v>
      </c>
      <c r="AI167" s="32">
        <f t="shared" si="461"/>
        <v>6210</v>
      </c>
      <c r="AJ167" s="34">
        <f t="shared" si="454"/>
        <v>189.3405</v>
      </c>
      <c r="AK167" s="31">
        <f>SUM(O175)</f>
        <v>6622</v>
      </c>
      <c r="AL167" s="35">
        <f t="shared" si="455"/>
        <v>0.9377831471</v>
      </c>
      <c r="AM167" s="36">
        <f t="shared" si="456"/>
        <v>1.5</v>
      </c>
      <c r="AN167" s="35">
        <f t="shared" si="457"/>
        <v>0.6832927979</v>
      </c>
      <c r="AO167" s="37">
        <f t="shared" si="458"/>
        <v>1.024939197</v>
      </c>
      <c r="AP167" s="36">
        <f t="shared" ref="AP167:AQ167" si="462">SUM(T175)</f>
        <v>254.1483221</v>
      </c>
      <c r="AQ167" s="36">
        <f t="shared" si="462"/>
        <v>7.942135067</v>
      </c>
      <c r="AR167" s="32">
        <f t="shared" si="460"/>
        <v>194.0625</v>
      </c>
    </row>
    <row r="168" ht="15.75" customHeight="1">
      <c r="A168" s="21"/>
      <c r="B168" s="38">
        <v>1.0</v>
      </c>
      <c r="C168" s="38" t="s">
        <v>26</v>
      </c>
      <c r="D168" s="39">
        <v>20.0</v>
      </c>
      <c r="E168" s="40">
        <f>IFERROR(__xludf.DUMMYFUNCTION("COUNT(IMPORTRANGE(""https://docs.google.com/spreadsheets/d/1iVFEBQOAONhqDIMRa2hQ7WkCQv0dJWSAmc0AzfvSCMg/edit"",""7!d2:d21""))"),19.0)</f>
        <v>19</v>
      </c>
      <c r="F168" s="41">
        <f>IFERROR(__xludf.DUMMYFUNCTION("SUM(IMPORTRANGE(""https://docs.google.com/spreadsheets/d/1iVFEBQOAONhqDIMRa2hQ7WkCQv0dJWSAmc0AzfvSCMg/edit"",""7!Q2:Q21""))"),3806.172)</f>
        <v>3806.172</v>
      </c>
      <c r="G168" s="40">
        <f>IFERROR(__xludf.DUMMYFUNCTION("IMPORTRANGE(""https://docs.google.com/spreadsheets/d/1iVFEBQOAONhqDIMRa2hQ7WkCQv0dJWSAmc0AzfvSCMg/edit"",""7!e28"")"),1860.0)</f>
        <v>1860</v>
      </c>
      <c r="H168" s="40">
        <f>IFERROR(__xludf.DUMMYFUNCTION("IMPORTRANGE(""https://docs.google.com/spreadsheets/d/1iVFEBQOAONhqDIMRa2hQ7WkCQv0dJWSAmc0AzfvSCMg/edit"",""7!e29"")"),0.0)</f>
        <v>0</v>
      </c>
      <c r="I168" s="40">
        <f t="shared" ref="I168:I185" si="465">SUM(G168:H168)</f>
        <v>1860</v>
      </c>
      <c r="J168" s="40">
        <f>IFERROR(__xludf.DUMMYFUNCTION("IMPORTRANGE(""https://docs.google.com/spreadsheets/d/1iVFEBQOAONhqDIMRa2hQ7WkCQv0dJWSAmc0AzfvSCMg/edit"",""7!e32"")"),3277.0)</f>
        <v>3277</v>
      </c>
      <c r="K168" s="40">
        <f>IFERROR(__xludf.DUMMYFUNCTION("IMPORTRANGE(""https://docs.google.com/spreadsheets/d/1iVFEBQOAONhqDIMRa2hQ7WkCQv0dJWSAmc0AzfvSCMg/edit"",""7!e33"")"),0.0)</f>
        <v>0</v>
      </c>
      <c r="L168" s="40">
        <f t="shared" ref="L168:L174" si="466">SUM(J168:K168)</f>
        <v>3277</v>
      </c>
      <c r="M168" s="40">
        <f t="shared" ref="M168:M185" si="467">SUM(I168+L168)</f>
        <v>5137</v>
      </c>
      <c r="N168" s="41">
        <f t="shared" ref="N168:N186" si="468">F168/E168</f>
        <v>200.3248421</v>
      </c>
      <c r="O168" s="38">
        <v>5161.0</v>
      </c>
      <c r="P168" s="42">
        <f t="shared" ref="P168:P186" si="469">M168/O168</f>
        <v>0.9953497384</v>
      </c>
      <c r="Q168" s="43">
        <v>1.5</v>
      </c>
      <c r="R168" s="42">
        <f t="shared" ref="R168:R186" si="470">S168/Q168</f>
        <v>0.8997666597</v>
      </c>
      <c r="S168" s="44">
        <f t="shared" ref="S168:S186" si="471">M168/F168</f>
        <v>1.34964999</v>
      </c>
      <c r="T168" s="43">
        <f>F168/14.415</f>
        <v>264.0424558</v>
      </c>
      <c r="U168" s="43">
        <f t="shared" ref="U168:U186" si="472">T168/E168</f>
        <v>13.89697136</v>
      </c>
      <c r="V168" s="40">
        <f t="shared" ref="V168:V186" si="473">M168/E168</f>
        <v>270.3684211</v>
      </c>
      <c r="X168" s="22">
        <v>4.0</v>
      </c>
      <c r="Y168" s="22" t="s">
        <v>27</v>
      </c>
      <c r="Z168" s="22">
        <f t="shared" ref="Z168:AK168" si="463">SUM(D181)</f>
        <v>30</v>
      </c>
      <c r="AA168" s="23">
        <f t="shared" si="463"/>
        <v>29</v>
      </c>
      <c r="AB168" s="24">
        <f t="shared" si="463"/>
        <v>5032.113</v>
      </c>
      <c r="AC168" s="23">
        <f t="shared" si="463"/>
        <v>2583</v>
      </c>
      <c r="AD168" s="23">
        <f t="shared" si="463"/>
        <v>21</v>
      </c>
      <c r="AE168" s="23">
        <f t="shared" si="463"/>
        <v>2604</v>
      </c>
      <c r="AF168" s="23">
        <f t="shared" si="463"/>
        <v>2962</v>
      </c>
      <c r="AG168" s="23">
        <f t="shared" si="463"/>
        <v>0</v>
      </c>
      <c r="AH168" s="23">
        <f t="shared" si="463"/>
        <v>2962</v>
      </c>
      <c r="AI168" s="23">
        <f t="shared" si="463"/>
        <v>5566</v>
      </c>
      <c r="AJ168" s="25">
        <f t="shared" si="463"/>
        <v>173.5211379</v>
      </c>
      <c r="AK168" s="22">
        <f t="shared" si="463"/>
        <v>8101</v>
      </c>
      <c r="AL168" s="26">
        <f t="shared" si="455"/>
        <v>0.6870756697</v>
      </c>
      <c r="AM168" s="27">
        <f>SUM(Q181)</f>
        <v>1.5</v>
      </c>
      <c r="AN168" s="26">
        <f t="shared" si="457"/>
        <v>0.7373973253</v>
      </c>
      <c r="AO168" s="28">
        <f t="shared" si="458"/>
        <v>1.106095988</v>
      </c>
      <c r="AP168" s="27">
        <f t="shared" ref="AP168:AQ168" si="464">SUM(T181)</f>
        <v>251.7944959</v>
      </c>
      <c r="AQ168" s="27">
        <f t="shared" si="464"/>
        <v>8.682568823</v>
      </c>
      <c r="AR168" s="23">
        <f t="shared" si="460"/>
        <v>191.9310345</v>
      </c>
    </row>
    <row r="169" ht="15.75" customHeight="1">
      <c r="A169" s="21"/>
      <c r="B169" s="38">
        <v>2.0</v>
      </c>
      <c r="C169" s="38" t="s">
        <v>28</v>
      </c>
      <c r="D169" s="39">
        <v>33.0</v>
      </c>
      <c r="E169" s="40">
        <f>IFERROR(__xludf.DUMMYFUNCTION("COUNT(IMPORTRANGE(""https://docs.google.com/spreadsheets/d/1tJCeYclgeJZ4Dc78t_SkhVjtacKW-5-VGim8X1rzUzk/edit"",""7!d2:d34""))"),32.0)</f>
        <v>32</v>
      </c>
      <c r="F169" s="41">
        <f>IFERROR(__xludf.DUMMYFUNCTION("SUM(IMPORTRANGE(""https://docs.google.com/spreadsheets/d/1tJCeYclgeJZ4Dc78t_SkhVjtacKW-5-VGim8X1rzUzk/edit"",""7!Q2:Q34""))"),6188.9659999999985)</f>
        <v>6188.966</v>
      </c>
      <c r="G169" s="40">
        <f>IFERROR(__xludf.DUMMYFUNCTION("IMPORTRANGE(""https://docs.google.com/spreadsheets/d/1tJCeYclgeJZ4Dc78t_SkhVjtacKW-5-VGim8X1rzUzk/edit"",""7!e41"")"),2740.0)</f>
        <v>2740</v>
      </c>
      <c r="H169" s="40">
        <f>IFERROR(__xludf.DUMMYFUNCTION("IMPORTRANGE(""https://docs.google.com/spreadsheets/d/1tJCeYclgeJZ4Dc78t_SkhVjtacKW-5-VGim8X1rzUzk/edit"",""7!e42"")"),107.0)</f>
        <v>107</v>
      </c>
      <c r="I169" s="40">
        <f t="shared" si="465"/>
        <v>2847</v>
      </c>
      <c r="J169" s="40">
        <f>IFERROR(__xludf.DUMMYFUNCTION("IMPORTRANGE(""https://docs.google.com/spreadsheets/d/1tJCeYclgeJZ4Dc78t_SkhVjtacKW-5-VGim8X1rzUzk/edit"",""7!e45"")"),2927.0)</f>
        <v>2927</v>
      </c>
      <c r="K169" s="40">
        <f>IFERROR(__xludf.DUMMYFUNCTION("IMPORTRANGE(""https://docs.google.com/spreadsheets/d/1tJCeYclgeJZ4Dc78t_SkhVjtacKW-5-VGim8X1rzUzk/edit"",""7!e46"")"),231.0)</f>
        <v>231</v>
      </c>
      <c r="L169" s="40">
        <f t="shared" si="466"/>
        <v>3158</v>
      </c>
      <c r="M169" s="40">
        <f t="shared" si="467"/>
        <v>6005</v>
      </c>
      <c r="N169" s="41">
        <f t="shared" si="468"/>
        <v>193.4051875</v>
      </c>
      <c r="O169" s="38">
        <v>7315.0</v>
      </c>
      <c r="P169" s="42">
        <f t="shared" si="469"/>
        <v>0.8209159262</v>
      </c>
      <c r="Q169" s="43">
        <v>1.5</v>
      </c>
      <c r="R169" s="42">
        <f t="shared" si="470"/>
        <v>0.6468501093</v>
      </c>
      <c r="S169" s="44">
        <f t="shared" si="471"/>
        <v>0.9702751639</v>
      </c>
      <c r="T169" s="43">
        <f>F169/30.897</f>
        <v>200.3096093</v>
      </c>
      <c r="U169" s="43">
        <f t="shared" si="472"/>
        <v>6.259675292</v>
      </c>
      <c r="V169" s="40">
        <f t="shared" si="473"/>
        <v>187.65625</v>
      </c>
      <c r="X169" s="22">
        <v>5.0</v>
      </c>
      <c r="Y169" s="22" t="s">
        <v>29</v>
      </c>
      <c r="Z169" s="22">
        <f t="shared" ref="Z169:AI169" si="474">SUM(D184)</f>
        <v>30</v>
      </c>
      <c r="AA169" s="23">
        <f t="shared" si="474"/>
        <v>29</v>
      </c>
      <c r="AB169" s="24">
        <f t="shared" si="474"/>
        <v>5832.512</v>
      </c>
      <c r="AC169" s="23">
        <f t="shared" si="474"/>
        <v>2914</v>
      </c>
      <c r="AD169" s="23">
        <f t="shared" si="474"/>
        <v>0</v>
      </c>
      <c r="AE169" s="23">
        <f t="shared" si="474"/>
        <v>2914</v>
      </c>
      <c r="AF169" s="23">
        <f t="shared" si="474"/>
        <v>4201</v>
      </c>
      <c r="AG169" s="23">
        <f t="shared" si="474"/>
        <v>0</v>
      </c>
      <c r="AH169" s="23">
        <f t="shared" si="474"/>
        <v>4201</v>
      </c>
      <c r="AI169" s="23">
        <f t="shared" si="474"/>
        <v>7115</v>
      </c>
      <c r="AJ169" s="25">
        <f t="shared" ref="AJ169:AJ171" si="477">AB169/AA169</f>
        <v>201.1211034</v>
      </c>
      <c r="AK169" s="22">
        <f t="shared" ref="AK169:AK170" si="478">SUM(O184)</f>
        <v>9201</v>
      </c>
      <c r="AL169" s="26">
        <f t="shared" si="455"/>
        <v>0.7732855124</v>
      </c>
      <c r="AM169" s="27">
        <f t="shared" ref="AM169:AM170" si="479">SUM(Q184)</f>
        <v>1.5</v>
      </c>
      <c r="AN169" s="26">
        <f t="shared" si="457"/>
        <v>0.8132573638</v>
      </c>
      <c r="AO169" s="28">
        <f t="shared" si="458"/>
        <v>1.219886046</v>
      </c>
      <c r="AP169" s="27">
        <f t="shared" ref="AP169:AQ169" si="475">SUM(T184)</f>
        <v>224</v>
      </c>
      <c r="AQ169" s="27">
        <f t="shared" si="475"/>
        <v>7.724137931</v>
      </c>
      <c r="AR169" s="23">
        <f t="shared" si="460"/>
        <v>245.3448276</v>
      </c>
    </row>
    <row r="170" ht="15.75" customHeight="1">
      <c r="A170" s="21"/>
      <c r="B170" s="38">
        <v>3.0</v>
      </c>
      <c r="C170" s="38" t="s">
        <v>30</v>
      </c>
      <c r="D170" s="39">
        <v>60.0</v>
      </c>
      <c r="E170" s="40">
        <f>IFERROR(__xludf.DUMMYFUNCTION("COUNT(IMPORTRANGE(""https://docs.google.com/spreadsheets/d/130gLEONC13J8KkQ6dk06x3bLRy_jCrAw2hXatQf2W50/edit"",""7!d2:d61""))"),58.0)</f>
        <v>58</v>
      </c>
      <c r="F170" s="45">
        <f>IFERROR(__xludf.DUMMYFUNCTION("SUM(IMPORTRANGE(""https://docs.google.com/spreadsheets/d/130gLEONC13J8KkQ6dk06x3bLRy_jCrAw2hXatQf2W50/edit"",""7!Q2:Q61""))"),11460.56599999999)</f>
        <v>11460.566</v>
      </c>
      <c r="G170" s="40">
        <f>IFERROR(__xludf.DUMMYFUNCTION("IMPORTRANGE(""https://docs.google.com/spreadsheets/d/130gLEONC13J8KkQ6dk06x3bLRy_jCrAw2hXatQf2W50/edit"",""7!e68"")"),3786.0)</f>
        <v>3786</v>
      </c>
      <c r="H170" s="40">
        <f>IFERROR(__xludf.DUMMYFUNCTION("IMPORTRANGE(""https://docs.google.com/spreadsheets/d/130gLEONC13J8KkQ6dk06x3bLRy_jCrAw2hXatQf2W50/edit"",""7!e69"")"),0.0)</f>
        <v>0</v>
      </c>
      <c r="I170" s="40">
        <f t="shared" si="465"/>
        <v>3786</v>
      </c>
      <c r="J170" s="40">
        <f>IFERROR(__xludf.DUMMYFUNCTION("IMPORTRANGE(""https://docs.google.com/spreadsheets/d/130gLEONC13J8KkQ6dk06x3bLRy_jCrAw2hXatQf2W50/edit"",""7!e72"")"),5511.0)</f>
        <v>5511</v>
      </c>
      <c r="K170" s="40">
        <f>IFERROR(__xludf.DUMMYFUNCTION("IMPORTRANGE(""https://docs.google.com/spreadsheets/d/130gLEONC13J8KkQ6dk06x3bLRy_jCrAw2hXatQf2W50/edit"",""7!e73"")"),0.0)</f>
        <v>0</v>
      </c>
      <c r="L170" s="40">
        <f t="shared" si="466"/>
        <v>5511</v>
      </c>
      <c r="M170" s="40">
        <f t="shared" si="467"/>
        <v>9297</v>
      </c>
      <c r="N170" s="41">
        <f t="shared" si="468"/>
        <v>197.5959655</v>
      </c>
      <c r="O170" s="38">
        <v>11164.0</v>
      </c>
      <c r="P170" s="42">
        <f t="shared" si="469"/>
        <v>0.8327660337</v>
      </c>
      <c r="Q170" s="43">
        <v>1.5</v>
      </c>
      <c r="R170" s="42">
        <f t="shared" si="470"/>
        <v>0.5408109861</v>
      </c>
      <c r="S170" s="44">
        <f t="shared" si="471"/>
        <v>0.8112164792</v>
      </c>
      <c r="T170" s="43">
        <f>F170/29.603</f>
        <v>387.1420464</v>
      </c>
      <c r="U170" s="43">
        <f t="shared" si="472"/>
        <v>6.674862869</v>
      </c>
      <c r="V170" s="40">
        <f t="shared" si="473"/>
        <v>160.2931034</v>
      </c>
      <c r="X170" s="22">
        <v>6.0</v>
      </c>
      <c r="Y170" s="22" t="s">
        <v>31</v>
      </c>
      <c r="Z170" s="22">
        <f t="shared" ref="Z170:AI170" si="476">SUM(D185)</f>
        <v>15</v>
      </c>
      <c r="AA170" s="23">
        <f t="shared" si="476"/>
        <v>13</v>
      </c>
      <c r="AB170" s="25">
        <f t="shared" si="476"/>
        <v>2694.83</v>
      </c>
      <c r="AC170" s="23">
        <f t="shared" si="476"/>
        <v>831</v>
      </c>
      <c r="AD170" s="23">
        <f t="shared" si="476"/>
        <v>0</v>
      </c>
      <c r="AE170" s="23">
        <f t="shared" si="476"/>
        <v>831</v>
      </c>
      <c r="AF170" s="23">
        <f t="shared" si="476"/>
        <v>1127</v>
      </c>
      <c r="AG170" s="23">
        <f t="shared" si="476"/>
        <v>11</v>
      </c>
      <c r="AH170" s="23">
        <f t="shared" si="476"/>
        <v>1138</v>
      </c>
      <c r="AI170" s="23">
        <f t="shared" si="476"/>
        <v>1969</v>
      </c>
      <c r="AJ170" s="25">
        <f t="shared" si="477"/>
        <v>207.2946154</v>
      </c>
      <c r="AK170" s="22">
        <f t="shared" si="478"/>
        <v>2717</v>
      </c>
      <c r="AL170" s="26">
        <f t="shared" si="455"/>
        <v>0.7246963563</v>
      </c>
      <c r="AM170" s="27">
        <f t="shared" si="479"/>
        <v>1.5</v>
      </c>
      <c r="AN170" s="26">
        <f t="shared" si="457"/>
        <v>0.4871055564</v>
      </c>
      <c r="AO170" s="28">
        <f t="shared" si="458"/>
        <v>0.7306583347</v>
      </c>
      <c r="AP170" s="27">
        <f t="shared" ref="AP170:AQ170" si="480">SUM(T185)</f>
        <v>62</v>
      </c>
      <c r="AQ170" s="27">
        <f t="shared" si="480"/>
        <v>4.769230769</v>
      </c>
      <c r="AR170" s="23">
        <f t="shared" si="460"/>
        <v>151.4615385</v>
      </c>
    </row>
    <row r="171" ht="15.75" customHeight="1">
      <c r="A171" s="21"/>
      <c r="B171" s="38">
        <v>4.0</v>
      </c>
      <c r="C171" s="38" t="s">
        <v>32</v>
      </c>
      <c r="D171" s="39">
        <v>42.0</v>
      </c>
      <c r="E171" s="40">
        <f>IFERROR(__xludf.DUMMYFUNCTION("COUNT(IMPORTRANGE(""https://docs.google.com/spreadsheets/d/1gYHli7FuKQLm2Q-5LMR0UtkD-gRRA_p8s-phLPLDLgc/edit"",""7!d2:d43""))"),42.0)</f>
        <v>42</v>
      </c>
      <c r="F171" s="45">
        <f>IFERROR(__xludf.DUMMYFUNCTION("SUM(IMPORTRANGE(""https://docs.google.com/spreadsheets/d/1gYHli7FuKQLm2Q-5LMR0UtkD-gRRA_p8s-phLPLDLgc/edit"",""7!Q2:Q43""))"),8279.36999999999)</f>
        <v>8279.37</v>
      </c>
      <c r="G171" s="38">
        <f>IFERROR(__xludf.DUMMYFUNCTION("IMPORTRANGE(""https://docs.google.com/spreadsheets/d/1gYHli7FuKQLm2Q-5LMR0UtkD-gRRA_p8s-phLPLDLgc/edit"",""7!e50"")"),4944.0)</f>
        <v>4944</v>
      </c>
      <c r="H171" s="38">
        <f>IFERROR(__xludf.DUMMYFUNCTION("IMPORTRANGE(""https://docs.google.com/spreadsheets/d/1gYHli7FuKQLm2Q-5LMR0UtkD-gRRA_p8s-phLPLDLgc/edit"",""7!e51"")"),111.0)</f>
        <v>111</v>
      </c>
      <c r="I171" s="40">
        <f t="shared" si="465"/>
        <v>5055</v>
      </c>
      <c r="J171" s="38">
        <f>IFERROR(__xludf.DUMMYFUNCTION("IMPORTRANGE(""https://docs.google.com/spreadsheets/d/1gYHli7FuKQLm2Q-5LMR0UtkD-gRRA_p8s-phLPLDLgc/edit"",""7!e54"")"),5191.0)</f>
        <v>5191</v>
      </c>
      <c r="K171" s="38">
        <f>IFERROR(__xludf.DUMMYFUNCTION("IMPORTRANGE(""https://docs.google.com/spreadsheets/d/1gYHli7FuKQLm2Q-5LMR0UtkD-gRRA_p8s-phLPLDLgc/edit"",""7!e55"")"),0.0)</f>
        <v>0</v>
      </c>
      <c r="L171" s="40">
        <f t="shared" si="466"/>
        <v>5191</v>
      </c>
      <c r="M171" s="40">
        <f t="shared" si="467"/>
        <v>10246</v>
      </c>
      <c r="N171" s="41">
        <f t="shared" si="468"/>
        <v>197.1278571</v>
      </c>
      <c r="O171" s="38">
        <v>13817.0</v>
      </c>
      <c r="P171" s="42">
        <f t="shared" si="469"/>
        <v>0.7415502642</v>
      </c>
      <c r="Q171" s="43">
        <v>1.5</v>
      </c>
      <c r="R171" s="42">
        <f t="shared" si="470"/>
        <v>0.8250225158</v>
      </c>
      <c r="S171" s="44">
        <f t="shared" si="471"/>
        <v>1.237533774</v>
      </c>
      <c r="T171" s="43">
        <f>F171/25.089</f>
        <v>330</v>
      </c>
      <c r="U171" s="43">
        <f t="shared" si="472"/>
        <v>7.857142857</v>
      </c>
      <c r="V171" s="40">
        <f t="shared" si="473"/>
        <v>243.952381</v>
      </c>
      <c r="X171" s="46" t="s">
        <v>33</v>
      </c>
      <c r="Y171" s="46">
        <v>6.0</v>
      </c>
      <c r="Z171" s="46">
        <f t="shared" ref="Z171:AI171" si="481">SUM(Z165:Z170)</f>
        <v>186</v>
      </c>
      <c r="AA171" s="47">
        <f t="shared" si="481"/>
        <v>180</v>
      </c>
      <c r="AB171" s="48">
        <f t="shared" si="481"/>
        <v>34695.117</v>
      </c>
      <c r="AC171" s="47">
        <f t="shared" si="481"/>
        <v>11654</v>
      </c>
      <c r="AD171" s="47">
        <f t="shared" si="481"/>
        <v>323</v>
      </c>
      <c r="AE171" s="47">
        <f t="shared" si="481"/>
        <v>11977</v>
      </c>
      <c r="AF171" s="47">
        <f t="shared" si="481"/>
        <v>15933</v>
      </c>
      <c r="AG171" s="47">
        <f t="shared" si="481"/>
        <v>361</v>
      </c>
      <c r="AH171" s="47">
        <f t="shared" si="481"/>
        <v>16294</v>
      </c>
      <c r="AI171" s="47">
        <f t="shared" si="481"/>
        <v>28271</v>
      </c>
      <c r="AJ171" s="49">
        <f t="shared" si="477"/>
        <v>192.75065</v>
      </c>
      <c r="AK171" s="46">
        <f>SUM(AK165:AK170)</f>
        <v>35074</v>
      </c>
      <c r="AL171" s="50">
        <f t="shared" si="455"/>
        <v>0.8060386611</v>
      </c>
      <c r="AM171" s="51">
        <v>1.5</v>
      </c>
      <c r="AN171" s="50">
        <f t="shared" si="457"/>
        <v>0.5432272597</v>
      </c>
      <c r="AO171" s="52">
        <f t="shared" si="458"/>
        <v>0.8148408896</v>
      </c>
      <c r="AP171" s="51">
        <f>SUM(AP165:AP170)</f>
        <v>1304.212022</v>
      </c>
      <c r="AQ171" s="51">
        <f>AP171/AA171</f>
        <v>7.245622342</v>
      </c>
      <c r="AR171" s="47">
        <f t="shared" si="460"/>
        <v>157.0611111</v>
      </c>
    </row>
    <row r="172" ht="15.75" customHeight="1">
      <c r="A172" s="21"/>
      <c r="B172" s="38">
        <v>5.0</v>
      </c>
      <c r="C172" s="38" t="s">
        <v>34</v>
      </c>
      <c r="D172" s="39">
        <v>40.0</v>
      </c>
      <c r="E172" s="40">
        <f>IFERROR(__xludf.DUMMYFUNCTION("COUNT(IMPORTRANGE(""https://docs.google.com/spreadsheets/d/1ptS0qWBCKWkc9h2aXWT_YgMhN7yIv5WgAHRbF8l9Zpo/edit"",""7!d2:d41""))"),40.0)</f>
        <v>40</v>
      </c>
      <c r="F172" s="45">
        <f>IFERROR(__xludf.DUMMYFUNCTION("SUM(IMPORTRANGE(""https://docs.google.com/spreadsheets/d/1ptS0qWBCKWkc9h2aXWT_YgMhN7yIv5WgAHRbF8l9Zpo/edit"",""7!Q2:Q41""))"),7738.7310000000025)</f>
        <v>7738.731</v>
      </c>
      <c r="G172" s="40">
        <f>IFERROR(__xludf.DUMMYFUNCTION("IMPORTRANGE(""https://docs.google.com/spreadsheets/d/1ptS0qWBCKWkc9h2aXWT_YgMhN7yIv5WgAHRbF8l9Zpo/edit"",""7!e48"")"),3192.0)</f>
        <v>3192</v>
      </c>
      <c r="H172" s="40">
        <f>IFERROR(__xludf.DUMMYFUNCTION("IMPORTRANGE(""https://docs.google.com/spreadsheets/d/1ptS0qWBCKWkc9h2aXWT_YgMhN7yIv5WgAHRbF8l9Zpo/edit"",""7!e49"")"),0.0)</f>
        <v>0</v>
      </c>
      <c r="I172" s="40">
        <f t="shared" si="465"/>
        <v>3192</v>
      </c>
      <c r="J172" s="40">
        <f>IFERROR(__xludf.DUMMYFUNCTION("IMPORTRANGE(""https://docs.google.com/spreadsheets/d/1ptS0qWBCKWkc9h2aXWT_YgMhN7yIv5WgAHRbF8l9Zpo/edit"",""7!e52"")"),3405.0)</f>
        <v>3405</v>
      </c>
      <c r="K172" s="40">
        <f>IFERROR(__xludf.DUMMYFUNCTION("IMPORTRANGE(""https://docs.google.com/spreadsheets/d/1ptS0qWBCKWkc9h2aXWT_YgMhN7yIv5WgAHRbF8l9Zpo/edit"",""7!e53"")"),0.0)</f>
        <v>0</v>
      </c>
      <c r="L172" s="40">
        <f t="shared" si="466"/>
        <v>3405</v>
      </c>
      <c r="M172" s="40">
        <f t="shared" si="467"/>
        <v>6597</v>
      </c>
      <c r="N172" s="41">
        <f t="shared" si="468"/>
        <v>193.468275</v>
      </c>
      <c r="O172" s="38">
        <v>9354.0</v>
      </c>
      <c r="P172" s="42">
        <f t="shared" si="469"/>
        <v>0.7052597819</v>
      </c>
      <c r="Q172" s="43">
        <v>1.5</v>
      </c>
      <c r="R172" s="42">
        <f t="shared" si="470"/>
        <v>0.5683102307</v>
      </c>
      <c r="S172" s="44">
        <f t="shared" si="471"/>
        <v>0.8524653461</v>
      </c>
      <c r="T172" s="43">
        <f>F172/30.713</f>
        <v>251.9692313</v>
      </c>
      <c r="U172" s="43">
        <f t="shared" si="472"/>
        <v>6.299230782</v>
      </c>
      <c r="V172" s="40">
        <f t="shared" si="473"/>
        <v>164.925</v>
      </c>
      <c r="X172" s="53" t="s">
        <v>35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6"/>
    </row>
    <row r="173" ht="15.75" customHeight="1">
      <c r="A173" s="21"/>
      <c r="B173" s="38">
        <v>6.0</v>
      </c>
      <c r="C173" s="38" t="s">
        <v>23</v>
      </c>
      <c r="D173" s="39">
        <v>35.0</v>
      </c>
      <c r="E173" s="40">
        <f>IFERROR(__xludf.DUMMYFUNCTION("COUNT(IMPORTRANGE(""https://docs.google.com/spreadsheets/d/1829CoYW82aTBBUgqkPnJa94KlBWI-DowAnP4ENQCmaQ/edit"",""7!d2:d36""))"),34.0)</f>
        <v>34</v>
      </c>
      <c r="F173" s="45">
        <f>IFERROR(__xludf.DUMMYFUNCTION("SUM(IMPORTRANGE(""https://docs.google.com/spreadsheets/d/1829CoYW82aTBBUgqkPnJa94KlBWI-DowAnP4ENQCmaQ/edit"",""7!Q2:Q36""))"),6545.559999999995)</f>
        <v>6545.56</v>
      </c>
      <c r="G173" s="40">
        <f>IFERROR(__xludf.DUMMYFUNCTION("IMPORTRANGE(""https://docs.google.com/spreadsheets/d/1829CoYW82aTBBUgqkPnJa94KlBWI-DowAnP4ENQCmaQ/edit"",""7!e43"")"),2016.0)</f>
        <v>2016</v>
      </c>
      <c r="H173" s="40">
        <f>IFERROR(__xludf.DUMMYFUNCTION("IMPORTRANGE(""https://docs.google.com/spreadsheets/d/1829CoYW82aTBBUgqkPnJa94KlBWI-DowAnP4ENQCmaQ/edit"",""7!e44"")"),0.0)</f>
        <v>0</v>
      </c>
      <c r="I173" s="40">
        <f t="shared" si="465"/>
        <v>2016</v>
      </c>
      <c r="J173" s="40">
        <f>IFERROR(__xludf.DUMMYFUNCTION("IMPORTRANGE(""https://docs.google.com/spreadsheets/d/1829CoYW82aTBBUgqkPnJa94KlBWI-DowAnP4ENQCmaQ/edit"",""7!e47"")"),2970.0)</f>
        <v>2970</v>
      </c>
      <c r="K173" s="40">
        <f>IFERROR(__xludf.DUMMYFUNCTION("IMPORTRANGE(""https://docs.google.com/spreadsheets/d/1829CoYW82aTBBUgqkPnJa94KlBWI-DowAnP4ENQCmaQ/edit"",""7!e48"")"),0.0)</f>
        <v>0</v>
      </c>
      <c r="L173" s="40">
        <f t="shared" si="466"/>
        <v>2970</v>
      </c>
      <c r="M173" s="40">
        <f t="shared" si="467"/>
        <v>4986</v>
      </c>
      <c r="N173" s="41">
        <f t="shared" si="468"/>
        <v>192.5164706</v>
      </c>
      <c r="O173" s="38">
        <v>6853.0</v>
      </c>
      <c r="P173" s="42">
        <f t="shared" si="469"/>
        <v>0.7275645703</v>
      </c>
      <c r="Q173" s="43">
        <v>1.5</v>
      </c>
      <c r="R173" s="42">
        <f t="shared" si="470"/>
        <v>0.5078251517</v>
      </c>
      <c r="S173" s="44">
        <f t="shared" si="471"/>
        <v>0.7617377276</v>
      </c>
      <c r="T173" s="43">
        <f>F173/33.74</f>
        <v>194</v>
      </c>
      <c r="U173" s="43">
        <f t="shared" si="472"/>
        <v>5.705882353</v>
      </c>
      <c r="V173" s="40">
        <f t="shared" si="473"/>
        <v>146.6470588</v>
      </c>
      <c r="X173" s="14" t="s">
        <v>2</v>
      </c>
      <c r="Y173" s="14" t="s">
        <v>3</v>
      </c>
      <c r="Z173" s="14" t="s">
        <v>4</v>
      </c>
      <c r="AA173" s="14" t="s">
        <v>5</v>
      </c>
      <c r="AB173" s="15" t="s">
        <v>6</v>
      </c>
      <c r="AC173" s="14" t="s">
        <v>7</v>
      </c>
      <c r="AD173" s="14" t="s">
        <v>8</v>
      </c>
      <c r="AE173" s="14" t="s">
        <v>9</v>
      </c>
      <c r="AF173" s="14" t="s">
        <v>10</v>
      </c>
      <c r="AG173" s="14" t="s">
        <v>11</v>
      </c>
      <c r="AH173" s="14" t="s">
        <v>12</v>
      </c>
      <c r="AI173" s="14" t="s">
        <v>13</v>
      </c>
      <c r="AJ173" s="15" t="s">
        <v>14</v>
      </c>
      <c r="AK173" s="14" t="s">
        <v>15</v>
      </c>
      <c r="AL173" s="14" t="s">
        <v>16</v>
      </c>
      <c r="AM173" s="16" t="s">
        <v>17</v>
      </c>
      <c r="AN173" s="17" t="s">
        <v>18</v>
      </c>
      <c r="AO173" s="18" t="s">
        <v>19</v>
      </c>
      <c r="AP173" s="19" t="s">
        <v>20</v>
      </c>
      <c r="AQ173" s="19" t="s">
        <v>21</v>
      </c>
      <c r="AR173" s="20" t="s">
        <v>22</v>
      </c>
    </row>
    <row r="174" ht="15.75" customHeight="1">
      <c r="A174" s="21"/>
      <c r="B174" s="38">
        <v>7.0</v>
      </c>
      <c r="C174" s="38" t="s">
        <v>24</v>
      </c>
      <c r="D174" s="39">
        <v>44.0</v>
      </c>
      <c r="E174" s="54">
        <f>IFERROR(__xludf.DUMMYFUNCTION("COUNT(IMPORTRANGE(""https://docs.google.com/spreadsheets/d/1E2x4oDZxEIsuC5nl-5Z0--MoN8b1dt9SbpRcCfNP84Q/edit"",""7!d2:d45""))"),43.0)</f>
        <v>43</v>
      </c>
      <c r="F174" s="55">
        <f>IFERROR(__xludf.DUMMYFUNCTION("SUM(IMPORTRANGE(""https://docs.google.com/spreadsheets/d/1E2x4oDZxEIsuC5nl-5Z0--MoN8b1dt9SbpRcCfNP84Q/edit"",""7!Q2:Q45""))"),8531.205999999995)</f>
        <v>8531.206</v>
      </c>
      <c r="G174" s="54">
        <f>IFERROR(__xludf.DUMMYFUNCTION("IMPORTRANGE(""https://docs.google.com/spreadsheets/d/1E2x4oDZxEIsuC5nl-5Z0--MoN8b1dt9SbpRcCfNP84Q/edit"",""7!e53"")"),1020.0)</f>
        <v>1020</v>
      </c>
      <c r="H174" s="54">
        <f>IFERROR(__xludf.DUMMYFUNCTION("IMPORTRANGE(""https://docs.google.com/spreadsheets/d/1E2x4oDZxEIsuC5nl-5Z0--MoN8b1dt9SbpRcCfNP84Q/edit"",""7!e54"")"),0.0)</f>
        <v>0</v>
      </c>
      <c r="I174" s="54">
        <f t="shared" si="465"/>
        <v>1020</v>
      </c>
      <c r="J174" s="54">
        <f>IFERROR(__xludf.DUMMYFUNCTION("IMPORTRANGE(""https://docs.google.com/spreadsheets/d/1E2x4oDZxEIsuC5nl-5Z0--MoN8b1dt9SbpRcCfNP84Q/edit"",""7!e57"")"),1405.0)</f>
        <v>1405</v>
      </c>
      <c r="K174" s="54">
        <f>IFERROR(__xludf.DUMMYFUNCTION("IMPORTRANGE(""https://docs.google.com/spreadsheets/d/1E2x4oDZxEIsuC5nl-5Z0--MoN8b1dt9SbpRcCfNP84Q/edit"",""7!e58"")"),0.0)</f>
        <v>0</v>
      </c>
      <c r="L174" s="40">
        <f t="shared" si="466"/>
        <v>1405</v>
      </c>
      <c r="M174" s="40">
        <f t="shared" si="467"/>
        <v>2425</v>
      </c>
      <c r="N174" s="41">
        <f t="shared" si="468"/>
        <v>198.4001395</v>
      </c>
      <c r="O174" s="38">
        <v>1580.0</v>
      </c>
      <c r="P174" s="56">
        <f t="shared" si="469"/>
        <v>1.534810127</v>
      </c>
      <c r="Q174" s="43">
        <v>1.5</v>
      </c>
      <c r="R174" s="42">
        <f t="shared" si="470"/>
        <v>0.1895003668</v>
      </c>
      <c r="S174" s="44">
        <f t="shared" si="471"/>
        <v>0.2842505503</v>
      </c>
      <c r="T174" s="43">
        <f>F174/26.805</f>
        <v>318.2692035</v>
      </c>
      <c r="U174" s="43">
        <f t="shared" si="472"/>
        <v>7.401609384</v>
      </c>
      <c r="V174" s="40">
        <f t="shared" si="473"/>
        <v>56.39534884</v>
      </c>
      <c r="X174" s="22">
        <v>1.0</v>
      </c>
      <c r="Y174" s="22" t="s">
        <v>28</v>
      </c>
      <c r="Z174" s="22">
        <f t="shared" ref="Z174:AI174" si="482">SUM(D169)</f>
        <v>33</v>
      </c>
      <c r="AA174" s="23">
        <f t="shared" si="482"/>
        <v>32</v>
      </c>
      <c r="AB174" s="25">
        <f t="shared" si="482"/>
        <v>6188.966</v>
      </c>
      <c r="AC174" s="23">
        <f t="shared" si="482"/>
        <v>2740</v>
      </c>
      <c r="AD174" s="23">
        <f t="shared" si="482"/>
        <v>107</v>
      </c>
      <c r="AE174" s="23">
        <f t="shared" si="482"/>
        <v>2847</v>
      </c>
      <c r="AF174" s="23">
        <f t="shared" si="482"/>
        <v>2927</v>
      </c>
      <c r="AG174" s="23">
        <f t="shared" si="482"/>
        <v>231</v>
      </c>
      <c r="AH174" s="23">
        <f t="shared" si="482"/>
        <v>3158</v>
      </c>
      <c r="AI174" s="23">
        <f t="shared" si="482"/>
        <v>6005</v>
      </c>
      <c r="AJ174" s="25">
        <f t="shared" ref="AJ174:AJ180" si="485">AB174/AA174</f>
        <v>193.4051875</v>
      </c>
      <c r="AK174" s="22">
        <f t="shared" ref="AK174:AK175" si="486">SUM(O169)</f>
        <v>7315</v>
      </c>
      <c r="AL174" s="26">
        <f t="shared" ref="AL174:AL180" si="487">AI174/AK174</f>
        <v>0.8209159262</v>
      </c>
      <c r="AM174" s="27">
        <f t="shared" ref="AM174:AM175" si="488">SUM(Q169)</f>
        <v>1.5</v>
      </c>
      <c r="AN174" s="26">
        <f t="shared" ref="AN174:AN180" si="489">AO174/AM174</f>
        <v>0.6468501093</v>
      </c>
      <c r="AO174" s="28">
        <f t="shared" ref="AO174:AO180" si="490">AI174/AB174</f>
        <v>0.9702751639</v>
      </c>
      <c r="AP174" s="27">
        <f t="shared" ref="AP174:AQ174" si="483">SUM(T169)</f>
        <v>200.3096093</v>
      </c>
      <c r="AQ174" s="27">
        <f t="shared" si="483"/>
        <v>6.259675292</v>
      </c>
      <c r="AR174" s="23">
        <f t="shared" ref="AR174:AR180" si="492">AI174/AA174</f>
        <v>187.65625</v>
      </c>
    </row>
    <row r="175" ht="15.75" customHeight="1">
      <c r="A175" s="21"/>
      <c r="B175" s="38">
        <v>8.0</v>
      </c>
      <c r="C175" s="38" t="s">
        <v>25</v>
      </c>
      <c r="D175" s="57">
        <v>32.0</v>
      </c>
      <c r="E175" s="40">
        <f>IFERROR(__xludf.DUMMYFUNCTION("COUNT(IMPORTRANGE(""https://docs.google.com/spreadsheets/d/1KbRFOEYB0B44J_NSh1MwYQ1sLDlZXUHI-wuMLcZDn5k/edit"",""7!d2:D33""))"),32.0)</f>
        <v>32</v>
      </c>
      <c r="F175" s="45">
        <f>IFERROR(__xludf.DUMMYFUNCTION("SUM(IMPORTRANGE(""https://docs.google.com/spreadsheets/d/1KbRFOEYB0B44J_NSh1MwYQ1sLDlZXUHI-wuMLcZDn5k/edit"",""7!Q2:Q33""))"),6058.8960000000025)</f>
        <v>6058.896</v>
      </c>
      <c r="G175" s="40">
        <f>IFERROR(__xludf.DUMMYFUNCTION("IMPORTRANGE(""https://docs.google.com/spreadsheets/d/1KbRFOEYB0B44J_NSh1MwYQ1sLDlZXUHI-wuMLcZDn5k/edit"",""7!e40"")"),2290.0)</f>
        <v>2290</v>
      </c>
      <c r="H175" s="40">
        <f>IFERROR(__xludf.DUMMYFUNCTION("IMPORTRANGE(""https://docs.google.com/spreadsheets/d/1KbRFOEYB0B44J_NSh1MwYQ1sLDlZXUHI-wuMLcZDn5k/edit"",""7!e41"")"),302.0)</f>
        <v>302</v>
      </c>
      <c r="I175" s="40">
        <f t="shared" si="465"/>
        <v>2592</v>
      </c>
      <c r="J175" s="40">
        <f>IFERROR(__xludf.DUMMYFUNCTION("IMPORTRANGE(""https://docs.google.com/spreadsheets/d/1KbRFOEYB0B44J_NSh1MwYQ1sLDlZXUHI-wuMLcZDn5k/edit"",""7!e44"")"),3268.0)</f>
        <v>3268</v>
      </c>
      <c r="K175" s="40">
        <f>IFERROR(__xludf.DUMMYFUNCTION("IMPORTRANGE(""https://docs.google.com/spreadsheets/d/1KbRFOEYB0B44J_NSh1MwYQ1sLDlZXUHI-wuMLcZDn5k/edit"",""7!e45"")"),350.0)</f>
        <v>350</v>
      </c>
      <c r="L175" s="40">
        <f>J175+K175</f>
        <v>3618</v>
      </c>
      <c r="M175" s="40">
        <f t="shared" si="467"/>
        <v>6210</v>
      </c>
      <c r="N175" s="41">
        <f t="shared" si="468"/>
        <v>189.3405</v>
      </c>
      <c r="O175" s="38">
        <v>6622.0</v>
      </c>
      <c r="P175" s="42">
        <f t="shared" si="469"/>
        <v>0.9377831471</v>
      </c>
      <c r="Q175" s="43">
        <v>1.5</v>
      </c>
      <c r="R175" s="42">
        <f t="shared" si="470"/>
        <v>0.6832927979</v>
      </c>
      <c r="S175" s="44">
        <f t="shared" si="471"/>
        <v>1.024939197</v>
      </c>
      <c r="T175" s="43">
        <f>F175/23.84</f>
        <v>254.1483221</v>
      </c>
      <c r="U175" s="43">
        <f t="shared" si="472"/>
        <v>7.942135067</v>
      </c>
      <c r="V175" s="40">
        <f t="shared" si="473"/>
        <v>194.0625</v>
      </c>
      <c r="X175" s="31">
        <v>2.0</v>
      </c>
      <c r="Y175" s="31" t="s">
        <v>30</v>
      </c>
      <c r="Z175" s="31">
        <f t="shared" ref="Z175:AI175" si="484">SUM(D170)</f>
        <v>60</v>
      </c>
      <c r="AA175" s="32">
        <f t="shared" si="484"/>
        <v>58</v>
      </c>
      <c r="AB175" s="33">
        <f t="shared" si="484"/>
        <v>11460.566</v>
      </c>
      <c r="AC175" s="32">
        <f t="shared" si="484"/>
        <v>3786</v>
      </c>
      <c r="AD175" s="32">
        <f t="shared" si="484"/>
        <v>0</v>
      </c>
      <c r="AE175" s="32">
        <f t="shared" si="484"/>
        <v>3786</v>
      </c>
      <c r="AF175" s="32">
        <f t="shared" si="484"/>
        <v>5511</v>
      </c>
      <c r="AG175" s="32">
        <f t="shared" si="484"/>
        <v>0</v>
      </c>
      <c r="AH175" s="32">
        <f t="shared" si="484"/>
        <v>5511</v>
      </c>
      <c r="AI175" s="32">
        <f t="shared" si="484"/>
        <v>9297</v>
      </c>
      <c r="AJ175" s="34">
        <f t="shared" si="485"/>
        <v>197.5959655</v>
      </c>
      <c r="AK175" s="31">
        <f t="shared" si="486"/>
        <v>11164</v>
      </c>
      <c r="AL175" s="35">
        <f t="shared" si="487"/>
        <v>0.8327660337</v>
      </c>
      <c r="AM175" s="36">
        <f t="shared" si="488"/>
        <v>1.5</v>
      </c>
      <c r="AN175" s="35">
        <f t="shared" si="489"/>
        <v>0.5408109861</v>
      </c>
      <c r="AO175" s="37">
        <f t="shared" si="490"/>
        <v>0.8112164792</v>
      </c>
      <c r="AP175" s="36">
        <f t="shared" ref="AP175:AQ175" si="491">SUM(T170)</f>
        <v>387.1420464</v>
      </c>
      <c r="AQ175" s="36">
        <f t="shared" si="491"/>
        <v>6.674862869</v>
      </c>
      <c r="AR175" s="32">
        <f t="shared" si="492"/>
        <v>160.2931034</v>
      </c>
    </row>
    <row r="176" ht="15.75" customHeight="1">
      <c r="A176" s="21"/>
      <c r="B176" s="38">
        <v>9.0</v>
      </c>
      <c r="C176" s="38" t="s">
        <v>36</v>
      </c>
      <c r="D176" s="58">
        <v>29.0</v>
      </c>
      <c r="E176" s="40">
        <f>IFERROR(__xludf.DUMMYFUNCTION("COUNT(IMPORTRANGE(""https://docs.google.com/spreadsheets/d/1VqqqRGfmmkT0JC4ILJva2p8P11jjV0FX-TSKAaqOigw/edit"",""7!d2:d31""))"),29.0)</f>
        <v>29</v>
      </c>
      <c r="F176" s="45">
        <f>IFERROR(__xludf.DUMMYFUNCTION("SUM(IMPORTRANGE(""https://docs.google.com/spreadsheets/d/1VqqqRGfmmkT0JC4ILJva2p8P11jjV0FX-TSKAaqOigw/edit"",""7!Q2:Q31""))"),5659.443000000002)</f>
        <v>5659.443</v>
      </c>
      <c r="G176" s="40">
        <f>IFERROR(__xludf.DUMMYFUNCTION("IMPORTRANGE(""https://docs.google.com/spreadsheets/d/1VqqqRGfmmkT0JC4ILJva2p8P11jjV0FX-TSKAaqOigw/edit"",""7!e38"")"),1597.0)</f>
        <v>1597</v>
      </c>
      <c r="H176" s="40">
        <f>IFERROR(__xludf.DUMMYFUNCTION("IMPORTRANGE(""https://docs.google.com/spreadsheets/d/1VqqqRGfmmkT0JC4ILJva2p8P11jjV0FX-TSKAaqOigw/edit"",""7!e39"")"),0.0)</f>
        <v>0</v>
      </c>
      <c r="I176" s="40">
        <f t="shared" si="465"/>
        <v>1597</v>
      </c>
      <c r="J176" s="40">
        <f>IFERROR(__xludf.DUMMYFUNCTION("IMPORTRANGE(""https://docs.google.com/spreadsheets/d/1VqqqRGfmmkT0JC4ILJva2p8P11jjV0FX-TSKAaqOigw/edit"",""7!e42"")"),2317.0)</f>
        <v>2317</v>
      </c>
      <c r="K176" s="40">
        <f>IFERROR(__xludf.DUMMYFUNCTION("IMPORTRANGE(""https://docs.google.com/spreadsheets/d/1VqqqRGfmmkT0JC4ILJva2p8P11jjV0FX-TSKAaqOigw/edit"",""7!e43"")"),0.0)</f>
        <v>0</v>
      </c>
      <c r="L176" s="40">
        <f t="shared" ref="L176:L185" si="495">SUM(J176:K176)</f>
        <v>2317</v>
      </c>
      <c r="M176" s="40">
        <f t="shared" si="467"/>
        <v>3914</v>
      </c>
      <c r="N176" s="41">
        <f t="shared" si="468"/>
        <v>195.1532069</v>
      </c>
      <c r="O176" s="38">
        <v>4796.0</v>
      </c>
      <c r="P176" s="42">
        <f t="shared" si="469"/>
        <v>0.8160967473</v>
      </c>
      <c r="Q176" s="43">
        <v>1.5</v>
      </c>
      <c r="R176" s="42">
        <f t="shared" si="470"/>
        <v>0.4610583291</v>
      </c>
      <c r="S176" s="44">
        <f t="shared" si="471"/>
        <v>0.6915874937</v>
      </c>
      <c r="T176" s="43">
        <f>F176/37.414</f>
        <v>151.2653819</v>
      </c>
      <c r="U176" s="43">
        <f t="shared" si="472"/>
        <v>5.216047653</v>
      </c>
      <c r="V176" s="40">
        <f t="shared" si="473"/>
        <v>134.9655172</v>
      </c>
      <c r="X176" s="22">
        <v>3.0</v>
      </c>
      <c r="Y176" s="22" t="s">
        <v>34</v>
      </c>
      <c r="Z176" s="22">
        <f t="shared" ref="Z176:AI176" si="493">SUM(D172)</f>
        <v>40</v>
      </c>
      <c r="AA176" s="23">
        <f t="shared" si="493"/>
        <v>40</v>
      </c>
      <c r="AB176" s="24">
        <f t="shared" si="493"/>
        <v>7738.731</v>
      </c>
      <c r="AC176" s="23">
        <f t="shared" si="493"/>
        <v>3192</v>
      </c>
      <c r="AD176" s="23">
        <f t="shared" si="493"/>
        <v>0</v>
      </c>
      <c r="AE176" s="23">
        <f t="shared" si="493"/>
        <v>3192</v>
      </c>
      <c r="AF176" s="23">
        <f t="shared" si="493"/>
        <v>3405</v>
      </c>
      <c r="AG176" s="23">
        <f t="shared" si="493"/>
        <v>0</v>
      </c>
      <c r="AH176" s="23">
        <f t="shared" si="493"/>
        <v>3405</v>
      </c>
      <c r="AI176" s="23">
        <f t="shared" si="493"/>
        <v>6597</v>
      </c>
      <c r="AJ176" s="25">
        <f t="shared" si="485"/>
        <v>193.468275</v>
      </c>
      <c r="AK176" s="22">
        <f>SUM(O172)</f>
        <v>9354</v>
      </c>
      <c r="AL176" s="26">
        <f t="shared" si="487"/>
        <v>0.7052597819</v>
      </c>
      <c r="AM176" s="27">
        <f>SUM(Q172)</f>
        <v>1.5</v>
      </c>
      <c r="AN176" s="26">
        <f t="shared" si="489"/>
        <v>0.5683102307</v>
      </c>
      <c r="AO176" s="28">
        <f t="shared" si="490"/>
        <v>0.8524653461</v>
      </c>
      <c r="AP176" s="27">
        <f t="shared" ref="AP176:AQ176" si="494">SUM(T172)</f>
        <v>251.9692313</v>
      </c>
      <c r="AQ176" s="27">
        <f t="shared" si="494"/>
        <v>6.299230782</v>
      </c>
      <c r="AR176" s="23">
        <f t="shared" si="492"/>
        <v>164.925</v>
      </c>
    </row>
    <row r="177" ht="15.75" customHeight="1">
      <c r="A177" s="21"/>
      <c r="B177" s="38">
        <v>10.0</v>
      </c>
      <c r="C177" s="38" t="s">
        <v>37</v>
      </c>
      <c r="D177" s="39">
        <v>30.0</v>
      </c>
      <c r="E177" s="40">
        <f>IFERROR(__xludf.DUMMYFUNCTION("COUNT(IMPORTRANGE(""https://docs.google.com/spreadsheets/d/1IYeRjQd_D6MRqoBKNaky3aSEUloYCJc5XDnPAbdyetk/edit"",""7!d2:d31""))"),30.0)</f>
        <v>30</v>
      </c>
      <c r="F177" s="45">
        <f>IFERROR(__xludf.DUMMYFUNCTION("SUM(IMPORTRANGE(""https://docs.google.com/spreadsheets/d/1IYeRjQd_D6MRqoBKNaky3aSEUloYCJc5XDnPAbdyetk/edit"",""7!Q2:Q31""))"),5348.106000000001)</f>
        <v>5348.106</v>
      </c>
      <c r="G177" s="40">
        <f>IFERROR(__xludf.DUMMYFUNCTION("(IMPORTRANGE(""https://docs.google.com/spreadsheets/d/1IYeRjQd_D6MRqoBKNaky3aSEUloYCJc5XDnPAbdyetk/edit"",""7!e38""))"),1935.0)</f>
        <v>1935</v>
      </c>
      <c r="H177" s="40">
        <f>IFERROR(__xludf.DUMMYFUNCTION("(IMPORTRANGE(""https://docs.google.com/spreadsheets/d/1IYeRjQd_D6MRqoBKNaky3aSEUloYCJc5XDnPAbdyetk/edit"",""7!e39""))"),0.0)</f>
        <v>0</v>
      </c>
      <c r="I177" s="40">
        <f t="shared" si="465"/>
        <v>1935</v>
      </c>
      <c r="J177" s="40">
        <f>IFERROR(__xludf.DUMMYFUNCTION("(IMPORTRANGE(""https://docs.google.com/spreadsheets/d/1IYeRjQd_D6MRqoBKNaky3aSEUloYCJc5XDnPAbdyetk/edit"",""7!e42""))"),2810.0)</f>
        <v>2810</v>
      </c>
      <c r="K177" s="40">
        <f>IFERROR(__xludf.DUMMYFUNCTION("(IMPORTRANGE(""https://docs.google.com/spreadsheets/d/1IYeRjQd_D6MRqoBKNaky3aSEUloYCJc5XDnPAbdyetk/edit"",""7!e43""))"),118.0)</f>
        <v>118</v>
      </c>
      <c r="L177" s="40">
        <f t="shared" si="495"/>
        <v>2928</v>
      </c>
      <c r="M177" s="40">
        <f t="shared" si="467"/>
        <v>4863</v>
      </c>
      <c r="N177" s="41">
        <f t="shared" si="468"/>
        <v>178.2702</v>
      </c>
      <c r="O177" s="38">
        <v>5887.0</v>
      </c>
      <c r="P177" s="42">
        <f t="shared" si="469"/>
        <v>0.8260574146</v>
      </c>
      <c r="Q177" s="43">
        <v>1.5</v>
      </c>
      <c r="R177" s="42">
        <f t="shared" si="470"/>
        <v>0.6061959131</v>
      </c>
      <c r="S177" s="44">
        <f t="shared" si="471"/>
        <v>0.9092938696</v>
      </c>
      <c r="T177" s="43">
        <f>F177/24.792</f>
        <v>215.7190223</v>
      </c>
      <c r="U177" s="43">
        <f t="shared" si="472"/>
        <v>7.190634076</v>
      </c>
      <c r="V177" s="40">
        <f t="shared" si="473"/>
        <v>162.1</v>
      </c>
      <c r="X177" s="31">
        <v>4.0</v>
      </c>
      <c r="Y177" s="31" t="s">
        <v>38</v>
      </c>
      <c r="Z177" s="31">
        <f t="shared" ref="Z177:AI177" si="496">SUM(D180)</f>
        <v>30</v>
      </c>
      <c r="AA177" s="32">
        <f t="shared" si="496"/>
        <v>29</v>
      </c>
      <c r="AB177" s="33">
        <f t="shared" si="496"/>
        <v>5665.172</v>
      </c>
      <c r="AC177" s="32">
        <f t="shared" si="496"/>
        <v>2152</v>
      </c>
      <c r="AD177" s="32">
        <f t="shared" si="496"/>
        <v>0</v>
      </c>
      <c r="AE177" s="32">
        <f t="shared" si="496"/>
        <v>2152</v>
      </c>
      <c r="AF177" s="32">
        <f t="shared" si="496"/>
        <v>3310</v>
      </c>
      <c r="AG177" s="32">
        <f t="shared" si="496"/>
        <v>174</v>
      </c>
      <c r="AH177" s="32">
        <f t="shared" si="496"/>
        <v>3484</v>
      </c>
      <c r="AI177" s="32">
        <f t="shared" si="496"/>
        <v>5636</v>
      </c>
      <c r="AJ177" s="34">
        <f t="shared" si="485"/>
        <v>195.3507586</v>
      </c>
      <c r="AK177" s="31">
        <v>7324.0</v>
      </c>
      <c r="AL177" s="35">
        <f t="shared" si="487"/>
        <v>0.7695248498</v>
      </c>
      <c r="AM177" s="36">
        <f>SUM(Q180)</f>
        <v>1.5</v>
      </c>
      <c r="AN177" s="35">
        <f t="shared" si="489"/>
        <v>0.6632337612</v>
      </c>
      <c r="AO177" s="37">
        <f t="shared" si="490"/>
        <v>0.9948506418</v>
      </c>
      <c r="AP177" s="36">
        <f t="shared" ref="AP177:AQ177" si="497">SUM(T180)</f>
        <v>137.4874894</v>
      </c>
      <c r="AQ177" s="36">
        <f t="shared" si="497"/>
        <v>4.74094791</v>
      </c>
      <c r="AR177" s="32">
        <f t="shared" si="492"/>
        <v>194.3448276</v>
      </c>
    </row>
    <row r="178" ht="15.75" customHeight="1">
      <c r="A178" s="21"/>
      <c r="B178" s="38">
        <v>12.0</v>
      </c>
      <c r="C178" s="38" t="s">
        <v>39</v>
      </c>
      <c r="D178" s="39">
        <v>28.0</v>
      </c>
      <c r="E178" s="40">
        <f>IFERROR(__xludf.DUMMYFUNCTION("COUNT(IMPORTRANGE(""https://docs.google.com/spreadsheets/d/1TAY2D35yAzyl8a_p5CuZehQvmatfj0b0Q8ICl8GtJBY/edit"",""7!d2:d29""))"),28.0)</f>
        <v>28</v>
      </c>
      <c r="F178" s="45">
        <f>IFERROR(__xludf.DUMMYFUNCTION("SUM(IMPORTRANGE(""https://docs.google.com/spreadsheets/d/1TAY2D35yAzyl8a_p5CuZehQvmatfj0b0Q8ICl8GtJBY/edit"",""7!Q2:Q29""))"),4986.692)</f>
        <v>4986.692</v>
      </c>
      <c r="G178" s="40">
        <f>IFERROR(__xludf.DUMMYFUNCTION("IMPORTRANGE(""https://docs.google.com/spreadsheets/d/1TAY2D35yAzyl8a_p5CuZehQvmatfj0b0Q8ICl8GtJBY/edit"",""7!e36"")"),1143.0)</f>
        <v>1143</v>
      </c>
      <c r="H178" s="40">
        <f>IFERROR(__xludf.DUMMYFUNCTION("(IMPORTRANGE(""https://docs.google.com/spreadsheets/d/1TAY2D35yAzyl8a_p5CuZehQvmatfj0b0Q8ICl8GtJBY/edit"",""7!e37""))"),0.0)</f>
        <v>0</v>
      </c>
      <c r="I178" s="40">
        <f t="shared" si="465"/>
        <v>1143</v>
      </c>
      <c r="J178" s="40">
        <f>IFERROR(__xludf.DUMMYFUNCTION("IMPORTRANGE(""https://docs.google.com/spreadsheets/d/1TAY2D35yAzyl8a_p5CuZehQvmatfj0b0Q8ICl8GtJBY/edit"",""7!e40"")"),1766.0)</f>
        <v>1766</v>
      </c>
      <c r="K178" s="40">
        <f>IFERROR(__xludf.DUMMYFUNCTION("IMPORTRANGE(""https://docs.google.com/spreadsheets/d/1TAY2D35yAzyl8a_p5CuZehQvmatfj0b0Q8ICl8GtJBY/edit"",""7!e41"")"),0.0)</f>
        <v>0</v>
      </c>
      <c r="L178" s="40">
        <f t="shared" si="495"/>
        <v>1766</v>
      </c>
      <c r="M178" s="40">
        <f t="shared" si="467"/>
        <v>2909</v>
      </c>
      <c r="N178" s="41">
        <f t="shared" si="468"/>
        <v>178.0961429</v>
      </c>
      <c r="O178" s="38">
        <v>3569.0</v>
      </c>
      <c r="P178" s="42">
        <f t="shared" si="469"/>
        <v>0.8150742505</v>
      </c>
      <c r="Q178" s="43">
        <v>1.5</v>
      </c>
      <c r="R178" s="42">
        <f t="shared" si="470"/>
        <v>0.3889017676</v>
      </c>
      <c r="S178" s="44">
        <f t="shared" si="471"/>
        <v>0.5833526514</v>
      </c>
      <c r="T178" s="43">
        <f>F178/21.463</f>
        <v>232.339002</v>
      </c>
      <c r="U178" s="43">
        <f t="shared" si="472"/>
        <v>8.2978215</v>
      </c>
      <c r="V178" s="40">
        <f t="shared" si="473"/>
        <v>103.8928571</v>
      </c>
      <c r="X178" s="31">
        <v>5.0</v>
      </c>
      <c r="Y178" s="31" t="s">
        <v>40</v>
      </c>
      <c r="Z178" s="31">
        <f t="shared" ref="Z178:AI178" si="498">SUM(D182)</f>
        <v>30</v>
      </c>
      <c r="AA178" s="32">
        <f t="shared" si="498"/>
        <v>28</v>
      </c>
      <c r="AB178" s="33">
        <f t="shared" si="498"/>
        <v>5419.058</v>
      </c>
      <c r="AC178" s="32">
        <f t="shared" si="498"/>
        <v>2912</v>
      </c>
      <c r="AD178" s="32">
        <f t="shared" si="498"/>
        <v>0</v>
      </c>
      <c r="AE178" s="32">
        <f t="shared" si="498"/>
        <v>2912</v>
      </c>
      <c r="AF178" s="32">
        <f t="shared" si="498"/>
        <v>4055</v>
      </c>
      <c r="AG178" s="32">
        <f t="shared" si="498"/>
        <v>27</v>
      </c>
      <c r="AH178" s="32">
        <f t="shared" si="498"/>
        <v>4082</v>
      </c>
      <c r="AI178" s="32">
        <f t="shared" si="498"/>
        <v>6994</v>
      </c>
      <c r="AJ178" s="34">
        <f t="shared" si="485"/>
        <v>193.5377857</v>
      </c>
      <c r="AK178" s="31">
        <f t="shared" ref="AK178:AK179" si="501">SUM(O182)</f>
        <v>8239</v>
      </c>
      <c r="AL178" s="35">
        <f t="shared" si="487"/>
        <v>0.8488894283</v>
      </c>
      <c r="AM178" s="36">
        <f t="shared" ref="AM178:AM179" si="502">SUM(Q182)</f>
        <v>1.5</v>
      </c>
      <c r="AN178" s="35">
        <f t="shared" si="489"/>
        <v>0.8604201444</v>
      </c>
      <c r="AO178" s="37">
        <f t="shared" si="490"/>
        <v>1.290630217</v>
      </c>
      <c r="AP178" s="36">
        <f t="shared" ref="AP178:AQ178" si="499">SUM(T182)</f>
        <v>190.5234328</v>
      </c>
      <c r="AQ178" s="36">
        <f t="shared" si="499"/>
        <v>6.804408315</v>
      </c>
      <c r="AR178" s="32">
        <f t="shared" si="492"/>
        <v>249.7857143</v>
      </c>
    </row>
    <row r="179" ht="15.75" customHeight="1">
      <c r="A179" s="21"/>
      <c r="B179" s="38">
        <v>12.0</v>
      </c>
      <c r="C179" s="38" t="s">
        <v>41</v>
      </c>
      <c r="D179" s="39">
        <v>24.0</v>
      </c>
      <c r="E179" s="40">
        <f>IFERROR(__xludf.DUMMYFUNCTION("COUNT(IMPORTRANGE(""https://docs.google.com/spreadsheets/d/1VAsUtLQHi7oV9NsI9EIHPnO1bcPJHeRgSbMoxSvPBME/edit"",""7!d2:d25""))"),24.0)</f>
        <v>24</v>
      </c>
      <c r="F179" s="45">
        <f>IFERROR(__xludf.DUMMYFUNCTION("SUM(IMPORTRANGE(""https://docs.google.com/spreadsheets/d/1VAsUtLQHi7oV9NsI9EIHPnO1bcPJHeRgSbMoxSvPBME/edit"",""7!Q2:Q25""))"),4704.268)</f>
        <v>4704.268</v>
      </c>
      <c r="G179" s="40">
        <f>IFERROR(__xludf.DUMMYFUNCTION("IMPORTRANGE(""https://docs.google.com/spreadsheets/d/1VAsUtLQHi7oV9NsI9EIHPnO1bcPJHeRgSbMoxSvPBME/edit"",""7!e32"")"),1300.0)</f>
        <v>1300</v>
      </c>
      <c r="H179" s="40">
        <f>IFERROR(__xludf.DUMMYFUNCTION("IMPORTRANGE(""https://docs.google.com/spreadsheets/d/1VAsUtLQHi7oV9NsI9EIHPnO1bcPJHeRgSbMoxSvPBME/edit"",""7!e33"")"),0.0)</f>
        <v>0</v>
      </c>
      <c r="I179" s="40">
        <f t="shared" si="465"/>
        <v>1300</v>
      </c>
      <c r="J179" s="40">
        <f>IFERROR(__xludf.DUMMYFUNCTION("IMPORTRANGE(""https://docs.google.com/spreadsheets/d/1VAsUtLQHi7oV9NsI9EIHPnO1bcPJHeRgSbMoxSvPBME/edit"",""7!e36"")"),1941.0)</f>
        <v>1941</v>
      </c>
      <c r="K179" s="40">
        <f>IFERROR(__xludf.DUMMYFUNCTION("IMPORTRANGE(""https://docs.google.com/spreadsheets/d/1VAsUtLQHi7oV9NsI9EIHPnO1bcPJHeRgSbMoxSvPBME/edit"",""7!e37"")"),0.0)</f>
        <v>0</v>
      </c>
      <c r="L179" s="40">
        <f t="shared" si="495"/>
        <v>1941</v>
      </c>
      <c r="M179" s="40">
        <f t="shared" si="467"/>
        <v>3241</v>
      </c>
      <c r="N179" s="41">
        <f t="shared" si="468"/>
        <v>196.0111667</v>
      </c>
      <c r="O179" s="38">
        <v>3801.0</v>
      </c>
      <c r="P179" s="42">
        <f t="shared" si="469"/>
        <v>0.8526703499</v>
      </c>
      <c r="Q179" s="43">
        <v>1.5</v>
      </c>
      <c r="R179" s="42">
        <f t="shared" si="470"/>
        <v>0.4592992293</v>
      </c>
      <c r="S179" s="44">
        <f t="shared" si="471"/>
        <v>0.6889488439</v>
      </c>
      <c r="T179" s="43">
        <f>F179/29.628</f>
        <v>158.7777778</v>
      </c>
      <c r="U179" s="43">
        <f t="shared" si="472"/>
        <v>6.615740741</v>
      </c>
      <c r="V179" s="40">
        <f t="shared" si="473"/>
        <v>135.0416667</v>
      </c>
      <c r="X179" s="22">
        <v>6.0</v>
      </c>
      <c r="Y179" s="22" t="s">
        <v>42</v>
      </c>
      <c r="Z179" s="22">
        <f t="shared" ref="Z179:AI179" si="500">SUM(D183)</f>
        <v>33</v>
      </c>
      <c r="AA179" s="23">
        <f t="shared" si="500"/>
        <v>31</v>
      </c>
      <c r="AB179" s="24">
        <f t="shared" si="500"/>
        <v>6227.969</v>
      </c>
      <c r="AC179" s="23">
        <f t="shared" si="500"/>
        <v>3151</v>
      </c>
      <c r="AD179" s="23">
        <f t="shared" si="500"/>
        <v>0</v>
      </c>
      <c r="AE179" s="23">
        <f t="shared" si="500"/>
        <v>3151</v>
      </c>
      <c r="AF179" s="23">
        <f t="shared" si="500"/>
        <v>4358</v>
      </c>
      <c r="AG179" s="23">
        <f t="shared" si="500"/>
        <v>0</v>
      </c>
      <c r="AH179" s="23">
        <f t="shared" si="500"/>
        <v>4358</v>
      </c>
      <c r="AI179" s="23">
        <f t="shared" si="500"/>
        <v>7509</v>
      </c>
      <c r="AJ179" s="25">
        <f t="shared" si="485"/>
        <v>200.9022258</v>
      </c>
      <c r="AK179" s="22">
        <f t="shared" si="501"/>
        <v>9877</v>
      </c>
      <c r="AL179" s="26">
        <f t="shared" si="487"/>
        <v>0.7602510884</v>
      </c>
      <c r="AM179" s="27">
        <f t="shared" si="502"/>
        <v>1.5</v>
      </c>
      <c r="AN179" s="26">
        <f t="shared" si="489"/>
        <v>0.8037933394</v>
      </c>
      <c r="AO179" s="28">
        <f t="shared" si="490"/>
        <v>1.205690009</v>
      </c>
      <c r="AP179" s="27">
        <f t="shared" ref="AP179:AQ179" si="503">SUM(T183)</f>
        <v>238.1177213</v>
      </c>
      <c r="AQ179" s="27">
        <f t="shared" si="503"/>
        <v>7.681216815</v>
      </c>
      <c r="AR179" s="23">
        <f t="shared" si="492"/>
        <v>242.2258065</v>
      </c>
    </row>
    <row r="180" ht="15.75" customHeight="1">
      <c r="A180" s="21"/>
      <c r="B180" s="38">
        <v>13.0</v>
      </c>
      <c r="C180" s="38" t="s">
        <v>43</v>
      </c>
      <c r="D180" s="39">
        <v>30.0</v>
      </c>
      <c r="E180" s="40">
        <f>IFERROR(__xludf.DUMMYFUNCTION("COUNT(IMPORTRANGE(""https://docs.google.com/spreadsheets/d/1p9Y_DGk7-TpRBFth-ljZceOIGCjQ0ylUeUq6xqnsZ-Q/edit"",""7!d2:d31""))"),29.0)</f>
        <v>29</v>
      </c>
      <c r="F180" s="45">
        <f>IFERROR(__xludf.DUMMYFUNCTION("SUM(IMPORTRANGE(""https://docs.google.com/spreadsheets/d/1p9Y_DGk7-TpRBFth-ljZceOIGCjQ0ylUeUq6xqnsZ-Q/edit"",""7!Q2:Q31""))"),5665.172)</f>
        <v>5665.172</v>
      </c>
      <c r="G180" s="40">
        <f>IFERROR(__xludf.DUMMYFUNCTION("IMPORTRANGE(""https://docs.google.com/spreadsheets/d/1p9Y_DGk7-TpRBFth-ljZceOIGCjQ0ylUeUq6xqnsZ-Q/edit"",""7!e38"")"),2152.0)</f>
        <v>2152</v>
      </c>
      <c r="H180" s="40">
        <f>IFERROR(__xludf.DUMMYFUNCTION("IMPORTRANGE(""https://docs.google.com/spreadsheets/d/1p9Y_DGk7-TpRBFth-ljZceOIGCjQ0ylUeUq6xqnsZ-Q/edit"",""7!e39"")"),0.0)</f>
        <v>0</v>
      </c>
      <c r="I180" s="40">
        <f t="shared" si="465"/>
        <v>2152</v>
      </c>
      <c r="J180" s="40">
        <f>IFERROR(__xludf.DUMMYFUNCTION("IMPORTRANGE(""https://docs.google.com/spreadsheets/d/1p9Y_DGk7-TpRBFth-ljZceOIGCjQ0ylUeUq6xqnsZ-Q/edit"",""7!e42"")"),3310.0)</f>
        <v>3310</v>
      </c>
      <c r="K180" s="40">
        <f>IFERROR(__xludf.DUMMYFUNCTION("IMPORTRANGE(""https://docs.google.com/spreadsheets/d/1p9Y_DGk7-TpRBFth-ljZceOIGCjQ0ylUeUq6xqnsZ-Q/edit"",""7!e43"")"),174.0)</f>
        <v>174</v>
      </c>
      <c r="L180" s="40">
        <f t="shared" si="495"/>
        <v>3484</v>
      </c>
      <c r="M180" s="40">
        <f t="shared" si="467"/>
        <v>5636</v>
      </c>
      <c r="N180" s="41">
        <f t="shared" si="468"/>
        <v>195.3507586</v>
      </c>
      <c r="O180" s="38">
        <v>8345.0</v>
      </c>
      <c r="P180" s="42">
        <f t="shared" si="469"/>
        <v>0.6753744757</v>
      </c>
      <c r="Q180" s="43">
        <v>1.5</v>
      </c>
      <c r="R180" s="42">
        <f t="shared" si="470"/>
        <v>0.6632337612</v>
      </c>
      <c r="S180" s="44">
        <f t="shared" si="471"/>
        <v>0.9948506418</v>
      </c>
      <c r="T180" s="43">
        <f>F180/41.205</f>
        <v>137.4874894</v>
      </c>
      <c r="U180" s="43">
        <f t="shared" si="472"/>
        <v>4.74094791</v>
      </c>
      <c r="V180" s="40">
        <f t="shared" si="473"/>
        <v>194.3448276</v>
      </c>
      <c r="X180" s="46" t="s">
        <v>33</v>
      </c>
      <c r="Y180" s="46">
        <v>6.0</v>
      </c>
      <c r="Z180" s="46">
        <f t="shared" ref="Z180:AI180" si="504">SUM(Z174:Z179)</f>
        <v>226</v>
      </c>
      <c r="AA180" s="47">
        <f t="shared" si="504"/>
        <v>218</v>
      </c>
      <c r="AB180" s="49">
        <f t="shared" si="504"/>
        <v>42700.462</v>
      </c>
      <c r="AC180" s="47">
        <f t="shared" si="504"/>
        <v>17933</v>
      </c>
      <c r="AD180" s="47">
        <f t="shared" si="504"/>
        <v>107</v>
      </c>
      <c r="AE180" s="47">
        <f t="shared" si="504"/>
        <v>18040</v>
      </c>
      <c r="AF180" s="47">
        <f t="shared" si="504"/>
        <v>23566</v>
      </c>
      <c r="AG180" s="47">
        <f t="shared" si="504"/>
        <v>432</v>
      </c>
      <c r="AH180" s="47">
        <f t="shared" si="504"/>
        <v>23998</v>
      </c>
      <c r="AI180" s="47">
        <f t="shared" si="504"/>
        <v>42038</v>
      </c>
      <c r="AJ180" s="49">
        <f t="shared" si="485"/>
        <v>195.8736789</v>
      </c>
      <c r="AK180" s="46">
        <f>SUM(AK174:AK179)</f>
        <v>53273</v>
      </c>
      <c r="AL180" s="50">
        <f t="shared" si="487"/>
        <v>0.7891051752</v>
      </c>
      <c r="AM180" s="51">
        <v>1.5</v>
      </c>
      <c r="AN180" s="50">
        <f t="shared" si="489"/>
        <v>0.6563238902</v>
      </c>
      <c r="AO180" s="52">
        <f t="shared" si="490"/>
        <v>0.9844858353</v>
      </c>
      <c r="AP180" s="51">
        <f>SUM(AP174:AP179)</f>
        <v>1405.549531</v>
      </c>
      <c r="AQ180" s="51">
        <f>AP180/AA180</f>
        <v>6.447474911</v>
      </c>
      <c r="AR180" s="47">
        <f t="shared" si="492"/>
        <v>192.8348624</v>
      </c>
    </row>
    <row r="181" ht="15.75" customHeight="1">
      <c r="A181" s="21"/>
      <c r="B181" s="38">
        <v>14.0</v>
      </c>
      <c r="C181" s="38" t="s">
        <v>27</v>
      </c>
      <c r="D181" s="39">
        <v>30.0</v>
      </c>
      <c r="E181" s="40">
        <f>IFERROR(__xludf.DUMMYFUNCTION("COUNT(IMPORTRANGE(""https://docs.google.com/spreadsheets/d/1zJUDEKztv_fercXA0LYNw155qdzS7TJGhWLhquaW5IY/edit"",""7!d2:d31""))"),29.0)</f>
        <v>29</v>
      </c>
      <c r="F181" s="45">
        <f>IFERROR(__xludf.DUMMYFUNCTION("SUM(IMPORTRANGE(""https://docs.google.com/spreadsheets/d/1zJUDEKztv_fercXA0LYNw155qdzS7TJGhWLhquaW5IY/edit"",""7!Q2:Q31""))"),5032.112999999999)</f>
        <v>5032.113</v>
      </c>
      <c r="G181" s="40">
        <f>IFERROR(__xludf.DUMMYFUNCTION("IMPORTRANGE(""https://docs.google.com/spreadsheets/d/1zJUDEKztv_fercXA0LYNw155qdzS7TJGhWLhquaW5IY/edit"",""7!e38"")"),2583.0)</f>
        <v>2583</v>
      </c>
      <c r="H181" s="40">
        <f>IFERROR(__xludf.DUMMYFUNCTION("IMPORTRANGE(""https://docs.google.com/spreadsheets/d/1zJUDEKztv_fercXA0LYNw155qdzS7TJGhWLhquaW5IY/edit"",""7!e39"")"),21.0)</f>
        <v>21</v>
      </c>
      <c r="I181" s="40">
        <f t="shared" si="465"/>
        <v>2604</v>
      </c>
      <c r="J181" s="40">
        <f>IFERROR(__xludf.DUMMYFUNCTION("IMPORTRANGE(""https://docs.google.com/spreadsheets/d/1zJUDEKztv_fercXA0LYNw155qdzS7TJGhWLhquaW5IY/edit"",""7!e42"")"),2962.0)</f>
        <v>2962</v>
      </c>
      <c r="K181" s="40">
        <f>IFERROR(__xludf.DUMMYFUNCTION("IMPORTRANGE(""https://docs.google.com/spreadsheets/d/1zJUDEKztv_fercXA0LYNw155qdzS7TJGhWLhquaW5IY/edit"",""7!e43"")"),0.0)</f>
        <v>0</v>
      </c>
      <c r="L181" s="40">
        <f t="shared" si="495"/>
        <v>2962</v>
      </c>
      <c r="M181" s="40">
        <f t="shared" si="467"/>
        <v>5566</v>
      </c>
      <c r="N181" s="41">
        <f t="shared" si="468"/>
        <v>173.5211379</v>
      </c>
      <c r="O181" s="38">
        <v>8101.0</v>
      </c>
      <c r="P181" s="42">
        <f t="shared" si="469"/>
        <v>0.6870756697</v>
      </c>
      <c r="Q181" s="43">
        <v>1.5</v>
      </c>
      <c r="R181" s="42">
        <f t="shared" si="470"/>
        <v>0.7373973253</v>
      </c>
      <c r="S181" s="44">
        <f t="shared" si="471"/>
        <v>1.106095988</v>
      </c>
      <c r="T181" s="43">
        <f>F181/19.985</f>
        <v>251.7944959</v>
      </c>
      <c r="U181" s="43">
        <f t="shared" si="472"/>
        <v>8.682568823</v>
      </c>
      <c r="V181" s="40">
        <f t="shared" si="473"/>
        <v>191.9310345</v>
      </c>
      <c r="X181" s="59" t="s">
        <v>44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6"/>
    </row>
    <row r="182" ht="15.75" customHeight="1">
      <c r="A182" s="21"/>
      <c r="B182" s="38">
        <v>15.0</v>
      </c>
      <c r="C182" s="38" t="s">
        <v>40</v>
      </c>
      <c r="D182" s="39">
        <v>30.0</v>
      </c>
      <c r="E182" s="40">
        <f>IFERROR(__xludf.DUMMYFUNCTION("COUNT(IMPORTRANGE(""https://docs.google.com/spreadsheets/d/15GJA66Ucb-8RQ5vWVpq5HYaWoZZFX82SCeHChBujbrI/edit"",""7!d2:d31""))"),28.0)</f>
        <v>28</v>
      </c>
      <c r="F182" s="45">
        <f>IFERROR(__xludf.DUMMYFUNCTION("SUM(IMPORTRANGE(""https://docs.google.com/spreadsheets/d/15GJA66Ucb-8RQ5vWVpq5HYaWoZZFX82SCeHChBujbrI/edit"",""7!Q2:Q31""))"),5419.057999999999)</f>
        <v>5419.058</v>
      </c>
      <c r="G182" s="40">
        <f>IFERROR(__xludf.DUMMYFUNCTION("IMPORTRANGE(""https://docs.google.com/spreadsheets/d/15GJA66Ucb-8RQ5vWVpq5HYaWoZZFX82SCeHChBujbrI/edit"",""7!e38"")"),2912.0)</f>
        <v>2912</v>
      </c>
      <c r="H182" s="40">
        <f>IFERROR(__xludf.DUMMYFUNCTION("IMPORTRANGE(""https://docs.google.com/spreadsheets/d/15GJA66Ucb-8RQ5vWVpq5HYaWoZZFX82SCeHChBujbrI/edit"",""7!e39"")"),0.0)</f>
        <v>0</v>
      </c>
      <c r="I182" s="40">
        <f t="shared" si="465"/>
        <v>2912</v>
      </c>
      <c r="J182" s="40">
        <f>IFERROR(__xludf.DUMMYFUNCTION("IMPORTRANGE(""https://docs.google.com/spreadsheets/d/15GJA66Ucb-8RQ5vWVpq5HYaWoZZFX82SCeHChBujbrI/edit"",""7!e42"")"),4055.0)</f>
        <v>4055</v>
      </c>
      <c r="K182" s="40">
        <f>IFERROR(__xludf.DUMMYFUNCTION("IMPORTRANGE(""https://docs.google.com/spreadsheets/d/15GJA66Ucb-8RQ5vWVpq5HYaWoZZFX82SCeHChBujbrI/edit"",""7!e43"")"),27.0)</f>
        <v>27</v>
      </c>
      <c r="L182" s="40">
        <f t="shared" si="495"/>
        <v>4082</v>
      </c>
      <c r="M182" s="40">
        <f t="shared" si="467"/>
        <v>6994</v>
      </c>
      <c r="N182" s="41">
        <f t="shared" si="468"/>
        <v>193.5377857</v>
      </c>
      <c r="O182" s="38">
        <v>8239.0</v>
      </c>
      <c r="P182" s="42">
        <f t="shared" si="469"/>
        <v>0.8488894283</v>
      </c>
      <c r="Q182" s="43">
        <v>1.5</v>
      </c>
      <c r="R182" s="42">
        <f t="shared" si="470"/>
        <v>0.8604201444</v>
      </c>
      <c r="S182" s="44">
        <f t="shared" si="471"/>
        <v>1.290630217</v>
      </c>
      <c r="T182" s="43">
        <f>F182/28.443</f>
        <v>190.5234328</v>
      </c>
      <c r="U182" s="43">
        <f t="shared" si="472"/>
        <v>6.804408315</v>
      </c>
      <c r="V182" s="40">
        <f t="shared" si="473"/>
        <v>249.7857143</v>
      </c>
      <c r="X182" s="14" t="s">
        <v>2</v>
      </c>
      <c r="Y182" s="14" t="s">
        <v>3</v>
      </c>
      <c r="Z182" s="14" t="s">
        <v>4</v>
      </c>
      <c r="AA182" s="14" t="s">
        <v>5</v>
      </c>
      <c r="AB182" s="15" t="s">
        <v>6</v>
      </c>
      <c r="AC182" s="14" t="s">
        <v>7</v>
      </c>
      <c r="AD182" s="14" t="s">
        <v>8</v>
      </c>
      <c r="AE182" s="14" t="s">
        <v>9</v>
      </c>
      <c r="AF182" s="14" t="s">
        <v>10</v>
      </c>
      <c r="AG182" s="14" t="s">
        <v>11</v>
      </c>
      <c r="AH182" s="14" t="s">
        <v>12</v>
      </c>
      <c r="AI182" s="14" t="s">
        <v>13</v>
      </c>
      <c r="AJ182" s="15" t="s">
        <v>14</v>
      </c>
      <c r="AK182" s="14" t="s">
        <v>15</v>
      </c>
      <c r="AL182" s="14" t="s">
        <v>16</v>
      </c>
      <c r="AM182" s="16" t="s">
        <v>17</v>
      </c>
      <c r="AN182" s="17" t="s">
        <v>18</v>
      </c>
      <c r="AO182" s="18" t="s">
        <v>19</v>
      </c>
      <c r="AP182" s="19" t="s">
        <v>20</v>
      </c>
      <c r="AQ182" s="19" t="s">
        <v>21</v>
      </c>
      <c r="AR182" s="20" t="s">
        <v>22</v>
      </c>
    </row>
    <row r="183" ht="15.75" customHeight="1">
      <c r="A183" s="21"/>
      <c r="B183" s="38">
        <v>16.0</v>
      </c>
      <c r="C183" s="38" t="s">
        <v>42</v>
      </c>
      <c r="D183" s="39">
        <v>33.0</v>
      </c>
      <c r="E183" s="40">
        <f>IFERROR(__xludf.DUMMYFUNCTION("COUNT(IMPORTRANGE(""https://docs.google.com/spreadsheets/d/14Tu_jFPEdrIQ6DHYu6vRvJKQsbXr-48NY1tKy4-8JKI/edit"",""7!d2:d34""))"),31.0)</f>
        <v>31</v>
      </c>
      <c r="F183" s="45">
        <f>IFERROR(__xludf.DUMMYFUNCTION("SUM(IMPORTRANGE(""https://docs.google.com/spreadsheets/d/14Tu_jFPEdrIQ6DHYu6vRvJKQsbXr-48NY1tKy4-8JKI/edit"",""7!Q2:Q34""))"),6227.968999999997)</f>
        <v>6227.969</v>
      </c>
      <c r="G183" s="40">
        <f>IFERROR(__xludf.DUMMYFUNCTION("IMPORTRANGE(""https://docs.google.com/spreadsheets/d/14Tu_jFPEdrIQ6DHYu6vRvJKQsbXr-48NY1tKy4-8JKI/edit"",""7!e41"")"),3151.0)</f>
        <v>3151</v>
      </c>
      <c r="H183" s="40">
        <f>IFERROR(__xludf.DUMMYFUNCTION("IMPORTRANGE(""https://docs.google.com/spreadsheets/d/14Tu_jFPEdrIQ6DHYu6vRvJKQsbXr-48NY1tKy4-8JKI/edit"",""7!e42"")"),0.0)</f>
        <v>0</v>
      </c>
      <c r="I183" s="40">
        <f t="shared" si="465"/>
        <v>3151</v>
      </c>
      <c r="J183" s="40">
        <f>IFERROR(__xludf.DUMMYFUNCTION("IMPORTRANGE(""https://docs.google.com/spreadsheets/d/14Tu_jFPEdrIQ6DHYu6vRvJKQsbXr-48NY1tKy4-8JKI/edit"",""7!e45"")"),4358.0)</f>
        <v>4358</v>
      </c>
      <c r="K183" s="40">
        <f>IFERROR(__xludf.DUMMYFUNCTION("IMPORTRANGE(""https://docs.google.com/spreadsheets/d/14Tu_jFPEdrIQ6DHYu6vRvJKQsbXr-48NY1tKy4-8JKI/edit"",""7!e46"")"),0.0)</f>
        <v>0</v>
      </c>
      <c r="L183" s="40">
        <f t="shared" si="495"/>
        <v>4358</v>
      </c>
      <c r="M183" s="40">
        <f t="shared" si="467"/>
        <v>7509</v>
      </c>
      <c r="N183" s="41">
        <f t="shared" si="468"/>
        <v>200.9022258</v>
      </c>
      <c r="O183" s="38">
        <v>9877.0</v>
      </c>
      <c r="P183" s="42">
        <f t="shared" si="469"/>
        <v>0.7602510884</v>
      </c>
      <c r="Q183" s="43">
        <v>1.5</v>
      </c>
      <c r="R183" s="42">
        <f t="shared" si="470"/>
        <v>0.8037933394</v>
      </c>
      <c r="S183" s="44">
        <f t="shared" si="471"/>
        <v>1.205690009</v>
      </c>
      <c r="T183" s="43">
        <f>F183/26.155</f>
        <v>238.1177213</v>
      </c>
      <c r="U183" s="43">
        <f t="shared" si="472"/>
        <v>7.681216815</v>
      </c>
      <c r="V183" s="40">
        <f t="shared" si="473"/>
        <v>242.2258065</v>
      </c>
      <c r="X183" s="31">
        <v>1.0</v>
      </c>
      <c r="Y183" s="31" t="s">
        <v>26</v>
      </c>
      <c r="Z183" s="31">
        <f t="shared" ref="Z183:AI183" si="505">SUM(D168)</f>
        <v>20</v>
      </c>
      <c r="AA183" s="32">
        <f t="shared" si="505"/>
        <v>19</v>
      </c>
      <c r="AB183" s="34">
        <f t="shared" si="505"/>
        <v>3806.172</v>
      </c>
      <c r="AC183" s="32">
        <f t="shared" si="505"/>
        <v>1860</v>
      </c>
      <c r="AD183" s="32">
        <f t="shared" si="505"/>
        <v>0</v>
      </c>
      <c r="AE183" s="32">
        <f t="shared" si="505"/>
        <v>1860</v>
      </c>
      <c r="AF183" s="32">
        <f t="shared" si="505"/>
        <v>3277</v>
      </c>
      <c r="AG183" s="32">
        <f t="shared" si="505"/>
        <v>0</v>
      </c>
      <c r="AH183" s="32">
        <f t="shared" si="505"/>
        <v>3277</v>
      </c>
      <c r="AI183" s="32">
        <f t="shared" si="505"/>
        <v>5137</v>
      </c>
      <c r="AJ183" s="34">
        <f t="shared" ref="AJ183:AJ189" si="508">AB183/AA183</f>
        <v>200.3248421</v>
      </c>
      <c r="AK183" s="31">
        <f>SUM(O168)</f>
        <v>5161</v>
      </c>
      <c r="AL183" s="35">
        <f t="shared" ref="AL183:AL189" si="509">AI183/AK183</f>
        <v>0.9953497384</v>
      </c>
      <c r="AM183" s="36">
        <f>SUM(Q168)</f>
        <v>1.5</v>
      </c>
      <c r="AN183" s="35">
        <f t="shared" ref="AN183:AN189" si="510">AO183/AM183</f>
        <v>0.8997666597</v>
      </c>
      <c r="AO183" s="37">
        <f t="shared" ref="AO183:AO189" si="511">AI183/AB183</f>
        <v>1.34964999</v>
      </c>
      <c r="AP183" s="36">
        <f t="shared" ref="AP183:AQ183" si="506">SUM(T168)</f>
        <v>264.0424558</v>
      </c>
      <c r="AQ183" s="36">
        <f t="shared" si="506"/>
        <v>13.89697136</v>
      </c>
      <c r="AR183" s="32">
        <f t="shared" ref="AR183:AR189" si="513">AI183/AA183</f>
        <v>270.3684211</v>
      </c>
    </row>
    <row r="184" ht="15.75" customHeight="1">
      <c r="A184" s="21"/>
      <c r="B184" s="38">
        <v>17.0</v>
      </c>
      <c r="C184" s="38" t="s">
        <v>29</v>
      </c>
      <c r="D184" s="39">
        <v>30.0</v>
      </c>
      <c r="E184" s="40">
        <f>IFERROR(__xludf.DUMMYFUNCTION("COUNT(IMPORTRANGE(""https://docs.google.com/spreadsheets/d/1ja_RQYsP0p5wRrACHojay4CW1wLx0QdS5tSwp-vYQ-s/edit"",""7!d2:d31""))"),29.0)</f>
        <v>29</v>
      </c>
      <c r="F184" s="45">
        <f>IFERROR(__xludf.DUMMYFUNCTION("SUM(IMPORTRANGE(""https://docs.google.com/spreadsheets/d/1ja_RQYsP0p5wRrACHojay4CW1wLx0QdS5tSwp-vYQ-s/edit"",""7!Q2:Q31""))"),5832.5120000000015)</f>
        <v>5832.512</v>
      </c>
      <c r="G184" s="40">
        <f>IFERROR(__xludf.DUMMYFUNCTION("IMPORTRANGE(""https://docs.google.com/spreadsheets/d/1ja_RQYsP0p5wRrACHojay4CW1wLx0QdS5tSwp-vYQ-s/edit"",""7!e38"")"),2914.0)</f>
        <v>2914</v>
      </c>
      <c r="H184" s="40">
        <f>IFERROR(__xludf.DUMMYFUNCTION("IMPORTRANGE(""https://docs.google.com/spreadsheets/d/1ja_RQYsP0p5wRrACHojay4CW1wLx0QdS5tSwp-vYQ-s/edit"",""7!e39"")"),0.0)</f>
        <v>0</v>
      </c>
      <c r="I184" s="40">
        <f t="shared" si="465"/>
        <v>2914</v>
      </c>
      <c r="J184" s="40">
        <f>IFERROR(__xludf.DUMMYFUNCTION("IMPORTRANGE(""https://docs.google.com/spreadsheets/d/1ja_RQYsP0p5wRrACHojay4CW1wLx0QdS5tSwp-vYQ-s/edit"",""7!e42"")"),4201.0)</f>
        <v>4201</v>
      </c>
      <c r="K184" s="40">
        <f>IFERROR(__xludf.DUMMYFUNCTION("IMPORTRANGE(""https://docs.google.com/spreadsheets/d/1ja_RQYsP0p5wRrACHojay4CW1wLx0QdS5tSwp-vYQ-s/edit"",""7!e43"")"),0.0)</f>
        <v>0</v>
      </c>
      <c r="L184" s="40">
        <f t="shared" si="495"/>
        <v>4201</v>
      </c>
      <c r="M184" s="40">
        <f t="shared" si="467"/>
        <v>7115</v>
      </c>
      <c r="N184" s="41">
        <f t="shared" si="468"/>
        <v>201.1211034</v>
      </c>
      <c r="O184" s="38">
        <v>9201.0</v>
      </c>
      <c r="P184" s="42">
        <f t="shared" si="469"/>
        <v>0.7732855124</v>
      </c>
      <c r="Q184" s="43">
        <v>1.5</v>
      </c>
      <c r="R184" s="42">
        <f t="shared" si="470"/>
        <v>0.8132573638</v>
      </c>
      <c r="S184" s="44">
        <f t="shared" si="471"/>
        <v>1.219886046</v>
      </c>
      <c r="T184" s="43">
        <f>F184/26.038</f>
        <v>224</v>
      </c>
      <c r="U184" s="43">
        <f t="shared" si="472"/>
        <v>7.724137931</v>
      </c>
      <c r="V184" s="40">
        <f t="shared" si="473"/>
        <v>245.3448276</v>
      </c>
      <c r="X184" s="31">
        <v>2.0</v>
      </c>
      <c r="Y184" s="31" t="s">
        <v>32</v>
      </c>
      <c r="Z184" s="31">
        <f t="shared" ref="Z184:AI184" si="507">SUM(D171)</f>
        <v>42</v>
      </c>
      <c r="AA184" s="32">
        <f t="shared" si="507"/>
        <v>42</v>
      </c>
      <c r="AB184" s="33">
        <f t="shared" si="507"/>
        <v>8279.37</v>
      </c>
      <c r="AC184" s="31">
        <f t="shared" si="507"/>
        <v>4944</v>
      </c>
      <c r="AD184" s="31">
        <f t="shared" si="507"/>
        <v>111</v>
      </c>
      <c r="AE184" s="32">
        <f t="shared" si="507"/>
        <v>5055</v>
      </c>
      <c r="AF184" s="31">
        <f t="shared" si="507"/>
        <v>5191</v>
      </c>
      <c r="AG184" s="31">
        <f t="shared" si="507"/>
        <v>0</v>
      </c>
      <c r="AH184" s="32">
        <f t="shared" si="507"/>
        <v>5191</v>
      </c>
      <c r="AI184" s="32">
        <f t="shared" si="507"/>
        <v>10246</v>
      </c>
      <c r="AJ184" s="34">
        <f t="shared" si="508"/>
        <v>197.1278571</v>
      </c>
      <c r="AK184" s="31">
        <f>SUM(O171)</f>
        <v>13817</v>
      </c>
      <c r="AL184" s="35">
        <f t="shared" si="509"/>
        <v>0.7415502642</v>
      </c>
      <c r="AM184" s="36">
        <f>SUM(Q171)</f>
        <v>1.5</v>
      </c>
      <c r="AN184" s="35">
        <f t="shared" si="510"/>
        <v>0.8250225158</v>
      </c>
      <c r="AO184" s="37">
        <f t="shared" si="511"/>
        <v>1.237533774</v>
      </c>
      <c r="AP184" s="36">
        <f t="shared" ref="AP184:AQ184" si="512">SUM(T171)</f>
        <v>330</v>
      </c>
      <c r="AQ184" s="36">
        <f t="shared" si="512"/>
        <v>7.857142857</v>
      </c>
      <c r="AR184" s="32">
        <f t="shared" si="513"/>
        <v>243.952381</v>
      </c>
    </row>
    <row r="185" ht="15.75" customHeight="1">
      <c r="A185" s="21"/>
      <c r="B185" s="38">
        <v>18.0</v>
      </c>
      <c r="C185" s="38" t="s">
        <v>31</v>
      </c>
      <c r="D185" s="39">
        <v>15.0</v>
      </c>
      <c r="E185" s="40">
        <f>IFERROR(__xludf.DUMMYFUNCTION("COUNT(IMPORTRANGE(""https://docs.google.com/spreadsheets/d/1ObnK1oSznTOmyW9Zcd2kxExl7TOnO2MNq_0giEKc_mE/edit"",""7!d2:d16""))"),13.0)</f>
        <v>13</v>
      </c>
      <c r="F185" s="41">
        <f>IFERROR(__xludf.DUMMYFUNCTION("SUM(IMPORTRANGE(""https://docs.google.com/spreadsheets/d/1ObnK1oSznTOmyW9Zcd2kxExl7TOnO2MNq_0giEKc_mE/edit"",""7!Q2:Q16""))"),2694.8299999999995)</f>
        <v>2694.83</v>
      </c>
      <c r="G185" s="40">
        <f>IFERROR(__xludf.DUMMYFUNCTION("IMPORTRANGE(""https://docs.google.com/spreadsheets/d/1ObnK1oSznTOmyW9Zcd2kxExl7TOnO2MNq_0giEKc_mE/edit"",""7!e23"")"),831.0)</f>
        <v>831</v>
      </c>
      <c r="H185" s="40">
        <f>IFERROR(__xludf.DUMMYFUNCTION("IMPORTRANGE(""https://docs.google.com/spreadsheets/d/1ObnK1oSznTOmyW9Zcd2kxExl7TOnO2MNq_0giEKc_mE/edit"",""7!e24"")"),0.0)</f>
        <v>0</v>
      </c>
      <c r="I185" s="40">
        <f t="shared" si="465"/>
        <v>831</v>
      </c>
      <c r="J185" s="40">
        <f>IFERROR(__xludf.DUMMYFUNCTION("IMPORTRANGE(""https://docs.google.com/spreadsheets/d/1ObnK1oSznTOmyW9Zcd2kxExl7TOnO2MNq_0giEKc_mE/edit"",""7!e27"")"),1127.0)</f>
        <v>1127</v>
      </c>
      <c r="K185" s="40">
        <f>IFERROR(__xludf.DUMMYFUNCTION("IMPORTRANGE(""https://docs.google.com/spreadsheets/d/1ObnK1oSznTOmyW9Zcd2kxExl7TOnO2MNq_0giEKc_mE/edit"",""7!e28"")"),11.0)</f>
        <v>11</v>
      </c>
      <c r="L185" s="40">
        <f t="shared" si="495"/>
        <v>1138</v>
      </c>
      <c r="M185" s="40">
        <f t="shared" si="467"/>
        <v>1969</v>
      </c>
      <c r="N185" s="41">
        <f t="shared" si="468"/>
        <v>207.2946154</v>
      </c>
      <c r="O185" s="38">
        <v>2717.0</v>
      </c>
      <c r="P185" s="42">
        <f t="shared" si="469"/>
        <v>0.7246963563</v>
      </c>
      <c r="Q185" s="43">
        <v>1.5</v>
      </c>
      <c r="R185" s="42">
        <f t="shared" si="470"/>
        <v>0.4871055564</v>
      </c>
      <c r="S185" s="44">
        <f t="shared" si="471"/>
        <v>0.7306583347</v>
      </c>
      <c r="T185" s="43">
        <f>F185/43.465</f>
        <v>62</v>
      </c>
      <c r="U185" s="43">
        <f t="shared" si="472"/>
        <v>4.769230769</v>
      </c>
      <c r="V185" s="40">
        <f t="shared" si="473"/>
        <v>151.4615385</v>
      </c>
      <c r="X185" s="31">
        <v>3.0</v>
      </c>
      <c r="Y185" s="31" t="s">
        <v>36</v>
      </c>
      <c r="Z185" s="31">
        <f t="shared" ref="Z185:AI185" si="514">SUM(D176)</f>
        <v>29</v>
      </c>
      <c r="AA185" s="32">
        <f t="shared" si="514"/>
        <v>29</v>
      </c>
      <c r="AB185" s="33">
        <f t="shared" si="514"/>
        <v>5659.443</v>
      </c>
      <c r="AC185" s="32">
        <f t="shared" si="514"/>
        <v>1597</v>
      </c>
      <c r="AD185" s="32">
        <f t="shared" si="514"/>
        <v>0</v>
      </c>
      <c r="AE185" s="32">
        <f t="shared" si="514"/>
        <v>1597</v>
      </c>
      <c r="AF185" s="32">
        <f t="shared" si="514"/>
        <v>2317</v>
      </c>
      <c r="AG185" s="32">
        <f t="shared" si="514"/>
        <v>0</v>
      </c>
      <c r="AH185" s="32">
        <f t="shared" si="514"/>
        <v>2317</v>
      </c>
      <c r="AI185" s="32">
        <f t="shared" si="514"/>
        <v>3914</v>
      </c>
      <c r="AJ185" s="34">
        <f t="shared" si="508"/>
        <v>195.1532069</v>
      </c>
      <c r="AK185" s="31">
        <f t="shared" ref="AK185:AK188" si="518">SUM(O176)</f>
        <v>4796</v>
      </c>
      <c r="AL185" s="35">
        <f t="shared" si="509"/>
        <v>0.8160967473</v>
      </c>
      <c r="AM185" s="36">
        <f t="shared" ref="AM185:AM188" si="519">SUM(Q176)</f>
        <v>1.5</v>
      </c>
      <c r="AN185" s="35">
        <f t="shared" si="510"/>
        <v>0.4610583291</v>
      </c>
      <c r="AO185" s="37">
        <f t="shared" si="511"/>
        <v>0.6915874937</v>
      </c>
      <c r="AP185" s="36">
        <f t="shared" ref="AP185:AQ185" si="515">SUM(T176)</f>
        <v>151.2653819</v>
      </c>
      <c r="AQ185" s="36">
        <f t="shared" si="515"/>
        <v>5.216047653</v>
      </c>
      <c r="AR185" s="32">
        <f t="shared" si="513"/>
        <v>134.9655172</v>
      </c>
    </row>
    <row r="186" ht="15.75" customHeight="1">
      <c r="A186" s="21"/>
      <c r="B186" s="60" t="s">
        <v>33</v>
      </c>
      <c r="C186" s="60">
        <v>18.0</v>
      </c>
      <c r="D186" s="60">
        <f t="shared" ref="D186:M186" si="516">SUM(D168:D185)</f>
        <v>585</v>
      </c>
      <c r="E186" s="61">
        <f t="shared" si="516"/>
        <v>570</v>
      </c>
      <c r="F186" s="62">
        <f t="shared" si="516"/>
        <v>110179.63</v>
      </c>
      <c r="G186" s="61">
        <f t="shared" si="516"/>
        <v>42366</v>
      </c>
      <c r="H186" s="61">
        <f t="shared" si="516"/>
        <v>541</v>
      </c>
      <c r="I186" s="61">
        <f t="shared" si="516"/>
        <v>42907</v>
      </c>
      <c r="J186" s="61">
        <f t="shared" si="516"/>
        <v>56801</v>
      </c>
      <c r="K186" s="61">
        <f t="shared" si="516"/>
        <v>911</v>
      </c>
      <c r="L186" s="61">
        <f t="shared" si="516"/>
        <v>57712</v>
      </c>
      <c r="M186" s="61">
        <f t="shared" si="516"/>
        <v>100619</v>
      </c>
      <c r="N186" s="62">
        <f t="shared" si="468"/>
        <v>193.2975965</v>
      </c>
      <c r="O186" s="60">
        <f>SUM(O168:O185)</f>
        <v>126399</v>
      </c>
      <c r="P186" s="63">
        <f t="shared" si="469"/>
        <v>0.7960426902</v>
      </c>
      <c r="Q186" s="64">
        <v>1.5</v>
      </c>
      <c r="R186" s="63">
        <f t="shared" si="470"/>
        <v>0.6088179215</v>
      </c>
      <c r="S186" s="65">
        <f t="shared" si="471"/>
        <v>0.9132268823</v>
      </c>
      <c r="T186" s="64">
        <f>SUM(T168:T185)</f>
        <v>4061.905192</v>
      </c>
      <c r="U186" s="64">
        <f t="shared" si="472"/>
        <v>7.126149459</v>
      </c>
      <c r="V186" s="61">
        <f t="shared" si="473"/>
        <v>176.5245614</v>
      </c>
      <c r="X186" s="31">
        <v>4.0</v>
      </c>
      <c r="Y186" s="31" t="s">
        <v>37</v>
      </c>
      <c r="Z186" s="31">
        <f t="shared" ref="Z186:AI186" si="517">SUM(D177)</f>
        <v>30</v>
      </c>
      <c r="AA186" s="32">
        <f t="shared" si="517"/>
        <v>30</v>
      </c>
      <c r="AB186" s="33">
        <f t="shared" si="517"/>
        <v>5348.106</v>
      </c>
      <c r="AC186" s="32">
        <f t="shared" si="517"/>
        <v>1935</v>
      </c>
      <c r="AD186" s="32">
        <f t="shared" si="517"/>
        <v>0</v>
      </c>
      <c r="AE186" s="32">
        <f t="shared" si="517"/>
        <v>1935</v>
      </c>
      <c r="AF186" s="32">
        <f t="shared" si="517"/>
        <v>2810</v>
      </c>
      <c r="AG186" s="32">
        <f t="shared" si="517"/>
        <v>118</v>
      </c>
      <c r="AH186" s="32">
        <f t="shared" si="517"/>
        <v>2928</v>
      </c>
      <c r="AI186" s="32">
        <f t="shared" si="517"/>
        <v>4863</v>
      </c>
      <c r="AJ186" s="34">
        <f t="shared" si="508"/>
        <v>178.2702</v>
      </c>
      <c r="AK186" s="31">
        <f t="shared" si="518"/>
        <v>5887</v>
      </c>
      <c r="AL186" s="35">
        <f t="shared" si="509"/>
        <v>0.8260574146</v>
      </c>
      <c r="AM186" s="36">
        <f t="shared" si="519"/>
        <v>1.5</v>
      </c>
      <c r="AN186" s="35">
        <f t="shared" si="510"/>
        <v>0.6061959131</v>
      </c>
      <c r="AO186" s="37">
        <f t="shared" si="511"/>
        <v>0.9092938696</v>
      </c>
      <c r="AP186" s="36">
        <f t="shared" ref="AP186:AQ186" si="520">SUM(T177)</f>
        <v>215.7190223</v>
      </c>
      <c r="AQ186" s="36">
        <f t="shared" si="520"/>
        <v>7.190634076</v>
      </c>
      <c r="AR186" s="32">
        <f t="shared" si="513"/>
        <v>162.1</v>
      </c>
    </row>
    <row r="187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X187" s="31">
        <v>5.0</v>
      </c>
      <c r="Y187" s="31" t="s">
        <v>39</v>
      </c>
      <c r="Z187" s="31">
        <f t="shared" ref="Z187:AI187" si="521">SUM(D178)</f>
        <v>28</v>
      </c>
      <c r="AA187" s="32">
        <f t="shared" si="521"/>
        <v>28</v>
      </c>
      <c r="AB187" s="33">
        <f t="shared" si="521"/>
        <v>4986.692</v>
      </c>
      <c r="AC187" s="32">
        <f t="shared" si="521"/>
        <v>1143</v>
      </c>
      <c r="AD187" s="32">
        <f t="shared" si="521"/>
        <v>0</v>
      </c>
      <c r="AE187" s="32">
        <f t="shared" si="521"/>
        <v>1143</v>
      </c>
      <c r="AF187" s="32">
        <f t="shared" si="521"/>
        <v>1766</v>
      </c>
      <c r="AG187" s="32">
        <f t="shared" si="521"/>
        <v>0</v>
      </c>
      <c r="AH187" s="32">
        <f t="shared" si="521"/>
        <v>1766</v>
      </c>
      <c r="AI187" s="32">
        <f t="shared" si="521"/>
        <v>2909</v>
      </c>
      <c r="AJ187" s="34">
        <f t="shared" si="508"/>
        <v>178.0961429</v>
      </c>
      <c r="AK187" s="31">
        <f t="shared" si="518"/>
        <v>3569</v>
      </c>
      <c r="AL187" s="35">
        <f t="shared" si="509"/>
        <v>0.8150742505</v>
      </c>
      <c r="AM187" s="36">
        <f t="shared" si="519"/>
        <v>1.5</v>
      </c>
      <c r="AN187" s="35">
        <f t="shared" si="510"/>
        <v>0.3889017676</v>
      </c>
      <c r="AO187" s="37">
        <f t="shared" si="511"/>
        <v>0.5833526514</v>
      </c>
      <c r="AP187" s="36">
        <f t="shared" ref="AP187:AQ187" si="522">SUM(T178)</f>
        <v>232.339002</v>
      </c>
      <c r="AQ187" s="36">
        <f t="shared" si="522"/>
        <v>8.2978215</v>
      </c>
      <c r="AR187" s="32">
        <f t="shared" si="513"/>
        <v>103.8928571</v>
      </c>
    </row>
    <row r="188" ht="15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X188" s="31">
        <v>6.0</v>
      </c>
      <c r="Y188" s="31" t="s">
        <v>41</v>
      </c>
      <c r="Z188" s="31">
        <f t="shared" ref="Z188:AI188" si="523">SUM(D179)</f>
        <v>24</v>
      </c>
      <c r="AA188" s="32">
        <f t="shared" si="523"/>
        <v>24</v>
      </c>
      <c r="AB188" s="33">
        <f t="shared" si="523"/>
        <v>4704.268</v>
      </c>
      <c r="AC188" s="32">
        <f t="shared" si="523"/>
        <v>1300</v>
      </c>
      <c r="AD188" s="32">
        <f t="shared" si="523"/>
        <v>0</v>
      </c>
      <c r="AE188" s="32">
        <f t="shared" si="523"/>
        <v>1300</v>
      </c>
      <c r="AF188" s="32">
        <f t="shared" si="523"/>
        <v>1941</v>
      </c>
      <c r="AG188" s="32">
        <f t="shared" si="523"/>
        <v>0</v>
      </c>
      <c r="AH188" s="32">
        <f t="shared" si="523"/>
        <v>1941</v>
      </c>
      <c r="AI188" s="32">
        <f t="shared" si="523"/>
        <v>3241</v>
      </c>
      <c r="AJ188" s="34">
        <f t="shared" si="508"/>
        <v>196.0111667</v>
      </c>
      <c r="AK188" s="31">
        <f t="shared" si="518"/>
        <v>3801</v>
      </c>
      <c r="AL188" s="35">
        <f t="shared" si="509"/>
        <v>0.8526703499</v>
      </c>
      <c r="AM188" s="36">
        <f t="shared" si="519"/>
        <v>1.5</v>
      </c>
      <c r="AN188" s="35">
        <f t="shared" si="510"/>
        <v>0.4592992293</v>
      </c>
      <c r="AO188" s="37">
        <f t="shared" si="511"/>
        <v>0.6889488439</v>
      </c>
      <c r="AP188" s="36">
        <f t="shared" ref="AP188:AQ188" si="524">SUM(T179)</f>
        <v>158.7777778</v>
      </c>
      <c r="AQ188" s="36">
        <f t="shared" si="524"/>
        <v>6.615740741</v>
      </c>
      <c r="AR188" s="32">
        <f t="shared" si="513"/>
        <v>135.0416667</v>
      </c>
    </row>
    <row r="189" ht="15.75" customHeight="1">
      <c r="A189" s="1" t="s">
        <v>45</v>
      </c>
      <c r="D189" s="2"/>
      <c r="X189" s="46" t="s">
        <v>33</v>
      </c>
      <c r="Y189" s="46">
        <v>6.0</v>
      </c>
      <c r="Z189" s="46">
        <f t="shared" ref="Z189:AI189" si="525">SUM(Z183:Z188)</f>
        <v>173</v>
      </c>
      <c r="AA189" s="47">
        <f t="shared" si="525"/>
        <v>172</v>
      </c>
      <c r="AB189" s="49">
        <f t="shared" si="525"/>
        <v>32784.051</v>
      </c>
      <c r="AC189" s="47">
        <f t="shared" si="525"/>
        <v>12779</v>
      </c>
      <c r="AD189" s="47">
        <f t="shared" si="525"/>
        <v>111</v>
      </c>
      <c r="AE189" s="47">
        <f t="shared" si="525"/>
        <v>12890</v>
      </c>
      <c r="AF189" s="47">
        <f t="shared" si="525"/>
        <v>17302</v>
      </c>
      <c r="AG189" s="47">
        <f t="shared" si="525"/>
        <v>118</v>
      </c>
      <c r="AH189" s="47">
        <f t="shared" si="525"/>
        <v>17420</v>
      </c>
      <c r="AI189" s="47">
        <f t="shared" si="525"/>
        <v>30310</v>
      </c>
      <c r="AJ189" s="49">
        <f t="shared" si="508"/>
        <v>190.6049477</v>
      </c>
      <c r="AK189" s="46">
        <f>SUM(AK183:AK188)</f>
        <v>37031</v>
      </c>
      <c r="AL189" s="50">
        <f t="shared" si="509"/>
        <v>0.8185034161</v>
      </c>
      <c r="AM189" s="51">
        <v>1.5</v>
      </c>
      <c r="AN189" s="50">
        <f t="shared" si="510"/>
        <v>0.616356614</v>
      </c>
      <c r="AO189" s="52">
        <f t="shared" si="511"/>
        <v>0.924534921</v>
      </c>
      <c r="AP189" s="51">
        <f>SUM(AP183:AP188)</f>
        <v>1352.14364</v>
      </c>
      <c r="AQ189" s="51">
        <f>AP189/AA189</f>
        <v>7.861300231</v>
      </c>
      <c r="AR189" s="47">
        <f t="shared" si="513"/>
        <v>176.2209302</v>
      </c>
    </row>
    <row r="190" ht="15.75" customHeight="1">
      <c r="A190" s="1" t="s">
        <v>45</v>
      </c>
      <c r="D190" s="2"/>
      <c r="X190" s="66" t="s">
        <v>1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6"/>
    </row>
    <row r="191" ht="15.75" customHeight="1">
      <c r="A191" s="10">
        <v>46242.0</v>
      </c>
      <c r="B191" s="8" t="s">
        <v>2</v>
      </c>
      <c r="C191" s="8" t="s">
        <v>3</v>
      </c>
      <c r="D191" s="8" t="s">
        <v>4</v>
      </c>
      <c r="E191" s="8" t="s">
        <v>5</v>
      </c>
      <c r="F191" s="9" t="s">
        <v>6</v>
      </c>
      <c r="G191" s="8" t="s">
        <v>7</v>
      </c>
      <c r="H191" s="8" t="s">
        <v>8</v>
      </c>
      <c r="I191" s="8" t="s">
        <v>9</v>
      </c>
      <c r="J191" s="8" t="s">
        <v>10</v>
      </c>
      <c r="K191" s="8" t="s">
        <v>11</v>
      </c>
      <c r="L191" s="8" t="s">
        <v>12</v>
      </c>
      <c r="M191" s="8" t="s">
        <v>13</v>
      </c>
      <c r="N191" s="9" t="s">
        <v>14</v>
      </c>
      <c r="O191" s="8" t="s">
        <v>15</v>
      </c>
      <c r="P191" s="8" t="s">
        <v>16</v>
      </c>
      <c r="Q191" s="8" t="s">
        <v>17</v>
      </c>
      <c r="R191" s="8" t="s">
        <v>18</v>
      </c>
      <c r="S191" s="11" t="s">
        <v>19</v>
      </c>
      <c r="T191" s="12" t="s">
        <v>20</v>
      </c>
      <c r="U191" s="12" t="s">
        <v>21</v>
      </c>
      <c r="V191" s="13" t="s">
        <v>22</v>
      </c>
      <c r="X191" s="14" t="s">
        <v>2</v>
      </c>
      <c r="Y191" s="14" t="s">
        <v>3</v>
      </c>
      <c r="Z191" s="14" t="s">
        <v>4</v>
      </c>
      <c r="AA191" s="14" t="s">
        <v>5</v>
      </c>
      <c r="AB191" s="15" t="s">
        <v>6</v>
      </c>
      <c r="AC191" s="14" t="s">
        <v>7</v>
      </c>
      <c r="AD191" s="14" t="s">
        <v>8</v>
      </c>
      <c r="AE191" s="14" t="s">
        <v>9</v>
      </c>
      <c r="AF191" s="14" t="s">
        <v>10</v>
      </c>
      <c r="AG191" s="14" t="s">
        <v>11</v>
      </c>
      <c r="AH191" s="14" t="s">
        <v>12</v>
      </c>
      <c r="AI191" s="14" t="s">
        <v>13</v>
      </c>
      <c r="AJ191" s="15" t="s">
        <v>14</v>
      </c>
      <c r="AK191" s="14" t="s">
        <v>15</v>
      </c>
      <c r="AL191" s="14" t="s">
        <v>16</v>
      </c>
      <c r="AM191" s="16" t="s">
        <v>17</v>
      </c>
      <c r="AN191" s="17" t="s">
        <v>18</v>
      </c>
      <c r="AO191" s="18" t="s">
        <v>19</v>
      </c>
      <c r="AP191" s="19" t="s">
        <v>20</v>
      </c>
      <c r="AQ191" s="19" t="s">
        <v>21</v>
      </c>
      <c r="AR191" s="20" t="s">
        <v>22</v>
      </c>
    </row>
    <row r="19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X192" s="22">
        <v>1.0</v>
      </c>
      <c r="Y192" s="22" t="s">
        <v>23</v>
      </c>
      <c r="Z192" s="22">
        <f t="shared" ref="Z192:AI192" si="526">SUM(D200)</f>
        <v>28</v>
      </c>
      <c r="AA192" s="23">
        <f t="shared" si="526"/>
        <v>28</v>
      </c>
      <c r="AB192" s="24">
        <f t="shared" si="526"/>
        <v>5432.14</v>
      </c>
      <c r="AC192" s="23">
        <f t="shared" si="526"/>
        <v>1238</v>
      </c>
      <c r="AD192" s="23">
        <f t="shared" si="526"/>
        <v>0</v>
      </c>
      <c r="AE192" s="23">
        <f t="shared" si="526"/>
        <v>1238</v>
      </c>
      <c r="AF192" s="23">
        <f t="shared" si="526"/>
        <v>2428</v>
      </c>
      <c r="AG192" s="23">
        <f t="shared" si="526"/>
        <v>0</v>
      </c>
      <c r="AH192" s="23">
        <f t="shared" si="526"/>
        <v>2428</v>
      </c>
      <c r="AI192" s="23">
        <f t="shared" si="526"/>
        <v>3666</v>
      </c>
      <c r="AJ192" s="25">
        <f t="shared" ref="AJ192:AJ194" si="529">AB192/AA192</f>
        <v>194.005</v>
      </c>
      <c r="AK192" s="22">
        <f>SUM(O200)</f>
        <v>6853</v>
      </c>
      <c r="AL192" s="26">
        <f t="shared" ref="AL192:AL198" si="530">AI192/AK192</f>
        <v>0.5349481979</v>
      </c>
      <c r="AM192" s="27">
        <f t="shared" ref="AM192:AM194" si="531">SUM(Q200)</f>
        <v>1.5</v>
      </c>
      <c r="AN192" s="26">
        <f t="shared" ref="AN192:AN198" si="532">AO192/AM192</f>
        <v>0.4499147666</v>
      </c>
      <c r="AO192" s="28">
        <f t="shared" ref="AO192:AO198" si="533">AI192/AB192</f>
        <v>0.6748721498</v>
      </c>
      <c r="AP192" s="27">
        <f t="shared" ref="AP192:AQ192" si="527">SUM(T200)</f>
        <v>161</v>
      </c>
      <c r="AQ192" s="27">
        <f t="shared" si="527"/>
        <v>5.75</v>
      </c>
      <c r="AR192" s="23">
        <f t="shared" ref="AR192:AR198" si="535">AI192/AA192</f>
        <v>130.9285714</v>
      </c>
    </row>
    <row r="193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X193" s="22">
        <v>2.0</v>
      </c>
      <c r="Y193" s="22" t="s">
        <v>24</v>
      </c>
      <c r="Z193" s="22">
        <f t="shared" ref="Z193:AI193" si="528">SUM(D201)</f>
        <v>37</v>
      </c>
      <c r="AA193" s="23">
        <f t="shared" si="528"/>
        <v>37</v>
      </c>
      <c r="AB193" s="24">
        <f t="shared" si="528"/>
        <v>6610.784</v>
      </c>
      <c r="AC193" s="23">
        <f t="shared" si="528"/>
        <v>763</v>
      </c>
      <c r="AD193" s="23">
        <f t="shared" si="528"/>
        <v>25</v>
      </c>
      <c r="AE193" s="23">
        <f t="shared" si="528"/>
        <v>788</v>
      </c>
      <c r="AF193" s="23">
        <f t="shared" si="528"/>
        <v>1112</v>
      </c>
      <c r="AG193" s="23">
        <f t="shared" si="528"/>
        <v>28</v>
      </c>
      <c r="AH193" s="23">
        <f t="shared" si="528"/>
        <v>1140</v>
      </c>
      <c r="AI193" s="23">
        <f t="shared" si="528"/>
        <v>1928</v>
      </c>
      <c r="AJ193" s="25">
        <f t="shared" si="529"/>
        <v>178.6698378</v>
      </c>
      <c r="AK193" s="22">
        <v>1580.0</v>
      </c>
      <c r="AL193" s="29">
        <f t="shared" si="530"/>
        <v>1.220253165</v>
      </c>
      <c r="AM193" s="27">
        <f t="shared" si="531"/>
        <v>1.5</v>
      </c>
      <c r="AN193" s="26">
        <f t="shared" si="532"/>
        <v>0.1944297883</v>
      </c>
      <c r="AO193" s="28">
        <f t="shared" si="533"/>
        <v>0.2916446824</v>
      </c>
      <c r="AP193" s="27">
        <f t="shared" ref="AP193:AQ193" si="534">SUM(T201)</f>
        <v>246.6250326</v>
      </c>
      <c r="AQ193" s="27">
        <f t="shared" si="534"/>
        <v>6.665541423</v>
      </c>
      <c r="AR193" s="23">
        <f t="shared" si="535"/>
        <v>52.10810811</v>
      </c>
    </row>
    <row r="194" ht="15.75" customHeight="1">
      <c r="A194" s="21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X194" s="31">
        <v>3.0</v>
      </c>
      <c r="Y194" s="31" t="s">
        <v>25</v>
      </c>
      <c r="Z194" s="31">
        <f t="shared" ref="Z194:AI194" si="536">SUM(D202)</f>
        <v>27</v>
      </c>
      <c r="AA194" s="32">
        <f t="shared" si="536"/>
        <v>26</v>
      </c>
      <c r="AB194" s="33">
        <f t="shared" si="536"/>
        <v>4933.112</v>
      </c>
      <c r="AC194" s="32">
        <f t="shared" si="536"/>
        <v>1855</v>
      </c>
      <c r="AD194" s="32">
        <f t="shared" si="536"/>
        <v>176</v>
      </c>
      <c r="AE194" s="32">
        <f t="shared" si="536"/>
        <v>2031</v>
      </c>
      <c r="AF194" s="32">
        <f t="shared" si="536"/>
        <v>2479</v>
      </c>
      <c r="AG194" s="32">
        <f t="shared" si="536"/>
        <v>312</v>
      </c>
      <c r="AH194" s="32">
        <f t="shared" si="536"/>
        <v>2791</v>
      </c>
      <c r="AI194" s="32">
        <f t="shared" si="536"/>
        <v>4822</v>
      </c>
      <c r="AJ194" s="34">
        <f t="shared" si="529"/>
        <v>189.7350769</v>
      </c>
      <c r="AK194" s="31">
        <f>SUM(O202)</f>
        <v>6622</v>
      </c>
      <c r="AL194" s="35">
        <f t="shared" si="530"/>
        <v>0.7281787979</v>
      </c>
      <c r="AM194" s="36">
        <f t="shared" si="531"/>
        <v>1.5</v>
      </c>
      <c r="AN194" s="35">
        <f t="shared" si="532"/>
        <v>0.6516508578</v>
      </c>
      <c r="AO194" s="37">
        <f t="shared" si="533"/>
        <v>0.9774762868</v>
      </c>
      <c r="AP194" s="36">
        <f t="shared" ref="AP194:AQ194" si="537">SUM(T202)</f>
        <v>206.9258389</v>
      </c>
      <c r="AQ194" s="36">
        <f t="shared" si="537"/>
        <v>7.958686113</v>
      </c>
      <c r="AR194" s="32">
        <f t="shared" si="535"/>
        <v>185.4615385</v>
      </c>
    </row>
    <row r="195" ht="15.75" customHeight="1">
      <c r="A195" s="21"/>
      <c r="B195" s="38">
        <v>1.0</v>
      </c>
      <c r="C195" s="38" t="s">
        <v>26</v>
      </c>
      <c r="D195" s="39">
        <v>16.0</v>
      </c>
      <c r="E195" s="40">
        <f>IFERROR(__xludf.DUMMYFUNCTION("COUNT(IMPORTRANGE(""https://docs.google.com/spreadsheets/d/1iVFEBQOAONhqDIMRa2hQ7WkCQv0dJWSAmc0AzfvSCMg/edit"",""8!d2:d21""))"),16.0)</f>
        <v>16</v>
      </c>
      <c r="F195" s="41">
        <f>IFERROR(__xludf.DUMMYFUNCTION("SUM(IMPORTRANGE(""https://docs.google.com/spreadsheets/d/1iVFEBQOAONhqDIMRa2hQ7WkCQv0dJWSAmc0AzfvSCMg/edit"",""8!Q2:Q21""))"),3150.2129999999997)</f>
        <v>3150.213</v>
      </c>
      <c r="G195" s="40">
        <f>IFERROR(__xludf.DUMMYFUNCTION("IMPORTRANGE(""https://docs.google.com/spreadsheets/d/1iVFEBQOAONhqDIMRa2hQ7WkCQv0dJWSAmc0AzfvSCMg/edit"",""8!e28"")"),1714.0)</f>
        <v>1714</v>
      </c>
      <c r="H195" s="40">
        <f>IFERROR(__xludf.DUMMYFUNCTION("IMPORTRANGE(""https://docs.google.com/spreadsheets/d/1iVFEBQOAONhqDIMRa2hQ7WkCQv0dJWSAmc0AzfvSCMg/edit"",""8!e29"")"),30.0)</f>
        <v>30</v>
      </c>
      <c r="I195" s="40">
        <f t="shared" ref="I195:I212" si="540">SUM(G195:H195)</f>
        <v>1744</v>
      </c>
      <c r="J195" s="40">
        <f>IFERROR(__xludf.DUMMYFUNCTION("IMPORTRANGE(""https://docs.google.com/spreadsheets/d/1iVFEBQOAONhqDIMRa2hQ7WkCQv0dJWSAmc0AzfvSCMg/edit"",""8!e32"")"),1923.0)</f>
        <v>1923</v>
      </c>
      <c r="K195" s="40">
        <f>IFERROR(__xludf.DUMMYFUNCTION("IMPORTRANGE(""https://docs.google.com/spreadsheets/d/1iVFEBQOAONhqDIMRa2hQ7WkCQv0dJWSAmc0AzfvSCMg/edit"",""8!e33"")"),110.0)</f>
        <v>110</v>
      </c>
      <c r="L195" s="40">
        <f t="shared" ref="L195:L201" si="541">SUM(J195:K195)</f>
        <v>2033</v>
      </c>
      <c r="M195" s="40">
        <f t="shared" ref="M195:M212" si="542">SUM(I195+L195)</f>
        <v>3777</v>
      </c>
      <c r="N195" s="41">
        <f t="shared" ref="N195:N213" si="543">F195/E195</f>
        <v>196.8883125</v>
      </c>
      <c r="O195" s="38">
        <v>5161.0</v>
      </c>
      <c r="P195" s="42">
        <f t="shared" ref="P195:P213" si="544">M195/O195</f>
        <v>0.7318349157</v>
      </c>
      <c r="Q195" s="43">
        <v>1.5</v>
      </c>
      <c r="R195" s="42">
        <f t="shared" ref="R195:R213" si="545">S195/Q195</f>
        <v>0.7993110307</v>
      </c>
      <c r="S195" s="44">
        <f t="shared" ref="S195:S213" si="546">M195/F195</f>
        <v>1.198966546</v>
      </c>
      <c r="T195" s="43">
        <f>F195/14.415</f>
        <v>218.5371488</v>
      </c>
      <c r="U195" s="43">
        <f t="shared" ref="U195:U213" si="547">T195/E195</f>
        <v>13.6585718</v>
      </c>
      <c r="V195" s="40">
        <f t="shared" ref="V195:V213" si="548">M195/E195</f>
        <v>236.0625</v>
      </c>
      <c r="X195" s="22">
        <v>4.0</v>
      </c>
      <c r="Y195" s="22" t="s">
        <v>27</v>
      </c>
      <c r="Z195" s="22">
        <f t="shared" ref="Z195:AK195" si="538">SUM(D208)</f>
        <v>24</v>
      </c>
      <c r="AA195" s="23">
        <f t="shared" si="538"/>
        <v>21</v>
      </c>
      <c r="AB195" s="24">
        <f t="shared" si="538"/>
        <v>4012.878</v>
      </c>
      <c r="AC195" s="23">
        <f t="shared" si="538"/>
        <v>1829</v>
      </c>
      <c r="AD195" s="23">
        <f t="shared" si="538"/>
        <v>0</v>
      </c>
      <c r="AE195" s="23">
        <f t="shared" si="538"/>
        <v>1829</v>
      </c>
      <c r="AF195" s="23">
        <f t="shared" si="538"/>
        <v>2420</v>
      </c>
      <c r="AG195" s="23">
        <f t="shared" si="538"/>
        <v>0</v>
      </c>
      <c r="AH195" s="23">
        <f t="shared" si="538"/>
        <v>2420</v>
      </c>
      <c r="AI195" s="23">
        <f t="shared" si="538"/>
        <v>4249</v>
      </c>
      <c r="AJ195" s="25">
        <f t="shared" si="538"/>
        <v>191.0894286</v>
      </c>
      <c r="AK195" s="22">
        <f t="shared" si="538"/>
        <v>8101</v>
      </c>
      <c r="AL195" s="26">
        <f t="shared" si="530"/>
        <v>0.5245031478</v>
      </c>
      <c r="AM195" s="27">
        <f>SUM(Q208)</f>
        <v>1.5</v>
      </c>
      <c r="AN195" s="26">
        <f t="shared" si="532"/>
        <v>0.7058940408</v>
      </c>
      <c r="AO195" s="28">
        <f t="shared" si="533"/>
        <v>1.058841061</v>
      </c>
      <c r="AP195" s="27">
        <f t="shared" ref="AP195:AQ195" si="539">SUM(T208)</f>
        <v>200.7944959</v>
      </c>
      <c r="AQ195" s="27">
        <f t="shared" si="539"/>
        <v>9.561642661</v>
      </c>
      <c r="AR195" s="23">
        <f t="shared" si="535"/>
        <v>202.3333333</v>
      </c>
    </row>
    <row r="196" ht="15.75" customHeight="1">
      <c r="A196" s="21"/>
      <c r="B196" s="38">
        <v>2.0</v>
      </c>
      <c r="C196" s="38" t="s">
        <v>28</v>
      </c>
      <c r="D196" s="39">
        <v>26.0</v>
      </c>
      <c r="E196" s="40">
        <f>IFERROR(__xludf.DUMMYFUNCTION("COUNT(IMPORTRANGE(""https://docs.google.com/spreadsheets/d/1tJCeYclgeJZ4Dc78t_SkhVjtacKW-5-VGim8X1rzUzk/edit"",""8!d2:d34""))"),26.0)</f>
        <v>26</v>
      </c>
      <c r="F196" s="41">
        <f>IFERROR(__xludf.DUMMYFUNCTION("SUM(IMPORTRANGE(""https://docs.google.com/spreadsheets/d/1tJCeYclgeJZ4Dc78t_SkhVjtacKW-5-VGim8X1rzUzk/edit"",""8!Q2:Q34""))"),5093.298999999999)</f>
        <v>5093.299</v>
      </c>
      <c r="G196" s="40">
        <f>IFERROR(__xludf.DUMMYFUNCTION("IMPORTRANGE(""https://docs.google.com/spreadsheets/d/1tJCeYclgeJZ4Dc78t_SkhVjtacKW-5-VGim8X1rzUzk/edit"",""8!e41"")"),1884.0)</f>
        <v>1884</v>
      </c>
      <c r="H196" s="40">
        <f>IFERROR(__xludf.DUMMYFUNCTION("IMPORTRANGE(""https://docs.google.com/spreadsheets/d/1tJCeYclgeJZ4Dc78t_SkhVjtacKW-5-VGim8X1rzUzk/edit"",""8!e42"")"),99.0)</f>
        <v>99</v>
      </c>
      <c r="I196" s="40">
        <f t="shared" si="540"/>
        <v>1983</v>
      </c>
      <c r="J196" s="40">
        <f>IFERROR(__xludf.DUMMYFUNCTION("IMPORTRANGE(""https://docs.google.com/spreadsheets/d/1tJCeYclgeJZ4Dc78t_SkhVjtacKW-5-VGim8X1rzUzk/edit"",""8!e45"")"),2018.0)</f>
        <v>2018</v>
      </c>
      <c r="K196" s="40">
        <f>IFERROR(__xludf.DUMMYFUNCTION("IMPORTRANGE(""https://docs.google.com/spreadsheets/d/1tJCeYclgeJZ4Dc78t_SkhVjtacKW-5-VGim8X1rzUzk/edit"",""8!e46"")"),55.0)</f>
        <v>55</v>
      </c>
      <c r="L196" s="40">
        <f t="shared" si="541"/>
        <v>2073</v>
      </c>
      <c r="M196" s="40">
        <f t="shared" si="542"/>
        <v>4056</v>
      </c>
      <c r="N196" s="41">
        <f t="shared" si="543"/>
        <v>195.8961154</v>
      </c>
      <c r="O196" s="38">
        <v>7315.0</v>
      </c>
      <c r="P196" s="42">
        <f t="shared" si="544"/>
        <v>0.5544771018</v>
      </c>
      <c r="Q196" s="43">
        <v>1.5</v>
      </c>
      <c r="R196" s="42">
        <f t="shared" si="545"/>
        <v>0.530893631</v>
      </c>
      <c r="S196" s="44">
        <f t="shared" si="546"/>
        <v>0.7963404465</v>
      </c>
      <c r="T196" s="43">
        <f>F196/30.897</f>
        <v>164.8476875</v>
      </c>
      <c r="U196" s="43">
        <f t="shared" si="547"/>
        <v>6.340295672</v>
      </c>
      <c r="V196" s="40">
        <f t="shared" si="548"/>
        <v>156</v>
      </c>
      <c r="X196" s="22">
        <v>5.0</v>
      </c>
      <c r="Y196" s="22" t="s">
        <v>29</v>
      </c>
      <c r="Z196" s="22">
        <f t="shared" ref="Z196:AI196" si="549">SUM(D211)</f>
        <v>24</v>
      </c>
      <c r="AA196" s="23">
        <f t="shared" si="549"/>
        <v>24</v>
      </c>
      <c r="AB196" s="24">
        <f t="shared" si="549"/>
        <v>4738.916</v>
      </c>
      <c r="AC196" s="23">
        <f t="shared" si="549"/>
        <v>1627</v>
      </c>
      <c r="AD196" s="23">
        <f t="shared" si="549"/>
        <v>0</v>
      </c>
      <c r="AE196" s="23">
        <f t="shared" si="549"/>
        <v>1627</v>
      </c>
      <c r="AF196" s="23">
        <f t="shared" si="549"/>
        <v>3426</v>
      </c>
      <c r="AG196" s="23">
        <f t="shared" si="549"/>
        <v>0</v>
      </c>
      <c r="AH196" s="23">
        <f t="shared" si="549"/>
        <v>3426</v>
      </c>
      <c r="AI196" s="23">
        <f t="shared" si="549"/>
        <v>5053</v>
      </c>
      <c r="AJ196" s="25">
        <f t="shared" ref="AJ196:AJ198" si="552">AB196/AA196</f>
        <v>197.4548333</v>
      </c>
      <c r="AK196" s="22">
        <f t="shared" ref="AK196:AK197" si="553">SUM(O211)</f>
        <v>9201</v>
      </c>
      <c r="AL196" s="26">
        <f t="shared" si="530"/>
        <v>0.549179437</v>
      </c>
      <c r="AM196" s="27">
        <f t="shared" ref="AM196:AM197" si="554">SUM(Q211)</f>
        <v>1.5</v>
      </c>
      <c r="AN196" s="26">
        <f t="shared" si="532"/>
        <v>0.7108517363</v>
      </c>
      <c r="AO196" s="28">
        <f t="shared" si="533"/>
        <v>1.066277604</v>
      </c>
      <c r="AP196" s="27">
        <f t="shared" ref="AP196:AQ196" si="550">SUM(T211)</f>
        <v>182</v>
      </c>
      <c r="AQ196" s="27">
        <f t="shared" si="550"/>
        <v>7.583333333</v>
      </c>
      <c r="AR196" s="23">
        <f t="shared" si="535"/>
        <v>210.5416667</v>
      </c>
    </row>
    <row r="197" ht="15.75" customHeight="1">
      <c r="A197" s="21"/>
      <c r="B197" s="38">
        <v>3.0</v>
      </c>
      <c r="C197" s="38" t="s">
        <v>30</v>
      </c>
      <c r="D197" s="39">
        <v>48.0</v>
      </c>
      <c r="E197" s="40">
        <f>IFERROR(__xludf.DUMMYFUNCTION("COUNT(IMPORTRANGE(""https://docs.google.com/spreadsheets/d/130gLEONC13J8KkQ6dk06x3bLRy_jCrAw2hXatQf2W50/edit"",""8!d2:d61""))"),46.0)</f>
        <v>46</v>
      </c>
      <c r="F197" s="45">
        <f>IFERROR(__xludf.DUMMYFUNCTION("SUM(IMPORTRANGE(""https://docs.google.com/spreadsheets/d/130gLEONC13J8KkQ6dk06x3bLRy_jCrAw2hXatQf2W50/edit"",""8!Q2:Q61""))"),8999.311999999994)</f>
        <v>8999.312</v>
      </c>
      <c r="G197" s="40">
        <f>IFERROR(__xludf.DUMMYFUNCTION("IMPORTRANGE(""https://docs.google.com/spreadsheets/d/130gLEONC13J8KkQ6dk06x3bLRy_jCrAw2hXatQf2W50/edit"",""8!e68"")"),2576.0)</f>
        <v>2576</v>
      </c>
      <c r="H197" s="40">
        <f>IFERROR(__xludf.DUMMYFUNCTION("IMPORTRANGE(""https://docs.google.com/spreadsheets/d/130gLEONC13J8KkQ6dk06x3bLRy_jCrAw2hXatQf2W50/edit"",""8!e69"")"),0.0)</f>
        <v>0</v>
      </c>
      <c r="I197" s="40">
        <f t="shared" si="540"/>
        <v>2576</v>
      </c>
      <c r="J197" s="40">
        <f>IFERROR(__xludf.DUMMYFUNCTION("IMPORTRANGE(""https://docs.google.com/spreadsheets/d/130gLEONC13J8KkQ6dk06x3bLRy_jCrAw2hXatQf2W50/edit"",""8!e72"")"),4500.0)</f>
        <v>4500</v>
      </c>
      <c r="K197" s="40">
        <f>IFERROR(__xludf.DUMMYFUNCTION("IMPORTRANGE(""https://docs.google.com/spreadsheets/d/130gLEONC13J8KkQ6dk06x3bLRy_jCrAw2hXatQf2W50/edit"",""8!e73"")"),36.0)</f>
        <v>36</v>
      </c>
      <c r="L197" s="40">
        <f t="shared" si="541"/>
        <v>4536</v>
      </c>
      <c r="M197" s="40">
        <f t="shared" si="542"/>
        <v>7112</v>
      </c>
      <c r="N197" s="41">
        <f t="shared" si="543"/>
        <v>195.6372174</v>
      </c>
      <c r="O197" s="38">
        <v>11164.0</v>
      </c>
      <c r="P197" s="42">
        <f t="shared" si="544"/>
        <v>0.6370476532</v>
      </c>
      <c r="Q197" s="43">
        <v>1.5</v>
      </c>
      <c r="R197" s="42">
        <f t="shared" si="545"/>
        <v>0.52685509</v>
      </c>
      <c r="S197" s="44">
        <f t="shared" si="546"/>
        <v>0.7902826349</v>
      </c>
      <c r="T197" s="43">
        <f>F197/29.603</f>
        <v>304</v>
      </c>
      <c r="U197" s="43">
        <f t="shared" si="547"/>
        <v>6.608695652</v>
      </c>
      <c r="V197" s="40">
        <f t="shared" si="548"/>
        <v>154.6086957</v>
      </c>
      <c r="X197" s="22">
        <v>6.0</v>
      </c>
      <c r="Y197" s="22" t="s">
        <v>31</v>
      </c>
      <c r="Z197" s="22">
        <f t="shared" ref="Z197:AI197" si="551">SUM(D212)</f>
        <v>12</v>
      </c>
      <c r="AA197" s="23">
        <f t="shared" si="551"/>
        <v>11</v>
      </c>
      <c r="AB197" s="25">
        <f t="shared" si="551"/>
        <v>2129.785</v>
      </c>
      <c r="AC197" s="23">
        <f t="shared" si="551"/>
        <v>570</v>
      </c>
      <c r="AD197" s="23">
        <f t="shared" si="551"/>
        <v>42</v>
      </c>
      <c r="AE197" s="23">
        <f t="shared" si="551"/>
        <v>612</v>
      </c>
      <c r="AF197" s="23">
        <f t="shared" si="551"/>
        <v>769</v>
      </c>
      <c r="AG197" s="23">
        <f t="shared" si="551"/>
        <v>0</v>
      </c>
      <c r="AH197" s="23">
        <f t="shared" si="551"/>
        <v>769</v>
      </c>
      <c r="AI197" s="23">
        <f t="shared" si="551"/>
        <v>1381</v>
      </c>
      <c r="AJ197" s="25">
        <f t="shared" si="552"/>
        <v>193.6168182</v>
      </c>
      <c r="AK197" s="22">
        <f t="shared" si="553"/>
        <v>2717</v>
      </c>
      <c r="AL197" s="26">
        <f t="shared" si="530"/>
        <v>0.5082811925</v>
      </c>
      <c r="AM197" s="27">
        <f t="shared" si="554"/>
        <v>1.5</v>
      </c>
      <c r="AN197" s="26">
        <f t="shared" si="532"/>
        <v>0.4322815057</v>
      </c>
      <c r="AO197" s="28">
        <f t="shared" si="533"/>
        <v>0.6484222586</v>
      </c>
      <c r="AP197" s="27">
        <f t="shared" ref="AP197:AQ197" si="555">SUM(T212)</f>
        <v>49</v>
      </c>
      <c r="AQ197" s="27">
        <f t="shared" si="555"/>
        <v>4.454545455</v>
      </c>
      <c r="AR197" s="23">
        <f t="shared" si="535"/>
        <v>125.5454545</v>
      </c>
    </row>
    <row r="198" ht="15.75" customHeight="1">
      <c r="A198" s="21"/>
      <c r="B198" s="38">
        <v>4.0</v>
      </c>
      <c r="C198" s="38" t="s">
        <v>32</v>
      </c>
      <c r="D198" s="39">
        <v>33.0</v>
      </c>
      <c r="E198" s="40">
        <f>IFERROR(__xludf.DUMMYFUNCTION("COUNT(IMPORTRANGE(""https://docs.google.com/spreadsheets/d/1gYHli7FuKQLm2Q-5LMR0UtkD-gRRA_p8s-phLPLDLgc/edit"",""8!d2:d43""))"),33.0)</f>
        <v>33</v>
      </c>
      <c r="F198" s="45">
        <f>IFERROR(__xludf.DUMMYFUNCTION("SUM(IMPORTRANGE(""https://docs.google.com/spreadsheets/d/1gYHli7FuKQLm2Q-5LMR0UtkD-gRRA_p8s-phLPLDLgc/edit"",""8!Q2:Q43""))"),6436.402999999995)</f>
        <v>6436.403</v>
      </c>
      <c r="G198" s="38">
        <f>IFERROR(__xludf.DUMMYFUNCTION("IMPORTRANGE(""https://docs.google.com/spreadsheets/d/1gYHli7FuKQLm2Q-5LMR0UtkD-gRRA_p8s-phLPLDLgc/edit"",""8!e50"")"),3720.0)</f>
        <v>3720</v>
      </c>
      <c r="H198" s="38">
        <f>IFERROR(__xludf.DUMMYFUNCTION("IMPORTRANGE(""https://docs.google.com/spreadsheets/d/1gYHli7FuKQLm2Q-5LMR0UtkD-gRRA_p8s-phLPLDLgc/edit"",""8!e51"")"),0.0)</f>
        <v>0</v>
      </c>
      <c r="I198" s="40">
        <f t="shared" si="540"/>
        <v>3720</v>
      </c>
      <c r="J198" s="38">
        <f>IFERROR(__xludf.DUMMYFUNCTION("IMPORTRANGE(""https://docs.google.com/spreadsheets/d/1gYHli7FuKQLm2Q-5LMR0UtkD-gRRA_p8s-phLPLDLgc/edit"",""8!e54"")"),3841.0)</f>
        <v>3841</v>
      </c>
      <c r="K198" s="38">
        <f>IFERROR(__xludf.DUMMYFUNCTION("IMPORTRANGE(""https://docs.google.com/spreadsheets/d/1gYHli7FuKQLm2Q-5LMR0UtkD-gRRA_p8s-phLPLDLgc/edit"",""8!e55"")"),0.0)</f>
        <v>0</v>
      </c>
      <c r="L198" s="40">
        <f t="shared" si="541"/>
        <v>3841</v>
      </c>
      <c r="M198" s="40">
        <f t="shared" si="542"/>
        <v>7561</v>
      </c>
      <c r="N198" s="41">
        <f t="shared" si="543"/>
        <v>195.0425152</v>
      </c>
      <c r="O198" s="38">
        <v>13817.0</v>
      </c>
      <c r="P198" s="42">
        <f t="shared" si="544"/>
        <v>0.5472244337</v>
      </c>
      <c r="Q198" s="43">
        <v>1.5</v>
      </c>
      <c r="R198" s="42">
        <f t="shared" si="545"/>
        <v>0.783149636</v>
      </c>
      <c r="S198" s="44">
        <f t="shared" si="546"/>
        <v>1.174724454</v>
      </c>
      <c r="T198" s="43">
        <f>F198/25.089</f>
        <v>256.5428275</v>
      </c>
      <c r="U198" s="43">
        <f t="shared" si="547"/>
        <v>7.774025077</v>
      </c>
      <c r="V198" s="40">
        <f t="shared" si="548"/>
        <v>229.1212121</v>
      </c>
      <c r="X198" s="46" t="s">
        <v>33</v>
      </c>
      <c r="Y198" s="46">
        <v>6.0</v>
      </c>
      <c r="Z198" s="46">
        <f t="shared" ref="Z198:AI198" si="556">SUM(Z192:Z197)</f>
        <v>152</v>
      </c>
      <c r="AA198" s="47">
        <f t="shared" si="556"/>
        <v>147</v>
      </c>
      <c r="AB198" s="48">
        <f t="shared" si="556"/>
        <v>27857.615</v>
      </c>
      <c r="AC198" s="47">
        <f t="shared" si="556"/>
        <v>7882</v>
      </c>
      <c r="AD198" s="47">
        <f t="shared" si="556"/>
        <v>243</v>
      </c>
      <c r="AE198" s="47">
        <f t="shared" si="556"/>
        <v>8125</v>
      </c>
      <c r="AF198" s="47">
        <f t="shared" si="556"/>
        <v>12634</v>
      </c>
      <c r="AG198" s="47">
        <f t="shared" si="556"/>
        <v>340</v>
      </c>
      <c r="AH198" s="47">
        <f t="shared" si="556"/>
        <v>12974</v>
      </c>
      <c r="AI198" s="47">
        <f t="shared" si="556"/>
        <v>21099</v>
      </c>
      <c r="AJ198" s="49">
        <f t="shared" si="552"/>
        <v>189.507585</v>
      </c>
      <c r="AK198" s="46">
        <f>SUM(AK192:AK197)</f>
        <v>35074</v>
      </c>
      <c r="AL198" s="50">
        <f t="shared" si="530"/>
        <v>0.6015567087</v>
      </c>
      <c r="AM198" s="51">
        <v>1.5</v>
      </c>
      <c r="AN198" s="50">
        <f t="shared" si="532"/>
        <v>0.5049247755</v>
      </c>
      <c r="AO198" s="52">
        <f t="shared" si="533"/>
        <v>0.7573871633</v>
      </c>
      <c r="AP198" s="51">
        <f>SUM(AP192:AP197)</f>
        <v>1046.345367</v>
      </c>
      <c r="AQ198" s="51">
        <f>AP198/AA198</f>
        <v>7.117995697</v>
      </c>
      <c r="AR198" s="47">
        <f t="shared" si="535"/>
        <v>143.5306122</v>
      </c>
    </row>
    <row r="199" ht="15.75" customHeight="1">
      <c r="A199" s="21"/>
      <c r="B199" s="38">
        <v>5.0</v>
      </c>
      <c r="C199" s="38" t="s">
        <v>34</v>
      </c>
      <c r="D199" s="39">
        <v>32.0</v>
      </c>
      <c r="E199" s="40">
        <f>IFERROR(__xludf.DUMMYFUNCTION("COUNT(IMPORTRANGE(""https://docs.google.com/spreadsheets/d/1ptS0qWBCKWkc9h2aXWT_YgMhN7yIv5WgAHRbF8l9Zpo/edit"",""8!d2:d41""))"),31.0)</f>
        <v>31</v>
      </c>
      <c r="F199" s="45">
        <f>IFERROR(__xludf.DUMMYFUNCTION("SUM(IMPORTRANGE(""https://docs.google.com/spreadsheets/d/1ptS0qWBCKWkc9h2aXWT_YgMhN7yIv5WgAHRbF8l9Zpo/edit"",""8!Q2:Q41""))"),6136.422000000002)</f>
        <v>6136.422</v>
      </c>
      <c r="G199" s="40">
        <f>IFERROR(__xludf.DUMMYFUNCTION("IMPORTRANGE(""https://docs.google.com/spreadsheets/d/1ptS0qWBCKWkc9h2aXWT_YgMhN7yIv5WgAHRbF8l9Zpo/edit"",""8!e48"")"),1953.0)</f>
        <v>1953</v>
      </c>
      <c r="H199" s="40">
        <f>IFERROR(__xludf.DUMMYFUNCTION("IMPORTRANGE(""https://docs.google.com/spreadsheets/d/1ptS0qWBCKWkc9h2aXWT_YgMhN7yIv5WgAHRbF8l9Zpo/edit"",""8!e49"")"),0.0)</f>
        <v>0</v>
      </c>
      <c r="I199" s="40">
        <f t="shared" si="540"/>
        <v>1953</v>
      </c>
      <c r="J199" s="40">
        <f>IFERROR(__xludf.DUMMYFUNCTION("IMPORTRANGE(""https://docs.google.com/spreadsheets/d/1ptS0qWBCKWkc9h2aXWT_YgMhN7yIv5WgAHRbF8l9Zpo/edit"",""8!e52"")"),2730.0)</f>
        <v>2730</v>
      </c>
      <c r="K199" s="40">
        <f>IFERROR(__xludf.DUMMYFUNCTION("IMPORTRANGE(""https://docs.google.com/spreadsheets/d/1ptS0qWBCKWkc9h2aXWT_YgMhN7yIv5WgAHRbF8l9Zpo/edit"",""8!e53"")"),0.0)</f>
        <v>0</v>
      </c>
      <c r="L199" s="40">
        <f t="shared" si="541"/>
        <v>2730</v>
      </c>
      <c r="M199" s="40">
        <f t="shared" si="542"/>
        <v>4683</v>
      </c>
      <c r="N199" s="41">
        <f t="shared" si="543"/>
        <v>197.9490968</v>
      </c>
      <c r="O199" s="38">
        <v>9354.0</v>
      </c>
      <c r="P199" s="42">
        <f t="shared" si="544"/>
        <v>0.5006414368</v>
      </c>
      <c r="Q199" s="43">
        <v>1.5</v>
      </c>
      <c r="R199" s="42">
        <f t="shared" si="545"/>
        <v>0.5087655314</v>
      </c>
      <c r="S199" s="44">
        <f t="shared" si="546"/>
        <v>0.7631482972</v>
      </c>
      <c r="T199" s="43">
        <f>F199/30.713</f>
        <v>199.7988474</v>
      </c>
      <c r="U199" s="43">
        <f t="shared" si="547"/>
        <v>6.445124109</v>
      </c>
      <c r="V199" s="40">
        <f t="shared" si="548"/>
        <v>151.0645161</v>
      </c>
      <c r="X199" s="53" t="s">
        <v>35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6"/>
    </row>
    <row r="200" ht="15.75" customHeight="1">
      <c r="A200" s="21"/>
      <c r="B200" s="38">
        <v>6.0</v>
      </c>
      <c r="C200" s="38" t="s">
        <v>23</v>
      </c>
      <c r="D200" s="39">
        <v>28.0</v>
      </c>
      <c r="E200" s="40">
        <f>IFERROR(__xludf.DUMMYFUNCTION("COUNT(IMPORTRANGE(""https://docs.google.com/spreadsheets/d/1829CoYW82aTBBUgqkPnJa94KlBWI-DowAnP4ENQCmaQ/edit"",""8!d2:d36""))"),28.0)</f>
        <v>28</v>
      </c>
      <c r="F200" s="45">
        <f>IFERROR(__xludf.DUMMYFUNCTION("SUM(IMPORTRANGE(""https://docs.google.com/spreadsheets/d/1829CoYW82aTBBUgqkPnJa94KlBWI-DowAnP4ENQCmaQ/edit"",""8!Q2:Q36""))"),5432.139999999998)</f>
        <v>5432.14</v>
      </c>
      <c r="G200" s="40">
        <f>IFERROR(__xludf.DUMMYFUNCTION("IMPORTRANGE(""https://docs.google.com/spreadsheets/d/1829CoYW82aTBBUgqkPnJa94KlBWI-DowAnP4ENQCmaQ/edit"",""8!e43"")"),1238.0)</f>
        <v>1238</v>
      </c>
      <c r="H200" s="40">
        <f>IFERROR(__xludf.DUMMYFUNCTION("IMPORTRANGE(""https://docs.google.com/spreadsheets/d/1829CoYW82aTBBUgqkPnJa94KlBWI-DowAnP4ENQCmaQ/edit"",""8!e44"")"),0.0)</f>
        <v>0</v>
      </c>
      <c r="I200" s="40">
        <f t="shared" si="540"/>
        <v>1238</v>
      </c>
      <c r="J200" s="40">
        <f>IFERROR(__xludf.DUMMYFUNCTION("IMPORTRANGE(""https://docs.google.com/spreadsheets/d/1829CoYW82aTBBUgqkPnJa94KlBWI-DowAnP4ENQCmaQ/edit"",""8!e47"")"),2428.0)</f>
        <v>2428</v>
      </c>
      <c r="K200" s="40">
        <f>IFERROR(__xludf.DUMMYFUNCTION("IMPORTRANGE(""https://docs.google.com/spreadsheets/d/1829CoYW82aTBBUgqkPnJa94KlBWI-DowAnP4ENQCmaQ/edit"",""8!e48"")"),0.0)</f>
        <v>0</v>
      </c>
      <c r="L200" s="40">
        <f t="shared" si="541"/>
        <v>2428</v>
      </c>
      <c r="M200" s="40">
        <f t="shared" si="542"/>
        <v>3666</v>
      </c>
      <c r="N200" s="41">
        <f t="shared" si="543"/>
        <v>194.005</v>
      </c>
      <c r="O200" s="38">
        <v>6853.0</v>
      </c>
      <c r="P200" s="42">
        <f t="shared" si="544"/>
        <v>0.5349481979</v>
      </c>
      <c r="Q200" s="43">
        <v>1.5</v>
      </c>
      <c r="R200" s="42">
        <f t="shared" si="545"/>
        <v>0.4499147666</v>
      </c>
      <c r="S200" s="44">
        <f t="shared" si="546"/>
        <v>0.6748721498</v>
      </c>
      <c r="T200" s="43">
        <f>F200/33.74</f>
        <v>161</v>
      </c>
      <c r="U200" s="43">
        <f t="shared" si="547"/>
        <v>5.75</v>
      </c>
      <c r="V200" s="40">
        <f t="shared" si="548"/>
        <v>130.9285714</v>
      </c>
      <c r="X200" s="14" t="s">
        <v>2</v>
      </c>
      <c r="Y200" s="14" t="s">
        <v>3</v>
      </c>
      <c r="Z200" s="14" t="s">
        <v>4</v>
      </c>
      <c r="AA200" s="14" t="s">
        <v>5</v>
      </c>
      <c r="AB200" s="15" t="s">
        <v>6</v>
      </c>
      <c r="AC200" s="14" t="s">
        <v>7</v>
      </c>
      <c r="AD200" s="14" t="s">
        <v>8</v>
      </c>
      <c r="AE200" s="14" t="s">
        <v>9</v>
      </c>
      <c r="AF200" s="14" t="s">
        <v>10</v>
      </c>
      <c r="AG200" s="14" t="s">
        <v>11</v>
      </c>
      <c r="AH200" s="14" t="s">
        <v>12</v>
      </c>
      <c r="AI200" s="14" t="s">
        <v>13</v>
      </c>
      <c r="AJ200" s="15" t="s">
        <v>14</v>
      </c>
      <c r="AK200" s="14" t="s">
        <v>15</v>
      </c>
      <c r="AL200" s="14" t="s">
        <v>16</v>
      </c>
      <c r="AM200" s="16" t="s">
        <v>17</v>
      </c>
      <c r="AN200" s="17" t="s">
        <v>18</v>
      </c>
      <c r="AO200" s="18" t="s">
        <v>19</v>
      </c>
      <c r="AP200" s="19" t="s">
        <v>20</v>
      </c>
      <c r="AQ200" s="19" t="s">
        <v>21</v>
      </c>
      <c r="AR200" s="20" t="s">
        <v>22</v>
      </c>
    </row>
    <row r="201" ht="15.75" customHeight="1">
      <c r="A201" s="21"/>
      <c r="B201" s="38">
        <v>7.0</v>
      </c>
      <c r="C201" s="38" t="s">
        <v>24</v>
      </c>
      <c r="D201" s="39">
        <v>37.0</v>
      </c>
      <c r="E201" s="54">
        <f>IFERROR(__xludf.DUMMYFUNCTION("COUNT(IMPORTRANGE(""https://docs.google.com/spreadsheets/d/1E2x4oDZxEIsuC5nl-5Z0--MoN8b1dt9SbpRcCfNP84Q/edit"",""8!d2:d45""))"),37.0)</f>
        <v>37</v>
      </c>
      <c r="F201" s="55">
        <f>IFERROR(__xludf.DUMMYFUNCTION("SUM(IMPORTRANGE(""https://docs.google.com/spreadsheets/d/1E2x4oDZxEIsuC5nl-5Z0--MoN8b1dt9SbpRcCfNP84Q/edit"",""8!Q2:Q45""))"),6610.783999999995)</f>
        <v>6610.784</v>
      </c>
      <c r="G201" s="54">
        <f>IFERROR(__xludf.DUMMYFUNCTION("IMPORTRANGE(""https://docs.google.com/spreadsheets/d/1E2x4oDZxEIsuC5nl-5Z0--MoN8b1dt9SbpRcCfNP84Q/edit"",""8!e53"")"),763.0)</f>
        <v>763</v>
      </c>
      <c r="H201" s="54">
        <f>IFERROR(__xludf.DUMMYFUNCTION("IMPORTRANGE(""https://docs.google.com/spreadsheets/d/1E2x4oDZxEIsuC5nl-5Z0--MoN8b1dt9SbpRcCfNP84Q/edit"",""8!e54"")"),25.0)</f>
        <v>25</v>
      </c>
      <c r="I201" s="54">
        <f t="shared" si="540"/>
        <v>788</v>
      </c>
      <c r="J201" s="54">
        <f>IFERROR(__xludf.DUMMYFUNCTION("IMPORTRANGE(""https://docs.google.com/spreadsheets/d/1E2x4oDZxEIsuC5nl-5Z0--MoN8b1dt9SbpRcCfNP84Q/edit"",""8!e57"")"),1112.0)</f>
        <v>1112</v>
      </c>
      <c r="K201" s="54">
        <f>IFERROR(__xludf.DUMMYFUNCTION("IMPORTRANGE(""https://docs.google.com/spreadsheets/d/1E2x4oDZxEIsuC5nl-5Z0--MoN8b1dt9SbpRcCfNP84Q/edit"",""8!e58"")"),28.0)</f>
        <v>28</v>
      </c>
      <c r="L201" s="40">
        <f t="shared" si="541"/>
        <v>1140</v>
      </c>
      <c r="M201" s="40">
        <f t="shared" si="542"/>
        <v>1928</v>
      </c>
      <c r="N201" s="41">
        <f t="shared" si="543"/>
        <v>178.6698378</v>
      </c>
      <c r="O201" s="38">
        <v>1580.0</v>
      </c>
      <c r="P201" s="56">
        <f t="shared" si="544"/>
        <v>1.220253165</v>
      </c>
      <c r="Q201" s="43">
        <v>1.5</v>
      </c>
      <c r="R201" s="42">
        <f t="shared" si="545"/>
        <v>0.1944297883</v>
      </c>
      <c r="S201" s="44">
        <f t="shared" si="546"/>
        <v>0.2916446824</v>
      </c>
      <c r="T201" s="43">
        <f>F201/26.805</f>
        <v>246.6250326</v>
      </c>
      <c r="U201" s="43">
        <f t="shared" si="547"/>
        <v>6.665541423</v>
      </c>
      <c r="V201" s="40">
        <f t="shared" si="548"/>
        <v>52.10810811</v>
      </c>
      <c r="X201" s="22">
        <v>1.0</v>
      </c>
      <c r="Y201" s="22" t="s">
        <v>28</v>
      </c>
      <c r="Z201" s="22">
        <f t="shared" ref="Z201:AI201" si="557">SUM(D196)</f>
        <v>26</v>
      </c>
      <c r="AA201" s="23">
        <f t="shared" si="557"/>
        <v>26</v>
      </c>
      <c r="AB201" s="25">
        <f t="shared" si="557"/>
        <v>5093.299</v>
      </c>
      <c r="AC201" s="23">
        <f t="shared" si="557"/>
        <v>1884</v>
      </c>
      <c r="AD201" s="23">
        <f t="shared" si="557"/>
        <v>99</v>
      </c>
      <c r="AE201" s="23">
        <f t="shared" si="557"/>
        <v>1983</v>
      </c>
      <c r="AF201" s="23">
        <f t="shared" si="557"/>
        <v>2018</v>
      </c>
      <c r="AG201" s="23">
        <f t="shared" si="557"/>
        <v>55</v>
      </c>
      <c r="AH201" s="23">
        <f t="shared" si="557"/>
        <v>2073</v>
      </c>
      <c r="AI201" s="23">
        <f t="shared" si="557"/>
        <v>4056</v>
      </c>
      <c r="AJ201" s="25">
        <f t="shared" ref="AJ201:AJ207" si="560">AB201/AA201</f>
        <v>195.8961154</v>
      </c>
      <c r="AK201" s="22">
        <f t="shared" ref="AK201:AK202" si="561">SUM(O196)</f>
        <v>7315</v>
      </c>
      <c r="AL201" s="26">
        <f t="shared" ref="AL201:AL207" si="562">AI201/AK201</f>
        <v>0.5544771018</v>
      </c>
      <c r="AM201" s="27">
        <f t="shared" ref="AM201:AM202" si="563">SUM(Q196)</f>
        <v>1.5</v>
      </c>
      <c r="AN201" s="26">
        <f t="shared" ref="AN201:AN207" si="564">AO201/AM201</f>
        <v>0.530893631</v>
      </c>
      <c r="AO201" s="28">
        <f t="shared" ref="AO201:AO207" si="565">AI201/AB201</f>
        <v>0.7963404465</v>
      </c>
      <c r="AP201" s="27">
        <f t="shared" ref="AP201:AQ201" si="558">SUM(T196)</f>
        <v>164.8476875</v>
      </c>
      <c r="AQ201" s="27">
        <f t="shared" si="558"/>
        <v>6.340295672</v>
      </c>
      <c r="AR201" s="23">
        <f t="shared" ref="AR201:AR207" si="567">AI201/AA201</f>
        <v>156</v>
      </c>
    </row>
    <row r="202" ht="15.75" customHeight="1">
      <c r="A202" s="21"/>
      <c r="B202" s="38">
        <v>8.0</v>
      </c>
      <c r="C202" s="38" t="s">
        <v>25</v>
      </c>
      <c r="D202" s="57">
        <v>27.0</v>
      </c>
      <c r="E202" s="40">
        <f>IFERROR(__xludf.DUMMYFUNCTION("COUNT(IMPORTRANGE(""https://docs.google.com/spreadsheets/d/1KbRFOEYB0B44J_NSh1MwYQ1sLDlZXUHI-wuMLcZDn5k/edit"",""8!d2:D33""))"),26.0)</f>
        <v>26</v>
      </c>
      <c r="F202" s="45">
        <f>IFERROR(__xludf.DUMMYFUNCTION("SUM(IMPORTRANGE(""https://docs.google.com/spreadsheets/d/1KbRFOEYB0B44J_NSh1MwYQ1sLDlZXUHI-wuMLcZDn5k/edit"",""8!Q2:Q33""))"),4933.112)</f>
        <v>4933.112</v>
      </c>
      <c r="G202" s="40">
        <f>IFERROR(__xludf.DUMMYFUNCTION("IMPORTRANGE(""https://docs.google.com/spreadsheets/d/1KbRFOEYB0B44J_NSh1MwYQ1sLDlZXUHI-wuMLcZDn5k/edit"",""8!e40"")"),1855.0)</f>
        <v>1855</v>
      </c>
      <c r="H202" s="40">
        <f>IFERROR(__xludf.DUMMYFUNCTION("IMPORTRANGE(""https://docs.google.com/spreadsheets/d/1KbRFOEYB0B44J_NSh1MwYQ1sLDlZXUHI-wuMLcZDn5k/edit"",""8!e41"")"),176.0)</f>
        <v>176</v>
      </c>
      <c r="I202" s="40">
        <f t="shared" si="540"/>
        <v>2031</v>
      </c>
      <c r="J202" s="40">
        <f>IFERROR(__xludf.DUMMYFUNCTION("IMPORTRANGE(""https://docs.google.com/spreadsheets/d/1KbRFOEYB0B44J_NSh1MwYQ1sLDlZXUHI-wuMLcZDn5k/edit"",""8!e44"")"),2479.0)</f>
        <v>2479</v>
      </c>
      <c r="K202" s="40">
        <f>IFERROR(__xludf.DUMMYFUNCTION("IMPORTRANGE(""https://docs.google.com/spreadsheets/d/1KbRFOEYB0B44J_NSh1MwYQ1sLDlZXUHI-wuMLcZDn5k/edit"",""8!e45"")"),312.0)</f>
        <v>312</v>
      </c>
      <c r="L202" s="40">
        <f>J202+K202</f>
        <v>2791</v>
      </c>
      <c r="M202" s="40">
        <f t="shared" si="542"/>
        <v>4822</v>
      </c>
      <c r="N202" s="41">
        <f t="shared" si="543"/>
        <v>189.7350769</v>
      </c>
      <c r="O202" s="38">
        <v>6622.0</v>
      </c>
      <c r="P202" s="42">
        <f t="shared" si="544"/>
        <v>0.7281787979</v>
      </c>
      <c r="Q202" s="43">
        <v>1.5</v>
      </c>
      <c r="R202" s="42">
        <f t="shared" si="545"/>
        <v>0.6516508578</v>
      </c>
      <c r="S202" s="44">
        <f t="shared" si="546"/>
        <v>0.9774762868</v>
      </c>
      <c r="T202" s="43">
        <f>F202/23.84</f>
        <v>206.9258389</v>
      </c>
      <c r="U202" s="43">
        <f t="shared" si="547"/>
        <v>7.958686113</v>
      </c>
      <c r="V202" s="40">
        <f t="shared" si="548"/>
        <v>185.4615385</v>
      </c>
      <c r="X202" s="31">
        <v>2.0</v>
      </c>
      <c r="Y202" s="31" t="s">
        <v>30</v>
      </c>
      <c r="Z202" s="31">
        <f t="shared" ref="Z202:AI202" si="559">SUM(D197)</f>
        <v>48</v>
      </c>
      <c r="AA202" s="32">
        <f t="shared" si="559"/>
        <v>46</v>
      </c>
      <c r="AB202" s="33">
        <f t="shared" si="559"/>
        <v>8999.312</v>
      </c>
      <c r="AC202" s="32">
        <f t="shared" si="559"/>
        <v>2576</v>
      </c>
      <c r="AD202" s="32">
        <f t="shared" si="559"/>
        <v>0</v>
      </c>
      <c r="AE202" s="32">
        <f t="shared" si="559"/>
        <v>2576</v>
      </c>
      <c r="AF202" s="32">
        <f t="shared" si="559"/>
        <v>4500</v>
      </c>
      <c r="AG202" s="32">
        <f t="shared" si="559"/>
        <v>36</v>
      </c>
      <c r="AH202" s="32">
        <f t="shared" si="559"/>
        <v>4536</v>
      </c>
      <c r="AI202" s="32">
        <f t="shared" si="559"/>
        <v>7112</v>
      </c>
      <c r="AJ202" s="34">
        <f t="shared" si="560"/>
        <v>195.6372174</v>
      </c>
      <c r="AK202" s="31">
        <f t="shared" si="561"/>
        <v>11164</v>
      </c>
      <c r="AL202" s="35">
        <f t="shared" si="562"/>
        <v>0.6370476532</v>
      </c>
      <c r="AM202" s="36">
        <f t="shared" si="563"/>
        <v>1.5</v>
      </c>
      <c r="AN202" s="35">
        <f t="shared" si="564"/>
        <v>0.52685509</v>
      </c>
      <c r="AO202" s="37">
        <f t="shared" si="565"/>
        <v>0.7902826349</v>
      </c>
      <c r="AP202" s="36">
        <f t="shared" ref="AP202:AQ202" si="566">SUM(T197)</f>
        <v>304</v>
      </c>
      <c r="AQ202" s="36">
        <f t="shared" si="566"/>
        <v>6.608695652</v>
      </c>
      <c r="AR202" s="32">
        <f t="shared" si="567"/>
        <v>154.6086957</v>
      </c>
    </row>
    <row r="203" ht="15.75" customHeight="1">
      <c r="A203" s="21"/>
      <c r="B203" s="38">
        <v>9.0</v>
      </c>
      <c r="C203" s="38" t="s">
        <v>36</v>
      </c>
      <c r="D203" s="58">
        <v>23.0</v>
      </c>
      <c r="E203" s="40">
        <f>IFERROR(__xludf.DUMMYFUNCTION("COUNT(IMPORTRANGE(""https://docs.google.com/spreadsheets/d/1VqqqRGfmmkT0JC4ILJva2p8P11jjV0FX-TSKAaqOigw/edit"",""8!d2:d31""))"),23.0)</f>
        <v>23</v>
      </c>
      <c r="F203" s="45">
        <f>IFERROR(__xludf.DUMMYFUNCTION("SUM(IMPORTRANGE(""https://docs.google.com/spreadsheets/d/1VqqqRGfmmkT0JC4ILJva2p8P11jjV0FX-TSKAaqOigw/edit"",""8!Q2:Q31""))"),4520.710000000001)</f>
        <v>4520.71</v>
      </c>
      <c r="G203" s="40">
        <f>IFERROR(__xludf.DUMMYFUNCTION("IMPORTRANGE(""https://docs.google.com/spreadsheets/d/1VqqqRGfmmkT0JC4ILJva2p8P11jjV0FX-TSKAaqOigw/edit"",""8!e38"")"),1031.0)</f>
        <v>1031</v>
      </c>
      <c r="H203" s="40">
        <f>IFERROR(__xludf.DUMMYFUNCTION("IMPORTRANGE(""https://docs.google.com/spreadsheets/d/1VqqqRGfmmkT0JC4ILJva2p8P11jjV0FX-TSKAaqOigw/edit"",""8!e39"")"),56.0)</f>
        <v>56</v>
      </c>
      <c r="I203" s="40">
        <f t="shared" si="540"/>
        <v>1087</v>
      </c>
      <c r="J203" s="40">
        <f>IFERROR(__xludf.DUMMYFUNCTION("IMPORTRANGE(""https://docs.google.com/spreadsheets/d/1VqqqRGfmmkT0JC4ILJva2p8P11jjV0FX-TSKAaqOigw/edit"",""8!e42"")"),1507.0)</f>
        <v>1507</v>
      </c>
      <c r="K203" s="40">
        <f>IFERROR(__xludf.DUMMYFUNCTION("IMPORTRANGE(""https://docs.google.com/spreadsheets/d/1VqqqRGfmmkT0JC4ILJva2p8P11jjV0FX-TSKAaqOigw/edit"",""8!e43"")"),55.0)</f>
        <v>55</v>
      </c>
      <c r="L203" s="40">
        <f t="shared" ref="L203:L212" si="570">SUM(J203:K203)</f>
        <v>1562</v>
      </c>
      <c r="M203" s="40">
        <f t="shared" si="542"/>
        <v>2649</v>
      </c>
      <c r="N203" s="41">
        <f t="shared" si="543"/>
        <v>196.5526087</v>
      </c>
      <c r="O203" s="38">
        <v>4796.0</v>
      </c>
      <c r="P203" s="42">
        <f t="shared" si="544"/>
        <v>0.5523352794</v>
      </c>
      <c r="Q203" s="43">
        <v>1.5</v>
      </c>
      <c r="R203" s="42">
        <f t="shared" si="545"/>
        <v>0.390646602</v>
      </c>
      <c r="S203" s="44">
        <f t="shared" si="546"/>
        <v>0.585969903</v>
      </c>
      <c r="T203" s="43">
        <f>F203/37.414</f>
        <v>120.8293687</v>
      </c>
      <c r="U203" s="43">
        <f t="shared" si="547"/>
        <v>5.253450812</v>
      </c>
      <c r="V203" s="40">
        <f t="shared" si="548"/>
        <v>115.173913</v>
      </c>
      <c r="X203" s="22">
        <v>3.0</v>
      </c>
      <c r="Y203" s="22" t="s">
        <v>34</v>
      </c>
      <c r="Z203" s="22">
        <f t="shared" ref="Z203:AI203" si="568">SUM(D199)</f>
        <v>32</v>
      </c>
      <c r="AA203" s="23">
        <f t="shared" si="568"/>
        <v>31</v>
      </c>
      <c r="AB203" s="24">
        <f t="shared" si="568"/>
        <v>6136.422</v>
      </c>
      <c r="AC203" s="23">
        <f t="shared" si="568"/>
        <v>1953</v>
      </c>
      <c r="AD203" s="23">
        <f t="shared" si="568"/>
        <v>0</v>
      </c>
      <c r="AE203" s="23">
        <f t="shared" si="568"/>
        <v>1953</v>
      </c>
      <c r="AF203" s="23">
        <f t="shared" si="568"/>
        <v>2730</v>
      </c>
      <c r="AG203" s="23">
        <f t="shared" si="568"/>
        <v>0</v>
      </c>
      <c r="AH203" s="23">
        <f t="shared" si="568"/>
        <v>2730</v>
      </c>
      <c r="AI203" s="23">
        <f t="shared" si="568"/>
        <v>4683</v>
      </c>
      <c r="AJ203" s="25">
        <f t="shared" si="560"/>
        <v>197.9490968</v>
      </c>
      <c r="AK203" s="22">
        <f>SUM(O199)</f>
        <v>9354</v>
      </c>
      <c r="AL203" s="26">
        <f t="shared" si="562"/>
        <v>0.5006414368</v>
      </c>
      <c r="AM203" s="27">
        <f>SUM(Q199)</f>
        <v>1.5</v>
      </c>
      <c r="AN203" s="26">
        <f t="shared" si="564"/>
        <v>0.5087655314</v>
      </c>
      <c r="AO203" s="28">
        <f t="shared" si="565"/>
        <v>0.7631482972</v>
      </c>
      <c r="AP203" s="27">
        <f t="shared" ref="AP203:AQ203" si="569">SUM(T199)</f>
        <v>199.7988474</v>
      </c>
      <c r="AQ203" s="27">
        <f t="shared" si="569"/>
        <v>6.445124109</v>
      </c>
      <c r="AR203" s="23">
        <f t="shared" si="567"/>
        <v>151.0645161</v>
      </c>
    </row>
    <row r="204" ht="15.75" customHeight="1">
      <c r="A204" s="21"/>
      <c r="B204" s="38">
        <v>10.0</v>
      </c>
      <c r="C204" s="38" t="s">
        <v>37</v>
      </c>
      <c r="D204" s="39">
        <v>24.0</v>
      </c>
      <c r="E204" s="40">
        <f>IFERROR(__xludf.DUMMYFUNCTION("COUNT(IMPORTRANGE(""https://docs.google.com/spreadsheets/d/1IYeRjQd_D6MRqoBKNaky3aSEUloYCJc5XDnPAbdyetk/edit"",""8!d2:d31""))"),23.0)</f>
        <v>23</v>
      </c>
      <c r="F204" s="45">
        <f>IFERROR(__xludf.DUMMYFUNCTION("SUM(IMPORTRANGE(""https://docs.google.com/spreadsheets/d/1IYeRjQd_D6MRqoBKNaky3aSEUloYCJc5XDnPAbdyetk/edit"",""8!Q2:Q31""))"),4583.898)</f>
        <v>4583.898</v>
      </c>
      <c r="G204" s="40">
        <f>IFERROR(__xludf.DUMMYFUNCTION("(IMPORTRANGE(""https://docs.google.com/spreadsheets/d/1IYeRjQd_D6MRqoBKNaky3aSEUloYCJc5XDnPAbdyetk/edit"",""8!e38""))"),1578.0)</f>
        <v>1578</v>
      </c>
      <c r="H204" s="40">
        <f>IFERROR(__xludf.DUMMYFUNCTION("(IMPORTRANGE(""https://docs.google.com/spreadsheets/d/1IYeRjQd_D6MRqoBKNaky3aSEUloYCJc5XDnPAbdyetk/edit"",""8!e39""))"),0.0)</f>
        <v>0</v>
      </c>
      <c r="I204" s="40">
        <f t="shared" si="540"/>
        <v>1578</v>
      </c>
      <c r="J204" s="40">
        <f>IFERROR(__xludf.DUMMYFUNCTION("(IMPORTRANGE(""https://docs.google.com/spreadsheets/d/1IYeRjQd_D6MRqoBKNaky3aSEUloYCJc5XDnPAbdyetk/edit"",""8!e42""))"),2312.0)</f>
        <v>2312</v>
      </c>
      <c r="K204" s="40">
        <f>IFERROR(__xludf.DUMMYFUNCTION("(IMPORTRANGE(""https://docs.google.com/spreadsheets/d/1IYeRjQd_D6MRqoBKNaky3aSEUloYCJc5XDnPAbdyetk/edit"",""8!e43""))"),83.0)</f>
        <v>83</v>
      </c>
      <c r="L204" s="40">
        <f t="shared" si="570"/>
        <v>2395</v>
      </c>
      <c r="M204" s="40">
        <f t="shared" si="542"/>
        <v>3973</v>
      </c>
      <c r="N204" s="41">
        <f t="shared" si="543"/>
        <v>199.299913</v>
      </c>
      <c r="O204" s="38">
        <v>5887.0</v>
      </c>
      <c r="P204" s="42">
        <f t="shared" si="544"/>
        <v>0.6748768473</v>
      </c>
      <c r="Q204" s="43">
        <v>1.5</v>
      </c>
      <c r="R204" s="42">
        <f t="shared" si="545"/>
        <v>0.5778197217</v>
      </c>
      <c r="S204" s="44">
        <f t="shared" si="546"/>
        <v>0.8667295826</v>
      </c>
      <c r="T204" s="43">
        <f>F204/24.792</f>
        <v>184.8942401</v>
      </c>
      <c r="U204" s="43">
        <f t="shared" si="547"/>
        <v>8.038880003</v>
      </c>
      <c r="V204" s="40">
        <f t="shared" si="548"/>
        <v>172.7391304</v>
      </c>
      <c r="X204" s="31">
        <v>4.0</v>
      </c>
      <c r="Y204" s="31" t="s">
        <v>38</v>
      </c>
      <c r="Z204" s="31">
        <f t="shared" ref="Z204:AI204" si="571">SUM(D207)</f>
        <v>24</v>
      </c>
      <c r="AA204" s="32">
        <f t="shared" si="571"/>
        <v>24</v>
      </c>
      <c r="AB204" s="33">
        <f t="shared" si="571"/>
        <v>4551.606</v>
      </c>
      <c r="AC204" s="32">
        <f t="shared" si="571"/>
        <v>1531</v>
      </c>
      <c r="AD204" s="32">
        <f t="shared" si="571"/>
        <v>0</v>
      </c>
      <c r="AE204" s="32">
        <f t="shared" si="571"/>
        <v>1531</v>
      </c>
      <c r="AF204" s="32">
        <f t="shared" si="571"/>
        <v>2241</v>
      </c>
      <c r="AG204" s="32">
        <f t="shared" si="571"/>
        <v>109</v>
      </c>
      <c r="AH204" s="32">
        <f t="shared" si="571"/>
        <v>2350</v>
      </c>
      <c r="AI204" s="32">
        <f t="shared" si="571"/>
        <v>3881</v>
      </c>
      <c r="AJ204" s="34">
        <f t="shared" si="560"/>
        <v>189.65025</v>
      </c>
      <c r="AK204" s="31">
        <v>7324.0</v>
      </c>
      <c r="AL204" s="35">
        <f t="shared" si="562"/>
        <v>0.5299016931</v>
      </c>
      <c r="AM204" s="36">
        <f>SUM(Q207)</f>
        <v>1.5</v>
      </c>
      <c r="AN204" s="35">
        <f t="shared" si="564"/>
        <v>0.5684440466</v>
      </c>
      <c r="AO204" s="37">
        <f t="shared" si="565"/>
        <v>0.85266607</v>
      </c>
      <c r="AP204" s="36">
        <f t="shared" ref="AP204:AQ204" si="572">SUM(T207)</f>
        <v>110.4624681</v>
      </c>
      <c r="AQ204" s="36">
        <f t="shared" si="572"/>
        <v>4.602602839</v>
      </c>
      <c r="AR204" s="32">
        <f t="shared" si="567"/>
        <v>161.7083333</v>
      </c>
    </row>
    <row r="205" ht="15.75" customHeight="1">
      <c r="A205" s="21"/>
      <c r="B205" s="38">
        <v>12.0</v>
      </c>
      <c r="C205" s="38" t="s">
        <v>39</v>
      </c>
      <c r="D205" s="39">
        <v>22.0</v>
      </c>
      <c r="E205" s="40">
        <f>IFERROR(__xludf.DUMMYFUNCTION("COUNT(IMPORTRANGE(""https://docs.google.com/spreadsheets/d/1TAY2D35yAzyl8a_p5CuZehQvmatfj0b0Q8ICl8GtJBY/edit"",""8!d2:d29""))"),22.0)</f>
        <v>22</v>
      </c>
      <c r="F205" s="45">
        <f>IFERROR(__xludf.DUMMYFUNCTION("SUM(IMPORTRANGE(""https://docs.google.com/spreadsheets/d/1TAY2D35yAzyl8a_p5CuZehQvmatfj0b0Q8ICl8GtJBY/edit"",""8!Q2:Q29""))"),4340.983)</f>
        <v>4340.983</v>
      </c>
      <c r="G205" s="40">
        <f>IFERROR(__xludf.DUMMYFUNCTION("IMPORTRANGE(""https://docs.google.com/spreadsheets/d/1TAY2D35yAzyl8a_p5CuZehQvmatfj0b0Q8ICl8GtJBY/edit"",""8!e36"")"),1015.0)</f>
        <v>1015</v>
      </c>
      <c r="H205" s="40">
        <f>IFERROR(__xludf.DUMMYFUNCTION("(IMPORTRANGE(""https://docs.google.com/spreadsheets/d/1TAY2D35yAzyl8a_p5CuZehQvmatfj0b0Q8ICl8GtJBY/edit"",""8!e37""))"),0.0)</f>
        <v>0</v>
      </c>
      <c r="I205" s="40">
        <f t="shared" si="540"/>
        <v>1015</v>
      </c>
      <c r="J205" s="40">
        <f>IFERROR(__xludf.DUMMYFUNCTION("IMPORTRANGE(""https://docs.google.com/spreadsheets/d/1TAY2D35yAzyl8a_p5CuZehQvmatfj0b0Q8ICl8GtJBY/edit"",""8!e40"")"),1811.0)</f>
        <v>1811</v>
      </c>
      <c r="K205" s="40">
        <f>IFERROR(__xludf.DUMMYFUNCTION("IMPORTRANGE(""https://docs.google.com/spreadsheets/d/1TAY2D35yAzyl8a_p5CuZehQvmatfj0b0Q8ICl8GtJBY/edit"",""8!e41"")"),0.0)</f>
        <v>0</v>
      </c>
      <c r="L205" s="40">
        <f t="shared" si="570"/>
        <v>1811</v>
      </c>
      <c r="M205" s="40">
        <f t="shared" si="542"/>
        <v>2826</v>
      </c>
      <c r="N205" s="41">
        <f t="shared" si="543"/>
        <v>197.3174091</v>
      </c>
      <c r="O205" s="38">
        <v>3569.0</v>
      </c>
      <c r="P205" s="42">
        <f t="shared" si="544"/>
        <v>0.7918184365</v>
      </c>
      <c r="Q205" s="43">
        <v>1.5</v>
      </c>
      <c r="R205" s="42">
        <f t="shared" si="545"/>
        <v>0.4340030818</v>
      </c>
      <c r="S205" s="44">
        <f t="shared" si="546"/>
        <v>0.6510046227</v>
      </c>
      <c r="T205" s="43">
        <f>F205/21.463</f>
        <v>202.2542515</v>
      </c>
      <c r="U205" s="43">
        <f t="shared" si="547"/>
        <v>9.193375068</v>
      </c>
      <c r="V205" s="40">
        <f t="shared" si="548"/>
        <v>128.4545455</v>
      </c>
      <c r="X205" s="31">
        <v>5.0</v>
      </c>
      <c r="Y205" s="31" t="s">
        <v>40</v>
      </c>
      <c r="Z205" s="31">
        <f t="shared" ref="Z205:AI205" si="573">SUM(D209)</f>
        <v>24</v>
      </c>
      <c r="AA205" s="32">
        <f t="shared" si="573"/>
        <v>23</v>
      </c>
      <c r="AB205" s="33">
        <f t="shared" si="573"/>
        <v>4550.88</v>
      </c>
      <c r="AC205" s="32">
        <f t="shared" si="573"/>
        <v>2501</v>
      </c>
      <c r="AD205" s="32">
        <f t="shared" si="573"/>
        <v>0</v>
      </c>
      <c r="AE205" s="32">
        <f t="shared" si="573"/>
        <v>2501</v>
      </c>
      <c r="AF205" s="32">
        <f t="shared" si="573"/>
        <v>3311</v>
      </c>
      <c r="AG205" s="32">
        <f t="shared" si="573"/>
        <v>0</v>
      </c>
      <c r="AH205" s="32">
        <f t="shared" si="573"/>
        <v>3311</v>
      </c>
      <c r="AI205" s="32">
        <f t="shared" si="573"/>
        <v>5812</v>
      </c>
      <c r="AJ205" s="34">
        <f t="shared" si="560"/>
        <v>197.8643478</v>
      </c>
      <c r="AK205" s="31">
        <f t="shared" ref="AK205:AK206" si="576">SUM(O209)</f>
        <v>8239</v>
      </c>
      <c r="AL205" s="35">
        <f t="shared" si="562"/>
        <v>0.7054254157</v>
      </c>
      <c r="AM205" s="36">
        <f t="shared" ref="AM205:AM206" si="577">SUM(Q209)</f>
        <v>1.5</v>
      </c>
      <c r="AN205" s="35">
        <f t="shared" si="564"/>
        <v>0.8514104232</v>
      </c>
      <c r="AO205" s="37">
        <f t="shared" si="565"/>
        <v>1.277115635</v>
      </c>
      <c r="AP205" s="36">
        <f t="shared" ref="AP205:AQ205" si="574">SUM(T209)</f>
        <v>160</v>
      </c>
      <c r="AQ205" s="36">
        <f t="shared" si="574"/>
        <v>6.956521739</v>
      </c>
      <c r="AR205" s="32">
        <f t="shared" si="567"/>
        <v>252.6956522</v>
      </c>
    </row>
    <row r="206" ht="15.75" customHeight="1">
      <c r="A206" s="21"/>
      <c r="B206" s="38">
        <v>12.0</v>
      </c>
      <c r="C206" s="38" t="s">
        <v>41</v>
      </c>
      <c r="D206" s="39">
        <v>20.0</v>
      </c>
      <c r="E206" s="40">
        <f>IFERROR(__xludf.DUMMYFUNCTION("COUNT(IMPORTRANGE(""https://docs.google.com/spreadsheets/d/1VAsUtLQHi7oV9NsI9EIHPnO1bcPJHeRgSbMoxSvPBME/edit"",""8!d2:d25""))"),20.0)</f>
        <v>20</v>
      </c>
      <c r="F206" s="45">
        <f>IFERROR(__xludf.DUMMYFUNCTION("SUM(IMPORTRANGE(""https://docs.google.com/spreadsheets/d/1VAsUtLQHi7oV9NsI9EIHPnO1bcPJHeRgSbMoxSvPBME/edit"",""8!Q2:Q25""))"),4006.364000000001)</f>
        <v>4006.364</v>
      </c>
      <c r="G206" s="40">
        <f>IFERROR(__xludf.DUMMYFUNCTION("IMPORTRANGE(""https://docs.google.com/spreadsheets/d/1VAsUtLQHi7oV9NsI9EIHPnO1bcPJHeRgSbMoxSvPBME/edit"",""8!e32"")"),1013.0)</f>
        <v>1013</v>
      </c>
      <c r="H206" s="40">
        <f>IFERROR(__xludf.DUMMYFUNCTION("IMPORTRANGE(""https://docs.google.com/spreadsheets/d/1VAsUtLQHi7oV9NsI9EIHPnO1bcPJHeRgSbMoxSvPBME/edit"",""8!e33"")"),0.0)</f>
        <v>0</v>
      </c>
      <c r="I206" s="40">
        <f t="shared" si="540"/>
        <v>1013</v>
      </c>
      <c r="J206" s="40">
        <f>IFERROR(__xludf.DUMMYFUNCTION("IMPORTRANGE(""https://docs.google.com/spreadsheets/d/1VAsUtLQHi7oV9NsI9EIHPnO1bcPJHeRgSbMoxSvPBME/edit"",""8!e36"")"),1399.0)</f>
        <v>1399</v>
      </c>
      <c r="K206" s="40">
        <f>IFERROR(__xludf.DUMMYFUNCTION("IMPORTRANGE(""https://docs.google.com/spreadsheets/d/1VAsUtLQHi7oV9NsI9EIHPnO1bcPJHeRgSbMoxSvPBME/edit"",""8!e37"")"),0.0)</f>
        <v>0</v>
      </c>
      <c r="L206" s="40">
        <f t="shared" si="570"/>
        <v>1399</v>
      </c>
      <c r="M206" s="40">
        <f t="shared" si="542"/>
        <v>2412</v>
      </c>
      <c r="N206" s="41">
        <f t="shared" si="543"/>
        <v>200.3182</v>
      </c>
      <c r="O206" s="38">
        <v>3801.0</v>
      </c>
      <c r="P206" s="42">
        <f t="shared" si="544"/>
        <v>0.63456985</v>
      </c>
      <c r="Q206" s="43">
        <v>1.5</v>
      </c>
      <c r="R206" s="42">
        <f t="shared" si="545"/>
        <v>0.401361434</v>
      </c>
      <c r="S206" s="44">
        <f t="shared" si="546"/>
        <v>0.6020421509</v>
      </c>
      <c r="T206" s="43">
        <f>F206/29.628</f>
        <v>135.2222222</v>
      </c>
      <c r="U206" s="43">
        <f t="shared" si="547"/>
        <v>6.761111111</v>
      </c>
      <c r="V206" s="40">
        <f t="shared" si="548"/>
        <v>120.6</v>
      </c>
      <c r="X206" s="22">
        <v>6.0</v>
      </c>
      <c r="Y206" s="22" t="s">
        <v>42</v>
      </c>
      <c r="Z206" s="22">
        <f t="shared" ref="Z206:AI206" si="575">SUM(D210)</f>
        <v>26</v>
      </c>
      <c r="AA206" s="23">
        <f t="shared" si="575"/>
        <v>25</v>
      </c>
      <c r="AB206" s="24">
        <f t="shared" si="575"/>
        <v>4890.985</v>
      </c>
      <c r="AC206" s="23">
        <f t="shared" si="575"/>
        <v>2317</v>
      </c>
      <c r="AD206" s="23">
        <f t="shared" si="575"/>
        <v>0</v>
      </c>
      <c r="AE206" s="23">
        <f t="shared" si="575"/>
        <v>2317</v>
      </c>
      <c r="AF206" s="23">
        <f t="shared" si="575"/>
        <v>3533</v>
      </c>
      <c r="AG206" s="23">
        <f t="shared" si="575"/>
        <v>0</v>
      </c>
      <c r="AH206" s="23">
        <f t="shared" si="575"/>
        <v>3533</v>
      </c>
      <c r="AI206" s="23">
        <f t="shared" si="575"/>
        <v>5850</v>
      </c>
      <c r="AJ206" s="25">
        <f t="shared" si="560"/>
        <v>195.6394</v>
      </c>
      <c r="AK206" s="22">
        <f t="shared" si="576"/>
        <v>9877</v>
      </c>
      <c r="AL206" s="26">
        <f t="shared" si="562"/>
        <v>0.5922851068</v>
      </c>
      <c r="AM206" s="27">
        <f t="shared" si="577"/>
        <v>1.5</v>
      </c>
      <c r="AN206" s="26">
        <f t="shared" si="564"/>
        <v>0.7973853937</v>
      </c>
      <c r="AO206" s="28">
        <f t="shared" si="565"/>
        <v>1.196078091</v>
      </c>
      <c r="AP206" s="27">
        <f t="shared" ref="AP206:AQ206" si="578">SUM(T210)</f>
        <v>187</v>
      </c>
      <c r="AQ206" s="27">
        <f t="shared" si="578"/>
        <v>7.48</v>
      </c>
      <c r="AR206" s="23">
        <f t="shared" si="567"/>
        <v>234</v>
      </c>
    </row>
    <row r="207" ht="15.75" customHeight="1">
      <c r="A207" s="21"/>
      <c r="B207" s="38">
        <v>13.0</v>
      </c>
      <c r="C207" s="38" t="s">
        <v>43</v>
      </c>
      <c r="D207" s="39">
        <v>24.0</v>
      </c>
      <c r="E207" s="40">
        <f>IFERROR(__xludf.DUMMYFUNCTION("COUNT(IMPORTRANGE(""https://docs.google.com/spreadsheets/d/1p9Y_DGk7-TpRBFth-ljZceOIGCjQ0ylUeUq6xqnsZ-Q/edit"",""8!d2:d31""))"),24.0)</f>
        <v>24</v>
      </c>
      <c r="F207" s="45">
        <f>IFERROR(__xludf.DUMMYFUNCTION("SUM(IMPORTRANGE(""https://docs.google.com/spreadsheets/d/1p9Y_DGk7-TpRBFth-ljZceOIGCjQ0ylUeUq6xqnsZ-Q/edit"",""8!Q2:Q31""))"),4551.606)</f>
        <v>4551.606</v>
      </c>
      <c r="G207" s="40">
        <f>IFERROR(__xludf.DUMMYFUNCTION("IMPORTRANGE(""https://docs.google.com/spreadsheets/d/1p9Y_DGk7-TpRBFth-ljZceOIGCjQ0ylUeUq6xqnsZ-Q/edit"",""8!e38"")"),1531.0)</f>
        <v>1531</v>
      </c>
      <c r="H207" s="40">
        <f>IFERROR(__xludf.DUMMYFUNCTION("IMPORTRANGE(""https://docs.google.com/spreadsheets/d/1p9Y_DGk7-TpRBFth-ljZceOIGCjQ0ylUeUq6xqnsZ-Q/edit"",""8!e39"")"),0.0)</f>
        <v>0</v>
      </c>
      <c r="I207" s="40">
        <f t="shared" si="540"/>
        <v>1531</v>
      </c>
      <c r="J207" s="40">
        <f>IFERROR(__xludf.DUMMYFUNCTION("IMPORTRANGE(""https://docs.google.com/spreadsheets/d/1p9Y_DGk7-TpRBFth-ljZceOIGCjQ0ylUeUq6xqnsZ-Q/edit"",""8!e42"")"),2241.0)</f>
        <v>2241</v>
      </c>
      <c r="K207" s="40">
        <f>IFERROR(__xludf.DUMMYFUNCTION("IMPORTRANGE(""https://docs.google.com/spreadsheets/d/1p9Y_DGk7-TpRBFth-ljZceOIGCjQ0ylUeUq6xqnsZ-Q/edit"",""8!e43"")"),109.0)</f>
        <v>109</v>
      </c>
      <c r="L207" s="40">
        <f t="shared" si="570"/>
        <v>2350</v>
      </c>
      <c r="M207" s="40">
        <f t="shared" si="542"/>
        <v>3881</v>
      </c>
      <c r="N207" s="41">
        <f t="shared" si="543"/>
        <v>189.65025</v>
      </c>
      <c r="O207" s="38">
        <v>8345.0</v>
      </c>
      <c r="P207" s="42">
        <f t="shared" si="544"/>
        <v>0.4650689035</v>
      </c>
      <c r="Q207" s="43">
        <v>1.5</v>
      </c>
      <c r="R207" s="42">
        <f t="shared" si="545"/>
        <v>0.5684440466</v>
      </c>
      <c r="S207" s="44">
        <f t="shared" si="546"/>
        <v>0.85266607</v>
      </c>
      <c r="T207" s="43">
        <f>F207/41.205</f>
        <v>110.4624681</v>
      </c>
      <c r="U207" s="43">
        <f t="shared" si="547"/>
        <v>4.602602839</v>
      </c>
      <c r="V207" s="40">
        <f t="shared" si="548"/>
        <v>161.7083333</v>
      </c>
      <c r="X207" s="46" t="s">
        <v>33</v>
      </c>
      <c r="Y207" s="46">
        <v>6.0</v>
      </c>
      <c r="Z207" s="46">
        <f t="shared" ref="Z207:AI207" si="579">SUM(Z201:Z206)</f>
        <v>180</v>
      </c>
      <c r="AA207" s="47">
        <f t="shared" si="579"/>
        <v>175</v>
      </c>
      <c r="AB207" s="49">
        <f t="shared" si="579"/>
        <v>34222.504</v>
      </c>
      <c r="AC207" s="47">
        <f t="shared" si="579"/>
        <v>12762</v>
      </c>
      <c r="AD207" s="47">
        <f t="shared" si="579"/>
        <v>99</v>
      </c>
      <c r="AE207" s="47">
        <f t="shared" si="579"/>
        <v>12861</v>
      </c>
      <c r="AF207" s="47">
        <f t="shared" si="579"/>
        <v>18333</v>
      </c>
      <c r="AG207" s="47">
        <f t="shared" si="579"/>
        <v>200</v>
      </c>
      <c r="AH207" s="47">
        <f t="shared" si="579"/>
        <v>18533</v>
      </c>
      <c r="AI207" s="47">
        <f t="shared" si="579"/>
        <v>31394</v>
      </c>
      <c r="AJ207" s="49">
        <f t="shared" si="560"/>
        <v>195.5571657</v>
      </c>
      <c r="AK207" s="46">
        <f>SUM(AK201:AK206)</f>
        <v>53273</v>
      </c>
      <c r="AL207" s="50">
        <f t="shared" si="562"/>
        <v>0.5893041503</v>
      </c>
      <c r="AM207" s="51">
        <v>1.5</v>
      </c>
      <c r="AN207" s="50">
        <f t="shared" si="564"/>
        <v>0.6115663931</v>
      </c>
      <c r="AO207" s="52">
        <f t="shared" si="565"/>
        <v>0.9173495896</v>
      </c>
      <c r="AP207" s="51">
        <f>SUM(AP201:AP206)</f>
        <v>1126.109003</v>
      </c>
      <c r="AQ207" s="51">
        <f>AP207/AA207</f>
        <v>6.434908589</v>
      </c>
      <c r="AR207" s="47">
        <f t="shared" si="567"/>
        <v>179.3942857</v>
      </c>
    </row>
    <row r="208" ht="15.75" customHeight="1">
      <c r="A208" s="21"/>
      <c r="B208" s="38">
        <v>14.0</v>
      </c>
      <c r="C208" s="38" t="s">
        <v>27</v>
      </c>
      <c r="D208" s="39">
        <v>24.0</v>
      </c>
      <c r="E208" s="40">
        <f>IFERROR(__xludf.DUMMYFUNCTION("COUNT(IMPORTRANGE(""https://docs.google.com/spreadsheets/d/1zJUDEKztv_fercXA0LYNw155qdzS7TJGhWLhquaW5IY/edit"",""8!d2:d31""))"),21.0)</f>
        <v>21</v>
      </c>
      <c r="F208" s="45">
        <f>IFERROR(__xludf.DUMMYFUNCTION("SUM(IMPORTRANGE(""https://docs.google.com/spreadsheets/d/1zJUDEKztv_fercXA0LYNw155qdzS7TJGhWLhquaW5IY/edit"",""8!Q2:Q31""))"),4012.877999999999)</f>
        <v>4012.878</v>
      </c>
      <c r="G208" s="40">
        <f>IFERROR(__xludf.DUMMYFUNCTION("IMPORTRANGE(""https://docs.google.com/spreadsheets/d/1zJUDEKztv_fercXA0LYNw155qdzS7TJGhWLhquaW5IY/edit"",""8!e38"")"),1829.0)</f>
        <v>1829</v>
      </c>
      <c r="H208" s="40">
        <f>IFERROR(__xludf.DUMMYFUNCTION("IMPORTRANGE(""https://docs.google.com/spreadsheets/d/1zJUDEKztv_fercXA0LYNw155qdzS7TJGhWLhquaW5IY/edit"",""8!e39"")"),0.0)</f>
        <v>0</v>
      </c>
      <c r="I208" s="40">
        <f t="shared" si="540"/>
        <v>1829</v>
      </c>
      <c r="J208" s="40">
        <f>IFERROR(__xludf.DUMMYFUNCTION("IMPORTRANGE(""https://docs.google.com/spreadsheets/d/1zJUDEKztv_fercXA0LYNw155qdzS7TJGhWLhquaW5IY/edit"",""8!e42"")"),2420.0)</f>
        <v>2420</v>
      </c>
      <c r="K208" s="40">
        <f>IFERROR(__xludf.DUMMYFUNCTION("IMPORTRANGE(""https://docs.google.com/spreadsheets/d/1zJUDEKztv_fercXA0LYNw155qdzS7TJGhWLhquaW5IY/edit"",""8!e43"")"),0.0)</f>
        <v>0</v>
      </c>
      <c r="L208" s="40">
        <f t="shared" si="570"/>
        <v>2420</v>
      </c>
      <c r="M208" s="40">
        <f t="shared" si="542"/>
        <v>4249</v>
      </c>
      <c r="N208" s="41">
        <f t="shared" si="543"/>
        <v>191.0894286</v>
      </c>
      <c r="O208" s="38">
        <v>8101.0</v>
      </c>
      <c r="P208" s="42">
        <f t="shared" si="544"/>
        <v>0.5245031478</v>
      </c>
      <c r="Q208" s="43">
        <v>1.5</v>
      </c>
      <c r="R208" s="42">
        <f t="shared" si="545"/>
        <v>0.7058940408</v>
      </c>
      <c r="S208" s="44">
        <f t="shared" si="546"/>
        <v>1.058841061</v>
      </c>
      <c r="T208" s="43">
        <f>F208/19.985</f>
        <v>200.7944959</v>
      </c>
      <c r="U208" s="43">
        <f t="shared" si="547"/>
        <v>9.561642661</v>
      </c>
      <c r="V208" s="40">
        <f t="shared" si="548"/>
        <v>202.3333333</v>
      </c>
      <c r="X208" s="59" t="s">
        <v>44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6"/>
    </row>
    <row r="209" ht="15.75" customHeight="1">
      <c r="A209" s="21"/>
      <c r="B209" s="38">
        <v>15.0</v>
      </c>
      <c r="C209" s="38" t="s">
        <v>40</v>
      </c>
      <c r="D209" s="39">
        <v>24.0</v>
      </c>
      <c r="E209" s="40">
        <f>IFERROR(__xludf.DUMMYFUNCTION("COUNT(IMPORTRANGE(""https://docs.google.com/spreadsheets/d/15GJA66Ucb-8RQ5vWVpq5HYaWoZZFX82SCeHChBujbrI/edit"",""8!d2:d31""))"),23.0)</f>
        <v>23</v>
      </c>
      <c r="F209" s="45">
        <f>IFERROR(__xludf.DUMMYFUNCTION("SUM(IMPORTRANGE(""https://docs.google.com/spreadsheets/d/15GJA66Ucb-8RQ5vWVpq5HYaWoZZFX82SCeHChBujbrI/edit"",""8!Q2:Q31""))"),4550.88)</f>
        <v>4550.88</v>
      </c>
      <c r="G209" s="40">
        <f>IFERROR(__xludf.DUMMYFUNCTION("IMPORTRANGE(""https://docs.google.com/spreadsheets/d/15GJA66Ucb-8RQ5vWVpq5HYaWoZZFX82SCeHChBujbrI/edit"",""8!e38"")"),2501.0)</f>
        <v>2501</v>
      </c>
      <c r="H209" s="40">
        <f>IFERROR(__xludf.DUMMYFUNCTION("IMPORTRANGE(""https://docs.google.com/spreadsheets/d/15GJA66Ucb-8RQ5vWVpq5HYaWoZZFX82SCeHChBujbrI/edit"",""8!e39"")"),0.0)</f>
        <v>0</v>
      </c>
      <c r="I209" s="40">
        <f t="shared" si="540"/>
        <v>2501</v>
      </c>
      <c r="J209" s="40">
        <f>IFERROR(__xludf.DUMMYFUNCTION("IMPORTRANGE(""https://docs.google.com/spreadsheets/d/15GJA66Ucb-8RQ5vWVpq5HYaWoZZFX82SCeHChBujbrI/edit"",""8!e42"")"),3311.0)</f>
        <v>3311</v>
      </c>
      <c r="K209" s="40">
        <f>IFERROR(__xludf.DUMMYFUNCTION("IMPORTRANGE(""https://docs.google.com/spreadsheets/d/15GJA66Ucb-8RQ5vWVpq5HYaWoZZFX82SCeHChBujbrI/edit"",""8!e43"")"),0.0)</f>
        <v>0</v>
      </c>
      <c r="L209" s="40">
        <f t="shared" si="570"/>
        <v>3311</v>
      </c>
      <c r="M209" s="40">
        <f t="shared" si="542"/>
        <v>5812</v>
      </c>
      <c r="N209" s="41">
        <f t="shared" si="543"/>
        <v>197.8643478</v>
      </c>
      <c r="O209" s="38">
        <v>8239.0</v>
      </c>
      <c r="P209" s="42">
        <f t="shared" si="544"/>
        <v>0.7054254157</v>
      </c>
      <c r="Q209" s="43">
        <v>1.5</v>
      </c>
      <c r="R209" s="42">
        <f t="shared" si="545"/>
        <v>0.8514104232</v>
      </c>
      <c r="S209" s="44">
        <f t="shared" si="546"/>
        <v>1.277115635</v>
      </c>
      <c r="T209" s="43">
        <f>F209/28.443</f>
        <v>160</v>
      </c>
      <c r="U209" s="43">
        <f t="shared" si="547"/>
        <v>6.956521739</v>
      </c>
      <c r="V209" s="40">
        <f t="shared" si="548"/>
        <v>252.6956522</v>
      </c>
      <c r="X209" s="14" t="s">
        <v>2</v>
      </c>
      <c r="Y209" s="14" t="s">
        <v>3</v>
      </c>
      <c r="Z209" s="14" t="s">
        <v>4</v>
      </c>
      <c r="AA209" s="14" t="s">
        <v>5</v>
      </c>
      <c r="AB209" s="15" t="s">
        <v>6</v>
      </c>
      <c r="AC209" s="14" t="s">
        <v>7</v>
      </c>
      <c r="AD209" s="14" t="s">
        <v>8</v>
      </c>
      <c r="AE209" s="14" t="s">
        <v>9</v>
      </c>
      <c r="AF209" s="14" t="s">
        <v>10</v>
      </c>
      <c r="AG209" s="14" t="s">
        <v>11</v>
      </c>
      <c r="AH209" s="14" t="s">
        <v>12</v>
      </c>
      <c r="AI209" s="14" t="s">
        <v>13</v>
      </c>
      <c r="AJ209" s="15" t="s">
        <v>14</v>
      </c>
      <c r="AK209" s="14" t="s">
        <v>15</v>
      </c>
      <c r="AL209" s="14" t="s">
        <v>16</v>
      </c>
      <c r="AM209" s="16" t="s">
        <v>17</v>
      </c>
      <c r="AN209" s="17" t="s">
        <v>18</v>
      </c>
      <c r="AO209" s="18" t="s">
        <v>19</v>
      </c>
      <c r="AP209" s="19" t="s">
        <v>20</v>
      </c>
      <c r="AQ209" s="19" t="s">
        <v>21</v>
      </c>
      <c r="AR209" s="20" t="s">
        <v>22</v>
      </c>
    </row>
    <row r="210" ht="15.75" customHeight="1">
      <c r="A210" s="21"/>
      <c r="B210" s="38">
        <v>16.0</v>
      </c>
      <c r="C210" s="38" t="s">
        <v>42</v>
      </c>
      <c r="D210" s="39">
        <v>26.0</v>
      </c>
      <c r="E210" s="40">
        <f>IFERROR(__xludf.DUMMYFUNCTION("COUNT(IMPORTRANGE(""https://docs.google.com/spreadsheets/d/14Tu_jFPEdrIQ6DHYu6vRvJKQsbXr-48NY1tKy4-8JKI/edit"",""8!d2:d34""))"),25.0)</f>
        <v>25</v>
      </c>
      <c r="F210" s="45">
        <f>IFERROR(__xludf.DUMMYFUNCTION("SUM(IMPORTRANGE(""https://docs.google.com/spreadsheets/d/14Tu_jFPEdrIQ6DHYu6vRvJKQsbXr-48NY1tKy4-8JKI/edit"",""8!Q2:Q34""))"),4890.984999999998)</f>
        <v>4890.985</v>
      </c>
      <c r="G210" s="40">
        <f>IFERROR(__xludf.DUMMYFUNCTION("IMPORTRANGE(""https://docs.google.com/spreadsheets/d/14Tu_jFPEdrIQ6DHYu6vRvJKQsbXr-48NY1tKy4-8JKI/edit"",""8!e41"")"),2317.0)</f>
        <v>2317</v>
      </c>
      <c r="H210" s="40">
        <f>IFERROR(__xludf.DUMMYFUNCTION("IMPORTRANGE(""https://docs.google.com/spreadsheets/d/14Tu_jFPEdrIQ6DHYu6vRvJKQsbXr-48NY1tKy4-8JKI/edit"",""8!e42"")"),0.0)</f>
        <v>0</v>
      </c>
      <c r="I210" s="40">
        <f t="shared" si="540"/>
        <v>2317</v>
      </c>
      <c r="J210" s="40">
        <f>IFERROR(__xludf.DUMMYFUNCTION("IMPORTRANGE(""https://docs.google.com/spreadsheets/d/14Tu_jFPEdrIQ6DHYu6vRvJKQsbXr-48NY1tKy4-8JKI/edit"",""8!e45"")"),3533.0)</f>
        <v>3533</v>
      </c>
      <c r="K210" s="40">
        <f>IFERROR(__xludf.DUMMYFUNCTION("IMPORTRANGE(""https://docs.google.com/spreadsheets/d/14Tu_jFPEdrIQ6DHYu6vRvJKQsbXr-48NY1tKy4-8JKI/edit"",""8!e46"")"),0.0)</f>
        <v>0</v>
      </c>
      <c r="L210" s="40">
        <f t="shared" si="570"/>
        <v>3533</v>
      </c>
      <c r="M210" s="40">
        <f t="shared" si="542"/>
        <v>5850</v>
      </c>
      <c r="N210" s="41">
        <f t="shared" si="543"/>
        <v>195.6394</v>
      </c>
      <c r="O210" s="38">
        <v>9877.0</v>
      </c>
      <c r="P210" s="42">
        <f t="shared" si="544"/>
        <v>0.5922851068</v>
      </c>
      <c r="Q210" s="43">
        <v>1.5</v>
      </c>
      <c r="R210" s="42">
        <f t="shared" si="545"/>
        <v>0.7973853937</v>
      </c>
      <c r="S210" s="44">
        <f t="shared" si="546"/>
        <v>1.196078091</v>
      </c>
      <c r="T210" s="43">
        <f>F210/26.155</f>
        <v>187</v>
      </c>
      <c r="U210" s="43">
        <f t="shared" si="547"/>
        <v>7.48</v>
      </c>
      <c r="V210" s="40">
        <f t="shared" si="548"/>
        <v>234</v>
      </c>
      <c r="X210" s="31">
        <v>1.0</v>
      </c>
      <c r="Y210" s="31" t="s">
        <v>26</v>
      </c>
      <c r="Z210" s="31">
        <f t="shared" ref="Z210:AI210" si="580">SUM(D195)</f>
        <v>16</v>
      </c>
      <c r="AA210" s="32">
        <f t="shared" si="580"/>
        <v>16</v>
      </c>
      <c r="AB210" s="34">
        <f t="shared" si="580"/>
        <v>3150.213</v>
      </c>
      <c r="AC210" s="32">
        <f t="shared" si="580"/>
        <v>1714</v>
      </c>
      <c r="AD210" s="32">
        <f t="shared" si="580"/>
        <v>30</v>
      </c>
      <c r="AE210" s="32">
        <f t="shared" si="580"/>
        <v>1744</v>
      </c>
      <c r="AF210" s="32">
        <f t="shared" si="580"/>
        <v>1923</v>
      </c>
      <c r="AG210" s="32">
        <f t="shared" si="580"/>
        <v>110</v>
      </c>
      <c r="AH210" s="32">
        <f t="shared" si="580"/>
        <v>2033</v>
      </c>
      <c r="AI210" s="32">
        <f t="shared" si="580"/>
        <v>3777</v>
      </c>
      <c r="AJ210" s="34">
        <f t="shared" ref="AJ210:AJ216" si="583">AB210/AA210</f>
        <v>196.8883125</v>
      </c>
      <c r="AK210" s="31">
        <f>SUM(O195)</f>
        <v>5161</v>
      </c>
      <c r="AL210" s="35">
        <f t="shared" ref="AL210:AL216" si="584">AI210/AK210</f>
        <v>0.7318349157</v>
      </c>
      <c r="AM210" s="36">
        <f>SUM(Q195)</f>
        <v>1.5</v>
      </c>
      <c r="AN210" s="35">
        <f t="shared" ref="AN210:AN216" si="585">AO210/AM210</f>
        <v>0.7993110307</v>
      </c>
      <c r="AO210" s="37">
        <f t="shared" ref="AO210:AO216" si="586">AI210/AB210</f>
        <v>1.198966546</v>
      </c>
      <c r="AP210" s="36">
        <f t="shared" ref="AP210:AQ210" si="581">SUM(T195)</f>
        <v>218.5371488</v>
      </c>
      <c r="AQ210" s="36">
        <f t="shared" si="581"/>
        <v>13.6585718</v>
      </c>
      <c r="AR210" s="32">
        <f t="shared" ref="AR210:AR216" si="588">AI210/AA210</f>
        <v>236.0625</v>
      </c>
    </row>
    <row r="211" ht="15.75" customHeight="1">
      <c r="A211" s="21"/>
      <c r="B211" s="38">
        <v>17.0</v>
      </c>
      <c r="C211" s="38" t="s">
        <v>29</v>
      </c>
      <c r="D211" s="39">
        <v>24.0</v>
      </c>
      <c r="E211" s="40">
        <f>IFERROR(__xludf.DUMMYFUNCTION("COUNT(IMPORTRANGE(""https://docs.google.com/spreadsheets/d/1ja_RQYsP0p5wRrACHojay4CW1wLx0QdS5tSwp-vYQ-s/edit"",""8!d2:d31""))"),24.0)</f>
        <v>24</v>
      </c>
      <c r="F211" s="45">
        <f>IFERROR(__xludf.DUMMYFUNCTION("SUM(IMPORTRANGE(""https://docs.google.com/spreadsheets/d/1ja_RQYsP0p5wRrACHojay4CW1wLx0QdS5tSwp-vYQ-s/edit"",""8!Q2:Q31""))"),4738.916000000001)</f>
        <v>4738.916</v>
      </c>
      <c r="G211" s="40">
        <f>IFERROR(__xludf.DUMMYFUNCTION("IMPORTRANGE(""https://docs.google.com/spreadsheets/d/1ja_RQYsP0p5wRrACHojay4CW1wLx0QdS5tSwp-vYQ-s/edit"",""8!e38"")"),1627.0)</f>
        <v>1627</v>
      </c>
      <c r="H211" s="40">
        <f>IFERROR(__xludf.DUMMYFUNCTION("IMPORTRANGE(""https://docs.google.com/spreadsheets/d/1ja_RQYsP0p5wRrACHojay4CW1wLx0QdS5tSwp-vYQ-s/edit"",""8!e39"")"),0.0)</f>
        <v>0</v>
      </c>
      <c r="I211" s="40">
        <f t="shared" si="540"/>
        <v>1627</v>
      </c>
      <c r="J211" s="40">
        <f>IFERROR(__xludf.DUMMYFUNCTION("IMPORTRANGE(""https://docs.google.com/spreadsheets/d/1ja_RQYsP0p5wRrACHojay4CW1wLx0QdS5tSwp-vYQ-s/edit"",""8!e42"")"),3426.0)</f>
        <v>3426</v>
      </c>
      <c r="K211" s="40">
        <f>IFERROR(__xludf.DUMMYFUNCTION("IMPORTRANGE(""https://docs.google.com/spreadsheets/d/1ja_RQYsP0p5wRrACHojay4CW1wLx0QdS5tSwp-vYQ-s/edit"",""8!e43"")"),0.0)</f>
        <v>0</v>
      </c>
      <c r="L211" s="40">
        <f t="shared" si="570"/>
        <v>3426</v>
      </c>
      <c r="M211" s="40">
        <f t="shared" si="542"/>
        <v>5053</v>
      </c>
      <c r="N211" s="41">
        <f t="shared" si="543"/>
        <v>197.4548333</v>
      </c>
      <c r="O211" s="38">
        <v>9201.0</v>
      </c>
      <c r="P211" s="42">
        <f t="shared" si="544"/>
        <v>0.549179437</v>
      </c>
      <c r="Q211" s="43">
        <v>1.5</v>
      </c>
      <c r="R211" s="42">
        <f t="shared" si="545"/>
        <v>0.7108517363</v>
      </c>
      <c r="S211" s="44">
        <f t="shared" si="546"/>
        <v>1.066277604</v>
      </c>
      <c r="T211" s="43">
        <f>F211/26.038</f>
        <v>182</v>
      </c>
      <c r="U211" s="43">
        <f t="shared" si="547"/>
        <v>7.583333333</v>
      </c>
      <c r="V211" s="40">
        <f t="shared" si="548"/>
        <v>210.5416667</v>
      </c>
      <c r="X211" s="31">
        <v>2.0</v>
      </c>
      <c r="Y211" s="31" t="s">
        <v>32</v>
      </c>
      <c r="Z211" s="31">
        <f t="shared" ref="Z211:AI211" si="582">SUM(D198)</f>
        <v>33</v>
      </c>
      <c r="AA211" s="32">
        <f t="shared" si="582"/>
        <v>33</v>
      </c>
      <c r="AB211" s="33">
        <f t="shared" si="582"/>
        <v>6436.403</v>
      </c>
      <c r="AC211" s="31">
        <f t="shared" si="582"/>
        <v>3720</v>
      </c>
      <c r="AD211" s="31">
        <f t="shared" si="582"/>
        <v>0</v>
      </c>
      <c r="AE211" s="32">
        <f t="shared" si="582"/>
        <v>3720</v>
      </c>
      <c r="AF211" s="31">
        <f t="shared" si="582"/>
        <v>3841</v>
      </c>
      <c r="AG211" s="31">
        <f t="shared" si="582"/>
        <v>0</v>
      </c>
      <c r="AH211" s="32">
        <f t="shared" si="582"/>
        <v>3841</v>
      </c>
      <c r="AI211" s="32">
        <f t="shared" si="582"/>
        <v>7561</v>
      </c>
      <c r="AJ211" s="34">
        <f t="shared" si="583"/>
        <v>195.0425152</v>
      </c>
      <c r="AK211" s="31">
        <f>SUM(O198)</f>
        <v>13817</v>
      </c>
      <c r="AL211" s="35">
        <f t="shared" si="584"/>
        <v>0.5472244337</v>
      </c>
      <c r="AM211" s="36">
        <f>SUM(Q198)</f>
        <v>1.5</v>
      </c>
      <c r="AN211" s="35">
        <f t="shared" si="585"/>
        <v>0.783149636</v>
      </c>
      <c r="AO211" s="37">
        <f t="shared" si="586"/>
        <v>1.174724454</v>
      </c>
      <c r="AP211" s="36">
        <f t="shared" ref="AP211:AQ211" si="587">SUM(T198)</f>
        <v>256.5428275</v>
      </c>
      <c r="AQ211" s="36">
        <f t="shared" si="587"/>
        <v>7.774025077</v>
      </c>
      <c r="AR211" s="32">
        <f t="shared" si="588"/>
        <v>229.1212121</v>
      </c>
    </row>
    <row r="212" ht="15.75" customHeight="1">
      <c r="A212" s="21"/>
      <c r="B212" s="38">
        <v>18.0</v>
      </c>
      <c r="C212" s="38" t="s">
        <v>31</v>
      </c>
      <c r="D212" s="39">
        <v>12.0</v>
      </c>
      <c r="E212" s="40">
        <f>IFERROR(__xludf.DUMMYFUNCTION("COUNT(IMPORTRANGE(""https://docs.google.com/spreadsheets/d/1ObnK1oSznTOmyW9Zcd2kxExl7TOnO2MNq_0giEKc_mE/edit"",""8!d2:d16""))"),11.0)</f>
        <v>11</v>
      </c>
      <c r="F212" s="41">
        <f>IFERROR(__xludf.DUMMYFUNCTION("SUM(IMPORTRANGE(""https://docs.google.com/spreadsheets/d/1ObnK1oSznTOmyW9Zcd2kxExl7TOnO2MNq_0giEKc_mE/edit"",""8!Q2:Q16""))"),2129.7850000000003)</f>
        <v>2129.785</v>
      </c>
      <c r="G212" s="40">
        <f>IFERROR(__xludf.DUMMYFUNCTION("IMPORTRANGE(""https://docs.google.com/spreadsheets/d/1ObnK1oSznTOmyW9Zcd2kxExl7TOnO2MNq_0giEKc_mE/edit"",""8!e23"")"),570.0)</f>
        <v>570</v>
      </c>
      <c r="H212" s="40">
        <f>IFERROR(__xludf.DUMMYFUNCTION("IMPORTRANGE(""https://docs.google.com/spreadsheets/d/1ObnK1oSznTOmyW9Zcd2kxExl7TOnO2MNq_0giEKc_mE/edit"",""8!e24"")"),42.0)</f>
        <v>42</v>
      </c>
      <c r="I212" s="40">
        <f t="shared" si="540"/>
        <v>612</v>
      </c>
      <c r="J212" s="40">
        <f>IFERROR(__xludf.DUMMYFUNCTION("IMPORTRANGE(""https://docs.google.com/spreadsheets/d/1ObnK1oSznTOmyW9Zcd2kxExl7TOnO2MNq_0giEKc_mE/edit"",""8!e27"")"),769.0)</f>
        <v>769</v>
      </c>
      <c r="K212" s="40">
        <f>IFERROR(__xludf.DUMMYFUNCTION("IMPORTRANGE(""https://docs.google.com/spreadsheets/d/1ObnK1oSznTOmyW9Zcd2kxExl7TOnO2MNq_0giEKc_mE/edit"",""8!e28"")"),0.0)</f>
        <v>0</v>
      </c>
      <c r="L212" s="40">
        <f t="shared" si="570"/>
        <v>769</v>
      </c>
      <c r="M212" s="40">
        <f t="shared" si="542"/>
        <v>1381</v>
      </c>
      <c r="N212" s="41">
        <f t="shared" si="543"/>
        <v>193.6168182</v>
      </c>
      <c r="O212" s="38">
        <v>2717.0</v>
      </c>
      <c r="P212" s="42">
        <f t="shared" si="544"/>
        <v>0.5082811925</v>
      </c>
      <c r="Q212" s="43">
        <v>1.5</v>
      </c>
      <c r="R212" s="42">
        <f t="shared" si="545"/>
        <v>0.4322815057</v>
      </c>
      <c r="S212" s="44">
        <f t="shared" si="546"/>
        <v>0.6484222586</v>
      </c>
      <c r="T212" s="43">
        <f>F212/43.465</f>
        <v>49</v>
      </c>
      <c r="U212" s="43">
        <f t="shared" si="547"/>
        <v>4.454545455</v>
      </c>
      <c r="V212" s="40">
        <f t="shared" si="548"/>
        <v>125.5454545</v>
      </c>
      <c r="X212" s="31">
        <v>3.0</v>
      </c>
      <c r="Y212" s="31" t="s">
        <v>36</v>
      </c>
      <c r="Z212" s="31">
        <f t="shared" ref="Z212:AI212" si="589">SUM(D203)</f>
        <v>23</v>
      </c>
      <c r="AA212" s="32">
        <f t="shared" si="589"/>
        <v>23</v>
      </c>
      <c r="AB212" s="33">
        <f t="shared" si="589"/>
        <v>4520.71</v>
      </c>
      <c r="AC212" s="32">
        <f t="shared" si="589"/>
        <v>1031</v>
      </c>
      <c r="AD212" s="32">
        <f t="shared" si="589"/>
        <v>56</v>
      </c>
      <c r="AE212" s="32">
        <f t="shared" si="589"/>
        <v>1087</v>
      </c>
      <c r="AF212" s="32">
        <f t="shared" si="589"/>
        <v>1507</v>
      </c>
      <c r="AG212" s="32">
        <f t="shared" si="589"/>
        <v>55</v>
      </c>
      <c r="AH212" s="32">
        <f t="shared" si="589"/>
        <v>1562</v>
      </c>
      <c r="AI212" s="32">
        <f t="shared" si="589"/>
        <v>2649</v>
      </c>
      <c r="AJ212" s="34">
        <f t="shared" si="583"/>
        <v>196.5526087</v>
      </c>
      <c r="AK212" s="31">
        <f t="shared" ref="AK212:AK215" si="593">SUM(O203)</f>
        <v>4796</v>
      </c>
      <c r="AL212" s="35">
        <f t="shared" si="584"/>
        <v>0.5523352794</v>
      </c>
      <c r="AM212" s="36">
        <f t="shared" ref="AM212:AM215" si="594">SUM(Q203)</f>
        <v>1.5</v>
      </c>
      <c r="AN212" s="35">
        <f t="shared" si="585"/>
        <v>0.390646602</v>
      </c>
      <c r="AO212" s="37">
        <f t="shared" si="586"/>
        <v>0.585969903</v>
      </c>
      <c r="AP212" s="36">
        <f t="shared" ref="AP212:AQ212" si="590">SUM(T203)</f>
        <v>120.8293687</v>
      </c>
      <c r="AQ212" s="36">
        <f t="shared" si="590"/>
        <v>5.253450812</v>
      </c>
      <c r="AR212" s="32">
        <f t="shared" si="588"/>
        <v>115.173913</v>
      </c>
    </row>
    <row r="213" ht="15.75" customHeight="1">
      <c r="A213" s="21"/>
      <c r="B213" s="60" t="s">
        <v>33</v>
      </c>
      <c r="C213" s="60">
        <v>18.0</v>
      </c>
      <c r="D213" s="60">
        <f t="shared" ref="D213:M213" si="591">SUM(D195:D212)</f>
        <v>470</v>
      </c>
      <c r="E213" s="61">
        <f t="shared" si="591"/>
        <v>459</v>
      </c>
      <c r="F213" s="62">
        <f t="shared" si="591"/>
        <v>89118.69</v>
      </c>
      <c r="G213" s="61">
        <f t="shared" si="591"/>
        <v>30715</v>
      </c>
      <c r="H213" s="61">
        <f t="shared" si="591"/>
        <v>428</v>
      </c>
      <c r="I213" s="61">
        <f t="shared" si="591"/>
        <v>31143</v>
      </c>
      <c r="J213" s="61">
        <f t="shared" si="591"/>
        <v>43760</v>
      </c>
      <c r="K213" s="61">
        <f t="shared" si="591"/>
        <v>788</v>
      </c>
      <c r="L213" s="61">
        <f t="shared" si="591"/>
        <v>44548</v>
      </c>
      <c r="M213" s="61">
        <f t="shared" si="591"/>
        <v>75691</v>
      </c>
      <c r="N213" s="62">
        <f t="shared" si="543"/>
        <v>194.158366</v>
      </c>
      <c r="O213" s="60">
        <f>SUM(O195:O212)</f>
        <v>126399</v>
      </c>
      <c r="P213" s="63">
        <f t="shared" si="544"/>
        <v>0.5988259401</v>
      </c>
      <c r="Q213" s="64">
        <v>1.5</v>
      </c>
      <c r="R213" s="63">
        <f t="shared" si="545"/>
        <v>0.5662186761</v>
      </c>
      <c r="S213" s="65">
        <f t="shared" si="546"/>
        <v>0.8493280141</v>
      </c>
      <c r="T213" s="64">
        <f>SUM(T195:T212)</f>
        <v>3290.734429</v>
      </c>
      <c r="U213" s="64">
        <f t="shared" si="547"/>
        <v>7.169356055</v>
      </c>
      <c r="V213" s="61">
        <f t="shared" si="548"/>
        <v>164.9041394</v>
      </c>
      <c r="X213" s="31">
        <v>4.0</v>
      </c>
      <c r="Y213" s="31" t="s">
        <v>37</v>
      </c>
      <c r="Z213" s="31">
        <f t="shared" ref="Z213:AI213" si="592">SUM(D204)</f>
        <v>24</v>
      </c>
      <c r="AA213" s="32">
        <f t="shared" si="592"/>
        <v>23</v>
      </c>
      <c r="AB213" s="33">
        <f t="shared" si="592"/>
        <v>4583.898</v>
      </c>
      <c r="AC213" s="32">
        <f t="shared" si="592"/>
        <v>1578</v>
      </c>
      <c r="AD213" s="32">
        <f t="shared" si="592"/>
        <v>0</v>
      </c>
      <c r="AE213" s="32">
        <f t="shared" si="592"/>
        <v>1578</v>
      </c>
      <c r="AF213" s="32">
        <f t="shared" si="592"/>
        <v>2312</v>
      </c>
      <c r="AG213" s="32">
        <f t="shared" si="592"/>
        <v>83</v>
      </c>
      <c r="AH213" s="32">
        <f t="shared" si="592"/>
        <v>2395</v>
      </c>
      <c r="AI213" s="32">
        <f t="shared" si="592"/>
        <v>3973</v>
      </c>
      <c r="AJ213" s="34">
        <f t="shared" si="583"/>
        <v>199.299913</v>
      </c>
      <c r="AK213" s="31">
        <f t="shared" si="593"/>
        <v>5887</v>
      </c>
      <c r="AL213" s="35">
        <f t="shared" si="584"/>
        <v>0.6748768473</v>
      </c>
      <c r="AM213" s="36">
        <f t="shared" si="594"/>
        <v>1.5</v>
      </c>
      <c r="AN213" s="35">
        <f t="shared" si="585"/>
        <v>0.5778197217</v>
      </c>
      <c r="AO213" s="37">
        <f t="shared" si="586"/>
        <v>0.8667295826</v>
      </c>
      <c r="AP213" s="36">
        <f t="shared" ref="AP213:AQ213" si="595">SUM(T204)</f>
        <v>184.8942401</v>
      </c>
      <c r="AQ213" s="36">
        <f t="shared" si="595"/>
        <v>8.038880003</v>
      </c>
      <c r="AR213" s="32">
        <f t="shared" si="588"/>
        <v>172.7391304</v>
      </c>
    </row>
    <row r="214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X214" s="31">
        <v>5.0</v>
      </c>
      <c r="Y214" s="31" t="s">
        <v>39</v>
      </c>
      <c r="Z214" s="31">
        <f t="shared" ref="Z214:AI214" si="596">SUM(D205)</f>
        <v>22</v>
      </c>
      <c r="AA214" s="32">
        <f t="shared" si="596"/>
        <v>22</v>
      </c>
      <c r="AB214" s="33">
        <f t="shared" si="596"/>
        <v>4340.983</v>
      </c>
      <c r="AC214" s="32">
        <f t="shared" si="596"/>
        <v>1015</v>
      </c>
      <c r="AD214" s="32">
        <f t="shared" si="596"/>
        <v>0</v>
      </c>
      <c r="AE214" s="32">
        <f t="shared" si="596"/>
        <v>1015</v>
      </c>
      <c r="AF214" s="32">
        <f t="shared" si="596"/>
        <v>1811</v>
      </c>
      <c r="AG214" s="32">
        <f t="shared" si="596"/>
        <v>0</v>
      </c>
      <c r="AH214" s="32">
        <f t="shared" si="596"/>
        <v>1811</v>
      </c>
      <c r="AI214" s="32">
        <f t="shared" si="596"/>
        <v>2826</v>
      </c>
      <c r="AJ214" s="34">
        <f t="shared" si="583"/>
        <v>197.3174091</v>
      </c>
      <c r="AK214" s="31">
        <f t="shared" si="593"/>
        <v>3569</v>
      </c>
      <c r="AL214" s="35">
        <f t="shared" si="584"/>
        <v>0.7918184365</v>
      </c>
      <c r="AM214" s="36">
        <f t="shared" si="594"/>
        <v>1.5</v>
      </c>
      <c r="AN214" s="35">
        <f t="shared" si="585"/>
        <v>0.4340030818</v>
      </c>
      <c r="AO214" s="37">
        <f t="shared" si="586"/>
        <v>0.6510046227</v>
      </c>
      <c r="AP214" s="36">
        <f t="shared" ref="AP214:AQ214" si="597">SUM(T205)</f>
        <v>202.2542515</v>
      </c>
      <c r="AQ214" s="36">
        <f t="shared" si="597"/>
        <v>9.193375068</v>
      </c>
      <c r="AR214" s="32">
        <f t="shared" si="588"/>
        <v>128.4545455</v>
      </c>
    </row>
    <row r="215" ht="15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X215" s="31">
        <v>6.0</v>
      </c>
      <c r="Y215" s="31" t="s">
        <v>41</v>
      </c>
      <c r="Z215" s="31">
        <f t="shared" ref="Z215:AI215" si="598">SUM(D206)</f>
        <v>20</v>
      </c>
      <c r="AA215" s="32">
        <f t="shared" si="598"/>
        <v>20</v>
      </c>
      <c r="AB215" s="33">
        <f t="shared" si="598"/>
        <v>4006.364</v>
      </c>
      <c r="AC215" s="32">
        <f t="shared" si="598"/>
        <v>1013</v>
      </c>
      <c r="AD215" s="32">
        <f t="shared" si="598"/>
        <v>0</v>
      </c>
      <c r="AE215" s="32">
        <f t="shared" si="598"/>
        <v>1013</v>
      </c>
      <c r="AF215" s="32">
        <f t="shared" si="598"/>
        <v>1399</v>
      </c>
      <c r="AG215" s="32">
        <f t="shared" si="598"/>
        <v>0</v>
      </c>
      <c r="AH215" s="32">
        <f t="shared" si="598"/>
        <v>1399</v>
      </c>
      <c r="AI215" s="32">
        <f t="shared" si="598"/>
        <v>2412</v>
      </c>
      <c r="AJ215" s="34">
        <f t="shared" si="583"/>
        <v>200.3182</v>
      </c>
      <c r="AK215" s="31">
        <f t="shared" si="593"/>
        <v>3801</v>
      </c>
      <c r="AL215" s="35">
        <f t="shared" si="584"/>
        <v>0.63456985</v>
      </c>
      <c r="AM215" s="36">
        <f t="shared" si="594"/>
        <v>1.5</v>
      </c>
      <c r="AN215" s="35">
        <f t="shared" si="585"/>
        <v>0.401361434</v>
      </c>
      <c r="AO215" s="37">
        <f t="shared" si="586"/>
        <v>0.6020421509</v>
      </c>
      <c r="AP215" s="36">
        <f t="shared" ref="AP215:AQ215" si="599">SUM(T206)</f>
        <v>135.2222222</v>
      </c>
      <c r="AQ215" s="36">
        <f t="shared" si="599"/>
        <v>6.761111111</v>
      </c>
      <c r="AR215" s="32">
        <f t="shared" si="588"/>
        <v>120.6</v>
      </c>
    </row>
    <row r="216" ht="15.75" customHeight="1">
      <c r="A216" s="1" t="s">
        <v>45</v>
      </c>
      <c r="D216" s="2"/>
      <c r="X216" s="46" t="s">
        <v>33</v>
      </c>
      <c r="Y216" s="46">
        <v>6.0</v>
      </c>
      <c r="Z216" s="46">
        <f t="shared" ref="Z216:AI216" si="600">SUM(Z210:Z215)</f>
        <v>138</v>
      </c>
      <c r="AA216" s="47">
        <f t="shared" si="600"/>
        <v>137</v>
      </c>
      <c r="AB216" s="49">
        <f t="shared" si="600"/>
        <v>27038.571</v>
      </c>
      <c r="AC216" s="47">
        <f t="shared" si="600"/>
        <v>10071</v>
      </c>
      <c r="AD216" s="47">
        <f t="shared" si="600"/>
        <v>86</v>
      </c>
      <c r="AE216" s="47">
        <f t="shared" si="600"/>
        <v>10157</v>
      </c>
      <c r="AF216" s="47">
        <f t="shared" si="600"/>
        <v>12793</v>
      </c>
      <c r="AG216" s="47">
        <f t="shared" si="600"/>
        <v>248</v>
      </c>
      <c r="AH216" s="47">
        <f t="shared" si="600"/>
        <v>13041</v>
      </c>
      <c r="AI216" s="47">
        <f t="shared" si="600"/>
        <v>23198</v>
      </c>
      <c r="AJ216" s="49">
        <f t="shared" si="583"/>
        <v>197.3618321</v>
      </c>
      <c r="AK216" s="46">
        <f>SUM(AK210:AK215)</f>
        <v>37031</v>
      </c>
      <c r="AL216" s="50">
        <f t="shared" si="584"/>
        <v>0.626448111</v>
      </c>
      <c r="AM216" s="51">
        <v>1.5</v>
      </c>
      <c r="AN216" s="50">
        <f t="shared" si="585"/>
        <v>0.5719730282</v>
      </c>
      <c r="AO216" s="52">
        <f t="shared" si="586"/>
        <v>0.8579595423</v>
      </c>
      <c r="AP216" s="51">
        <f>SUM(AP210:AP215)</f>
        <v>1118.280059</v>
      </c>
      <c r="AQ216" s="51">
        <f>AP216/AA216</f>
        <v>8.162628167</v>
      </c>
      <c r="AR216" s="47">
        <f t="shared" si="588"/>
        <v>169.3284672</v>
      </c>
    </row>
    <row r="217" ht="15.75" customHeight="1">
      <c r="A217" s="1" t="s">
        <v>45</v>
      </c>
      <c r="D217" s="2"/>
      <c r="X217" s="66" t="s">
        <v>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6"/>
    </row>
    <row r="218" ht="15.75" customHeight="1">
      <c r="A218" s="10">
        <v>46243.0</v>
      </c>
      <c r="B218" s="8" t="s">
        <v>2</v>
      </c>
      <c r="C218" s="8" t="s">
        <v>3</v>
      </c>
      <c r="D218" s="8" t="s">
        <v>4</v>
      </c>
      <c r="E218" s="8" t="s">
        <v>5</v>
      </c>
      <c r="F218" s="9" t="s">
        <v>6</v>
      </c>
      <c r="G218" s="8" t="s">
        <v>7</v>
      </c>
      <c r="H218" s="8" t="s">
        <v>8</v>
      </c>
      <c r="I218" s="8" t="s">
        <v>9</v>
      </c>
      <c r="J218" s="8" t="s">
        <v>10</v>
      </c>
      <c r="K218" s="8" t="s">
        <v>11</v>
      </c>
      <c r="L218" s="8" t="s">
        <v>12</v>
      </c>
      <c r="M218" s="8" t="s">
        <v>13</v>
      </c>
      <c r="N218" s="9" t="s">
        <v>14</v>
      </c>
      <c r="O218" s="8" t="s">
        <v>15</v>
      </c>
      <c r="P218" s="8" t="s">
        <v>16</v>
      </c>
      <c r="Q218" s="8" t="s">
        <v>17</v>
      </c>
      <c r="R218" s="8" t="s">
        <v>18</v>
      </c>
      <c r="S218" s="11" t="s">
        <v>19</v>
      </c>
      <c r="T218" s="12" t="s">
        <v>20</v>
      </c>
      <c r="U218" s="12" t="s">
        <v>21</v>
      </c>
      <c r="V218" s="13" t="s">
        <v>22</v>
      </c>
      <c r="X218" s="14" t="s">
        <v>2</v>
      </c>
      <c r="Y218" s="14" t="s">
        <v>3</v>
      </c>
      <c r="Z218" s="14" t="s">
        <v>4</v>
      </c>
      <c r="AA218" s="14" t="s">
        <v>5</v>
      </c>
      <c r="AB218" s="15" t="s">
        <v>6</v>
      </c>
      <c r="AC218" s="14" t="s">
        <v>7</v>
      </c>
      <c r="AD218" s="14" t="s">
        <v>8</v>
      </c>
      <c r="AE218" s="14" t="s">
        <v>9</v>
      </c>
      <c r="AF218" s="14" t="s">
        <v>10</v>
      </c>
      <c r="AG218" s="14" t="s">
        <v>11</v>
      </c>
      <c r="AH218" s="14" t="s">
        <v>12</v>
      </c>
      <c r="AI218" s="14" t="s">
        <v>13</v>
      </c>
      <c r="AJ218" s="15" t="s">
        <v>14</v>
      </c>
      <c r="AK218" s="14" t="s">
        <v>15</v>
      </c>
      <c r="AL218" s="14" t="s">
        <v>16</v>
      </c>
      <c r="AM218" s="16" t="s">
        <v>17</v>
      </c>
      <c r="AN218" s="17" t="s">
        <v>18</v>
      </c>
      <c r="AO218" s="18" t="s">
        <v>19</v>
      </c>
      <c r="AP218" s="19" t="s">
        <v>20</v>
      </c>
      <c r="AQ218" s="19" t="s">
        <v>21</v>
      </c>
      <c r="AR218" s="20" t="s">
        <v>22</v>
      </c>
    </row>
    <row r="219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X219" s="22">
        <v>1.0</v>
      </c>
      <c r="Y219" s="22" t="s">
        <v>23</v>
      </c>
      <c r="Z219" s="22">
        <f t="shared" ref="Z219:AI219" si="601">SUM(D227)</f>
        <v>26</v>
      </c>
      <c r="AA219" s="23">
        <f t="shared" si="601"/>
        <v>26</v>
      </c>
      <c r="AB219" s="24">
        <f t="shared" si="601"/>
        <v>5195.96</v>
      </c>
      <c r="AC219" s="23">
        <f t="shared" si="601"/>
        <v>994</v>
      </c>
      <c r="AD219" s="23">
        <f t="shared" si="601"/>
        <v>0</v>
      </c>
      <c r="AE219" s="23">
        <f t="shared" si="601"/>
        <v>994</v>
      </c>
      <c r="AF219" s="23">
        <f t="shared" si="601"/>
        <v>2012</v>
      </c>
      <c r="AG219" s="23">
        <f t="shared" si="601"/>
        <v>0</v>
      </c>
      <c r="AH219" s="23">
        <f t="shared" si="601"/>
        <v>2012</v>
      </c>
      <c r="AI219" s="23">
        <f t="shared" si="601"/>
        <v>3006</v>
      </c>
      <c r="AJ219" s="25">
        <f t="shared" ref="AJ219:AJ221" si="604">AB219/AA219</f>
        <v>199.8446154</v>
      </c>
      <c r="AK219" s="22">
        <f>SUM(O227)</f>
        <v>6853</v>
      </c>
      <c r="AL219" s="26">
        <f t="shared" ref="AL219:AL225" si="605">AI219/AK219</f>
        <v>0.4386400117</v>
      </c>
      <c r="AM219" s="27">
        <f t="shared" ref="AM219:AM221" si="606">SUM(Q227)</f>
        <v>1.5</v>
      </c>
      <c r="AN219" s="26">
        <f t="shared" ref="AN219:AN225" si="607">AO219/AM219</f>
        <v>0.3856842624</v>
      </c>
      <c r="AO219" s="28">
        <f t="shared" ref="AO219:AO225" si="608">AI219/AB219</f>
        <v>0.5785263936</v>
      </c>
      <c r="AP219" s="27">
        <f t="shared" ref="AP219:AQ219" si="602">SUM(T227)</f>
        <v>154</v>
      </c>
      <c r="AQ219" s="27">
        <f t="shared" si="602"/>
        <v>5.923076923</v>
      </c>
      <c r="AR219" s="23">
        <f t="shared" ref="AR219:AR225" si="610">AI219/AA219</f>
        <v>115.6153846</v>
      </c>
    </row>
    <row r="220" ht="15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X220" s="22">
        <v>2.0</v>
      </c>
      <c r="Y220" s="22" t="s">
        <v>24</v>
      </c>
      <c r="Z220" s="22">
        <f t="shared" ref="Z220:AI220" si="603">SUM(D228)</f>
        <v>35</v>
      </c>
      <c r="AA220" s="23">
        <f t="shared" si="603"/>
        <v>34</v>
      </c>
      <c r="AB220" s="24">
        <f t="shared" si="603"/>
        <v>6420.149</v>
      </c>
      <c r="AC220" s="23">
        <f t="shared" si="603"/>
        <v>669</v>
      </c>
      <c r="AD220" s="23">
        <f t="shared" si="603"/>
        <v>0</v>
      </c>
      <c r="AE220" s="23">
        <f t="shared" si="603"/>
        <v>669</v>
      </c>
      <c r="AF220" s="23">
        <f t="shared" si="603"/>
        <v>960</v>
      </c>
      <c r="AG220" s="23">
        <f t="shared" si="603"/>
        <v>20</v>
      </c>
      <c r="AH220" s="23">
        <f t="shared" si="603"/>
        <v>980</v>
      </c>
      <c r="AI220" s="23">
        <f t="shared" si="603"/>
        <v>1649</v>
      </c>
      <c r="AJ220" s="25">
        <f t="shared" si="604"/>
        <v>188.8279118</v>
      </c>
      <c r="AK220" s="22">
        <v>1580.0</v>
      </c>
      <c r="AL220" s="29">
        <f t="shared" si="605"/>
        <v>1.043670886</v>
      </c>
      <c r="AM220" s="27">
        <f t="shared" si="606"/>
        <v>1.5</v>
      </c>
      <c r="AN220" s="26">
        <f t="shared" si="607"/>
        <v>0.1712317476</v>
      </c>
      <c r="AO220" s="28">
        <f t="shared" si="608"/>
        <v>0.2568476214</v>
      </c>
      <c r="AP220" s="27">
        <f t="shared" ref="AP220:AQ220" si="609">SUM(T228)</f>
        <v>239.5131132</v>
      </c>
      <c r="AQ220" s="27">
        <f t="shared" si="609"/>
        <v>7.04450333</v>
      </c>
      <c r="AR220" s="23">
        <f t="shared" si="610"/>
        <v>48.5</v>
      </c>
    </row>
    <row r="221" ht="15.75" customHeight="1">
      <c r="A221" s="21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X221" s="31">
        <v>3.0</v>
      </c>
      <c r="Y221" s="31" t="s">
        <v>25</v>
      </c>
      <c r="Z221" s="31">
        <f t="shared" ref="Z221:AI221" si="611">SUM(D229)</f>
        <v>26</v>
      </c>
      <c r="AA221" s="32">
        <f t="shared" si="611"/>
        <v>25</v>
      </c>
      <c r="AB221" s="33">
        <f t="shared" si="611"/>
        <v>4817.448</v>
      </c>
      <c r="AC221" s="32">
        <f t="shared" si="611"/>
        <v>1478</v>
      </c>
      <c r="AD221" s="32">
        <f t="shared" si="611"/>
        <v>319</v>
      </c>
      <c r="AE221" s="32">
        <f t="shared" si="611"/>
        <v>1797</v>
      </c>
      <c r="AF221" s="32">
        <f t="shared" si="611"/>
        <v>2619</v>
      </c>
      <c r="AG221" s="32">
        <f t="shared" si="611"/>
        <v>306</v>
      </c>
      <c r="AH221" s="32">
        <f t="shared" si="611"/>
        <v>2925</v>
      </c>
      <c r="AI221" s="32">
        <f t="shared" si="611"/>
        <v>4722</v>
      </c>
      <c r="AJ221" s="34">
        <f t="shared" si="604"/>
        <v>192.69792</v>
      </c>
      <c r="AK221" s="31">
        <f>SUM(O229)</f>
        <v>6622</v>
      </c>
      <c r="AL221" s="35">
        <f t="shared" si="605"/>
        <v>0.7130776201</v>
      </c>
      <c r="AM221" s="36">
        <f t="shared" si="606"/>
        <v>1.5</v>
      </c>
      <c r="AN221" s="35">
        <f t="shared" si="607"/>
        <v>0.6534580135</v>
      </c>
      <c r="AO221" s="37">
        <f t="shared" si="608"/>
        <v>0.9801870202</v>
      </c>
      <c r="AP221" s="36">
        <f t="shared" ref="AP221:AQ221" si="612">SUM(T229)</f>
        <v>202.0741611</v>
      </c>
      <c r="AQ221" s="36">
        <f t="shared" si="612"/>
        <v>8.082966443</v>
      </c>
      <c r="AR221" s="32">
        <f t="shared" si="610"/>
        <v>188.88</v>
      </c>
    </row>
    <row r="222" ht="15.75" customHeight="1">
      <c r="A222" s="21"/>
      <c r="B222" s="38">
        <v>1.0</v>
      </c>
      <c r="C222" s="38" t="s">
        <v>26</v>
      </c>
      <c r="D222" s="39">
        <v>15.0</v>
      </c>
      <c r="E222" s="40">
        <f>IFERROR(__xludf.DUMMYFUNCTION("COUNT(IMPORTRANGE(""https://docs.google.com/spreadsheets/d/1iVFEBQOAONhqDIMRa2hQ7WkCQv0dJWSAmc0AzfvSCMg/edit"",""9!d2:d21""))"),15.0)</f>
        <v>15</v>
      </c>
      <c r="F222" s="41">
        <f>IFERROR(__xludf.DUMMYFUNCTION("SUM(IMPORTRANGE(""https://docs.google.com/spreadsheets/d/1iVFEBQOAONhqDIMRa2hQ7WkCQv0dJWSAmc0AzfvSCMg/edit"",""9!Q2:Q21""))"),2897.8740000000003)</f>
        <v>2897.874</v>
      </c>
      <c r="G222" s="40">
        <f>IFERROR(__xludf.DUMMYFUNCTION("IMPORTRANGE(""https://docs.google.com/spreadsheets/d/1iVFEBQOAONhqDIMRa2hQ7WkCQv0dJWSAmc0AzfvSCMg/edit"",""9!e28"")"),1462.0)</f>
        <v>1462</v>
      </c>
      <c r="H222" s="40">
        <f>IFERROR(__xludf.DUMMYFUNCTION("IMPORTRANGE(""https://docs.google.com/spreadsheets/d/1iVFEBQOAONhqDIMRa2hQ7WkCQv0dJWSAmc0AzfvSCMg/edit"",""9!e29"")"),0.0)</f>
        <v>0</v>
      </c>
      <c r="I222" s="40">
        <f t="shared" ref="I222:I239" si="615">SUM(G222:H222)</f>
        <v>1462</v>
      </c>
      <c r="J222" s="40">
        <f>IFERROR(__xludf.DUMMYFUNCTION("IMPORTRANGE(""https://docs.google.com/spreadsheets/d/1iVFEBQOAONhqDIMRa2hQ7WkCQv0dJWSAmc0AzfvSCMg/edit"",""9!e32"")"),2067.0)</f>
        <v>2067</v>
      </c>
      <c r="K222" s="40">
        <f>IFERROR(__xludf.DUMMYFUNCTION("IMPORTRANGE(""https://docs.google.com/spreadsheets/d/1iVFEBQOAONhqDIMRa2hQ7WkCQv0dJWSAmc0AzfvSCMg/edit"",""9!e33"")"),48.0)</f>
        <v>48</v>
      </c>
      <c r="L222" s="40">
        <f t="shared" ref="L222:L228" si="616">SUM(J222:K222)</f>
        <v>2115</v>
      </c>
      <c r="M222" s="40">
        <f t="shared" ref="M222:M239" si="617">SUM(I222+L222)</f>
        <v>3577</v>
      </c>
      <c r="N222" s="41">
        <f t="shared" ref="N222:N240" si="618">F222/E222</f>
        <v>193.1916</v>
      </c>
      <c r="O222" s="38">
        <v>5161.0</v>
      </c>
      <c r="P222" s="42">
        <f t="shared" ref="P222:P240" si="619">M222/O222</f>
        <v>0.6930827359</v>
      </c>
      <c r="Q222" s="43">
        <v>1.5</v>
      </c>
      <c r="R222" s="42">
        <f t="shared" ref="R222:R240" si="620">S222/Q222</f>
        <v>0.822902123</v>
      </c>
      <c r="S222" s="44">
        <f t="shared" ref="S222:S240" si="621">M222/F222</f>
        <v>1.234353184</v>
      </c>
      <c r="T222" s="43">
        <f>F222/14.415</f>
        <v>201.0318418</v>
      </c>
      <c r="U222" s="43">
        <f t="shared" ref="U222:U240" si="622">T222/E222</f>
        <v>13.40212279</v>
      </c>
      <c r="V222" s="40">
        <f t="shared" ref="V222:V240" si="623">M222/E222</f>
        <v>238.4666667</v>
      </c>
      <c r="X222" s="22">
        <v>4.0</v>
      </c>
      <c r="Y222" s="22" t="s">
        <v>27</v>
      </c>
      <c r="Z222" s="22">
        <f t="shared" ref="Z222:AK222" si="613">SUM(D235)</f>
        <v>23</v>
      </c>
      <c r="AA222" s="23">
        <f t="shared" si="613"/>
        <v>22</v>
      </c>
      <c r="AB222" s="24">
        <f t="shared" si="613"/>
        <v>4272.683</v>
      </c>
      <c r="AC222" s="23">
        <f t="shared" si="613"/>
        <v>1460</v>
      </c>
      <c r="AD222" s="23">
        <f t="shared" si="613"/>
        <v>0</v>
      </c>
      <c r="AE222" s="23">
        <f t="shared" si="613"/>
        <v>1460</v>
      </c>
      <c r="AF222" s="23">
        <f t="shared" si="613"/>
        <v>2428</v>
      </c>
      <c r="AG222" s="23">
        <f t="shared" si="613"/>
        <v>0</v>
      </c>
      <c r="AH222" s="23">
        <f t="shared" si="613"/>
        <v>2428</v>
      </c>
      <c r="AI222" s="23">
        <f t="shared" si="613"/>
        <v>3888</v>
      </c>
      <c r="AJ222" s="25">
        <f t="shared" si="613"/>
        <v>194.2128636</v>
      </c>
      <c r="AK222" s="22">
        <f t="shared" si="613"/>
        <v>8101</v>
      </c>
      <c r="AL222" s="26">
        <f t="shared" si="605"/>
        <v>0.4799407481</v>
      </c>
      <c r="AM222" s="27">
        <f>SUM(Q235)</f>
        <v>1.5</v>
      </c>
      <c r="AN222" s="26">
        <f t="shared" si="607"/>
        <v>0.6066445837</v>
      </c>
      <c r="AO222" s="28">
        <f t="shared" si="608"/>
        <v>0.9099668756</v>
      </c>
      <c r="AP222" s="27">
        <f t="shared" ref="AP222:AQ222" si="614">SUM(T235)</f>
        <v>213.7944959</v>
      </c>
      <c r="AQ222" s="27">
        <f t="shared" si="614"/>
        <v>9.717931631</v>
      </c>
      <c r="AR222" s="23">
        <f t="shared" si="610"/>
        <v>176.7272727</v>
      </c>
    </row>
    <row r="223" ht="15.75" customHeight="1">
      <c r="A223" s="21"/>
      <c r="B223" s="38">
        <v>2.0</v>
      </c>
      <c r="C223" s="38" t="s">
        <v>28</v>
      </c>
      <c r="D223" s="39">
        <v>24.0</v>
      </c>
      <c r="E223" s="40">
        <f>IFERROR(__xludf.DUMMYFUNCTION("COUNT(IMPORTRANGE(""https://docs.google.com/spreadsheets/d/1tJCeYclgeJZ4Dc78t_SkhVjtacKW-5-VGim8X1rzUzk/edit"",""9!d2:d34""))"),24.0)</f>
        <v>24</v>
      </c>
      <c r="F223" s="41">
        <f>IFERROR(__xludf.DUMMYFUNCTION("SUM(IMPORTRANGE(""https://docs.google.com/spreadsheets/d/1tJCeYclgeJZ4Dc78t_SkhVjtacKW-5-VGim8X1rzUzk/edit"",""9!Q2:Q34""))"),4691.637999999999)</f>
        <v>4691.638</v>
      </c>
      <c r="G223" s="40">
        <f>IFERROR(__xludf.DUMMYFUNCTION("IMPORTRANGE(""https://docs.google.com/spreadsheets/d/1tJCeYclgeJZ4Dc78t_SkhVjtacKW-5-VGim8X1rzUzk/edit"",""9!e41"")"),1593.0)</f>
        <v>1593</v>
      </c>
      <c r="H223" s="40">
        <f>IFERROR(__xludf.DUMMYFUNCTION("IMPORTRANGE(""https://docs.google.com/spreadsheets/d/1tJCeYclgeJZ4Dc78t_SkhVjtacKW-5-VGim8X1rzUzk/edit"",""9!e42"")"),58.0)</f>
        <v>58</v>
      </c>
      <c r="I223" s="40">
        <f t="shared" si="615"/>
        <v>1651</v>
      </c>
      <c r="J223" s="40">
        <f>IFERROR(__xludf.DUMMYFUNCTION("IMPORTRANGE(""https://docs.google.com/spreadsheets/d/1tJCeYclgeJZ4Dc78t_SkhVjtacKW-5-VGim8X1rzUzk/edit"",""9!e45"")"),1863.0)</f>
        <v>1863</v>
      </c>
      <c r="K223" s="40">
        <f>IFERROR(__xludf.DUMMYFUNCTION("IMPORTRANGE(""https://docs.google.com/spreadsheets/d/1tJCeYclgeJZ4Dc78t_SkhVjtacKW-5-VGim8X1rzUzk/edit"",""9!e46"")"),101.0)</f>
        <v>101</v>
      </c>
      <c r="L223" s="40">
        <f t="shared" si="616"/>
        <v>1964</v>
      </c>
      <c r="M223" s="40">
        <f t="shared" si="617"/>
        <v>3615</v>
      </c>
      <c r="N223" s="41">
        <f t="shared" si="618"/>
        <v>195.4849167</v>
      </c>
      <c r="O223" s="38">
        <v>7315.0</v>
      </c>
      <c r="P223" s="42">
        <f t="shared" si="619"/>
        <v>0.4941900205</v>
      </c>
      <c r="Q223" s="43">
        <v>1.5</v>
      </c>
      <c r="R223" s="42">
        <f t="shared" si="620"/>
        <v>0.5136798704</v>
      </c>
      <c r="S223" s="44">
        <f t="shared" si="621"/>
        <v>0.7705198057</v>
      </c>
      <c r="T223" s="43">
        <f>F223/30.897</f>
        <v>151.8476875</v>
      </c>
      <c r="U223" s="43">
        <f t="shared" si="622"/>
        <v>6.326986978</v>
      </c>
      <c r="V223" s="40">
        <f t="shared" si="623"/>
        <v>150.625</v>
      </c>
      <c r="X223" s="22">
        <v>5.0</v>
      </c>
      <c r="Y223" s="22" t="s">
        <v>29</v>
      </c>
      <c r="Z223" s="22">
        <f t="shared" ref="Z223:AI223" si="624">SUM(D238)</f>
        <v>23</v>
      </c>
      <c r="AA223" s="23">
        <f t="shared" si="624"/>
        <v>22</v>
      </c>
      <c r="AB223" s="24">
        <f t="shared" si="624"/>
        <v>4296.27</v>
      </c>
      <c r="AC223" s="23">
        <f t="shared" si="624"/>
        <v>1718</v>
      </c>
      <c r="AD223" s="23">
        <f t="shared" si="624"/>
        <v>0</v>
      </c>
      <c r="AE223" s="23">
        <f t="shared" si="624"/>
        <v>1718</v>
      </c>
      <c r="AF223" s="23">
        <f t="shared" si="624"/>
        <v>2638</v>
      </c>
      <c r="AG223" s="23">
        <f t="shared" si="624"/>
        <v>0</v>
      </c>
      <c r="AH223" s="23">
        <f t="shared" si="624"/>
        <v>2638</v>
      </c>
      <c r="AI223" s="23">
        <f t="shared" si="624"/>
        <v>4356</v>
      </c>
      <c r="AJ223" s="25">
        <f t="shared" ref="AJ223:AJ225" si="627">AB223/AA223</f>
        <v>195.285</v>
      </c>
      <c r="AK223" s="22">
        <f t="shared" ref="AK223:AK224" si="628">SUM(O238)</f>
        <v>9201</v>
      </c>
      <c r="AL223" s="26">
        <f t="shared" si="605"/>
        <v>0.4734268014</v>
      </c>
      <c r="AM223" s="27">
        <f t="shared" ref="AM223:AM224" si="629">SUM(Q238)</f>
        <v>1.5</v>
      </c>
      <c r="AN223" s="26">
        <f t="shared" si="607"/>
        <v>0.6759351717</v>
      </c>
      <c r="AO223" s="28">
        <f t="shared" si="608"/>
        <v>1.013902758</v>
      </c>
      <c r="AP223" s="27">
        <f t="shared" ref="AP223:AQ223" si="625">SUM(T238)</f>
        <v>165</v>
      </c>
      <c r="AQ223" s="27">
        <f t="shared" si="625"/>
        <v>7.5</v>
      </c>
      <c r="AR223" s="23">
        <f t="shared" si="610"/>
        <v>198</v>
      </c>
    </row>
    <row r="224" ht="15.75" customHeight="1">
      <c r="A224" s="21"/>
      <c r="B224" s="38">
        <v>3.0</v>
      </c>
      <c r="C224" s="38" t="s">
        <v>30</v>
      </c>
      <c r="D224" s="39">
        <v>45.0</v>
      </c>
      <c r="E224" s="40">
        <f>IFERROR(__xludf.DUMMYFUNCTION("COUNT(IMPORTRANGE(""https://docs.google.com/spreadsheets/d/130gLEONC13J8KkQ6dk06x3bLRy_jCrAw2hXatQf2W50/edit"",""9!d2:d61""))"),43.0)</f>
        <v>43</v>
      </c>
      <c r="F224" s="45">
        <f>IFERROR(__xludf.DUMMYFUNCTION("SUM(IMPORTRANGE(""https://docs.google.com/spreadsheets/d/130gLEONC13J8KkQ6dk06x3bLRy_jCrAw2hXatQf2W50/edit"",""9!Q2:Q61""))"),8555.266999999994)</f>
        <v>8555.267</v>
      </c>
      <c r="G224" s="40">
        <f>IFERROR(__xludf.DUMMYFUNCTION("IMPORTRANGE(""https://docs.google.com/spreadsheets/d/130gLEONC13J8KkQ6dk06x3bLRy_jCrAw2hXatQf2W50/edit"",""9!e68"")"),2092.0)</f>
        <v>2092</v>
      </c>
      <c r="H224" s="40">
        <f>IFERROR(__xludf.DUMMYFUNCTION("IMPORTRANGE(""https://docs.google.com/spreadsheets/d/130gLEONC13J8KkQ6dk06x3bLRy_jCrAw2hXatQf2W50/edit"",""9!e69"")"),0.0)</f>
        <v>0</v>
      </c>
      <c r="I224" s="40">
        <f t="shared" si="615"/>
        <v>2092</v>
      </c>
      <c r="J224" s="40">
        <f>IFERROR(__xludf.DUMMYFUNCTION("IMPORTRANGE(""https://docs.google.com/spreadsheets/d/130gLEONC13J8KkQ6dk06x3bLRy_jCrAw2hXatQf2W50/edit"",""9!e72"")"),4130.0)</f>
        <v>4130</v>
      </c>
      <c r="K224" s="40">
        <f>IFERROR(__xludf.DUMMYFUNCTION("IMPORTRANGE(""https://docs.google.com/spreadsheets/d/130gLEONC13J8KkQ6dk06x3bLRy_jCrAw2hXatQf2W50/edit"",""9!e73"")"),0.0)</f>
        <v>0</v>
      </c>
      <c r="L224" s="40">
        <f t="shared" si="616"/>
        <v>4130</v>
      </c>
      <c r="M224" s="40">
        <f t="shared" si="617"/>
        <v>6222</v>
      </c>
      <c r="N224" s="41">
        <f t="shared" si="618"/>
        <v>198.9596977</v>
      </c>
      <c r="O224" s="38">
        <v>11164.0</v>
      </c>
      <c r="P224" s="42">
        <f t="shared" si="619"/>
        <v>0.5573271229</v>
      </c>
      <c r="Q224" s="43">
        <v>1.5</v>
      </c>
      <c r="R224" s="42">
        <f t="shared" si="620"/>
        <v>0.4848475214</v>
      </c>
      <c r="S224" s="44">
        <f t="shared" si="621"/>
        <v>0.7272712821</v>
      </c>
      <c r="T224" s="43">
        <f>F224/29.603</f>
        <v>289</v>
      </c>
      <c r="U224" s="43">
        <f t="shared" si="622"/>
        <v>6.720930233</v>
      </c>
      <c r="V224" s="40">
        <f t="shared" si="623"/>
        <v>144.6976744</v>
      </c>
      <c r="X224" s="22">
        <v>6.0</v>
      </c>
      <c r="Y224" s="22" t="s">
        <v>31</v>
      </c>
      <c r="Z224" s="22">
        <f t="shared" ref="Z224:AI224" si="626">SUM(D239)</f>
        <v>11</v>
      </c>
      <c r="AA224" s="23">
        <f t="shared" si="626"/>
        <v>11</v>
      </c>
      <c r="AB224" s="25">
        <f t="shared" si="626"/>
        <v>2129.785</v>
      </c>
      <c r="AC224" s="23">
        <f t="shared" si="626"/>
        <v>410</v>
      </c>
      <c r="AD224" s="23">
        <f t="shared" si="626"/>
        <v>0</v>
      </c>
      <c r="AE224" s="23">
        <f t="shared" si="626"/>
        <v>410</v>
      </c>
      <c r="AF224" s="23">
        <f t="shared" si="626"/>
        <v>672</v>
      </c>
      <c r="AG224" s="23">
        <f t="shared" si="626"/>
        <v>0</v>
      </c>
      <c r="AH224" s="23">
        <f t="shared" si="626"/>
        <v>672</v>
      </c>
      <c r="AI224" s="23">
        <f t="shared" si="626"/>
        <v>1082</v>
      </c>
      <c r="AJ224" s="25">
        <f t="shared" si="627"/>
        <v>193.6168182</v>
      </c>
      <c r="AK224" s="22">
        <f t="shared" si="628"/>
        <v>2717</v>
      </c>
      <c r="AL224" s="26">
        <f t="shared" si="605"/>
        <v>0.3982333456</v>
      </c>
      <c r="AM224" s="27">
        <f t="shared" si="629"/>
        <v>1.5</v>
      </c>
      <c r="AN224" s="26">
        <f t="shared" si="607"/>
        <v>0.338688334</v>
      </c>
      <c r="AO224" s="28">
        <f t="shared" si="608"/>
        <v>0.5080325009</v>
      </c>
      <c r="AP224" s="27">
        <f t="shared" ref="AP224:AQ224" si="630">SUM(T239)</f>
        <v>49</v>
      </c>
      <c r="AQ224" s="27">
        <f t="shared" si="630"/>
        <v>4.454545455</v>
      </c>
      <c r="AR224" s="23">
        <f t="shared" si="610"/>
        <v>98.36363636</v>
      </c>
    </row>
    <row r="225" ht="15.75" customHeight="1">
      <c r="A225" s="21"/>
      <c r="B225" s="38">
        <v>4.0</v>
      </c>
      <c r="C225" s="38" t="s">
        <v>32</v>
      </c>
      <c r="D225" s="39">
        <v>32.0</v>
      </c>
      <c r="E225" s="40">
        <f>IFERROR(__xludf.DUMMYFUNCTION("COUNT(IMPORTRANGE(""https://docs.google.com/spreadsheets/d/1gYHli7FuKQLm2Q-5LMR0UtkD-gRRA_p8s-phLPLDLgc/edit"",""9!d2:d43""))"),31.0)</f>
        <v>31</v>
      </c>
      <c r="F225" s="45">
        <f>IFERROR(__xludf.DUMMYFUNCTION("SUM(IMPORTRANGE(""https://docs.google.com/spreadsheets/d/1gYHli7FuKQLm2Q-5LMR0UtkD-gRRA_p8s-phLPLDLgc/edit"",""9!Q2:Q43""))"),6032.829999999996)</f>
        <v>6032.83</v>
      </c>
      <c r="G225" s="38">
        <f>IFERROR(__xludf.DUMMYFUNCTION("IMPORTRANGE(""https://docs.google.com/spreadsheets/d/1gYHli7FuKQLm2Q-5LMR0UtkD-gRRA_p8s-phLPLDLgc/edit"",""9!e50"")"),3179.0)</f>
        <v>3179</v>
      </c>
      <c r="H225" s="38">
        <f>IFERROR(__xludf.DUMMYFUNCTION("IMPORTRANGE(""https://docs.google.com/spreadsheets/d/1gYHli7FuKQLm2Q-5LMR0UtkD-gRRA_p8s-phLPLDLgc/edit"",""9!e51"")"),0.0)</f>
        <v>0</v>
      </c>
      <c r="I225" s="40">
        <f t="shared" si="615"/>
        <v>3179</v>
      </c>
      <c r="J225" s="38">
        <f>IFERROR(__xludf.DUMMYFUNCTION("IMPORTRANGE(""https://docs.google.com/spreadsheets/d/1gYHli7FuKQLm2Q-5LMR0UtkD-gRRA_p8s-phLPLDLgc/edit"",""9!e54"")"),3910.0)</f>
        <v>3910</v>
      </c>
      <c r="K225" s="38">
        <f>IFERROR(__xludf.DUMMYFUNCTION("IMPORTRANGE(""https://docs.google.com/spreadsheets/d/1gYHli7FuKQLm2Q-5LMR0UtkD-gRRA_p8s-phLPLDLgc/edit"",""9!e55"")"),0.0)</f>
        <v>0</v>
      </c>
      <c r="L225" s="40">
        <f t="shared" si="616"/>
        <v>3910</v>
      </c>
      <c r="M225" s="40">
        <f t="shared" si="617"/>
        <v>7089</v>
      </c>
      <c r="N225" s="41">
        <f t="shared" si="618"/>
        <v>194.6074194</v>
      </c>
      <c r="O225" s="38">
        <v>13817.0</v>
      </c>
      <c r="P225" s="42">
        <f t="shared" si="619"/>
        <v>0.5130636173</v>
      </c>
      <c r="Q225" s="43">
        <v>1.5</v>
      </c>
      <c r="R225" s="42">
        <f t="shared" si="620"/>
        <v>0.783380271</v>
      </c>
      <c r="S225" s="44">
        <f t="shared" si="621"/>
        <v>1.175070406</v>
      </c>
      <c r="T225" s="43">
        <f>F225/25.089</f>
        <v>240.4571725</v>
      </c>
      <c r="U225" s="43">
        <f t="shared" si="622"/>
        <v>7.756682983</v>
      </c>
      <c r="V225" s="40">
        <f t="shared" si="623"/>
        <v>228.6774194</v>
      </c>
      <c r="X225" s="46" t="s">
        <v>33</v>
      </c>
      <c r="Y225" s="46">
        <v>6.0</v>
      </c>
      <c r="Z225" s="46">
        <f t="shared" ref="Z225:AI225" si="631">SUM(Z219:Z224)</f>
        <v>144</v>
      </c>
      <c r="AA225" s="47">
        <f t="shared" si="631"/>
        <v>140</v>
      </c>
      <c r="AB225" s="48">
        <f t="shared" si="631"/>
        <v>27132.295</v>
      </c>
      <c r="AC225" s="47">
        <f t="shared" si="631"/>
        <v>6729</v>
      </c>
      <c r="AD225" s="47">
        <f t="shared" si="631"/>
        <v>319</v>
      </c>
      <c r="AE225" s="47">
        <f t="shared" si="631"/>
        <v>7048</v>
      </c>
      <c r="AF225" s="47">
        <f t="shared" si="631"/>
        <v>11329</v>
      </c>
      <c r="AG225" s="47">
        <f t="shared" si="631"/>
        <v>326</v>
      </c>
      <c r="AH225" s="47">
        <f t="shared" si="631"/>
        <v>11655</v>
      </c>
      <c r="AI225" s="47">
        <f t="shared" si="631"/>
        <v>18703</v>
      </c>
      <c r="AJ225" s="49">
        <f t="shared" si="627"/>
        <v>193.8021071</v>
      </c>
      <c r="AK225" s="46">
        <f>SUM(AK219:AK224)</f>
        <v>35074</v>
      </c>
      <c r="AL225" s="50">
        <f t="shared" si="605"/>
        <v>0.5332439984</v>
      </c>
      <c r="AM225" s="51">
        <v>1.5</v>
      </c>
      <c r="AN225" s="50">
        <f t="shared" si="607"/>
        <v>0.4595507555</v>
      </c>
      <c r="AO225" s="52">
        <f t="shared" si="608"/>
        <v>0.6893261333</v>
      </c>
      <c r="AP225" s="51">
        <f>SUM(AP219:AP224)</f>
        <v>1023.38177</v>
      </c>
      <c r="AQ225" s="51">
        <f>AP225/AA225</f>
        <v>7.309869787</v>
      </c>
      <c r="AR225" s="47">
        <f t="shared" si="610"/>
        <v>133.5928571</v>
      </c>
    </row>
    <row r="226" ht="15.75" customHeight="1">
      <c r="A226" s="21"/>
      <c r="B226" s="38">
        <v>5.0</v>
      </c>
      <c r="C226" s="38" t="s">
        <v>34</v>
      </c>
      <c r="D226" s="39">
        <v>30.0</v>
      </c>
      <c r="E226" s="40">
        <f>IFERROR(__xludf.DUMMYFUNCTION("COUNT(IMPORTRANGE(""https://docs.google.com/spreadsheets/d/1ptS0qWBCKWkc9h2aXWT_YgMhN7yIv5WgAHRbF8l9Zpo/edit"",""9!d2:d41""))"),30.0)</f>
        <v>30</v>
      </c>
      <c r="F226" s="45">
        <f>IFERROR(__xludf.DUMMYFUNCTION("SUM(IMPORTRANGE(""https://docs.google.com/spreadsheets/d/1ptS0qWBCKWkc9h2aXWT_YgMhN7yIv5WgAHRbF8l9Zpo/edit"",""9!Q2:Q41""))"),5809.728000000001)</f>
        <v>5809.728</v>
      </c>
      <c r="G226" s="40">
        <f>IFERROR(__xludf.DUMMYFUNCTION("IMPORTRANGE(""https://docs.google.com/spreadsheets/d/1ptS0qWBCKWkc9h2aXWT_YgMhN7yIv5WgAHRbF8l9Zpo/edit"",""9!e48"")"),1892.0)</f>
        <v>1892</v>
      </c>
      <c r="H226" s="40">
        <f>IFERROR(__xludf.DUMMYFUNCTION("IMPORTRANGE(""https://docs.google.com/spreadsheets/d/1ptS0qWBCKWkc9h2aXWT_YgMhN7yIv5WgAHRbF8l9Zpo/edit"",""9!e49"")"),0.0)</f>
        <v>0</v>
      </c>
      <c r="I226" s="40">
        <f t="shared" si="615"/>
        <v>1892</v>
      </c>
      <c r="J226" s="40">
        <f>IFERROR(__xludf.DUMMYFUNCTION("IMPORTRANGE(""https://docs.google.com/spreadsheets/d/1ptS0qWBCKWkc9h2aXWT_YgMhN7yIv5WgAHRbF8l9Zpo/edit"",""9!e52"")"),2318.0)</f>
        <v>2318</v>
      </c>
      <c r="K226" s="40">
        <f>IFERROR(__xludf.DUMMYFUNCTION("IMPORTRANGE(""https://docs.google.com/spreadsheets/d/1ptS0qWBCKWkc9h2aXWT_YgMhN7yIv5WgAHRbF8l9Zpo/edit"",""9!e53"")"),38.0)</f>
        <v>38</v>
      </c>
      <c r="L226" s="40">
        <f t="shared" si="616"/>
        <v>2356</v>
      </c>
      <c r="M226" s="40">
        <f t="shared" si="617"/>
        <v>4248</v>
      </c>
      <c r="N226" s="41">
        <f t="shared" si="618"/>
        <v>193.6576</v>
      </c>
      <c r="O226" s="38">
        <v>9354.0</v>
      </c>
      <c r="P226" s="42">
        <f t="shared" si="619"/>
        <v>0.4541372675</v>
      </c>
      <c r="Q226" s="43">
        <v>1.5</v>
      </c>
      <c r="R226" s="42">
        <f t="shared" si="620"/>
        <v>0.4874582769</v>
      </c>
      <c r="S226" s="44">
        <f t="shared" si="621"/>
        <v>0.7311874153</v>
      </c>
      <c r="T226" s="43">
        <f>F226/30.713</f>
        <v>189.1618533</v>
      </c>
      <c r="U226" s="43">
        <f t="shared" si="622"/>
        <v>6.30539511</v>
      </c>
      <c r="V226" s="40">
        <f t="shared" si="623"/>
        <v>141.6</v>
      </c>
      <c r="X226" s="53" t="s">
        <v>35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6"/>
    </row>
    <row r="227" ht="15.75" customHeight="1">
      <c r="A227" s="21"/>
      <c r="B227" s="38">
        <v>6.0</v>
      </c>
      <c r="C227" s="38" t="s">
        <v>23</v>
      </c>
      <c r="D227" s="39">
        <v>26.0</v>
      </c>
      <c r="E227" s="40">
        <f>IFERROR(__xludf.DUMMYFUNCTION("COUNT(IMPORTRANGE(""https://docs.google.com/spreadsheets/d/1829CoYW82aTBBUgqkPnJa94KlBWI-DowAnP4ENQCmaQ/edit"",""9!d2:d36""))"),26.0)</f>
        <v>26</v>
      </c>
      <c r="F227" s="45">
        <f>IFERROR(__xludf.DUMMYFUNCTION("SUM(IMPORTRANGE(""https://docs.google.com/spreadsheets/d/1829CoYW82aTBBUgqkPnJa94KlBWI-DowAnP4ENQCmaQ/edit"",""9!Q2:Q36""))"),5195.959999999998)</f>
        <v>5195.96</v>
      </c>
      <c r="G227" s="40">
        <f>IFERROR(__xludf.DUMMYFUNCTION("IMPORTRANGE(""https://docs.google.com/spreadsheets/d/1829CoYW82aTBBUgqkPnJa94KlBWI-DowAnP4ENQCmaQ/edit"",""9!e43"")"),994.0)</f>
        <v>994</v>
      </c>
      <c r="H227" s="40">
        <f>IFERROR(__xludf.DUMMYFUNCTION("IMPORTRANGE(""https://docs.google.com/spreadsheets/d/1829CoYW82aTBBUgqkPnJa94KlBWI-DowAnP4ENQCmaQ/edit"",""9!e44"")"),0.0)</f>
        <v>0</v>
      </c>
      <c r="I227" s="40">
        <f t="shared" si="615"/>
        <v>994</v>
      </c>
      <c r="J227" s="40">
        <f>IFERROR(__xludf.DUMMYFUNCTION("IMPORTRANGE(""https://docs.google.com/spreadsheets/d/1829CoYW82aTBBUgqkPnJa94KlBWI-DowAnP4ENQCmaQ/edit"",""9!e47"")"),2012.0)</f>
        <v>2012</v>
      </c>
      <c r="K227" s="40">
        <f>IFERROR(__xludf.DUMMYFUNCTION("IMPORTRANGE(""https://docs.google.com/spreadsheets/d/1829CoYW82aTBBUgqkPnJa94KlBWI-DowAnP4ENQCmaQ/edit"",""9!e48"")"),0.0)</f>
        <v>0</v>
      </c>
      <c r="L227" s="40">
        <f t="shared" si="616"/>
        <v>2012</v>
      </c>
      <c r="M227" s="40">
        <f t="shared" si="617"/>
        <v>3006</v>
      </c>
      <c r="N227" s="41">
        <f t="shared" si="618"/>
        <v>199.8446154</v>
      </c>
      <c r="O227" s="38">
        <v>6853.0</v>
      </c>
      <c r="P227" s="42">
        <f t="shared" si="619"/>
        <v>0.4386400117</v>
      </c>
      <c r="Q227" s="43">
        <v>1.5</v>
      </c>
      <c r="R227" s="42">
        <f t="shared" si="620"/>
        <v>0.3856842624</v>
      </c>
      <c r="S227" s="44">
        <f t="shared" si="621"/>
        <v>0.5785263936</v>
      </c>
      <c r="T227" s="43">
        <f>F227/33.74</f>
        <v>154</v>
      </c>
      <c r="U227" s="43">
        <f t="shared" si="622"/>
        <v>5.923076923</v>
      </c>
      <c r="V227" s="40">
        <f t="shared" si="623"/>
        <v>115.6153846</v>
      </c>
      <c r="X227" s="14" t="s">
        <v>2</v>
      </c>
      <c r="Y227" s="14" t="s">
        <v>3</v>
      </c>
      <c r="Z227" s="14" t="s">
        <v>4</v>
      </c>
      <c r="AA227" s="14" t="s">
        <v>5</v>
      </c>
      <c r="AB227" s="15" t="s">
        <v>6</v>
      </c>
      <c r="AC227" s="14" t="s">
        <v>7</v>
      </c>
      <c r="AD227" s="14" t="s">
        <v>8</v>
      </c>
      <c r="AE227" s="14" t="s">
        <v>9</v>
      </c>
      <c r="AF227" s="14" t="s">
        <v>10</v>
      </c>
      <c r="AG227" s="14" t="s">
        <v>11</v>
      </c>
      <c r="AH227" s="14" t="s">
        <v>12</v>
      </c>
      <c r="AI227" s="14" t="s">
        <v>13</v>
      </c>
      <c r="AJ227" s="15" t="s">
        <v>14</v>
      </c>
      <c r="AK227" s="14" t="s">
        <v>15</v>
      </c>
      <c r="AL227" s="14" t="s">
        <v>16</v>
      </c>
      <c r="AM227" s="16" t="s">
        <v>17</v>
      </c>
      <c r="AN227" s="17" t="s">
        <v>18</v>
      </c>
      <c r="AO227" s="18" t="s">
        <v>19</v>
      </c>
      <c r="AP227" s="19" t="s">
        <v>20</v>
      </c>
      <c r="AQ227" s="19" t="s">
        <v>21</v>
      </c>
      <c r="AR227" s="20" t="s">
        <v>22</v>
      </c>
    </row>
    <row r="228" ht="15.75" customHeight="1">
      <c r="A228" s="21"/>
      <c r="B228" s="38">
        <v>7.0</v>
      </c>
      <c r="C228" s="38" t="s">
        <v>24</v>
      </c>
      <c r="D228" s="39">
        <v>35.0</v>
      </c>
      <c r="E228" s="54">
        <f>IFERROR(__xludf.DUMMYFUNCTION("COUNT(IMPORTRANGE(""https://docs.google.com/spreadsheets/d/1E2x4oDZxEIsuC5nl-5Z0--MoN8b1dt9SbpRcCfNP84Q/edit"",""9!d2:d45""))"),34.0)</f>
        <v>34</v>
      </c>
      <c r="F228" s="55">
        <f>IFERROR(__xludf.DUMMYFUNCTION("SUM(IMPORTRANGE(""https://docs.google.com/spreadsheets/d/1E2x4oDZxEIsuC5nl-5Z0--MoN8b1dt9SbpRcCfNP84Q/edit"",""9!Q2:Q45""))"),6420.148999999996)</f>
        <v>6420.149</v>
      </c>
      <c r="G228" s="54">
        <f>IFERROR(__xludf.DUMMYFUNCTION("IMPORTRANGE(""https://docs.google.com/spreadsheets/d/1E2x4oDZxEIsuC5nl-5Z0--MoN8b1dt9SbpRcCfNP84Q/edit"",""9!e53"")"),669.0)</f>
        <v>669</v>
      </c>
      <c r="H228" s="54">
        <f>IFERROR(__xludf.DUMMYFUNCTION("IMPORTRANGE(""https://docs.google.com/spreadsheets/d/1E2x4oDZxEIsuC5nl-5Z0--MoN8b1dt9SbpRcCfNP84Q/edit"",""9!e54"")"),0.0)</f>
        <v>0</v>
      </c>
      <c r="I228" s="54">
        <f t="shared" si="615"/>
        <v>669</v>
      </c>
      <c r="J228" s="54">
        <f>IFERROR(__xludf.DUMMYFUNCTION("IMPORTRANGE(""https://docs.google.com/spreadsheets/d/1E2x4oDZxEIsuC5nl-5Z0--MoN8b1dt9SbpRcCfNP84Q/edit"",""9!e57"")"),960.0)</f>
        <v>960</v>
      </c>
      <c r="K228" s="54">
        <f>IFERROR(__xludf.DUMMYFUNCTION("IMPORTRANGE(""https://docs.google.com/spreadsheets/d/1E2x4oDZxEIsuC5nl-5Z0--MoN8b1dt9SbpRcCfNP84Q/edit"",""9!e58"")"),20.0)</f>
        <v>20</v>
      </c>
      <c r="L228" s="40">
        <f t="shared" si="616"/>
        <v>980</v>
      </c>
      <c r="M228" s="40">
        <f t="shared" si="617"/>
        <v>1649</v>
      </c>
      <c r="N228" s="41">
        <f t="shared" si="618"/>
        <v>188.8279118</v>
      </c>
      <c r="O228" s="38">
        <v>1580.0</v>
      </c>
      <c r="P228" s="56">
        <f t="shared" si="619"/>
        <v>1.043670886</v>
      </c>
      <c r="Q228" s="43">
        <v>1.5</v>
      </c>
      <c r="R228" s="42">
        <f t="shared" si="620"/>
        <v>0.1712317476</v>
      </c>
      <c r="S228" s="44">
        <f t="shared" si="621"/>
        <v>0.2568476214</v>
      </c>
      <c r="T228" s="43">
        <f>F228/26.805</f>
        <v>239.5131132</v>
      </c>
      <c r="U228" s="43">
        <f t="shared" si="622"/>
        <v>7.04450333</v>
      </c>
      <c r="V228" s="40">
        <f t="shared" si="623"/>
        <v>48.5</v>
      </c>
      <c r="X228" s="22">
        <v>1.0</v>
      </c>
      <c r="Y228" s="22" t="s">
        <v>28</v>
      </c>
      <c r="Z228" s="22">
        <f t="shared" ref="Z228:AI228" si="632">SUM(D223)</f>
        <v>24</v>
      </c>
      <c r="AA228" s="23">
        <f t="shared" si="632"/>
        <v>24</v>
      </c>
      <c r="AB228" s="25">
        <f t="shared" si="632"/>
        <v>4691.638</v>
      </c>
      <c r="AC228" s="23">
        <f t="shared" si="632"/>
        <v>1593</v>
      </c>
      <c r="AD228" s="23">
        <f t="shared" si="632"/>
        <v>58</v>
      </c>
      <c r="AE228" s="23">
        <f t="shared" si="632"/>
        <v>1651</v>
      </c>
      <c r="AF228" s="23">
        <f t="shared" si="632"/>
        <v>1863</v>
      </c>
      <c r="AG228" s="23">
        <f t="shared" si="632"/>
        <v>101</v>
      </c>
      <c r="AH228" s="23">
        <f t="shared" si="632"/>
        <v>1964</v>
      </c>
      <c r="AI228" s="23">
        <f t="shared" si="632"/>
        <v>3615</v>
      </c>
      <c r="AJ228" s="25">
        <f t="shared" ref="AJ228:AJ234" si="635">AB228/AA228</f>
        <v>195.4849167</v>
      </c>
      <c r="AK228" s="22">
        <f t="shared" ref="AK228:AK229" si="636">SUM(O223)</f>
        <v>7315</v>
      </c>
      <c r="AL228" s="26">
        <f t="shared" ref="AL228:AL234" si="637">AI228/AK228</f>
        <v>0.4941900205</v>
      </c>
      <c r="AM228" s="27">
        <f t="shared" ref="AM228:AM229" si="638">SUM(Q223)</f>
        <v>1.5</v>
      </c>
      <c r="AN228" s="26">
        <f t="shared" ref="AN228:AN234" si="639">AO228/AM228</f>
        <v>0.5136798704</v>
      </c>
      <c r="AO228" s="28">
        <f t="shared" ref="AO228:AO234" si="640">AI228/AB228</f>
        <v>0.7705198057</v>
      </c>
      <c r="AP228" s="27">
        <f t="shared" ref="AP228:AQ228" si="633">SUM(T223)</f>
        <v>151.8476875</v>
      </c>
      <c r="AQ228" s="27">
        <f t="shared" si="633"/>
        <v>6.326986978</v>
      </c>
      <c r="AR228" s="23">
        <f t="shared" ref="AR228:AR234" si="642">AI228/AA228</f>
        <v>150.625</v>
      </c>
    </row>
    <row r="229" ht="15.75" customHeight="1">
      <c r="A229" s="21"/>
      <c r="B229" s="38">
        <v>8.0</v>
      </c>
      <c r="C229" s="38" t="s">
        <v>25</v>
      </c>
      <c r="D229" s="57">
        <v>26.0</v>
      </c>
      <c r="E229" s="40">
        <f>IFERROR(__xludf.DUMMYFUNCTION("COUNT(IMPORTRANGE(""https://docs.google.com/spreadsheets/d/1KbRFOEYB0B44J_NSh1MwYQ1sLDlZXUHI-wuMLcZDn5k/edit"",""9!d2:D33""))"),25.0)</f>
        <v>25</v>
      </c>
      <c r="F229" s="45">
        <f>IFERROR(__xludf.DUMMYFUNCTION("SUM(IMPORTRANGE(""https://docs.google.com/spreadsheets/d/1KbRFOEYB0B44J_NSh1MwYQ1sLDlZXUHI-wuMLcZDn5k/edit"",""9!Q2:Q33""))"),4817.447999999999)</f>
        <v>4817.448</v>
      </c>
      <c r="G229" s="40">
        <f>IFERROR(__xludf.DUMMYFUNCTION("IMPORTRANGE(""https://docs.google.com/spreadsheets/d/1KbRFOEYB0B44J_NSh1MwYQ1sLDlZXUHI-wuMLcZDn5k/edit"",""9!e40"")"),1478.0)</f>
        <v>1478</v>
      </c>
      <c r="H229" s="40">
        <f>IFERROR(__xludf.DUMMYFUNCTION("IMPORTRANGE(""https://docs.google.com/spreadsheets/d/1KbRFOEYB0B44J_NSh1MwYQ1sLDlZXUHI-wuMLcZDn5k/edit"",""9!e41"")"),319.0)</f>
        <v>319</v>
      </c>
      <c r="I229" s="40">
        <f t="shared" si="615"/>
        <v>1797</v>
      </c>
      <c r="J229" s="40">
        <f>IFERROR(__xludf.DUMMYFUNCTION("IMPORTRANGE(""https://docs.google.com/spreadsheets/d/1KbRFOEYB0B44J_NSh1MwYQ1sLDlZXUHI-wuMLcZDn5k/edit"",""9!e44"")"),2619.0)</f>
        <v>2619</v>
      </c>
      <c r="K229" s="40">
        <f>IFERROR(__xludf.DUMMYFUNCTION("IMPORTRANGE(""https://docs.google.com/spreadsheets/d/1KbRFOEYB0B44J_NSh1MwYQ1sLDlZXUHI-wuMLcZDn5k/edit"",""9!e45"")"),306.0)</f>
        <v>306</v>
      </c>
      <c r="L229" s="40">
        <f>J229+K229</f>
        <v>2925</v>
      </c>
      <c r="M229" s="40">
        <f t="shared" si="617"/>
        <v>4722</v>
      </c>
      <c r="N229" s="41">
        <f t="shared" si="618"/>
        <v>192.69792</v>
      </c>
      <c r="O229" s="38">
        <v>6622.0</v>
      </c>
      <c r="P229" s="42">
        <f t="shared" si="619"/>
        <v>0.7130776201</v>
      </c>
      <c r="Q229" s="43">
        <v>1.5</v>
      </c>
      <c r="R229" s="42">
        <f t="shared" si="620"/>
        <v>0.6534580135</v>
      </c>
      <c r="S229" s="44">
        <f t="shared" si="621"/>
        <v>0.9801870202</v>
      </c>
      <c r="T229" s="43">
        <f>F229/23.84</f>
        <v>202.0741611</v>
      </c>
      <c r="U229" s="43">
        <f t="shared" si="622"/>
        <v>8.082966443</v>
      </c>
      <c r="V229" s="40">
        <f t="shared" si="623"/>
        <v>188.88</v>
      </c>
      <c r="X229" s="31">
        <v>2.0</v>
      </c>
      <c r="Y229" s="31" t="s">
        <v>30</v>
      </c>
      <c r="Z229" s="31">
        <f t="shared" ref="Z229:AI229" si="634">SUM(D224)</f>
        <v>45</v>
      </c>
      <c r="AA229" s="32">
        <f t="shared" si="634"/>
        <v>43</v>
      </c>
      <c r="AB229" s="33">
        <f t="shared" si="634"/>
        <v>8555.267</v>
      </c>
      <c r="AC229" s="32">
        <f t="shared" si="634"/>
        <v>2092</v>
      </c>
      <c r="AD229" s="32">
        <f t="shared" si="634"/>
        <v>0</v>
      </c>
      <c r="AE229" s="32">
        <f t="shared" si="634"/>
        <v>2092</v>
      </c>
      <c r="AF229" s="32">
        <f t="shared" si="634"/>
        <v>4130</v>
      </c>
      <c r="AG229" s="32">
        <f t="shared" si="634"/>
        <v>0</v>
      </c>
      <c r="AH229" s="32">
        <f t="shared" si="634"/>
        <v>4130</v>
      </c>
      <c r="AI229" s="32">
        <f t="shared" si="634"/>
        <v>6222</v>
      </c>
      <c r="AJ229" s="34">
        <f t="shared" si="635"/>
        <v>198.9596977</v>
      </c>
      <c r="AK229" s="31">
        <f t="shared" si="636"/>
        <v>11164</v>
      </c>
      <c r="AL229" s="35">
        <f t="shared" si="637"/>
        <v>0.5573271229</v>
      </c>
      <c r="AM229" s="36">
        <f t="shared" si="638"/>
        <v>1.5</v>
      </c>
      <c r="AN229" s="35">
        <f t="shared" si="639"/>
        <v>0.4848475214</v>
      </c>
      <c r="AO229" s="37">
        <f t="shared" si="640"/>
        <v>0.7272712821</v>
      </c>
      <c r="AP229" s="36">
        <f t="shared" ref="AP229:AQ229" si="641">SUM(T224)</f>
        <v>289</v>
      </c>
      <c r="AQ229" s="36">
        <f t="shared" si="641"/>
        <v>6.720930233</v>
      </c>
      <c r="AR229" s="32">
        <f t="shared" si="642"/>
        <v>144.6976744</v>
      </c>
    </row>
    <row r="230" ht="15.75" customHeight="1">
      <c r="A230" s="21"/>
      <c r="B230" s="38">
        <v>9.0</v>
      </c>
      <c r="C230" s="38" t="s">
        <v>36</v>
      </c>
      <c r="D230" s="58">
        <v>22.0</v>
      </c>
      <c r="E230" s="40">
        <f>IFERROR(__xludf.DUMMYFUNCTION("COUNT(IMPORTRANGE(""https://docs.google.com/spreadsheets/d/1VqqqRGfmmkT0JC4ILJva2p8P11jjV0FX-TSKAaqOigw/edit"",""9!d2:d31""))"),22.0)</f>
        <v>22</v>
      </c>
      <c r="F230" s="45">
        <f>IFERROR(__xludf.DUMMYFUNCTION("SUM(IMPORTRANGE(""https://docs.google.com/spreadsheets/d/1VqqqRGfmmkT0JC4ILJva2p8P11jjV0FX-TSKAaqOigw/edit"",""9!Q2:Q31""))"),4372.649999999999)</f>
        <v>4372.65</v>
      </c>
      <c r="G230" s="40">
        <f>IFERROR(__xludf.DUMMYFUNCTION("IMPORTRANGE(""https://docs.google.com/spreadsheets/d/1VqqqRGfmmkT0JC4ILJva2p8P11jjV0FX-TSKAaqOigw/edit"",""9!e38"")"),915.0)</f>
        <v>915</v>
      </c>
      <c r="H230" s="40">
        <f>IFERROR(__xludf.DUMMYFUNCTION("IMPORTRANGE(""https://docs.google.com/spreadsheets/d/1VqqqRGfmmkT0JC4ILJva2p8P11jjV0FX-TSKAaqOigw/edit"",""9!e39"")"),0.0)</f>
        <v>0</v>
      </c>
      <c r="I230" s="40">
        <f t="shared" si="615"/>
        <v>915</v>
      </c>
      <c r="J230" s="40">
        <f>IFERROR(__xludf.DUMMYFUNCTION("IMPORTRANGE(""https://docs.google.com/spreadsheets/d/1VqqqRGfmmkT0JC4ILJva2p8P11jjV0FX-TSKAaqOigw/edit"",""9!e42"")"),1586.0)</f>
        <v>1586</v>
      </c>
      <c r="K230" s="40">
        <f>IFERROR(__xludf.DUMMYFUNCTION("IMPORTRANGE(""https://docs.google.com/spreadsheets/d/1VqqqRGfmmkT0JC4ILJva2p8P11jjV0FX-TSKAaqOigw/edit"",""9!e43"")"),0.0)</f>
        <v>0</v>
      </c>
      <c r="L230" s="40">
        <f t="shared" ref="L230:L239" si="645">SUM(J230:K230)</f>
        <v>1586</v>
      </c>
      <c r="M230" s="40">
        <f t="shared" si="617"/>
        <v>2501</v>
      </c>
      <c r="N230" s="41">
        <f t="shared" si="618"/>
        <v>198.7568182</v>
      </c>
      <c r="O230" s="38">
        <v>4796.0</v>
      </c>
      <c r="P230" s="42">
        <f t="shared" si="619"/>
        <v>0.5214762302</v>
      </c>
      <c r="Q230" s="43">
        <v>1.5</v>
      </c>
      <c r="R230" s="42">
        <f t="shared" si="620"/>
        <v>0.3813095796</v>
      </c>
      <c r="S230" s="44">
        <f t="shared" si="621"/>
        <v>0.5719643694</v>
      </c>
      <c r="T230" s="43">
        <f>F230/37.414</f>
        <v>116.8720265</v>
      </c>
      <c r="U230" s="43">
        <f t="shared" si="622"/>
        <v>5.312364842</v>
      </c>
      <c r="V230" s="40">
        <f t="shared" si="623"/>
        <v>113.6818182</v>
      </c>
      <c r="X230" s="22">
        <v>3.0</v>
      </c>
      <c r="Y230" s="22" t="s">
        <v>34</v>
      </c>
      <c r="Z230" s="22">
        <f t="shared" ref="Z230:AI230" si="643">SUM(D226)</f>
        <v>30</v>
      </c>
      <c r="AA230" s="23">
        <f t="shared" si="643"/>
        <v>30</v>
      </c>
      <c r="AB230" s="24">
        <f t="shared" si="643"/>
        <v>5809.728</v>
      </c>
      <c r="AC230" s="23">
        <f t="shared" si="643"/>
        <v>1892</v>
      </c>
      <c r="AD230" s="23">
        <f t="shared" si="643"/>
        <v>0</v>
      </c>
      <c r="AE230" s="23">
        <f t="shared" si="643"/>
        <v>1892</v>
      </c>
      <c r="AF230" s="23">
        <f t="shared" si="643"/>
        <v>2318</v>
      </c>
      <c r="AG230" s="23">
        <f t="shared" si="643"/>
        <v>38</v>
      </c>
      <c r="AH230" s="23">
        <f t="shared" si="643"/>
        <v>2356</v>
      </c>
      <c r="AI230" s="23">
        <f t="shared" si="643"/>
        <v>4248</v>
      </c>
      <c r="AJ230" s="25">
        <f t="shared" si="635"/>
        <v>193.6576</v>
      </c>
      <c r="AK230" s="22">
        <f>SUM(O226)</f>
        <v>9354</v>
      </c>
      <c r="AL230" s="26">
        <f t="shared" si="637"/>
        <v>0.4541372675</v>
      </c>
      <c r="AM230" s="27">
        <f>SUM(Q226)</f>
        <v>1.5</v>
      </c>
      <c r="AN230" s="26">
        <f t="shared" si="639"/>
        <v>0.4874582769</v>
      </c>
      <c r="AO230" s="28">
        <f t="shared" si="640"/>
        <v>0.7311874153</v>
      </c>
      <c r="AP230" s="27">
        <f t="shared" ref="AP230:AQ230" si="644">SUM(T226)</f>
        <v>189.1618533</v>
      </c>
      <c r="AQ230" s="27">
        <f t="shared" si="644"/>
        <v>6.30539511</v>
      </c>
      <c r="AR230" s="23">
        <f t="shared" si="642"/>
        <v>141.6</v>
      </c>
    </row>
    <row r="231" ht="15.75" customHeight="1">
      <c r="A231" s="21"/>
      <c r="B231" s="38">
        <v>10.0</v>
      </c>
      <c r="C231" s="38" t="s">
        <v>37</v>
      </c>
      <c r="D231" s="39">
        <v>23.0</v>
      </c>
      <c r="E231" s="40">
        <f>IFERROR(__xludf.DUMMYFUNCTION("COUNT(IMPORTRANGE(""https://docs.google.com/spreadsheets/d/1IYeRjQd_D6MRqoBKNaky3aSEUloYCJc5XDnPAbdyetk/edit"",""9!d2:d31""))"),23.0)</f>
        <v>23</v>
      </c>
      <c r="F231" s="45">
        <f>IFERROR(__xludf.DUMMYFUNCTION("SUM(IMPORTRANGE(""https://docs.google.com/spreadsheets/d/1IYeRjQd_D6MRqoBKNaky3aSEUloYCJc5XDnPAbdyetk/edit"",""9!Q2:Q31""))"),4597.38)</f>
        <v>4597.38</v>
      </c>
      <c r="G231" s="40">
        <f>IFERROR(__xludf.DUMMYFUNCTION("(IMPORTRANGE(""https://docs.google.com/spreadsheets/d/1IYeRjQd_D6MRqoBKNaky3aSEUloYCJc5XDnPAbdyetk/edit"",""9!e38""))"),922.0)</f>
        <v>922</v>
      </c>
      <c r="H231" s="40">
        <f>IFERROR(__xludf.DUMMYFUNCTION("(IMPORTRANGE(""https://docs.google.com/spreadsheets/d/1IYeRjQd_D6MRqoBKNaky3aSEUloYCJc5XDnPAbdyetk/edit"",""9!e39""))"),38.0)</f>
        <v>38</v>
      </c>
      <c r="I231" s="40">
        <f t="shared" si="615"/>
        <v>960</v>
      </c>
      <c r="J231" s="40">
        <f>IFERROR(__xludf.DUMMYFUNCTION("(IMPORTRANGE(""https://docs.google.com/spreadsheets/d/1IYeRjQd_D6MRqoBKNaky3aSEUloYCJc5XDnPAbdyetk/edit"",""9!e42""))"),1869.0)</f>
        <v>1869</v>
      </c>
      <c r="K231" s="40">
        <f>IFERROR(__xludf.DUMMYFUNCTION("(IMPORTRANGE(""https://docs.google.com/spreadsheets/d/1IYeRjQd_D6MRqoBKNaky3aSEUloYCJc5XDnPAbdyetk/edit"",""9!e43""))"),49.0)</f>
        <v>49</v>
      </c>
      <c r="L231" s="40">
        <f t="shared" si="645"/>
        <v>1918</v>
      </c>
      <c r="M231" s="40">
        <f t="shared" si="617"/>
        <v>2878</v>
      </c>
      <c r="N231" s="41">
        <f t="shared" si="618"/>
        <v>199.886087</v>
      </c>
      <c r="O231" s="38">
        <v>5887.0</v>
      </c>
      <c r="P231" s="42">
        <f t="shared" si="619"/>
        <v>0.4888737897</v>
      </c>
      <c r="Q231" s="43">
        <v>1.5</v>
      </c>
      <c r="R231" s="42">
        <f t="shared" si="620"/>
        <v>0.4173391511</v>
      </c>
      <c r="S231" s="44">
        <f t="shared" si="621"/>
        <v>0.6260087267</v>
      </c>
      <c r="T231" s="43">
        <f>F231/24.792</f>
        <v>185.4380445</v>
      </c>
      <c r="U231" s="43">
        <f t="shared" si="622"/>
        <v>8.062523675</v>
      </c>
      <c r="V231" s="40">
        <f t="shared" si="623"/>
        <v>125.1304348</v>
      </c>
      <c r="X231" s="31">
        <v>4.0</v>
      </c>
      <c r="Y231" s="31" t="s">
        <v>38</v>
      </c>
      <c r="Z231" s="31">
        <f t="shared" ref="Z231:AI231" si="646">SUM(D234)</f>
        <v>23</v>
      </c>
      <c r="AA231" s="32">
        <f t="shared" si="646"/>
        <v>22</v>
      </c>
      <c r="AB231" s="33">
        <f t="shared" si="646"/>
        <v>4244.115</v>
      </c>
      <c r="AC231" s="32">
        <f t="shared" si="646"/>
        <v>1196</v>
      </c>
      <c r="AD231" s="32">
        <f t="shared" si="646"/>
        <v>0</v>
      </c>
      <c r="AE231" s="32">
        <f t="shared" si="646"/>
        <v>1196</v>
      </c>
      <c r="AF231" s="32">
        <f t="shared" si="646"/>
        <v>1810</v>
      </c>
      <c r="AG231" s="32">
        <f t="shared" si="646"/>
        <v>197</v>
      </c>
      <c r="AH231" s="32">
        <f t="shared" si="646"/>
        <v>2007</v>
      </c>
      <c r="AI231" s="32">
        <f t="shared" si="646"/>
        <v>3203</v>
      </c>
      <c r="AJ231" s="34">
        <f t="shared" si="635"/>
        <v>192.9143182</v>
      </c>
      <c r="AK231" s="31">
        <v>7324.0</v>
      </c>
      <c r="AL231" s="35">
        <f t="shared" si="637"/>
        <v>0.4373293282</v>
      </c>
      <c r="AM231" s="36">
        <f>SUM(Q234)</f>
        <v>1.5</v>
      </c>
      <c r="AN231" s="35">
        <f t="shared" si="639"/>
        <v>0.5031280569</v>
      </c>
      <c r="AO231" s="37">
        <f t="shared" si="640"/>
        <v>0.7546920854</v>
      </c>
      <c r="AP231" s="36">
        <f t="shared" ref="AP231:AQ231" si="647">SUM(T234)</f>
        <v>103</v>
      </c>
      <c r="AQ231" s="36">
        <f t="shared" si="647"/>
        <v>4.681818182</v>
      </c>
      <c r="AR231" s="32">
        <f t="shared" si="642"/>
        <v>145.5909091</v>
      </c>
    </row>
    <row r="232" ht="15.75" customHeight="1">
      <c r="A232" s="21"/>
      <c r="B232" s="38">
        <v>12.0</v>
      </c>
      <c r="C232" s="38" t="s">
        <v>39</v>
      </c>
      <c r="D232" s="39">
        <v>21.0</v>
      </c>
      <c r="E232" s="40">
        <f>IFERROR(__xludf.DUMMYFUNCTION("COUNT(IMPORTRANGE(""https://docs.google.com/spreadsheets/d/1TAY2D35yAzyl8a_p5CuZehQvmatfj0b0Q8ICl8GtJBY/edit"",""9!d2:d29""))"),21.0)</f>
        <v>21</v>
      </c>
      <c r="F232" s="45">
        <f>IFERROR(__xludf.DUMMYFUNCTION("SUM(IMPORTRANGE(""https://docs.google.com/spreadsheets/d/1TAY2D35yAzyl8a_p5CuZehQvmatfj0b0Q8ICl8GtJBY/edit"",""9!Q2:Q29""))"),325.94800000000004)</f>
        <v>325.948</v>
      </c>
      <c r="G232" s="40">
        <f>IFERROR(__xludf.DUMMYFUNCTION("IMPORTRANGE(""https://docs.google.com/spreadsheets/d/1TAY2D35yAzyl8a_p5CuZehQvmatfj0b0Q8ICl8GtJBY/edit"",""9!e36"")"),773.0)</f>
        <v>773</v>
      </c>
      <c r="H232" s="40">
        <f>IFERROR(__xludf.DUMMYFUNCTION("(IMPORTRANGE(""https://docs.google.com/spreadsheets/d/1TAY2D35yAzyl8a_p5CuZehQvmatfj0b0Q8ICl8GtJBY/edit"",""9!e37""))"),0.0)</f>
        <v>0</v>
      </c>
      <c r="I232" s="40">
        <f t="shared" si="615"/>
        <v>773</v>
      </c>
      <c r="J232" s="40">
        <f>IFERROR(__xludf.DUMMYFUNCTION("IMPORTRANGE(""https://docs.google.com/spreadsheets/d/1TAY2D35yAzyl8a_p5CuZehQvmatfj0b0Q8ICl8GtJBY/edit"",""9!e40"")"),1281.0)</f>
        <v>1281</v>
      </c>
      <c r="K232" s="40">
        <f>IFERROR(__xludf.DUMMYFUNCTION("IMPORTRANGE(""https://docs.google.com/spreadsheets/d/1TAY2D35yAzyl8a_p5CuZehQvmatfj0b0Q8ICl8GtJBY/edit"",""9!e41"")"),201.0)</f>
        <v>201</v>
      </c>
      <c r="L232" s="40">
        <f t="shared" si="645"/>
        <v>1482</v>
      </c>
      <c r="M232" s="40">
        <f t="shared" si="617"/>
        <v>2255</v>
      </c>
      <c r="N232" s="41">
        <f t="shared" si="618"/>
        <v>15.52133333</v>
      </c>
      <c r="O232" s="38">
        <v>3569.0</v>
      </c>
      <c r="P232" s="42">
        <f t="shared" si="619"/>
        <v>0.6318296442</v>
      </c>
      <c r="Q232" s="43">
        <v>1.5</v>
      </c>
      <c r="R232" s="42">
        <f t="shared" si="620"/>
        <v>4.612187629</v>
      </c>
      <c r="S232" s="44">
        <f t="shared" si="621"/>
        <v>6.918281444</v>
      </c>
      <c r="T232" s="43">
        <f>F232/21.463</f>
        <v>15.18650701</v>
      </c>
      <c r="U232" s="43">
        <f t="shared" si="622"/>
        <v>0.7231670006</v>
      </c>
      <c r="V232" s="40">
        <f t="shared" si="623"/>
        <v>107.3809524</v>
      </c>
      <c r="X232" s="31">
        <v>5.0</v>
      </c>
      <c r="Y232" s="31" t="s">
        <v>40</v>
      </c>
      <c r="Z232" s="31">
        <f t="shared" ref="Z232:AI232" si="648">SUM(D236)</f>
        <v>23</v>
      </c>
      <c r="AA232" s="32">
        <f t="shared" si="648"/>
        <v>23</v>
      </c>
      <c r="AB232" s="33">
        <f t="shared" si="648"/>
        <v>4493.994</v>
      </c>
      <c r="AC232" s="32">
        <f t="shared" si="648"/>
        <v>2198</v>
      </c>
      <c r="AD232" s="32">
        <f t="shared" si="648"/>
        <v>0</v>
      </c>
      <c r="AE232" s="32">
        <f t="shared" si="648"/>
        <v>2198</v>
      </c>
      <c r="AF232" s="32">
        <f t="shared" si="648"/>
        <v>2786</v>
      </c>
      <c r="AG232" s="32">
        <f t="shared" si="648"/>
        <v>0</v>
      </c>
      <c r="AH232" s="32">
        <f t="shared" si="648"/>
        <v>2786</v>
      </c>
      <c r="AI232" s="32">
        <f t="shared" si="648"/>
        <v>4984</v>
      </c>
      <c r="AJ232" s="34">
        <f t="shared" si="635"/>
        <v>195.3910435</v>
      </c>
      <c r="AK232" s="31">
        <f t="shared" ref="AK232:AK233" si="651">SUM(O236)</f>
        <v>8239</v>
      </c>
      <c r="AL232" s="35">
        <f t="shared" si="637"/>
        <v>0.6049277825</v>
      </c>
      <c r="AM232" s="36">
        <f t="shared" ref="AM232:AM233" si="652">SUM(Q236)</f>
        <v>1.5</v>
      </c>
      <c r="AN232" s="35">
        <f t="shared" si="639"/>
        <v>0.7393571657</v>
      </c>
      <c r="AO232" s="37">
        <f t="shared" si="640"/>
        <v>1.109035749</v>
      </c>
      <c r="AP232" s="36">
        <f t="shared" ref="AP232:AQ232" si="649">SUM(T236)</f>
        <v>158</v>
      </c>
      <c r="AQ232" s="36">
        <f t="shared" si="649"/>
        <v>6.869565217</v>
      </c>
      <c r="AR232" s="32">
        <f t="shared" si="642"/>
        <v>216.6956522</v>
      </c>
    </row>
    <row r="233" ht="15.75" customHeight="1">
      <c r="A233" s="21"/>
      <c r="B233" s="38">
        <v>12.0</v>
      </c>
      <c r="C233" s="38" t="s">
        <v>41</v>
      </c>
      <c r="D233" s="39">
        <v>19.0</v>
      </c>
      <c r="E233" s="40">
        <f>IFERROR(__xludf.DUMMYFUNCTION("COUNT(IMPORTRANGE(""https://docs.google.com/spreadsheets/d/1VAsUtLQHi7oV9NsI9EIHPnO1bcPJHeRgSbMoxSvPBME/edit"",""9!d2:d25""))"),19.0)</f>
        <v>19</v>
      </c>
      <c r="F233" s="45">
        <f>IFERROR(__xludf.DUMMYFUNCTION("SUM(IMPORTRANGE(""https://docs.google.com/spreadsheets/d/1VAsUtLQHi7oV9NsI9EIHPnO1bcPJHeRgSbMoxSvPBME/edit"",""9!Q2:Q25""))"),3802.260000000001)</f>
        <v>3802.26</v>
      </c>
      <c r="G233" s="40">
        <f>IFERROR(__xludf.DUMMYFUNCTION("IMPORTRANGE(""https://docs.google.com/spreadsheets/d/1VAsUtLQHi7oV9NsI9EIHPnO1bcPJHeRgSbMoxSvPBME/edit"",""9!e32"")"),834.0)</f>
        <v>834</v>
      </c>
      <c r="H233" s="40">
        <f>IFERROR(__xludf.DUMMYFUNCTION("IMPORTRANGE(""https://docs.google.com/spreadsheets/d/1VAsUtLQHi7oV9NsI9EIHPnO1bcPJHeRgSbMoxSvPBME/edit"",""9!e33"")"),0.0)</f>
        <v>0</v>
      </c>
      <c r="I233" s="40">
        <f t="shared" si="615"/>
        <v>834</v>
      </c>
      <c r="J233" s="40">
        <f>IFERROR(__xludf.DUMMYFUNCTION("IMPORTRANGE(""https://docs.google.com/spreadsheets/d/1VAsUtLQHi7oV9NsI9EIHPnO1bcPJHeRgSbMoxSvPBME/edit"",""9!e36"")"),995.0)</f>
        <v>995</v>
      </c>
      <c r="K233" s="40">
        <f>IFERROR(__xludf.DUMMYFUNCTION("IMPORTRANGE(""https://docs.google.com/spreadsheets/d/1VAsUtLQHi7oV9NsI9EIHPnO1bcPJHeRgSbMoxSvPBME/edit"",""9!e37"")"),24.0)</f>
        <v>24</v>
      </c>
      <c r="L233" s="40">
        <f t="shared" si="645"/>
        <v>1019</v>
      </c>
      <c r="M233" s="40">
        <f t="shared" si="617"/>
        <v>1853</v>
      </c>
      <c r="N233" s="41">
        <f t="shared" si="618"/>
        <v>200.1189474</v>
      </c>
      <c r="O233" s="38">
        <v>3801.0</v>
      </c>
      <c r="P233" s="42">
        <f t="shared" si="619"/>
        <v>0.4875032886</v>
      </c>
      <c r="Q233" s="43">
        <v>1.5</v>
      </c>
      <c r="R233" s="42">
        <f t="shared" si="620"/>
        <v>0.3248944926</v>
      </c>
      <c r="S233" s="44">
        <f t="shared" si="621"/>
        <v>0.4873417389</v>
      </c>
      <c r="T233" s="43">
        <f>F233/29.628</f>
        <v>128.3333333</v>
      </c>
      <c r="U233" s="43">
        <f t="shared" si="622"/>
        <v>6.754385965</v>
      </c>
      <c r="V233" s="40">
        <f t="shared" si="623"/>
        <v>97.52631579</v>
      </c>
      <c r="X233" s="22">
        <v>6.0</v>
      </c>
      <c r="Y233" s="22" t="s">
        <v>42</v>
      </c>
      <c r="Z233" s="22">
        <f t="shared" ref="Z233:AI233" si="650">SUM(D237)</f>
        <v>24</v>
      </c>
      <c r="AA233" s="23">
        <f t="shared" si="650"/>
        <v>24</v>
      </c>
      <c r="AB233" s="24">
        <f t="shared" si="650"/>
        <v>5021.76</v>
      </c>
      <c r="AC233" s="23">
        <f t="shared" si="650"/>
        <v>1969</v>
      </c>
      <c r="AD233" s="23">
        <f t="shared" si="650"/>
        <v>0</v>
      </c>
      <c r="AE233" s="23">
        <f t="shared" si="650"/>
        <v>1969</v>
      </c>
      <c r="AF233" s="23">
        <f t="shared" si="650"/>
        <v>3093</v>
      </c>
      <c r="AG233" s="23">
        <f t="shared" si="650"/>
        <v>141</v>
      </c>
      <c r="AH233" s="23">
        <f t="shared" si="650"/>
        <v>3234</v>
      </c>
      <c r="AI233" s="23">
        <f t="shared" si="650"/>
        <v>5203</v>
      </c>
      <c r="AJ233" s="25">
        <f t="shared" si="635"/>
        <v>209.24</v>
      </c>
      <c r="AK233" s="22">
        <f t="shared" si="651"/>
        <v>9877</v>
      </c>
      <c r="AL233" s="26">
        <f t="shared" si="637"/>
        <v>0.5267793865</v>
      </c>
      <c r="AM233" s="27">
        <f t="shared" si="652"/>
        <v>1.5</v>
      </c>
      <c r="AN233" s="26">
        <f t="shared" si="639"/>
        <v>0.6907272882</v>
      </c>
      <c r="AO233" s="28">
        <f t="shared" si="640"/>
        <v>1.036090932</v>
      </c>
      <c r="AP233" s="27">
        <f t="shared" ref="AP233:AQ233" si="653">SUM(T237)</f>
        <v>192</v>
      </c>
      <c r="AQ233" s="27">
        <f t="shared" si="653"/>
        <v>8</v>
      </c>
      <c r="AR233" s="23">
        <f t="shared" si="642"/>
        <v>216.7916667</v>
      </c>
    </row>
    <row r="234" ht="15.75" customHeight="1">
      <c r="A234" s="21"/>
      <c r="B234" s="38">
        <v>13.0</v>
      </c>
      <c r="C234" s="38" t="s">
        <v>43</v>
      </c>
      <c r="D234" s="39">
        <v>23.0</v>
      </c>
      <c r="E234" s="40">
        <f>IFERROR(__xludf.DUMMYFUNCTION("COUNT(IMPORTRANGE(""https://docs.google.com/spreadsheets/d/1p9Y_DGk7-TpRBFth-ljZceOIGCjQ0ylUeUq6xqnsZ-Q/edit"",""9!d2:d31""))"),22.0)</f>
        <v>22</v>
      </c>
      <c r="F234" s="45">
        <f>IFERROR(__xludf.DUMMYFUNCTION("SUM(IMPORTRANGE(""https://docs.google.com/spreadsheets/d/1p9Y_DGk7-TpRBFth-ljZceOIGCjQ0ylUeUq6xqnsZ-Q/edit"",""9!Q2:Q31""))"),4244.115000000001)</f>
        <v>4244.115</v>
      </c>
      <c r="G234" s="40">
        <f>IFERROR(__xludf.DUMMYFUNCTION("IMPORTRANGE(""https://docs.google.com/spreadsheets/d/1p9Y_DGk7-TpRBFth-ljZceOIGCjQ0ylUeUq6xqnsZ-Q/edit"",""9!e38"")"),1196.0)</f>
        <v>1196</v>
      </c>
      <c r="H234" s="40">
        <f>IFERROR(__xludf.DUMMYFUNCTION("IMPORTRANGE(""https://docs.google.com/spreadsheets/d/1p9Y_DGk7-TpRBFth-ljZceOIGCjQ0ylUeUq6xqnsZ-Q/edit"",""9!e39"")"),0.0)</f>
        <v>0</v>
      </c>
      <c r="I234" s="40">
        <f t="shared" si="615"/>
        <v>1196</v>
      </c>
      <c r="J234" s="40">
        <f>IFERROR(__xludf.DUMMYFUNCTION("IMPORTRANGE(""https://docs.google.com/spreadsheets/d/1p9Y_DGk7-TpRBFth-ljZceOIGCjQ0ylUeUq6xqnsZ-Q/edit"",""9!e42"")"),1810.0)</f>
        <v>1810</v>
      </c>
      <c r="K234" s="40">
        <f>IFERROR(__xludf.DUMMYFUNCTION("IMPORTRANGE(""https://docs.google.com/spreadsheets/d/1p9Y_DGk7-TpRBFth-ljZceOIGCjQ0ylUeUq6xqnsZ-Q/edit"",""9!e43"")"),197.0)</f>
        <v>197</v>
      </c>
      <c r="L234" s="40">
        <f t="shared" si="645"/>
        <v>2007</v>
      </c>
      <c r="M234" s="40">
        <f t="shared" si="617"/>
        <v>3203</v>
      </c>
      <c r="N234" s="41">
        <f t="shared" si="618"/>
        <v>192.9143182</v>
      </c>
      <c r="O234" s="38">
        <v>8345.0</v>
      </c>
      <c r="P234" s="42">
        <f t="shared" si="619"/>
        <v>0.3838226483</v>
      </c>
      <c r="Q234" s="43">
        <v>1.5</v>
      </c>
      <c r="R234" s="42">
        <f t="shared" si="620"/>
        <v>0.5031280569</v>
      </c>
      <c r="S234" s="44">
        <f t="shared" si="621"/>
        <v>0.7546920854</v>
      </c>
      <c r="T234" s="43">
        <f>F234/41.205</f>
        <v>103</v>
      </c>
      <c r="U234" s="43">
        <f t="shared" si="622"/>
        <v>4.681818182</v>
      </c>
      <c r="V234" s="40">
        <f t="shared" si="623"/>
        <v>145.5909091</v>
      </c>
      <c r="X234" s="46" t="s">
        <v>33</v>
      </c>
      <c r="Y234" s="46">
        <v>6.0</v>
      </c>
      <c r="Z234" s="46">
        <f t="shared" ref="Z234:AI234" si="654">SUM(Z228:Z233)</f>
        <v>169</v>
      </c>
      <c r="AA234" s="47">
        <f t="shared" si="654"/>
        <v>166</v>
      </c>
      <c r="AB234" s="49">
        <f t="shared" si="654"/>
        <v>32816.502</v>
      </c>
      <c r="AC234" s="47">
        <f t="shared" si="654"/>
        <v>10940</v>
      </c>
      <c r="AD234" s="47">
        <f t="shared" si="654"/>
        <v>58</v>
      </c>
      <c r="AE234" s="47">
        <f t="shared" si="654"/>
        <v>10998</v>
      </c>
      <c r="AF234" s="47">
        <f t="shared" si="654"/>
        <v>16000</v>
      </c>
      <c r="AG234" s="47">
        <f t="shared" si="654"/>
        <v>477</v>
      </c>
      <c r="AH234" s="47">
        <f t="shared" si="654"/>
        <v>16477</v>
      </c>
      <c r="AI234" s="47">
        <f t="shared" si="654"/>
        <v>27475</v>
      </c>
      <c r="AJ234" s="49">
        <f t="shared" si="635"/>
        <v>197.6897711</v>
      </c>
      <c r="AK234" s="46">
        <f>SUM(AK228:AK233)</f>
        <v>53273</v>
      </c>
      <c r="AL234" s="50">
        <f t="shared" si="637"/>
        <v>0.5157396805</v>
      </c>
      <c r="AM234" s="51">
        <v>1.5</v>
      </c>
      <c r="AN234" s="50">
        <f t="shared" si="639"/>
        <v>0.5581541466</v>
      </c>
      <c r="AO234" s="52">
        <f t="shared" si="640"/>
        <v>0.8372312198</v>
      </c>
      <c r="AP234" s="51">
        <f>SUM(AP228:AP233)</f>
        <v>1083.009541</v>
      </c>
      <c r="AQ234" s="51">
        <f>AP234/AA234</f>
        <v>6.52415386</v>
      </c>
      <c r="AR234" s="47">
        <f t="shared" si="642"/>
        <v>165.5120482</v>
      </c>
    </row>
    <row r="235" ht="15.75" customHeight="1">
      <c r="A235" s="21"/>
      <c r="B235" s="38">
        <v>14.0</v>
      </c>
      <c r="C235" s="38" t="s">
        <v>27</v>
      </c>
      <c r="D235" s="39">
        <v>23.0</v>
      </c>
      <c r="E235" s="40">
        <f>IFERROR(__xludf.DUMMYFUNCTION("COUNT(IMPORTRANGE(""https://docs.google.com/spreadsheets/d/1zJUDEKztv_fercXA0LYNw155qdzS7TJGhWLhquaW5IY/edit"",""9!d2:d31""))"),22.0)</f>
        <v>22</v>
      </c>
      <c r="F235" s="45">
        <f>IFERROR(__xludf.DUMMYFUNCTION("SUM(IMPORTRANGE(""https://docs.google.com/spreadsheets/d/1zJUDEKztv_fercXA0LYNw155qdzS7TJGhWLhquaW5IY/edit"",""9!Q2:Q31""))"),4272.682999999999)</f>
        <v>4272.683</v>
      </c>
      <c r="G235" s="40">
        <f>IFERROR(__xludf.DUMMYFUNCTION("IMPORTRANGE(""https://docs.google.com/spreadsheets/d/1zJUDEKztv_fercXA0LYNw155qdzS7TJGhWLhquaW5IY/edit"",""9!e38"")"),1460.0)</f>
        <v>1460</v>
      </c>
      <c r="H235" s="40">
        <f>IFERROR(__xludf.DUMMYFUNCTION("IMPORTRANGE(""https://docs.google.com/spreadsheets/d/1zJUDEKztv_fercXA0LYNw155qdzS7TJGhWLhquaW5IY/edit"",""9!e39"")"),0.0)</f>
        <v>0</v>
      </c>
      <c r="I235" s="40">
        <f t="shared" si="615"/>
        <v>1460</v>
      </c>
      <c r="J235" s="40">
        <f>IFERROR(__xludf.DUMMYFUNCTION("IMPORTRANGE(""https://docs.google.com/spreadsheets/d/1zJUDEKztv_fercXA0LYNw155qdzS7TJGhWLhquaW5IY/edit"",""9!e42"")"),2428.0)</f>
        <v>2428</v>
      </c>
      <c r="K235" s="40">
        <f>IFERROR(__xludf.DUMMYFUNCTION("IMPORTRANGE(""https://docs.google.com/spreadsheets/d/1zJUDEKztv_fercXA0LYNw155qdzS7TJGhWLhquaW5IY/edit"",""9!e43"")"),0.0)</f>
        <v>0</v>
      </c>
      <c r="L235" s="40">
        <f t="shared" si="645"/>
        <v>2428</v>
      </c>
      <c r="M235" s="40">
        <f t="shared" si="617"/>
        <v>3888</v>
      </c>
      <c r="N235" s="41">
        <f t="shared" si="618"/>
        <v>194.2128636</v>
      </c>
      <c r="O235" s="38">
        <v>8101.0</v>
      </c>
      <c r="P235" s="42">
        <f t="shared" si="619"/>
        <v>0.4799407481</v>
      </c>
      <c r="Q235" s="43">
        <v>1.5</v>
      </c>
      <c r="R235" s="42">
        <f t="shared" si="620"/>
        <v>0.6066445837</v>
      </c>
      <c r="S235" s="44">
        <f t="shared" si="621"/>
        <v>0.9099668756</v>
      </c>
      <c r="T235" s="43">
        <f>F235/19.985</f>
        <v>213.7944959</v>
      </c>
      <c r="U235" s="43">
        <f t="shared" si="622"/>
        <v>9.717931631</v>
      </c>
      <c r="V235" s="40">
        <f t="shared" si="623"/>
        <v>176.7272727</v>
      </c>
      <c r="X235" s="59" t="s">
        <v>44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6"/>
    </row>
    <row r="236" ht="15.75" customHeight="1">
      <c r="A236" s="21"/>
      <c r="B236" s="38">
        <v>15.0</v>
      </c>
      <c r="C236" s="38" t="s">
        <v>40</v>
      </c>
      <c r="D236" s="39">
        <v>23.0</v>
      </c>
      <c r="E236" s="40">
        <f>IFERROR(__xludf.DUMMYFUNCTION("COUNT(IMPORTRANGE(""https://docs.google.com/spreadsheets/d/15GJA66Ucb-8RQ5vWVpq5HYaWoZZFX82SCeHChBujbrI/edit"",""9!d2:d31""))"),23.0)</f>
        <v>23</v>
      </c>
      <c r="F236" s="45">
        <f>IFERROR(__xludf.DUMMYFUNCTION("SUM(IMPORTRANGE(""https://docs.google.com/spreadsheets/d/15GJA66Ucb-8RQ5vWVpq5HYaWoZZFX82SCeHChBujbrI/edit"",""9!Q2:Q31""))"),4493.994000000001)</f>
        <v>4493.994</v>
      </c>
      <c r="G236" s="40">
        <f>IFERROR(__xludf.DUMMYFUNCTION("IMPORTRANGE(""https://docs.google.com/spreadsheets/d/15GJA66Ucb-8RQ5vWVpq5HYaWoZZFX82SCeHChBujbrI/edit"",""9!e38"")"),2198.0)</f>
        <v>2198</v>
      </c>
      <c r="H236" s="40">
        <f>IFERROR(__xludf.DUMMYFUNCTION("IMPORTRANGE(""https://docs.google.com/spreadsheets/d/15GJA66Ucb-8RQ5vWVpq5HYaWoZZFX82SCeHChBujbrI/edit"",""9!e39"")"),0.0)</f>
        <v>0</v>
      </c>
      <c r="I236" s="40">
        <f t="shared" si="615"/>
        <v>2198</v>
      </c>
      <c r="J236" s="40">
        <f>IFERROR(__xludf.DUMMYFUNCTION("IMPORTRANGE(""https://docs.google.com/spreadsheets/d/15GJA66Ucb-8RQ5vWVpq5HYaWoZZFX82SCeHChBujbrI/edit"",""9!e42"")"),2786.0)</f>
        <v>2786</v>
      </c>
      <c r="K236" s="40">
        <f>IFERROR(__xludf.DUMMYFUNCTION("IMPORTRANGE(""https://docs.google.com/spreadsheets/d/15GJA66Ucb-8RQ5vWVpq5HYaWoZZFX82SCeHChBujbrI/edit"",""9!e43"")"),0.0)</f>
        <v>0</v>
      </c>
      <c r="L236" s="40">
        <f t="shared" si="645"/>
        <v>2786</v>
      </c>
      <c r="M236" s="40">
        <f t="shared" si="617"/>
        <v>4984</v>
      </c>
      <c r="N236" s="41">
        <f t="shared" si="618"/>
        <v>195.3910435</v>
      </c>
      <c r="O236" s="38">
        <v>8239.0</v>
      </c>
      <c r="P236" s="42">
        <f t="shared" si="619"/>
        <v>0.6049277825</v>
      </c>
      <c r="Q236" s="43">
        <v>1.5</v>
      </c>
      <c r="R236" s="42">
        <f t="shared" si="620"/>
        <v>0.7393571657</v>
      </c>
      <c r="S236" s="44">
        <f t="shared" si="621"/>
        <v>1.109035749</v>
      </c>
      <c r="T236" s="43">
        <f>F236/28.443</f>
        <v>158</v>
      </c>
      <c r="U236" s="43">
        <f t="shared" si="622"/>
        <v>6.869565217</v>
      </c>
      <c r="V236" s="40">
        <f t="shared" si="623"/>
        <v>216.6956522</v>
      </c>
      <c r="X236" s="14" t="s">
        <v>2</v>
      </c>
      <c r="Y236" s="14" t="s">
        <v>3</v>
      </c>
      <c r="Z236" s="14" t="s">
        <v>4</v>
      </c>
      <c r="AA236" s="14" t="s">
        <v>5</v>
      </c>
      <c r="AB236" s="15" t="s">
        <v>6</v>
      </c>
      <c r="AC236" s="14" t="s">
        <v>7</v>
      </c>
      <c r="AD236" s="14" t="s">
        <v>8</v>
      </c>
      <c r="AE236" s="14" t="s">
        <v>9</v>
      </c>
      <c r="AF236" s="14" t="s">
        <v>10</v>
      </c>
      <c r="AG236" s="14" t="s">
        <v>11</v>
      </c>
      <c r="AH236" s="14" t="s">
        <v>12</v>
      </c>
      <c r="AI236" s="14" t="s">
        <v>13</v>
      </c>
      <c r="AJ236" s="15" t="s">
        <v>14</v>
      </c>
      <c r="AK236" s="14" t="s">
        <v>15</v>
      </c>
      <c r="AL236" s="14" t="s">
        <v>16</v>
      </c>
      <c r="AM236" s="16" t="s">
        <v>17</v>
      </c>
      <c r="AN236" s="17" t="s">
        <v>18</v>
      </c>
      <c r="AO236" s="18" t="s">
        <v>19</v>
      </c>
      <c r="AP236" s="19" t="s">
        <v>20</v>
      </c>
      <c r="AQ236" s="19" t="s">
        <v>21</v>
      </c>
      <c r="AR236" s="20" t="s">
        <v>22</v>
      </c>
    </row>
    <row r="237" ht="15.75" customHeight="1">
      <c r="A237" s="21"/>
      <c r="B237" s="38">
        <v>16.0</v>
      </c>
      <c r="C237" s="38" t="s">
        <v>42</v>
      </c>
      <c r="D237" s="39">
        <v>24.0</v>
      </c>
      <c r="E237" s="40">
        <f>IFERROR(__xludf.DUMMYFUNCTION("COUNT(IMPORTRANGE(""https://docs.google.com/spreadsheets/d/14Tu_jFPEdrIQ6DHYu6vRvJKQsbXr-48NY1tKy4-8JKI/edit"",""9!d2:d34""))"),24.0)</f>
        <v>24</v>
      </c>
      <c r="F237" s="45">
        <f>IFERROR(__xludf.DUMMYFUNCTION("SUM(IMPORTRANGE(""https://docs.google.com/spreadsheets/d/14Tu_jFPEdrIQ6DHYu6vRvJKQsbXr-48NY1tKy4-8JKI/edit"",""9!Q2:Q34""))"),5021.7599999999975)</f>
        <v>5021.76</v>
      </c>
      <c r="G237" s="40">
        <f>IFERROR(__xludf.DUMMYFUNCTION("IMPORTRANGE(""https://docs.google.com/spreadsheets/d/14Tu_jFPEdrIQ6DHYu6vRvJKQsbXr-48NY1tKy4-8JKI/edit"",""9!e41"")"),1969.0)</f>
        <v>1969</v>
      </c>
      <c r="H237" s="40">
        <f>IFERROR(__xludf.DUMMYFUNCTION("IMPORTRANGE(""https://docs.google.com/spreadsheets/d/14Tu_jFPEdrIQ6DHYu6vRvJKQsbXr-48NY1tKy4-8JKI/edit"",""9!e42"")"),0.0)</f>
        <v>0</v>
      </c>
      <c r="I237" s="40">
        <f t="shared" si="615"/>
        <v>1969</v>
      </c>
      <c r="J237" s="40">
        <f>IFERROR(__xludf.DUMMYFUNCTION("IMPORTRANGE(""https://docs.google.com/spreadsheets/d/14Tu_jFPEdrIQ6DHYu6vRvJKQsbXr-48NY1tKy4-8JKI/edit"",""9!e45"")"),3093.0)</f>
        <v>3093</v>
      </c>
      <c r="K237" s="40">
        <f>IFERROR(__xludf.DUMMYFUNCTION("IMPORTRANGE(""https://docs.google.com/spreadsheets/d/14Tu_jFPEdrIQ6DHYu6vRvJKQsbXr-48NY1tKy4-8JKI/edit"",""9!e46"")"),141.0)</f>
        <v>141</v>
      </c>
      <c r="L237" s="40">
        <f t="shared" si="645"/>
        <v>3234</v>
      </c>
      <c r="M237" s="40">
        <f t="shared" si="617"/>
        <v>5203</v>
      </c>
      <c r="N237" s="41">
        <f t="shared" si="618"/>
        <v>209.24</v>
      </c>
      <c r="O237" s="38">
        <v>9877.0</v>
      </c>
      <c r="P237" s="42">
        <f t="shared" si="619"/>
        <v>0.5267793865</v>
      </c>
      <c r="Q237" s="43">
        <v>1.5</v>
      </c>
      <c r="R237" s="42">
        <f t="shared" si="620"/>
        <v>0.6907272882</v>
      </c>
      <c r="S237" s="44">
        <f t="shared" si="621"/>
        <v>1.036090932</v>
      </c>
      <c r="T237" s="43">
        <f>F237/26.155</f>
        <v>192</v>
      </c>
      <c r="U237" s="43">
        <f t="shared" si="622"/>
        <v>8</v>
      </c>
      <c r="V237" s="40">
        <f t="shared" si="623"/>
        <v>216.7916667</v>
      </c>
      <c r="X237" s="31">
        <v>1.0</v>
      </c>
      <c r="Y237" s="31" t="s">
        <v>26</v>
      </c>
      <c r="Z237" s="31">
        <f t="shared" ref="Z237:AI237" si="655">SUM(D222)</f>
        <v>15</v>
      </c>
      <c r="AA237" s="32">
        <f t="shared" si="655"/>
        <v>15</v>
      </c>
      <c r="AB237" s="34">
        <f t="shared" si="655"/>
        <v>2897.874</v>
      </c>
      <c r="AC237" s="32">
        <f t="shared" si="655"/>
        <v>1462</v>
      </c>
      <c r="AD237" s="32">
        <f t="shared" si="655"/>
        <v>0</v>
      </c>
      <c r="AE237" s="32">
        <f t="shared" si="655"/>
        <v>1462</v>
      </c>
      <c r="AF237" s="32">
        <f t="shared" si="655"/>
        <v>2067</v>
      </c>
      <c r="AG237" s="32">
        <f t="shared" si="655"/>
        <v>48</v>
      </c>
      <c r="AH237" s="32">
        <f t="shared" si="655"/>
        <v>2115</v>
      </c>
      <c r="AI237" s="32">
        <f t="shared" si="655"/>
        <v>3577</v>
      </c>
      <c r="AJ237" s="34">
        <f t="shared" ref="AJ237:AJ243" si="658">AB237/AA237</f>
        <v>193.1916</v>
      </c>
      <c r="AK237" s="31">
        <f>SUM(O222)</f>
        <v>5161</v>
      </c>
      <c r="AL237" s="35">
        <f t="shared" ref="AL237:AL243" si="659">AI237/AK237</f>
        <v>0.6930827359</v>
      </c>
      <c r="AM237" s="36">
        <f>SUM(Q222)</f>
        <v>1.5</v>
      </c>
      <c r="AN237" s="35">
        <f t="shared" ref="AN237:AN243" si="660">AO237/AM237</f>
        <v>0.822902123</v>
      </c>
      <c r="AO237" s="37">
        <f t="shared" ref="AO237:AO243" si="661">AI237/AB237</f>
        <v>1.234353184</v>
      </c>
      <c r="AP237" s="36">
        <f t="shared" ref="AP237:AQ237" si="656">SUM(T222)</f>
        <v>201.0318418</v>
      </c>
      <c r="AQ237" s="36">
        <f t="shared" si="656"/>
        <v>13.40212279</v>
      </c>
      <c r="AR237" s="32">
        <f t="shared" ref="AR237:AR243" si="663">AI237/AA237</f>
        <v>238.4666667</v>
      </c>
    </row>
    <row r="238" ht="15.75" customHeight="1">
      <c r="A238" s="21"/>
      <c r="B238" s="38">
        <v>17.0</v>
      </c>
      <c r="C238" s="38" t="s">
        <v>29</v>
      </c>
      <c r="D238" s="39">
        <v>23.0</v>
      </c>
      <c r="E238" s="40">
        <f>IFERROR(__xludf.DUMMYFUNCTION("COUNT(IMPORTRANGE(""https://docs.google.com/spreadsheets/d/1ja_RQYsP0p5wRrACHojay4CW1wLx0QdS5tSwp-vYQ-s/edit"",""9!d2:d31""))"),22.0)</f>
        <v>22</v>
      </c>
      <c r="F238" s="45">
        <f>IFERROR(__xludf.DUMMYFUNCTION("SUM(IMPORTRANGE(""https://docs.google.com/spreadsheets/d/1ja_RQYsP0p5wRrACHojay4CW1wLx0QdS5tSwp-vYQ-s/edit"",""9!Q2:Q31""))"),4296.270000000001)</f>
        <v>4296.27</v>
      </c>
      <c r="G238" s="40">
        <f>IFERROR(__xludf.DUMMYFUNCTION("IMPORTRANGE(""https://docs.google.com/spreadsheets/d/1ja_RQYsP0p5wRrACHojay4CW1wLx0QdS5tSwp-vYQ-s/edit"",""9!e38"")"),1718.0)</f>
        <v>1718</v>
      </c>
      <c r="H238" s="40">
        <f>IFERROR(__xludf.DUMMYFUNCTION("IMPORTRANGE(""https://docs.google.com/spreadsheets/d/1ja_RQYsP0p5wRrACHojay4CW1wLx0QdS5tSwp-vYQ-s/edit"",""9!e39"")"),0.0)</f>
        <v>0</v>
      </c>
      <c r="I238" s="40">
        <f t="shared" si="615"/>
        <v>1718</v>
      </c>
      <c r="J238" s="40">
        <f>IFERROR(__xludf.DUMMYFUNCTION("IMPORTRANGE(""https://docs.google.com/spreadsheets/d/1ja_RQYsP0p5wRrACHojay4CW1wLx0QdS5tSwp-vYQ-s/edit"",""9!e42"")"),2638.0)</f>
        <v>2638</v>
      </c>
      <c r="K238" s="40">
        <f>IFERROR(__xludf.DUMMYFUNCTION("IMPORTRANGE(""https://docs.google.com/spreadsheets/d/1ja_RQYsP0p5wRrACHojay4CW1wLx0QdS5tSwp-vYQ-s/edit"",""9!e43"")"),0.0)</f>
        <v>0</v>
      </c>
      <c r="L238" s="40">
        <f t="shared" si="645"/>
        <v>2638</v>
      </c>
      <c r="M238" s="40">
        <f t="shared" si="617"/>
        <v>4356</v>
      </c>
      <c r="N238" s="41">
        <f t="shared" si="618"/>
        <v>195.285</v>
      </c>
      <c r="O238" s="38">
        <v>9201.0</v>
      </c>
      <c r="P238" s="42">
        <f t="shared" si="619"/>
        <v>0.4734268014</v>
      </c>
      <c r="Q238" s="43">
        <v>1.5</v>
      </c>
      <c r="R238" s="42">
        <f t="shared" si="620"/>
        <v>0.6759351717</v>
      </c>
      <c r="S238" s="44">
        <f t="shared" si="621"/>
        <v>1.013902758</v>
      </c>
      <c r="T238" s="43">
        <f>F238/26.038</f>
        <v>165</v>
      </c>
      <c r="U238" s="43">
        <f t="shared" si="622"/>
        <v>7.5</v>
      </c>
      <c r="V238" s="40">
        <f t="shared" si="623"/>
        <v>198</v>
      </c>
      <c r="X238" s="31">
        <v>2.0</v>
      </c>
      <c r="Y238" s="31" t="s">
        <v>32</v>
      </c>
      <c r="Z238" s="31">
        <f t="shared" ref="Z238:AI238" si="657">SUM(D225)</f>
        <v>32</v>
      </c>
      <c r="AA238" s="32">
        <f t="shared" si="657"/>
        <v>31</v>
      </c>
      <c r="AB238" s="33">
        <f t="shared" si="657"/>
        <v>6032.83</v>
      </c>
      <c r="AC238" s="31">
        <f t="shared" si="657"/>
        <v>3179</v>
      </c>
      <c r="AD238" s="31">
        <f t="shared" si="657"/>
        <v>0</v>
      </c>
      <c r="AE238" s="32">
        <f t="shared" si="657"/>
        <v>3179</v>
      </c>
      <c r="AF238" s="31">
        <f t="shared" si="657"/>
        <v>3910</v>
      </c>
      <c r="AG238" s="31">
        <f t="shared" si="657"/>
        <v>0</v>
      </c>
      <c r="AH238" s="32">
        <f t="shared" si="657"/>
        <v>3910</v>
      </c>
      <c r="AI238" s="32">
        <f t="shared" si="657"/>
        <v>7089</v>
      </c>
      <c r="AJ238" s="34">
        <f t="shared" si="658"/>
        <v>194.6074194</v>
      </c>
      <c r="AK238" s="31">
        <f>SUM(O225)</f>
        <v>13817</v>
      </c>
      <c r="AL238" s="35">
        <f t="shared" si="659"/>
        <v>0.5130636173</v>
      </c>
      <c r="AM238" s="36">
        <f>SUM(Q225)</f>
        <v>1.5</v>
      </c>
      <c r="AN238" s="35">
        <f t="shared" si="660"/>
        <v>0.783380271</v>
      </c>
      <c r="AO238" s="37">
        <f t="shared" si="661"/>
        <v>1.175070406</v>
      </c>
      <c r="AP238" s="36">
        <f t="shared" ref="AP238:AQ238" si="662">SUM(T225)</f>
        <v>240.4571725</v>
      </c>
      <c r="AQ238" s="36">
        <f t="shared" si="662"/>
        <v>7.756682983</v>
      </c>
      <c r="AR238" s="32">
        <f t="shared" si="663"/>
        <v>228.6774194</v>
      </c>
    </row>
    <row r="239" ht="15.75" customHeight="1">
      <c r="A239" s="21"/>
      <c r="B239" s="38">
        <v>18.0</v>
      </c>
      <c r="C239" s="38" t="s">
        <v>31</v>
      </c>
      <c r="D239" s="39">
        <v>11.0</v>
      </c>
      <c r="E239" s="40">
        <f>IFERROR(__xludf.DUMMYFUNCTION("COUNT(IMPORTRANGE(""https://docs.google.com/spreadsheets/d/1ObnK1oSznTOmyW9Zcd2kxExl7TOnO2MNq_0giEKc_mE/edit"",""9!d2:d16""))"),11.0)</f>
        <v>11</v>
      </c>
      <c r="F239" s="41">
        <f>IFERROR(__xludf.DUMMYFUNCTION("SUM(IMPORTRANGE(""https://docs.google.com/spreadsheets/d/1ObnK1oSznTOmyW9Zcd2kxExl7TOnO2MNq_0giEKc_mE/edit"",""9!Q2:Q16""))"),2129.785)</f>
        <v>2129.785</v>
      </c>
      <c r="G239" s="40">
        <f>IFERROR(__xludf.DUMMYFUNCTION("IMPORTRANGE(""https://docs.google.com/spreadsheets/d/1ObnK1oSznTOmyW9Zcd2kxExl7TOnO2MNq_0giEKc_mE/edit"",""9!e23"")"),410.0)</f>
        <v>410</v>
      </c>
      <c r="H239" s="40">
        <f>IFERROR(__xludf.DUMMYFUNCTION("IMPORTRANGE(""https://docs.google.com/spreadsheets/d/1ObnK1oSznTOmyW9Zcd2kxExl7TOnO2MNq_0giEKc_mE/edit"",""9!e24"")"),0.0)</f>
        <v>0</v>
      </c>
      <c r="I239" s="40">
        <f t="shared" si="615"/>
        <v>410</v>
      </c>
      <c r="J239" s="40">
        <f>IFERROR(__xludf.DUMMYFUNCTION("IMPORTRANGE(""https://docs.google.com/spreadsheets/d/1ObnK1oSznTOmyW9Zcd2kxExl7TOnO2MNq_0giEKc_mE/edit"",""9!e27"")"),672.0)</f>
        <v>672</v>
      </c>
      <c r="K239" s="40">
        <f>IFERROR(__xludf.DUMMYFUNCTION("IMPORTRANGE(""https://docs.google.com/spreadsheets/d/1ObnK1oSznTOmyW9Zcd2kxExl7TOnO2MNq_0giEKc_mE/edit"",""9!e28"")"),0.0)</f>
        <v>0</v>
      </c>
      <c r="L239" s="40">
        <f t="shared" si="645"/>
        <v>672</v>
      </c>
      <c r="M239" s="40">
        <f t="shared" si="617"/>
        <v>1082</v>
      </c>
      <c r="N239" s="41">
        <f t="shared" si="618"/>
        <v>193.6168182</v>
      </c>
      <c r="O239" s="38">
        <v>2717.0</v>
      </c>
      <c r="P239" s="42">
        <f t="shared" si="619"/>
        <v>0.3982333456</v>
      </c>
      <c r="Q239" s="43">
        <v>1.5</v>
      </c>
      <c r="R239" s="42">
        <f t="shared" si="620"/>
        <v>0.338688334</v>
      </c>
      <c r="S239" s="44">
        <f t="shared" si="621"/>
        <v>0.5080325009</v>
      </c>
      <c r="T239" s="43">
        <f>F239/43.465</f>
        <v>49</v>
      </c>
      <c r="U239" s="43">
        <f t="shared" si="622"/>
        <v>4.454545455</v>
      </c>
      <c r="V239" s="40">
        <f t="shared" si="623"/>
        <v>98.36363636</v>
      </c>
      <c r="X239" s="31">
        <v>3.0</v>
      </c>
      <c r="Y239" s="31" t="s">
        <v>36</v>
      </c>
      <c r="Z239" s="31">
        <f t="shared" ref="Z239:AI239" si="664">SUM(D230)</f>
        <v>22</v>
      </c>
      <c r="AA239" s="32">
        <f t="shared" si="664"/>
        <v>22</v>
      </c>
      <c r="AB239" s="33">
        <f t="shared" si="664"/>
        <v>4372.65</v>
      </c>
      <c r="AC239" s="32">
        <f t="shared" si="664"/>
        <v>915</v>
      </c>
      <c r="AD239" s="32">
        <f t="shared" si="664"/>
        <v>0</v>
      </c>
      <c r="AE239" s="32">
        <f t="shared" si="664"/>
        <v>915</v>
      </c>
      <c r="AF239" s="32">
        <f t="shared" si="664"/>
        <v>1586</v>
      </c>
      <c r="AG239" s="32">
        <f t="shared" si="664"/>
        <v>0</v>
      </c>
      <c r="AH239" s="32">
        <f t="shared" si="664"/>
        <v>1586</v>
      </c>
      <c r="AI239" s="32">
        <f t="shared" si="664"/>
        <v>2501</v>
      </c>
      <c r="AJ239" s="34">
        <f t="shared" si="658"/>
        <v>198.7568182</v>
      </c>
      <c r="AK239" s="31">
        <f t="shared" ref="AK239:AK242" si="668">SUM(O230)</f>
        <v>4796</v>
      </c>
      <c r="AL239" s="35">
        <f t="shared" si="659"/>
        <v>0.5214762302</v>
      </c>
      <c r="AM239" s="36">
        <f t="shared" ref="AM239:AM242" si="669">SUM(Q230)</f>
        <v>1.5</v>
      </c>
      <c r="AN239" s="35">
        <f t="shared" si="660"/>
        <v>0.3813095796</v>
      </c>
      <c r="AO239" s="37">
        <f t="shared" si="661"/>
        <v>0.5719643694</v>
      </c>
      <c r="AP239" s="36">
        <f t="shared" ref="AP239:AQ239" si="665">SUM(T230)</f>
        <v>116.8720265</v>
      </c>
      <c r="AQ239" s="36">
        <f t="shared" si="665"/>
        <v>5.312364842</v>
      </c>
      <c r="AR239" s="32">
        <f t="shared" si="663"/>
        <v>113.6818182</v>
      </c>
    </row>
    <row r="240" ht="15.75" customHeight="1">
      <c r="A240" s="21"/>
      <c r="B240" s="60" t="s">
        <v>33</v>
      </c>
      <c r="C240" s="60">
        <v>18.0</v>
      </c>
      <c r="D240" s="60">
        <f t="shared" ref="D240:M240" si="666">SUM(D222:D239)</f>
        <v>445</v>
      </c>
      <c r="E240" s="61">
        <f t="shared" si="666"/>
        <v>437</v>
      </c>
      <c r="F240" s="62">
        <f t="shared" si="666"/>
        <v>81977.739</v>
      </c>
      <c r="G240" s="61">
        <f t="shared" si="666"/>
        <v>25754</v>
      </c>
      <c r="H240" s="61">
        <f t="shared" si="666"/>
        <v>415</v>
      </c>
      <c r="I240" s="61">
        <f t="shared" si="666"/>
        <v>26169</v>
      </c>
      <c r="J240" s="61">
        <f t="shared" si="666"/>
        <v>39037</v>
      </c>
      <c r="K240" s="61">
        <f t="shared" si="666"/>
        <v>1125</v>
      </c>
      <c r="L240" s="61">
        <f t="shared" si="666"/>
        <v>40162</v>
      </c>
      <c r="M240" s="61">
        <f t="shared" si="666"/>
        <v>66331</v>
      </c>
      <c r="N240" s="62">
        <f t="shared" si="618"/>
        <v>187.5920801</v>
      </c>
      <c r="O240" s="60">
        <f>SUM(O222:O239)</f>
        <v>126399</v>
      </c>
      <c r="P240" s="63">
        <f t="shared" si="619"/>
        <v>0.5247747213</v>
      </c>
      <c r="Q240" s="64">
        <v>1.5</v>
      </c>
      <c r="R240" s="63">
        <f t="shared" si="620"/>
        <v>0.5394228629</v>
      </c>
      <c r="S240" s="65">
        <f t="shared" si="621"/>
        <v>0.8091342944</v>
      </c>
      <c r="T240" s="64">
        <f>SUM(T222:T239)</f>
        <v>2993.710237</v>
      </c>
      <c r="U240" s="64">
        <f t="shared" si="622"/>
        <v>6.850595507</v>
      </c>
      <c r="V240" s="61">
        <f t="shared" si="623"/>
        <v>151.7871854</v>
      </c>
      <c r="X240" s="31">
        <v>4.0</v>
      </c>
      <c r="Y240" s="31" t="s">
        <v>37</v>
      </c>
      <c r="Z240" s="31">
        <f t="shared" ref="Z240:AI240" si="667">SUM(D231)</f>
        <v>23</v>
      </c>
      <c r="AA240" s="32">
        <f t="shared" si="667"/>
        <v>23</v>
      </c>
      <c r="AB240" s="33">
        <f t="shared" si="667"/>
        <v>4597.38</v>
      </c>
      <c r="AC240" s="32">
        <f t="shared" si="667"/>
        <v>922</v>
      </c>
      <c r="AD240" s="32">
        <f t="shared" si="667"/>
        <v>38</v>
      </c>
      <c r="AE240" s="32">
        <f t="shared" si="667"/>
        <v>960</v>
      </c>
      <c r="AF240" s="32">
        <f t="shared" si="667"/>
        <v>1869</v>
      </c>
      <c r="AG240" s="32">
        <f t="shared" si="667"/>
        <v>49</v>
      </c>
      <c r="AH240" s="32">
        <f t="shared" si="667"/>
        <v>1918</v>
      </c>
      <c r="AI240" s="32">
        <f t="shared" si="667"/>
        <v>2878</v>
      </c>
      <c r="AJ240" s="34">
        <f t="shared" si="658"/>
        <v>199.886087</v>
      </c>
      <c r="AK240" s="31">
        <f t="shared" si="668"/>
        <v>5887</v>
      </c>
      <c r="AL240" s="35">
        <f t="shared" si="659"/>
        <v>0.4888737897</v>
      </c>
      <c r="AM240" s="36">
        <f t="shared" si="669"/>
        <v>1.5</v>
      </c>
      <c r="AN240" s="35">
        <f t="shared" si="660"/>
        <v>0.4173391511</v>
      </c>
      <c r="AO240" s="37">
        <f t="shared" si="661"/>
        <v>0.6260087267</v>
      </c>
      <c r="AP240" s="36">
        <f t="shared" ref="AP240:AQ240" si="670">SUM(T231)</f>
        <v>185.4380445</v>
      </c>
      <c r="AQ240" s="36">
        <f t="shared" si="670"/>
        <v>8.062523675</v>
      </c>
      <c r="AR240" s="32">
        <f t="shared" si="663"/>
        <v>125.1304348</v>
      </c>
    </row>
    <row r="241" ht="15.7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X241" s="31">
        <v>5.0</v>
      </c>
      <c r="Y241" s="31" t="s">
        <v>39</v>
      </c>
      <c r="Z241" s="31">
        <f t="shared" ref="Z241:AI241" si="671">SUM(D232)</f>
        <v>21</v>
      </c>
      <c r="AA241" s="32">
        <f t="shared" si="671"/>
        <v>21</v>
      </c>
      <c r="AB241" s="33">
        <f t="shared" si="671"/>
        <v>325.948</v>
      </c>
      <c r="AC241" s="32">
        <f t="shared" si="671"/>
        <v>773</v>
      </c>
      <c r="AD241" s="32">
        <f t="shared" si="671"/>
        <v>0</v>
      </c>
      <c r="AE241" s="32">
        <f t="shared" si="671"/>
        <v>773</v>
      </c>
      <c r="AF241" s="32">
        <f t="shared" si="671"/>
        <v>1281</v>
      </c>
      <c r="AG241" s="32">
        <f t="shared" si="671"/>
        <v>201</v>
      </c>
      <c r="AH241" s="32">
        <f t="shared" si="671"/>
        <v>1482</v>
      </c>
      <c r="AI241" s="32">
        <f t="shared" si="671"/>
        <v>2255</v>
      </c>
      <c r="AJ241" s="34">
        <f t="shared" si="658"/>
        <v>15.52133333</v>
      </c>
      <c r="AK241" s="31">
        <f t="shared" si="668"/>
        <v>3569</v>
      </c>
      <c r="AL241" s="35">
        <f t="shared" si="659"/>
        <v>0.6318296442</v>
      </c>
      <c r="AM241" s="36">
        <f t="shared" si="669"/>
        <v>1.5</v>
      </c>
      <c r="AN241" s="35">
        <f t="shared" si="660"/>
        <v>4.612187629</v>
      </c>
      <c r="AO241" s="37">
        <f t="shared" si="661"/>
        <v>6.918281444</v>
      </c>
      <c r="AP241" s="36">
        <f t="shared" ref="AP241:AQ241" si="672">SUM(T232)</f>
        <v>15.18650701</v>
      </c>
      <c r="AQ241" s="36">
        <f t="shared" si="672"/>
        <v>0.7231670006</v>
      </c>
      <c r="AR241" s="32">
        <f t="shared" si="663"/>
        <v>107.3809524</v>
      </c>
    </row>
    <row r="242" ht="15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X242" s="31">
        <v>6.0</v>
      </c>
      <c r="Y242" s="31" t="s">
        <v>41</v>
      </c>
      <c r="Z242" s="31">
        <f t="shared" ref="Z242:AI242" si="673">SUM(D233)</f>
        <v>19</v>
      </c>
      <c r="AA242" s="32">
        <f t="shared" si="673"/>
        <v>19</v>
      </c>
      <c r="AB242" s="33">
        <f t="shared" si="673"/>
        <v>3802.26</v>
      </c>
      <c r="AC242" s="32">
        <f t="shared" si="673"/>
        <v>834</v>
      </c>
      <c r="AD242" s="32">
        <f t="shared" si="673"/>
        <v>0</v>
      </c>
      <c r="AE242" s="32">
        <f t="shared" si="673"/>
        <v>834</v>
      </c>
      <c r="AF242" s="32">
        <f t="shared" si="673"/>
        <v>995</v>
      </c>
      <c r="AG242" s="32">
        <f t="shared" si="673"/>
        <v>24</v>
      </c>
      <c r="AH242" s="32">
        <f t="shared" si="673"/>
        <v>1019</v>
      </c>
      <c r="AI242" s="32">
        <f t="shared" si="673"/>
        <v>1853</v>
      </c>
      <c r="AJ242" s="34">
        <f t="shared" si="658"/>
        <v>200.1189474</v>
      </c>
      <c r="AK242" s="31">
        <f t="shared" si="668"/>
        <v>3801</v>
      </c>
      <c r="AL242" s="35">
        <f t="shared" si="659"/>
        <v>0.4875032886</v>
      </c>
      <c r="AM242" s="36">
        <f t="shared" si="669"/>
        <v>1.5</v>
      </c>
      <c r="AN242" s="35">
        <f t="shared" si="660"/>
        <v>0.3248944926</v>
      </c>
      <c r="AO242" s="37">
        <f t="shared" si="661"/>
        <v>0.4873417389</v>
      </c>
      <c r="AP242" s="36">
        <f t="shared" ref="AP242:AQ242" si="674">SUM(T233)</f>
        <v>128.3333333</v>
      </c>
      <c r="AQ242" s="36">
        <f t="shared" si="674"/>
        <v>6.754385965</v>
      </c>
      <c r="AR242" s="32">
        <f t="shared" si="663"/>
        <v>97.52631579</v>
      </c>
    </row>
    <row r="243" ht="15.75" customHeight="1">
      <c r="A243" s="1" t="s">
        <v>45</v>
      </c>
      <c r="D243" s="2"/>
      <c r="X243" s="46" t="s">
        <v>33</v>
      </c>
      <c r="Y243" s="46">
        <v>6.0</v>
      </c>
      <c r="Z243" s="46">
        <f t="shared" ref="Z243:AI243" si="675">SUM(Z237:Z242)</f>
        <v>132</v>
      </c>
      <c r="AA243" s="47">
        <f t="shared" si="675"/>
        <v>131</v>
      </c>
      <c r="AB243" s="49">
        <f t="shared" si="675"/>
        <v>22028.942</v>
      </c>
      <c r="AC243" s="47">
        <f t="shared" si="675"/>
        <v>8085</v>
      </c>
      <c r="AD243" s="47">
        <f t="shared" si="675"/>
        <v>38</v>
      </c>
      <c r="AE243" s="47">
        <f t="shared" si="675"/>
        <v>8123</v>
      </c>
      <c r="AF243" s="47">
        <f t="shared" si="675"/>
        <v>11708</v>
      </c>
      <c r="AG243" s="47">
        <f t="shared" si="675"/>
        <v>322</v>
      </c>
      <c r="AH243" s="47">
        <f t="shared" si="675"/>
        <v>12030</v>
      </c>
      <c r="AI243" s="47">
        <f t="shared" si="675"/>
        <v>20153</v>
      </c>
      <c r="AJ243" s="49">
        <f t="shared" si="658"/>
        <v>168.1598626</v>
      </c>
      <c r="AK243" s="46">
        <f>SUM(AK237:AK242)</f>
        <v>37031</v>
      </c>
      <c r="AL243" s="50">
        <f t="shared" si="659"/>
        <v>0.5442197078</v>
      </c>
      <c r="AM243" s="51">
        <v>1.5</v>
      </c>
      <c r="AN243" s="50">
        <f t="shared" si="660"/>
        <v>0.6098946256</v>
      </c>
      <c r="AO243" s="52">
        <f t="shared" si="661"/>
        <v>0.9148419384</v>
      </c>
      <c r="AP243" s="51">
        <f>SUM(AP237:AP242)</f>
        <v>887.3189257</v>
      </c>
      <c r="AQ243" s="51">
        <f>AP243/AA243</f>
        <v>6.773426914</v>
      </c>
      <c r="AR243" s="47">
        <f t="shared" si="663"/>
        <v>153.8396947</v>
      </c>
    </row>
    <row r="244" ht="15.75" customHeight="1">
      <c r="A244" s="1" t="s">
        <v>45</v>
      </c>
      <c r="D244" s="2"/>
      <c r="X244" s="66" t="s">
        <v>1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6"/>
    </row>
    <row r="245" ht="15.75" customHeight="1">
      <c r="A245" s="7">
        <v>46244.0</v>
      </c>
      <c r="B245" s="8" t="s">
        <v>2</v>
      </c>
      <c r="C245" s="8" t="s">
        <v>3</v>
      </c>
      <c r="D245" s="8" t="s">
        <v>4</v>
      </c>
      <c r="E245" s="8" t="s">
        <v>5</v>
      </c>
      <c r="F245" s="9" t="s">
        <v>6</v>
      </c>
      <c r="G245" s="8" t="s">
        <v>7</v>
      </c>
      <c r="H245" s="8" t="s">
        <v>8</v>
      </c>
      <c r="I245" s="8" t="s">
        <v>9</v>
      </c>
      <c r="J245" s="8" t="s">
        <v>10</v>
      </c>
      <c r="K245" s="8" t="s">
        <v>11</v>
      </c>
      <c r="L245" s="8" t="s">
        <v>12</v>
      </c>
      <c r="M245" s="8" t="s">
        <v>13</v>
      </c>
      <c r="N245" s="9" t="s">
        <v>14</v>
      </c>
      <c r="O245" s="8" t="s">
        <v>15</v>
      </c>
      <c r="P245" s="8" t="s">
        <v>16</v>
      </c>
      <c r="Q245" s="8" t="s">
        <v>17</v>
      </c>
      <c r="R245" s="8" t="s">
        <v>18</v>
      </c>
      <c r="S245" s="11" t="s">
        <v>19</v>
      </c>
      <c r="T245" s="12" t="s">
        <v>20</v>
      </c>
      <c r="U245" s="12" t="s">
        <v>21</v>
      </c>
      <c r="V245" s="13" t="s">
        <v>22</v>
      </c>
      <c r="X245" s="14" t="s">
        <v>2</v>
      </c>
      <c r="Y245" s="14" t="s">
        <v>3</v>
      </c>
      <c r="Z245" s="14" t="s">
        <v>4</v>
      </c>
      <c r="AA245" s="14" t="s">
        <v>5</v>
      </c>
      <c r="AB245" s="15" t="s">
        <v>6</v>
      </c>
      <c r="AC245" s="14" t="s">
        <v>7</v>
      </c>
      <c r="AD245" s="14" t="s">
        <v>8</v>
      </c>
      <c r="AE245" s="14" t="s">
        <v>9</v>
      </c>
      <c r="AF245" s="14" t="s">
        <v>10</v>
      </c>
      <c r="AG245" s="14" t="s">
        <v>11</v>
      </c>
      <c r="AH245" s="14" t="s">
        <v>12</v>
      </c>
      <c r="AI245" s="14" t="s">
        <v>13</v>
      </c>
      <c r="AJ245" s="15" t="s">
        <v>14</v>
      </c>
      <c r="AK245" s="14" t="s">
        <v>15</v>
      </c>
      <c r="AL245" s="14" t="s">
        <v>16</v>
      </c>
      <c r="AM245" s="16" t="s">
        <v>17</v>
      </c>
      <c r="AN245" s="17" t="s">
        <v>18</v>
      </c>
      <c r="AO245" s="18" t="s">
        <v>19</v>
      </c>
      <c r="AP245" s="19" t="s">
        <v>20</v>
      </c>
      <c r="AQ245" s="19" t="s">
        <v>21</v>
      </c>
      <c r="AR245" s="20" t="s">
        <v>22</v>
      </c>
    </row>
    <row r="246" ht="15.7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X246" s="22">
        <v>1.0</v>
      </c>
      <c r="Y246" s="22" t="s">
        <v>23</v>
      </c>
      <c r="Z246" s="22">
        <f t="shared" ref="Z246:AI246" si="676">SUM(D254)</f>
        <v>35</v>
      </c>
      <c r="AA246" s="23">
        <f t="shared" si="676"/>
        <v>35</v>
      </c>
      <c r="AB246" s="24">
        <f t="shared" si="676"/>
        <v>6714.26</v>
      </c>
      <c r="AC246" s="23">
        <f t="shared" si="676"/>
        <v>1677</v>
      </c>
      <c r="AD246" s="23">
        <f t="shared" si="676"/>
        <v>0</v>
      </c>
      <c r="AE246" s="23">
        <f t="shared" si="676"/>
        <v>1677</v>
      </c>
      <c r="AF246" s="23">
        <f t="shared" si="676"/>
        <v>3319</v>
      </c>
      <c r="AG246" s="23">
        <f t="shared" si="676"/>
        <v>0</v>
      </c>
      <c r="AH246" s="23">
        <f t="shared" si="676"/>
        <v>3319</v>
      </c>
      <c r="AI246" s="23">
        <f t="shared" si="676"/>
        <v>4996</v>
      </c>
      <c r="AJ246" s="25">
        <f t="shared" ref="AJ246:AJ248" si="679">AB246/AA246</f>
        <v>191.836</v>
      </c>
      <c r="AK246" s="22">
        <f>SUM(O254)</f>
        <v>6853</v>
      </c>
      <c r="AL246" s="26">
        <f t="shared" ref="AL246:AL252" si="680">AI246/AK246</f>
        <v>0.7290237852</v>
      </c>
      <c r="AM246" s="27">
        <f t="shared" ref="AM246:AM248" si="681">SUM(Q254)</f>
        <v>1.5</v>
      </c>
      <c r="AN246" s="26">
        <f t="shared" ref="AN246:AN252" si="682">AO246/AM246</f>
        <v>0.4960586374</v>
      </c>
      <c r="AO246" s="28">
        <f t="shared" ref="AO246:AO252" si="683">AI246/AB246</f>
        <v>0.7440879561</v>
      </c>
      <c r="AP246" s="27">
        <f t="shared" ref="AP246:AQ246" si="677">SUM(T254)</f>
        <v>199</v>
      </c>
      <c r="AQ246" s="27">
        <f t="shared" si="677"/>
        <v>5.685714286</v>
      </c>
      <c r="AR246" s="23">
        <f t="shared" ref="AR246:AR252" si="685">AI246/AA246</f>
        <v>142.7428571</v>
      </c>
    </row>
    <row r="247" ht="15.7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X247" s="22">
        <v>2.0</v>
      </c>
      <c r="Y247" s="22" t="s">
        <v>24</v>
      </c>
      <c r="Z247" s="22">
        <f t="shared" ref="Z247:AI247" si="678">SUM(D255)</f>
        <v>44</v>
      </c>
      <c r="AA247" s="23">
        <f t="shared" si="678"/>
        <v>42</v>
      </c>
      <c r="AB247" s="24">
        <f t="shared" si="678"/>
        <v>8211.621</v>
      </c>
      <c r="AC247" s="23">
        <f t="shared" si="678"/>
        <v>1076</v>
      </c>
      <c r="AD247" s="23">
        <f t="shared" si="678"/>
        <v>0</v>
      </c>
      <c r="AE247" s="23">
        <f t="shared" si="678"/>
        <v>1076</v>
      </c>
      <c r="AF247" s="23">
        <f t="shared" si="678"/>
        <v>1377</v>
      </c>
      <c r="AG247" s="23">
        <f t="shared" si="678"/>
        <v>0</v>
      </c>
      <c r="AH247" s="23">
        <f t="shared" si="678"/>
        <v>1377</v>
      </c>
      <c r="AI247" s="23">
        <f t="shared" si="678"/>
        <v>2453</v>
      </c>
      <c r="AJ247" s="25">
        <f t="shared" si="679"/>
        <v>195.5147857</v>
      </c>
      <c r="AK247" s="22">
        <v>1580.0</v>
      </c>
      <c r="AL247" s="29">
        <f t="shared" si="680"/>
        <v>1.552531646</v>
      </c>
      <c r="AM247" s="27">
        <f t="shared" si="681"/>
        <v>1.5</v>
      </c>
      <c r="AN247" s="26">
        <f t="shared" si="682"/>
        <v>0.1991486618</v>
      </c>
      <c r="AO247" s="28">
        <f t="shared" si="683"/>
        <v>0.2987229927</v>
      </c>
      <c r="AP247" s="27">
        <f t="shared" ref="AP247:AQ247" si="684">SUM(T255)</f>
        <v>306.3466144</v>
      </c>
      <c r="AQ247" s="27">
        <f t="shared" si="684"/>
        <v>7.29396701</v>
      </c>
      <c r="AR247" s="23">
        <f t="shared" si="685"/>
        <v>58.4047619</v>
      </c>
    </row>
    <row r="248" ht="15.75" customHeight="1">
      <c r="A248" s="21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X248" s="31">
        <v>3.0</v>
      </c>
      <c r="Y248" s="31" t="s">
        <v>25</v>
      </c>
      <c r="Z248" s="31">
        <f t="shared" ref="Z248:AI248" si="686">SUM(D256)</f>
        <v>32</v>
      </c>
      <c r="AA248" s="32">
        <f t="shared" si="686"/>
        <v>32</v>
      </c>
      <c r="AB248" s="33">
        <f t="shared" si="686"/>
        <v>5558.256</v>
      </c>
      <c r="AC248" s="32">
        <f t="shared" si="686"/>
        <v>2333</v>
      </c>
      <c r="AD248" s="32">
        <f t="shared" si="686"/>
        <v>375</v>
      </c>
      <c r="AE248" s="32">
        <f t="shared" si="686"/>
        <v>2708</v>
      </c>
      <c r="AF248" s="32">
        <f t="shared" si="686"/>
        <v>2595</v>
      </c>
      <c r="AG248" s="32">
        <f t="shared" si="686"/>
        <v>478</v>
      </c>
      <c r="AH248" s="32">
        <f t="shared" si="686"/>
        <v>3073</v>
      </c>
      <c r="AI248" s="32">
        <f t="shared" si="686"/>
        <v>5781</v>
      </c>
      <c r="AJ248" s="34">
        <f t="shared" si="679"/>
        <v>173.6955</v>
      </c>
      <c r="AK248" s="31">
        <f>SUM(O256)</f>
        <v>6622</v>
      </c>
      <c r="AL248" s="35">
        <f t="shared" si="680"/>
        <v>0.8729990939</v>
      </c>
      <c r="AM248" s="36">
        <f t="shared" si="681"/>
        <v>1.5</v>
      </c>
      <c r="AN248" s="35">
        <f t="shared" si="682"/>
        <v>0.6933829604</v>
      </c>
      <c r="AO248" s="37">
        <f t="shared" si="683"/>
        <v>1.040074441</v>
      </c>
      <c r="AP248" s="36">
        <f t="shared" ref="AP248:AQ248" si="687">SUM(T256)</f>
        <v>233.1483221</v>
      </c>
      <c r="AQ248" s="36">
        <f t="shared" si="687"/>
        <v>7.285885067</v>
      </c>
      <c r="AR248" s="32">
        <f t="shared" si="685"/>
        <v>180.65625</v>
      </c>
    </row>
    <row r="249" ht="15.75" customHeight="1">
      <c r="A249" s="21"/>
      <c r="B249" s="38">
        <v>1.0</v>
      </c>
      <c r="C249" s="38" t="s">
        <v>26</v>
      </c>
      <c r="D249" s="39">
        <v>20.0</v>
      </c>
      <c r="E249" s="40">
        <f>IFERROR(__xludf.DUMMYFUNCTION("COUNT(IMPORTRANGE(""https://docs.google.com/spreadsheets/d/1iVFEBQOAONhqDIMRa2hQ7WkCQv0dJWSAmc0AzfvSCMg/edit"",""10!d2:d21""))"),20.0)</f>
        <v>20</v>
      </c>
      <c r="F249" s="41">
        <f>IFERROR(__xludf.DUMMYFUNCTION("SUM(IMPORTRANGE(""https://docs.google.com/spreadsheets/d/1iVFEBQOAONhqDIMRa2hQ7WkCQv0dJWSAmc0AzfvSCMg/edit"",""10!Q2:Q21""))"),3525.0030000000006)</f>
        <v>3525.003</v>
      </c>
      <c r="G249" s="40">
        <f>IFERROR(__xludf.DUMMYFUNCTION("IMPORTRANGE(""https://docs.google.com/spreadsheets/d/1iVFEBQOAONhqDIMRa2hQ7WkCQv0dJWSAmc0AzfvSCMg/edit"",""10!e28"")"),2012.0)</f>
        <v>2012</v>
      </c>
      <c r="H249" s="40">
        <f>IFERROR(__xludf.DUMMYFUNCTION("IMPORTRANGE(""https://docs.google.com/spreadsheets/d/1iVFEBQOAONhqDIMRa2hQ7WkCQv0dJWSAmc0AzfvSCMg/edit"",""10!e29"")"),0.0)</f>
        <v>0</v>
      </c>
      <c r="I249" s="40">
        <f t="shared" ref="I249:I266" si="690">SUM(G249:H249)</f>
        <v>2012</v>
      </c>
      <c r="J249" s="40">
        <f>IFERROR(__xludf.DUMMYFUNCTION("IMPORTRANGE(""https://docs.google.com/spreadsheets/d/1iVFEBQOAONhqDIMRa2hQ7WkCQv0dJWSAmc0AzfvSCMg/edit"",""10!e32"")"),2751.0)</f>
        <v>2751</v>
      </c>
      <c r="K249" s="40">
        <f>IFERROR(__xludf.DUMMYFUNCTION("IMPORTRANGE(""https://docs.google.com/spreadsheets/d/1iVFEBQOAONhqDIMRa2hQ7WkCQv0dJWSAmc0AzfvSCMg/edit"",""10!e33"")"),0.0)</f>
        <v>0</v>
      </c>
      <c r="L249" s="40">
        <f t="shared" ref="L249:L255" si="691">SUM(J249:K249)</f>
        <v>2751</v>
      </c>
      <c r="M249" s="40">
        <f t="shared" ref="M249:M266" si="692">SUM(I249+L249)</f>
        <v>4763</v>
      </c>
      <c r="N249" s="41">
        <f t="shared" ref="N249:N267" si="693">F249/E249</f>
        <v>176.25015</v>
      </c>
      <c r="O249" s="38">
        <v>5161.0</v>
      </c>
      <c r="P249" s="42">
        <f t="shared" ref="P249:P267" si="694">M249/O249</f>
        <v>0.9228831622</v>
      </c>
      <c r="Q249" s="43">
        <v>1.5</v>
      </c>
      <c r="R249" s="42">
        <f t="shared" ref="R249:R267" si="695">S249/Q249</f>
        <v>0.9008030159</v>
      </c>
      <c r="S249" s="44">
        <f t="shared" ref="S249:S267" si="696">M249/F249</f>
        <v>1.351204524</v>
      </c>
      <c r="T249" s="43">
        <f>F249/14.415</f>
        <v>244.5371488</v>
      </c>
      <c r="U249" s="43">
        <f t="shared" ref="U249:U267" si="697">T249/E249</f>
        <v>12.22685744</v>
      </c>
      <c r="V249" s="40">
        <f t="shared" ref="V249:V267" si="698">M249/E249</f>
        <v>238.15</v>
      </c>
      <c r="X249" s="22">
        <v>4.0</v>
      </c>
      <c r="Y249" s="22" t="s">
        <v>27</v>
      </c>
      <c r="Z249" s="22">
        <f t="shared" ref="Z249:AK249" si="688">SUM(D262)</f>
        <v>30</v>
      </c>
      <c r="AA249" s="23">
        <f t="shared" si="688"/>
        <v>28</v>
      </c>
      <c r="AB249" s="24">
        <f t="shared" si="688"/>
        <v>5305.88</v>
      </c>
      <c r="AC249" s="23">
        <f t="shared" si="688"/>
        <v>2462</v>
      </c>
      <c r="AD249" s="23">
        <f t="shared" si="688"/>
        <v>0</v>
      </c>
      <c r="AE249" s="23">
        <f t="shared" si="688"/>
        <v>2462</v>
      </c>
      <c r="AF249" s="23">
        <f t="shared" si="688"/>
        <v>3395</v>
      </c>
      <c r="AG249" s="23">
        <f t="shared" si="688"/>
        <v>183</v>
      </c>
      <c r="AH249" s="23">
        <f t="shared" si="688"/>
        <v>3578</v>
      </c>
      <c r="AI249" s="23">
        <f t="shared" si="688"/>
        <v>6040</v>
      </c>
      <c r="AJ249" s="25">
        <f t="shared" si="688"/>
        <v>189.4957143</v>
      </c>
      <c r="AK249" s="22">
        <f t="shared" si="688"/>
        <v>8101</v>
      </c>
      <c r="AL249" s="26">
        <f t="shared" si="680"/>
        <v>0.7455869646</v>
      </c>
      <c r="AM249" s="27">
        <f>SUM(Q262)</f>
        <v>1.5</v>
      </c>
      <c r="AN249" s="26">
        <f t="shared" si="682"/>
        <v>0.7589064711</v>
      </c>
      <c r="AO249" s="28">
        <f t="shared" si="683"/>
        <v>1.138359707</v>
      </c>
      <c r="AP249" s="27">
        <f t="shared" ref="AP249:AQ249" si="689">SUM(T262)</f>
        <v>265.4931198</v>
      </c>
      <c r="AQ249" s="27">
        <f t="shared" si="689"/>
        <v>9.481897137</v>
      </c>
      <c r="AR249" s="23">
        <f t="shared" si="685"/>
        <v>215.7142857</v>
      </c>
    </row>
    <row r="250" ht="15.75" customHeight="1">
      <c r="A250" s="21"/>
      <c r="B250" s="38">
        <v>2.0</v>
      </c>
      <c r="C250" s="38" t="s">
        <v>28</v>
      </c>
      <c r="D250" s="39">
        <v>33.0</v>
      </c>
      <c r="E250" s="40">
        <f>IFERROR(__xludf.DUMMYFUNCTION("COUNT(IMPORTRANGE(""https://docs.google.com/spreadsheets/d/1tJCeYclgeJZ4Dc78t_SkhVjtacKW-5-VGim8X1rzUzk/edit"",""10!d2:d34""))"),33.0)</f>
        <v>33</v>
      </c>
      <c r="F250" s="41">
        <f>IFERROR(__xludf.DUMMYFUNCTION("SUM(IMPORTRANGE(""https://docs.google.com/spreadsheets/d/1tJCeYclgeJZ4Dc78t_SkhVjtacKW-5-VGim8X1rzUzk/edit"",""10!Q2:Q34""))"),6483.664000000001)</f>
        <v>6483.664</v>
      </c>
      <c r="G250" s="40">
        <f>IFERROR(__xludf.DUMMYFUNCTION("IMPORTRANGE(""https://docs.google.com/spreadsheets/d/1tJCeYclgeJZ4Dc78t_SkhVjtacKW-5-VGim8X1rzUzk/edit"",""10!e41"")"),2685.0)</f>
        <v>2685</v>
      </c>
      <c r="H250" s="40">
        <f>IFERROR(__xludf.DUMMYFUNCTION("IMPORTRANGE(""https://docs.google.com/spreadsheets/d/1tJCeYclgeJZ4Dc78t_SkhVjtacKW-5-VGim8X1rzUzk/edit"",""10!e42"")"),92.0)</f>
        <v>92</v>
      </c>
      <c r="I250" s="40">
        <f t="shared" si="690"/>
        <v>2777</v>
      </c>
      <c r="J250" s="40">
        <f>IFERROR(__xludf.DUMMYFUNCTION("IMPORTRANGE(""https://docs.google.com/spreadsheets/d/1tJCeYclgeJZ4Dc78t_SkhVjtacKW-5-VGim8X1rzUzk/edit"",""10!e45"")"),3104.0)</f>
        <v>3104</v>
      </c>
      <c r="K250" s="40">
        <f>IFERROR(__xludf.DUMMYFUNCTION("IMPORTRANGE(""https://docs.google.com/spreadsheets/d/1tJCeYclgeJZ4Dc78t_SkhVjtacKW-5-VGim8X1rzUzk/edit"",""10!e46"")"),101.0)</f>
        <v>101</v>
      </c>
      <c r="L250" s="40">
        <f t="shared" si="691"/>
        <v>3205</v>
      </c>
      <c r="M250" s="40">
        <f t="shared" si="692"/>
        <v>5982</v>
      </c>
      <c r="N250" s="41">
        <f t="shared" si="693"/>
        <v>196.4746667</v>
      </c>
      <c r="O250" s="38">
        <v>7315.0</v>
      </c>
      <c r="P250" s="42">
        <f t="shared" si="694"/>
        <v>0.817771702</v>
      </c>
      <c r="Q250" s="43">
        <v>1.5</v>
      </c>
      <c r="R250" s="42">
        <f t="shared" si="695"/>
        <v>0.6150843104</v>
      </c>
      <c r="S250" s="44">
        <f t="shared" si="696"/>
        <v>0.9226264655</v>
      </c>
      <c r="T250" s="43">
        <f>F250/30.897</f>
        <v>209.8476875</v>
      </c>
      <c r="U250" s="43">
        <f t="shared" si="697"/>
        <v>6.359020833</v>
      </c>
      <c r="V250" s="40">
        <f t="shared" si="698"/>
        <v>181.2727273</v>
      </c>
      <c r="X250" s="22">
        <v>5.0</v>
      </c>
      <c r="Y250" s="22" t="s">
        <v>29</v>
      </c>
      <c r="Z250" s="22">
        <f t="shared" ref="Z250:AI250" si="699">SUM(D265)</f>
        <v>30</v>
      </c>
      <c r="AA250" s="23">
        <f t="shared" si="699"/>
        <v>29</v>
      </c>
      <c r="AB250" s="24">
        <f t="shared" si="699"/>
        <v>5695.565</v>
      </c>
      <c r="AC250" s="23">
        <f t="shared" si="699"/>
        <v>2870</v>
      </c>
      <c r="AD250" s="23">
        <f t="shared" si="699"/>
        <v>0</v>
      </c>
      <c r="AE250" s="23">
        <f t="shared" si="699"/>
        <v>2870</v>
      </c>
      <c r="AF250" s="23">
        <f t="shared" si="699"/>
        <v>4131</v>
      </c>
      <c r="AG250" s="23">
        <f t="shared" si="699"/>
        <v>0</v>
      </c>
      <c r="AH250" s="23">
        <f t="shared" si="699"/>
        <v>4131</v>
      </c>
      <c r="AI250" s="23">
        <f t="shared" si="699"/>
        <v>7001</v>
      </c>
      <c r="AJ250" s="25">
        <f t="shared" ref="AJ250:AJ252" si="702">AB250/AA250</f>
        <v>196.3987931</v>
      </c>
      <c r="AK250" s="22">
        <f t="shared" ref="AK250:AK251" si="703">SUM(O265)</f>
        <v>9201</v>
      </c>
      <c r="AL250" s="26">
        <f t="shared" si="680"/>
        <v>0.7608955548</v>
      </c>
      <c r="AM250" s="27">
        <f t="shared" ref="AM250:AM251" si="704">SUM(Q265)</f>
        <v>1.5</v>
      </c>
      <c r="AN250" s="26">
        <f t="shared" si="682"/>
        <v>0.819468013</v>
      </c>
      <c r="AO250" s="28">
        <f t="shared" si="683"/>
        <v>1.229202019</v>
      </c>
      <c r="AP250" s="27">
        <f t="shared" ref="AP250:AQ250" si="700">SUM(T265)</f>
        <v>215</v>
      </c>
      <c r="AQ250" s="27">
        <f t="shared" si="700"/>
        <v>7.413793103</v>
      </c>
      <c r="AR250" s="23">
        <f t="shared" si="685"/>
        <v>241.4137931</v>
      </c>
    </row>
    <row r="251" ht="15.75" customHeight="1">
      <c r="A251" s="21"/>
      <c r="B251" s="38">
        <v>3.0</v>
      </c>
      <c r="C251" s="38" t="s">
        <v>30</v>
      </c>
      <c r="D251" s="39">
        <v>60.0</v>
      </c>
      <c r="E251" s="40">
        <f>IFERROR(__xludf.DUMMYFUNCTION("COUNT(IMPORTRANGE(""https://docs.google.com/spreadsheets/d/130gLEONC13J8KkQ6dk06x3bLRy_jCrAw2hXatQf2W50/edit"",""10!d2:d61""))"),59.0)</f>
        <v>59</v>
      </c>
      <c r="F251" s="45">
        <f>IFERROR(__xludf.DUMMYFUNCTION("SUM(IMPORTRANGE(""https://docs.google.com/spreadsheets/d/130gLEONC13J8KkQ6dk06x3bLRy_jCrAw2hXatQf2W50/edit"",""10!Q2:Q61""))"),11367.551999999989)</f>
        <v>11367.552</v>
      </c>
      <c r="G251" s="40">
        <f>IFERROR(__xludf.DUMMYFUNCTION("IMPORTRANGE(""https://docs.google.com/spreadsheets/d/130gLEONC13J8KkQ6dk06x3bLRy_jCrAw2hXatQf2W50/edit"",""10!e68"")"),3322.0)</f>
        <v>3322</v>
      </c>
      <c r="H251" s="40">
        <f>IFERROR(__xludf.DUMMYFUNCTION("IMPORTRANGE(""https://docs.google.com/spreadsheets/d/130gLEONC13J8KkQ6dk06x3bLRy_jCrAw2hXatQf2W50/edit"",""10!e69"")"),0.0)</f>
        <v>0</v>
      </c>
      <c r="I251" s="40">
        <f t="shared" si="690"/>
        <v>3322</v>
      </c>
      <c r="J251" s="40">
        <f>IFERROR(__xludf.DUMMYFUNCTION("IMPORTRANGE(""https://docs.google.com/spreadsheets/d/130gLEONC13J8KkQ6dk06x3bLRy_jCrAw2hXatQf2W50/edit"",""10!e72"")"),5754.0)</f>
        <v>5754</v>
      </c>
      <c r="K251" s="40">
        <f>IFERROR(__xludf.DUMMYFUNCTION("IMPORTRANGE(""https://docs.google.com/spreadsheets/d/130gLEONC13J8KkQ6dk06x3bLRy_jCrAw2hXatQf2W50/edit"",""10!e73"")"),0.0)</f>
        <v>0</v>
      </c>
      <c r="L251" s="40">
        <f t="shared" si="691"/>
        <v>5754</v>
      </c>
      <c r="M251" s="40">
        <f t="shared" si="692"/>
        <v>9076</v>
      </c>
      <c r="N251" s="41">
        <f t="shared" si="693"/>
        <v>192.6703729</v>
      </c>
      <c r="O251" s="38">
        <v>11164.0</v>
      </c>
      <c r="P251" s="42">
        <f t="shared" si="694"/>
        <v>0.8129702616</v>
      </c>
      <c r="Q251" s="43">
        <v>1.5</v>
      </c>
      <c r="R251" s="42">
        <f t="shared" si="695"/>
        <v>0.5322752574</v>
      </c>
      <c r="S251" s="44">
        <f t="shared" si="696"/>
        <v>0.7984128861</v>
      </c>
      <c r="T251" s="43">
        <f>F251/29.603</f>
        <v>384</v>
      </c>
      <c r="U251" s="43">
        <f t="shared" si="697"/>
        <v>6.508474576</v>
      </c>
      <c r="V251" s="40">
        <f t="shared" si="698"/>
        <v>153.8305085</v>
      </c>
      <c r="X251" s="22">
        <v>6.0</v>
      </c>
      <c r="Y251" s="22" t="s">
        <v>31</v>
      </c>
      <c r="Z251" s="22">
        <f t="shared" ref="Z251:AI251" si="701">SUM(D266)</f>
        <v>15</v>
      </c>
      <c r="AA251" s="23">
        <f t="shared" si="701"/>
        <v>14</v>
      </c>
      <c r="AB251" s="25">
        <f t="shared" si="701"/>
        <v>2520.97</v>
      </c>
      <c r="AC251" s="23">
        <f t="shared" si="701"/>
        <v>778</v>
      </c>
      <c r="AD251" s="23">
        <f t="shared" si="701"/>
        <v>0</v>
      </c>
      <c r="AE251" s="23">
        <f t="shared" si="701"/>
        <v>778</v>
      </c>
      <c r="AF251" s="23">
        <f t="shared" si="701"/>
        <v>891</v>
      </c>
      <c r="AG251" s="23">
        <f t="shared" si="701"/>
        <v>0</v>
      </c>
      <c r="AH251" s="23">
        <f t="shared" si="701"/>
        <v>891</v>
      </c>
      <c r="AI251" s="23">
        <f t="shared" si="701"/>
        <v>1669</v>
      </c>
      <c r="AJ251" s="25">
        <f t="shared" si="702"/>
        <v>180.0692857</v>
      </c>
      <c r="AK251" s="22">
        <f t="shared" si="703"/>
        <v>2717</v>
      </c>
      <c r="AL251" s="26">
        <f t="shared" si="680"/>
        <v>0.6142804564</v>
      </c>
      <c r="AM251" s="27">
        <f t="shared" si="704"/>
        <v>1.5</v>
      </c>
      <c r="AN251" s="26">
        <f t="shared" si="682"/>
        <v>0.4413645012</v>
      </c>
      <c r="AO251" s="28">
        <f t="shared" si="683"/>
        <v>0.6620467518</v>
      </c>
      <c r="AP251" s="27">
        <f t="shared" ref="AP251:AQ251" si="705">SUM(T266)</f>
        <v>58</v>
      </c>
      <c r="AQ251" s="27">
        <f t="shared" si="705"/>
        <v>4.142857143</v>
      </c>
      <c r="AR251" s="23">
        <f t="shared" si="685"/>
        <v>119.2142857</v>
      </c>
    </row>
    <row r="252" ht="15.75" customHeight="1">
      <c r="A252" s="21"/>
      <c r="B252" s="38">
        <v>4.0</v>
      </c>
      <c r="C252" s="38" t="s">
        <v>32</v>
      </c>
      <c r="D252" s="39">
        <v>42.0</v>
      </c>
      <c r="E252" s="40">
        <f>IFERROR(__xludf.DUMMYFUNCTION("COUNT(IMPORTRANGE(""https://docs.google.com/spreadsheets/d/1gYHli7FuKQLm2Q-5LMR0UtkD-gRRA_p8s-phLPLDLgc/edit"",""10!d2:d43""))"),42.0)</f>
        <v>42</v>
      </c>
      <c r="F252" s="45">
        <f>IFERROR(__xludf.DUMMYFUNCTION("SUM(IMPORTRANGE(""https://docs.google.com/spreadsheets/d/1gYHli7FuKQLm2Q-5LMR0UtkD-gRRA_p8s-phLPLDLgc/edit"",""10!Q2:Q43""))"),8379.72599999999)</f>
        <v>8379.726</v>
      </c>
      <c r="G252" s="38">
        <f>IFERROR(__xludf.DUMMYFUNCTION("IMPORTRANGE(""https://docs.google.com/spreadsheets/d/1gYHli7FuKQLm2Q-5LMR0UtkD-gRRA_p8s-phLPLDLgc/edit"",""10!e50"")"),4945.0)</f>
        <v>4945</v>
      </c>
      <c r="H252" s="38">
        <f>IFERROR(__xludf.DUMMYFUNCTION("IMPORTRANGE(""https://docs.google.com/spreadsheets/d/1gYHli7FuKQLm2Q-5LMR0UtkD-gRRA_p8s-phLPLDLgc/edit"",""10!e51"")"),0.0)</f>
        <v>0</v>
      </c>
      <c r="I252" s="40">
        <f t="shared" si="690"/>
        <v>4945</v>
      </c>
      <c r="J252" s="38">
        <f>IFERROR(__xludf.DUMMYFUNCTION("IMPORTRANGE(""https://docs.google.com/spreadsheets/d/1gYHli7FuKQLm2Q-5LMR0UtkD-gRRA_p8s-phLPLDLgc/edit"",""10!e54"")"),5910.0)</f>
        <v>5910</v>
      </c>
      <c r="K252" s="38">
        <f>IFERROR(__xludf.DUMMYFUNCTION("IMPORTRANGE(""https://docs.google.com/spreadsheets/d/1gYHli7FuKQLm2Q-5LMR0UtkD-gRRA_p8s-phLPLDLgc/edit"",""10!e55"")"),0.0)</f>
        <v>0</v>
      </c>
      <c r="L252" s="40">
        <f t="shared" si="691"/>
        <v>5910</v>
      </c>
      <c r="M252" s="40">
        <f t="shared" si="692"/>
        <v>10855</v>
      </c>
      <c r="N252" s="41">
        <f t="shared" si="693"/>
        <v>199.5172857</v>
      </c>
      <c r="O252" s="38">
        <v>13817.0</v>
      </c>
      <c r="P252" s="42">
        <f t="shared" si="694"/>
        <v>0.7856264023</v>
      </c>
      <c r="Q252" s="43">
        <v>1.5</v>
      </c>
      <c r="R252" s="42">
        <f t="shared" si="695"/>
        <v>0.8635922782</v>
      </c>
      <c r="S252" s="44">
        <f t="shared" si="696"/>
        <v>1.295388417</v>
      </c>
      <c r="T252" s="43">
        <f>F252/25.089</f>
        <v>334</v>
      </c>
      <c r="U252" s="43">
        <f t="shared" si="697"/>
        <v>7.952380952</v>
      </c>
      <c r="V252" s="40">
        <f t="shared" si="698"/>
        <v>258.452381</v>
      </c>
      <c r="X252" s="46" t="s">
        <v>33</v>
      </c>
      <c r="Y252" s="46">
        <v>6.0</v>
      </c>
      <c r="Z252" s="46">
        <f t="shared" ref="Z252:AI252" si="706">SUM(Z246:Z251)</f>
        <v>186</v>
      </c>
      <c r="AA252" s="47">
        <f t="shared" si="706"/>
        <v>180</v>
      </c>
      <c r="AB252" s="48">
        <f t="shared" si="706"/>
        <v>34006.552</v>
      </c>
      <c r="AC252" s="47">
        <f t="shared" si="706"/>
        <v>11196</v>
      </c>
      <c r="AD252" s="47">
        <f t="shared" si="706"/>
        <v>375</v>
      </c>
      <c r="AE252" s="47">
        <f t="shared" si="706"/>
        <v>11571</v>
      </c>
      <c r="AF252" s="47">
        <f t="shared" si="706"/>
        <v>15708</v>
      </c>
      <c r="AG252" s="47">
        <f t="shared" si="706"/>
        <v>661</v>
      </c>
      <c r="AH252" s="47">
        <f t="shared" si="706"/>
        <v>16369</v>
      </c>
      <c r="AI252" s="47">
        <f t="shared" si="706"/>
        <v>27940</v>
      </c>
      <c r="AJ252" s="49">
        <f t="shared" si="702"/>
        <v>188.9252889</v>
      </c>
      <c r="AK252" s="46">
        <f>SUM(AK246:AK251)</f>
        <v>35074</v>
      </c>
      <c r="AL252" s="50">
        <f t="shared" si="680"/>
        <v>0.7966014712</v>
      </c>
      <c r="AM252" s="51">
        <v>1.5</v>
      </c>
      <c r="AN252" s="50">
        <f t="shared" si="682"/>
        <v>0.547737585</v>
      </c>
      <c r="AO252" s="52">
        <f t="shared" si="683"/>
        <v>0.8216063775</v>
      </c>
      <c r="AP252" s="51">
        <f>SUM(AP246:AP251)</f>
        <v>1276.988056</v>
      </c>
      <c r="AQ252" s="51">
        <f>AP252/AA252</f>
        <v>7.094378091</v>
      </c>
      <c r="AR252" s="47">
        <f t="shared" si="685"/>
        <v>155.2222222</v>
      </c>
    </row>
    <row r="253" ht="15.75" customHeight="1">
      <c r="A253" s="21"/>
      <c r="B253" s="38">
        <v>5.0</v>
      </c>
      <c r="C253" s="38" t="s">
        <v>34</v>
      </c>
      <c r="D253" s="39">
        <v>40.0</v>
      </c>
      <c r="E253" s="40">
        <f>IFERROR(__xludf.DUMMYFUNCTION("COUNT(IMPORTRANGE(""https://docs.google.com/spreadsheets/d/1ptS0qWBCKWkc9h2aXWT_YgMhN7yIv5WgAHRbF8l9Zpo/edit"",""10!d2:d41""))"),39.0)</f>
        <v>39</v>
      </c>
      <c r="F253" s="45">
        <f>IFERROR(__xludf.DUMMYFUNCTION("SUM(IMPORTRANGE(""https://docs.google.com/spreadsheets/d/1ptS0qWBCKWkc9h2aXWT_YgMhN7yIv5WgAHRbF8l9Zpo/edit"",""10!Q2:Q41""))"),7708.977000000003)</f>
        <v>7708.977</v>
      </c>
      <c r="G253" s="40">
        <f>IFERROR(__xludf.DUMMYFUNCTION("IMPORTRANGE(""https://docs.google.com/spreadsheets/d/1ptS0qWBCKWkc9h2aXWT_YgMhN7yIv5WgAHRbF8l9Zpo/edit"",""10!e48"")"),2878.0)</f>
        <v>2878</v>
      </c>
      <c r="H253" s="40">
        <f>IFERROR(__xludf.DUMMYFUNCTION("IMPORTRANGE(""https://docs.google.com/spreadsheets/d/1ptS0qWBCKWkc9h2aXWT_YgMhN7yIv5WgAHRbF8l9Zpo/edit"",""10!e49"")"),0.0)</f>
        <v>0</v>
      </c>
      <c r="I253" s="40">
        <f t="shared" si="690"/>
        <v>2878</v>
      </c>
      <c r="J253" s="40">
        <f>IFERROR(__xludf.DUMMYFUNCTION("IMPORTRANGE(""https://docs.google.com/spreadsheets/d/1ptS0qWBCKWkc9h2aXWT_YgMhN7yIv5WgAHRbF8l9Zpo/edit"",""10!e52"")"),3522.0)</f>
        <v>3522</v>
      </c>
      <c r="K253" s="40">
        <f>IFERROR(__xludf.DUMMYFUNCTION("IMPORTRANGE(""https://docs.google.com/spreadsheets/d/1ptS0qWBCKWkc9h2aXWT_YgMhN7yIv5WgAHRbF8l9Zpo/edit"",""10!e53"")"),0.0)</f>
        <v>0</v>
      </c>
      <c r="L253" s="40">
        <f t="shared" si="691"/>
        <v>3522</v>
      </c>
      <c r="M253" s="40">
        <f t="shared" si="692"/>
        <v>6400</v>
      </c>
      <c r="N253" s="41">
        <f t="shared" si="693"/>
        <v>197.6660769</v>
      </c>
      <c r="O253" s="38">
        <v>9354.0</v>
      </c>
      <c r="P253" s="42">
        <f t="shared" si="694"/>
        <v>0.684199273</v>
      </c>
      <c r="Q253" s="43">
        <v>1.5</v>
      </c>
      <c r="R253" s="42">
        <f t="shared" si="695"/>
        <v>0.5534672975</v>
      </c>
      <c r="S253" s="44">
        <f t="shared" si="696"/>
        <v>0.8302009462</v>
      </c>
      <c r="T253" s="43">
        <f>F253/30.713</f>
        <v>251.0004558</v>
      </c>
      <c r="U253" s="43">
        <f t="shared" si="697"/>
        <v>6.435909124</v>
      </c>
      <c r="V253" s="40">
        <f t="shared" si="698"/>
        <v>164.1025641</v>
      </c>
      <c r="X253" s="53" t="s">
        <v>35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6"/>
    </row>
    <row r="254" ht="15.75" customHeight="1">
      <c r="A254" s="21"/>
      <c r="B254" s="38">
        <v>6.0</v>
      </c>
      <c r="C254" s="38" t="s">
        <v>23</v>
      </c>
      <c r="D254" s="39">
        <v>35.0</v>
      </c>
      <c r="E254" s="40">
        <f>IFERROR(__xludf.DUMMYFUNCTION("COUNT(IMPORTRANGE(""https://docs.google.com/spreadsheets/d/1829CoYW82aTBBUgqkPnJa94KlBWI-DowAnP4ENQCmaQ/edit"",""10!d2:d36""))"),35.0)</f>
        <v>35</v>
      </c>
      <c r="F254" s="45">
        <f>IFERROR(__xludf.DUMMYFUNCTION("SUM(IMPORTRANGE(""https://docs.google.com/spreadsheets/d/1829CoYW82aTBBUgqkPnJa94KlBWI-DowAnP4ENQCmaQ/edit"",""10!Q2:Q36""))"),6714.259999999996)</f>
        <v>6714.26</v>
      </c>
      <c r="G254" s="40">
        <f>IFERROR(__xludf.DUMMYFUNCTION("IMPORTRANGE(""https://docs.google.com/spreadsheets/d/1829CoYW82aTBBUgqkPnJa94KlBWI-DowAnP4ENQCmaQ/edit"",""10!e43"")"),1677.0)</f>
        <v>1677</v>
      </c>
      <c r="H254" s="40">
        <f>IFERROR(__xludf.DUMMYFUNCTION("IMPORTRANGE(""https://docs.google.com/spreadsheets/d/1829CoYW82aTBBUgqkPnJa94KlBWI-DowAnP4ENQCmaQ/edit"",""10!e44"")"),0.0)</f>
        <v>0</v>
      </c>
      <c r="I254" s="40">
        <f t="shared" si="690"/>
        <v>1677</v>
      </c>
      <c r="J254" s="40">
        <f>IFERROR(__xludf.DUMMYFUNCTION("IMPORTRANGE(""https://docs.google.com/spreadsheets/d/1829CoYW82aTBBUgqkPnJa94KlBWI-DowAnP4ENQCmaQ/edit"",""10!e47"")"),3319.0)</f>
        <v>3319</v>
      </c>
      <c r="K254" s="40">
        <f>IFERROR(__xludf.DUMMYFUNCTION("IMPORTRANGE(""https://docs.google.com/spreadsheets/d/1829CoYW82aTBBUgqkPnJa94KlBWI-DowAnP4ENQCmaQ/edit"",""10!e48"")"),0.0)</f>
        <v>0</v>
      </c>
      <c r="L254" s="40">
        <f t="shared" si="691"/>
        <v>3319</v>
      </c>
      <c r="M254" s="40">
        <f t="shared" si="692"/>
        <v>4996</v>
      </c>
      <c r="N254" s="41">
        <f t="shared" si="693"/>
        <v>191.836</v>
      </c>
      <c r="O254" s="38">
        <v>6853.0</v>
      </c>
      <c r="P254" s="42">
        <f t="shared" si="694"/>
        <v>0.7290237852</v>
      </c>
      <c r="Q254" s="43">
        <v>1.5</v>
      </c>
      <c r="R254" s="42">
        <f t="shared" si="695"/>
        <v>0.4960586374</v>
      </c>
      <c r="S254" s="44">
        <f t="shared" si="696"/>
        <v>0.7440879561</v>
      </c>
      <c r="T254" s="43">
        <f>F254/33.74</f>
        <v>199</v>
      </c>
      <c r="U254" s="43">
        <f t="shared" si="697"/>
        <v>5.685714286</v>
      </c>
      <c r="V254" s="40">
        <f t="shared" si="698"/>
        <v>142.7428571</v>
      </c>
      <c r="X254" s="14" t="s">
        <v>2</v>
      </c>
      <c r="Y254" s="14" t="s">
        <v>3</v>
      </c>
      <c r="Z254" s="14" t="s">
        <v>4</v>
      </c>
      <c r="AA254" s="14" t="s">
        <v>5</v>
      </c>
      <c r="AB254" s="15" t="s">
        <v>6</v>
      </c>
      <c r="AC254" s="14" t="s">
        <v>7</v>
      </c>
      <c r="AD254" s="14" t="s">
        <v>8</v>
      </c>
      <c r="AE254" s="14" t="s">
        <v>9</v>
      </c>
      <c r="AF254" s="14" t="s">
        <v>10</v>
      </c>
      <c r="AG254" s="14" t="s">
        <v>11</v>
      </c>
      <c r="AH254" s="14" t="s">
        <v>12</v>
      </c>
      <c r="AI254" s="14" t="s">
        <v>13</v>
      </c>
      <c r="AJ254" s="15" t="s">
        <v>14</v>
      </c>
      <c r="AK254" s="14" t="s">
        <v>15</v>
      </c>
      <c r="AL254" s="14" t="s">
        <v>16</v>
      </c>
      <c r="AM254" s="16" t="s">
        <v>17</v>
      </c>
      <c r="AN254" s="17" t="s">
        <v>18</v>
      </c>
      <c r="AO254" s="18" t="s">
        <v>19</v>
      </c>
      <c r="AP254" s="19" t="s">
        <v>20</v>
      </c>
      <c r="AQ254" s="19" t="s">
        <v>21</v>
      </c>
      <c r="AR254" s="20" t="s">
        <v>22</v>
      </c>
    </row>
    <row r="255" ht="15.75" customHeight="1">
      <c r="A255" s="21"/>
      <c r="B255" s="38">
        <v>7.0</v>
      </c>
      <c r="C255" s="38" t="s">
        <v>24</v>
      </c>
      <c r="D255" s="39">
        <v>44.0</v>
      </c>
      <c r="E255" s="54">
        <f>IFERROR(__xludf.DUMMYFUNCTION("COUNT(IMPORTRANGE(""https://docs.google.com/spreadsheets/d/1E2x4oDZxEIsuC5nl-5Z0--MoN8b1dt9SbpRcCfNP84Q/edit"",""10!d2:d45""))"),42.0)</f>
        <v>42</v>
      </c>
      <c r="F255" s="55">
        <f>IFERROR(__xludf.DUMMYFUNCTION("SUM(IMPORTRANGE(""https://docs.google.com/spreadsheets/d/1E2x4oDZxEIsuC5nl-5Z0--MoN8b1dt9SbpRcCfNP84Q/edit"",""10!Q2:Q45""))"),8211.620999999994)</f>
        <v>8211.621</v>
      </c>
      <c r="G255" s="54">
        <f>IFERROR(__xludf.DUMMYFUNCTION("IMPORTRANGE(""https://docs.google.com/spreadsheets/d/1E2x4oDZxEIsuC5nl-5Z0--MoN8b1dt9SbpRcCfNP84Q/edit"",""10!e53"")"),1076.0)</f>
        <v>1076</v>
      </c>
      <c r="H255" s="54">
        <f>IFERROR(__xludf.DUMMYFUNCTION("IMPORTRANGE(""https://docs.google.com/spreadsheets/d/1E2x4oDZxEIsuC5nl-5Z0--MoN8b1dt9SbpRcCfNP84Q/edit"",""10!e54"")"),0.0)</f>
        <v>0</v>
      </c>
      <c r="I255" s="54">
        <f t="shared" si="690"/>
        <v>1076</v>
      </c>
      <c r="J255" s="54">
        <f>IFERROR(__xludf.DUMMYFUNCTION("IMPORTRANGE(""https://docs.google.com/spreadsheets/d/1E2x4oDZxEIsuC5nl-5Z0--MoN8b1dt9SbpRcCfNP84Q/edit"",""10!e57"")"),1377.0)</f>
        <v>1377</v>
      </c>
      <c r="K255" s="54">
        <f>IFERROR(__xludf.DUMMYFUNCTION("IMPORTRANGE(""https://docs.google.com/spreadsheets/d/1E2x4oDZxEIsuC5nl-5Z0--MoN8b1dt9SbpRcCfNP84Q/edit"",""10!e58"")"),0.0)</f>
        <v>0</v>
      </c>
      <c r="L255" s="40">
        <f t="shared" si="691"/>
        <v>1377</v>
      </c>
      <c r="M255" s="40">
        <f t="shared" si="692"/>
        <v>2453</v>
      </c>
      <c r="N255" s="41">
        <f t="shared" si="693"/>
        <v>195.5147857</v>
      </c>
      <c r="O255" s="38">
        <v>1580.0</v>
      </c>
      <c r="P255" s="56">
        <f t="shared" si="694"/>
        <v>1.552531646</v>
      </c>
      <c r="Q255" s="43">
        <v>1.5</v>
      </c>
      <c r="R255" s="42">
        <f t="shared" si="695"/>
        <v>0.1991486618</v>
      </c>
      <c r="S255" s="44">
        <f t="shared" si="696"/>
        <v>0.2987229927</v>
      </c>
      <c r="T255" s="43">
        <f>F255/26.805</f>
        <v>306.3466144</v>
      </c>
      <c r="U255" s="43">
        <f t="shared" si="697"/>
        <v>7.29396701</v>
      </c>
      <c r="V255" s="40">
        <f t="shared" si="698"/>
        <v>58.4047619</v>
      </c>
      <c r="X255" s="22">
        <v>1.0</v>
      </c>
      <c r="Y255" s="22" t="s">
        <v>28</v>
      </c>
      <c r="Z255" s="22">
        <f t="shared" ref="Z255:AI255" si="707">SUM(D250)</f>
        <v>33</v>
      </c>
      <c r="AA255" s="23">
        <f t="shared" si="707"/>
        <v>33</v>
      </c>
      <c r="AB255" s="25">
        <f t="shared" si="707"/>
        <v>6483.664</v>
      </c>
      <c r="AC255" s="23">
        <f t="shared" si="707"/>
        <v>2685</v>
      </c>
      <c r="AD255" s="23">
        <f t="shared" si="707"/>
        <v>92</v>
      </c>
      <c r="AE255" s="23">
        <f t="shared" si="707"/>
        <v>2777</v>
      </c>
      <c r="AF255" s="23">
        <f t="shared" si="707"/>
        <v>3104</v>
      </c>
      <c r="AG255" s="23">
        <f t="shared" si="707"/>
        <v>101</v>
      </c>
      <c r="AH255" s="23">
        <f t="shared" si="707"/>
        <v>3205</v>
      </c>
      <c r="AI255" s="23">
        <f t="shared" si="707"/>
        <v>5982</v>
      </c>
      <c r="AJ255" s="25">
        <f t="shared" ref="AJ255:AJ261" si="710">AB255/AA255</f>
        <v>196.4746667</v>
      </c>
      <c r="AK255" s="22">
        <f t="shared" ref="AK255:AK256" si="711">SUM(O250)</f>
        <v>7315</v>
      </c>
      <c r="AL255" s="26">
        <f t="shared" ref="AL255:AL261" si="712">AI255/AK255</f>
        <v>0.817771702</v>
      </c>
      <c r="AM255" s="27">
        <f t="shared" ref="AM255:AM256" si="713">SUM(Q250)</f>
        <v>1.5</v>
      </c>
      <c r="AN255" s="26">
        <f t="shared" ref="AN255:AN261" si="714">AO255/AM255</f>
        <v>0.6150843104</v>
      </c>
      <c r="AO255" s="28">
        <f t="shared" ref="AO255:AO261" si="715">AI255/AB255</f>
        <v>0.9226264655</v>
      </c>
      <c r="AP255" s="27">
        <f t="shared" ref="AP255:AQ255" si="708">SUM(T250)</f>
        <v>209.8476875</v>
      </c>
      <c r="AQ255" s="27">
        <f t="shared" si="708"/>
        <v>6.359020833</v>
      </c>
      <c r="AR255" s="23">
        <f t="shared" ref="AR255:AR261" si="717">AI255/AA255</f>
        <v>181.2727273</v>
      </c>
    </row>
    <row r="256" ht="15.75" customHeight="1">
      <c r="A256" s="21"/>
      <c r="B256" s="38">
        <v>8.0</v>
      </c>
      <c r="C256" s="38" t="s">
        <v>25</v>
      </c>
      <c r="D256" s="57">
        <v>32.0</v>
      </c>
      <c r="E256" s="40">
        <f>IFERROR(__xludf.DUMMYFUNCTION("COUNT(IMPORTRANGE(""https://docs.google.com/spreadsheets/d/1KbRFOEYB0B44J_NSh1MwYQ1sLDlZXUHI-wuMLcZDn5k/edit"",""10!d2:D33""))"),32.0)</f>
        <v>32</v>
      </c>
      <c r="F256" s="45">
        <f>IFERROR(__xludf.DUMMYFUNCTION("SUM(IMPORTRANGE(""https://docs.google.com/spreadsheets/d/1KbRFOEYB0B44J_NSh1MwYQ1sLDlZXUHI-wuMLcZDn5k/edit"",""10!Q2:Q33""))"),5558.256)</f>
        <v>5558.256</v>
      </c>
      <c r="G256" s="40">
        <f>IFERROR(__xludf.DUMMYFUNCTION("IMPORTRANGE(""https://docs.google.com/spreadsheets/d/1KbRFOEYB0B44J_NSh1MwYQ1sLDlZXUHI-wuMLcZDn5k/edit"",""10!e40"")"),2333.0)</f>
        <v>2333</v>
      </c>
      <c r="H256" s="40">
        <f>IFERROR(__xludf.DUMMYFUNCTION("IMPORTRANGE(""https://docs.google.com/spreadsheets/d/1KbRFOEYB0B44J_NSh1MwYQ1sLDlZXUHI-wuMLcZDn5k/edit"",""10!e41"")"),375.0)</f>
        <v>375</v>
      </c>
      <c r="I256" s="40">
        <f t="shared" si="690"/>
        <v>2708</v>
      </c>
      <c r="J256" s="40">
        <f>IFERROR(__xludf.DUMMYFUNCTION("IMPORTRANGE(""https://docs.google.com/spreadsheets/d/1KbRFOEYB0B44J_NSh1MwYQ1sLDlZXUHI-wuMLcZDn5k/edit"",""10!e44"")"),2595.0)</f>
        <v>2595</v>
      </c>
      <c r="K256" s="40">
        <f>IFERROR(__xludf.DUMMYFUNCTION("IMPORTRANGE(""https://docs.google.com/spreadsheets/d/1KbRFOEYB0B44J_NSh1MwYQ1sLDlZXUHI-wuMLcZDn5k/edit"",""10!e45"")"),478.0)</f>
        <v>478</v>
      </c>
      <c r="L256" s="40">
        <f>J256+K256</f>
        <v>3073</v>
      </c>
      <c r="M256" s="40">
        <f t="shared" si="692"/>
        <v>5781</v>
      </c>
      <c r="N256" s="41">
        <f t="shared" si="693"/>
        <v>173.6955</v>
      </c>
      <c r="O256" s="38">
        <v>6622.0</v>
      </c>
      <c r="P256" s="42">
        <f t="shared" si="694"/>
        <v>0.8729990939</v>
      </c>
      <c r="Q256" s="43">
        <v>1.5</v>
      </c>
      <c r="R256" s="42">
        <f t="shared" si="695"/>
        <v>0.6933829604</v>
      </c>
      <c r="S256" s="44">
        <f t="shared" si="696"/>
        <v>1.040074441</v>
      </c>
      <c r="T256" s="43">
        <f>F256/23.84</f>
        <v>233.1483221</v>
      </c>
      <c r="U256" s="43">
        <f t="shared" si="697"/>
        <v>7.285885067</v>
      </c>
      <c r="V256" s="40">
        <f t="shared" si="698"/>
        <v>180.65625</v>
      </c>
      <c r="X256" s="31">
        <v>2.0</v>
      </c>
      <c r="Y256" s="31" t="s">
        <v>30</v>
      </c>
      <c r="Z256" s="31">
        <f t="shared" ref="Z256:AI256" si="709">SUM(D251)</f>
        <v>60</v>
      </c>
      <c r="AA256" s="32">
        <f t="shared" si="709"/>
        <v>59</v>
      </c>
      <c r="AB256" s="33">
        <f t="shared" si="709"/>
        <v>11367.552</v>
      </c>
      <c r="AC256" s="32">
        <f t="shared" si="709"/>
        <v>3322</v>
      </c>
      <c r="AD256" s="32">
        <f t="shared" si="709"/>
        <v>0</v>
      </c>
      <c r="AE256" s="32">
        <f t="shared" si="709"/>
        <v>3322</v>
      </c>
      <c r="AF256" s="32">
        <f t="shared" si="709"/>
        <v>5754</v>
      </c>
      <c r="AG256" s="32">
        <f t="shared" si="709"/>
        <v>0</v>
      </c>
      <c r="AH256" s="32">
        <f t="shared" si="709"/>
        <v>5754</v>
      </c>
      <c r="AI256" s="32">
        <f t="shared" si="709"/>
        <v>9076</v>
      </c>
      <c r="AJ256" s="34">
        <f t="shared" si="710"/>
        <v>192.6703729</v>
      </c>
      <c r="AK256" s="31">
        <f t="shared" si="711"/>
        <v>11164</v>
      </c>
      <c r="AL256" s="35">
        <f t="shared" si="712"/>
        <v>0.8129702616</v>
      </c>
      <c r="AM256" s="36">
        <f t="shared" si="713"/>
        <v>1.5</v>
      </c>
      <c r="AN256" s="35">
        <f t="shared" si="714"/>
        <v>0.5322752574</v>
      </c>
      <c r="AO256" s="37">
        <f t="shared" si="715"/>
        <v>0.7984128861</v>
      </c>
      <c r="AP256" s="36">
        <f t="shared" ref="AP256:AQ256" si="716">SUM(T251)</f>
        <v>384</v>
      </c>
      <c r="AQ256" s="36">
        <f t="shared" si="716"/>
        <v>6.508474576</v>
      </c>
      <c r="AR256" s="32">
        <f t="shared" si="717"/>
        <v>153.8305085</v>
      </c>
    </row>
    <row r="257" ht="15.75" customHeight="1">
      <c r="A257" s="21"/>
      <c r="B257" s="38">
        <v>9.0</v>
      </c>
      <c r="C257" s="38" t="s">
        <v>36</v>
      </c>
      <c r="D257" s="58">
        <v>29.0</v>
      </c>
      <c r="E257" s="40">
        <f>IFERROR(__xludf.DUMMYFUNCTION("COUNT(IMPORTRANGE(""https://docs.google.com/spreadsheets/d/1VqqqRGfmmkT0JC4ILJva2p8P11jjV0FX-TSKAaqOigw/edit"",""10!d2:d31""))"),29.0)</f>
        <v>29</v>
      </c>
      <c r="F257" s="45">
        <f>IFERROR(__xludf.DUMMYFUNCTION("SUM(IMPORTRANGE(""https://docs.google.com/spreadsheets/d/1VqqqRGfmmkT0JC4ILJva2p8P11jjV0FX-TSKAaqOigw/edit"",""10!Q2:Q31""))"),5712.817000000002)</f>
        <v>5712.817</v>
      </c>
      <c r="G257" s="40">
        <f>IFERROR(__xludf.DUMMYFUNCTION("IMPORTRANGE(""https://docs.google.com/spreadsheets/d/1VqqqRGfmmkT0JC4ILJva2p8P11jjV0FX-TSKAaqOigw/edit"",""10!e38"")"),1622.0)</f>
        <v>1622</v>
      </c>
      <c r="H257" s="40">
        <f>IFERROR(__xludf.DUMMYFUNCTION("IMPORTRANGE(""https://docs.google.com/spreadsheets/d/1VqqqRGfmmkT0JC4ILJva2p8P11jjV0FX-TSKAaqOigw/edit"",""10!e39"")"),0.0)</f>
        <v>0</v>
      </c>
      <c r="I257" s="40">
        <f t="shared" si="690"/>
        <v>1622</v>
      </c>
      <c r="J257" s="40">
        <f>IFERROR(__xludf.DUMMYFUNCTION("IMPORTRANGE(""https://docs.google.com/spreadsheets/d/1VqqqRGfmmkT0JC4ILJva2p8P11jjV0FX-TSKAaqOigw/edit"",""10!e42"")"),2398.0)</f>
        <v>2398</v>
      </c>
      <c r="K257" s="40">
        <f>IFERROR(__xludf.DUMMYFUNCTION("IMPORTRANGE(""https://docs.google.com/spreadsheets/d/1VqqqRGfmmkT0JC4ILJva2p8P11jjV0FX-TSKAaqOigw/edit"",""10!e43"")"),0.0)</f>
        <v>0</v>
      </c>
      <c r="L257" s="40">
        <f t="shared" ref="L257:L266" si="720">SUM(J257:K257)</f>
        <v>2398</v>
      </c>
      <c r="M257" s="40">
        <f t="shared" si="692"/>
        <v>4020</v>
      </c>
      <c r="N257" s="41">
        <f t="shared" si="693"/>
        <v>196.9936897</v>
      </c>
      <c r="O257" s="38">
        <v>4796.0</v>
      </c>
      <c r="P257" s="42">
        <f t="shared" si="694"/>
        <v>0.8381984987</v>
      </c>
      <c r="Q257" s="43">
        <v>1.5</v>
      </c>
      <c r="R257" s="42">
        <f t="shared" si="695"/>
        <v>0.4691205757</v>
      </c>
      <c r="S257" s="44">
        <f t="shared" si="696"/>
        <v>0.7036808636</v>
      </c>
      <c r="T257" s="43">
        <f>F257/37.414</f>
        <v>152.6919602</v>
      </c>
      <c r="U257" s="43">
        <f t="shared" si="697"/>
        <v>5.265240008</v>
      </c>
      <c r="V257" s="40">
        <f t="shared" si="698"/>
        <v>138.6206897</v>
      </c>
      <c r="X257" s="22">
        <v>3.0</v>
      </c>
      <c r="Y257" s="22" t="s">
        <v>34</v>
      </c>
      <c r="Z257" s="22">
        <f t="shared" ref="Z257:AI257" si="718">SUM(D253)</f>
        <v>40</v>
      </c>
      <c r="AA257" s="23">
        <f t="shared" si="718"/>
        <v>39</v>
      </c>
      <c r="AB257" s="24">
        <f t="shared" si="718"/>
        <v>7708.977</v>
      </c>
      <c r="AC257" s="23">
        <f t="shared" si="718"/>
        <v>2878</v>
      </c>
      <c r="AD257" s="23">
        <f t="shared" si="718"/>
        <v>0</v>
      </c>
      <c r="AE257" s="23">
        <f t="shared" si="718"/>
        <v>2878</v>
      </c>
      <c r="AF257" s="23">
        <f t="shared" si="718"/>
        <v>3522</v>
      </c>
      <c r="AG257" s="23">
        <f t="shared" si="718"/>
        <v>0</v>
      </c>
      <c r="AH257" s="23">
        <f t="shared" si="718"/>
        <v>3522</v>
      </c>
      <c r="AI257" s="23">
        <f t="shared" si="718"/>
        <v>6400</v>
      </c>
      <c r="AJ257" s="25">
        <f t="shared" si="710"/>
        <v>197.6660769</v>
      </c>
      <c r="AK257" s="22">
        <f>SUM(O253)</f>
        <v>9354</v>
      </c>
      <c r="AL257" s="26">
        <f t="shared" si="712"/>
        <v>0.684199273</v>
      </c>
      <c r="AM257" s="27">
        <f>SUM(Q253)</f>
        <v>1.5</v>
      </c>
      <c r="AN257" s="26">
        <f t="shared" si="714"/>
        <v>0.5534672975</v>
      </c>
      <c r="AO257" s="28">
        <f t="shared" si="715"/>
        <v>0.8302009462</v>
      </c>
      <c r="AP257" s="27">
        <f t="shared" ref="AP257:AQ257" si="719">SUM(T253)</f>
        <v>251.0004558</v>
      </c>
      <c r="AQ257" s="27">
        <f t="shared" si="719"/>
        <v>6.435909124</v>
      </c>
      <c r="AR257" s="23">
        <f t="shared" si="717"/>
        <v>164.1025641</v>
      </c>
    </row>
    <row r="258" ht="15.75" customHeight="1">
      <c r="A258" s="21"/>
      <c r="B258" s="38">
        <v>10.0</v>
      </c>
      <c r="C258" s="38" t="s">
        <v>37</v>
      </c>
      <c r="D258" s="39">
        <v>30.0</v>
      </c>
      <c r="E258" s="40">
        <f>IFERROR(__xludf.DUMMYFUNCTION("COUNT(IMPORTRANGE(""https://docs.google.com/spreadsheets/d/1IYeRjQd_D6MRqoBKNaky3aSEUloYCJc5XDnPAbdyetk/edit"",""10!d2:d31""))"),30.0)</f>
        <v>30</v>
      </c>
      <c r="F258" s="45">
        <f>IFERROR(__xludf.DUMMYFUNCTION("SUM(IMPORTRANGE(""https://docs.google.com/spreadsheets/d/1IYeRjQd_D6MRqoBKNaky3aSEUloYCJc5XDnPAbdyetk/edit"",""10!Q2:Q31""))"),5699.537999999998)</f>
        <v>5699.538</v>
      </c>
      <c r="G258" s="40">
        <f>IFERROR(__xludf.DUMMYFUNCTION("(IMPORTRANGE(""https://docs.google.com/spreadsheets/d/1IYeRjQd_D6MRqoBKNaky3aSEUloYCJc5XDnPAbdyetk/edit"",""10!e38""))"),2197.0)</f>
        <v>2197</v>
      </c>
      <c r="H258" s="40">
        <f>IFERROR(__xludf.DUMMYFUNCTION("(IMPORTRANGE(""https://docs.google.com/spreadsheets/d/1IYeRjQd_D6MRqoBKNaky3aSEUloYCJc5XDnPAbdyetk/edit"",""10!e39""))"),0.0)</f>
        <v>0</v>
      </c>
      <c r="I258" s="40">
        <f t="shared" si="690"/>
        <v>2197</v>
      </c>
      <c r="J258" s="40">
        <f>IFERROR(__xludf.DUMMYFUNCTION("(IMPORTRANGE(""https://docs.google.com/spreadsheets/d/1IYeRjQd_D6MRqoBKNaky3aSEUloYCJc5XDnPAbdyetk/edit"",""10!e42""))"),3031.0)</f>
        <v>3031</v>
      </c>
      <c r="K258" s="40">
        <f>IFERROR(__xludf.DUMMYFUNCTION("(IMPORTRANGE(""https://docs.google.com/spreadsheets/d/1IYeRjQd_D6MRqoBKNaky3aSEUloYCJc5XDnPAbdyetk/edit"",""10!e43""))"),0.0)</f>
        <v>0</v>
      </c>
      <c r="L258" s="40">
        <f t="shared" si="720"/>
        <v>3031</v>
      </c>
      <c r="M258" s="40">
        <f t="shared" si="692"/>
        <v>5228</v>
      </c>
      <c r="N258" s="41">
        <f t="shared" si="693"/>
        <v>189.9846</v>
      </c>
      <c r="O258" s="38">
        <v>5887.0</v>
      </c>
      <c r="P258" s="42">
        <f t="shared" si="694"/>
        <v>0.8880584338</v>
      </c>
      <c r="Q258" s="43">
        <v>1.5</v>
      </c>
      <c r="R258" s="42">
        <f t="shared" si="695"/>
        <v>0.6115115529</v>
      </c>
      <c r="S258" s="44">
        <f t="shared" si="696"/>
        <v>0.9172673294</v>
      </c>
      <c r="T258" s="43">
        <f>F258/24.792</f>
        <v>229.8942401</v>
      </c>
      <c r="U258" s="43">
        <f t="shared" si="697"/>
        <v>7.663141336</v>
      </c>
      <c r="V258" s="40">
        <f t="shared" si="698"/>
        <v>174.2666667</v>
      </c>
      <c r="X258" s="31">
        <v>4.0</v>
      </c>
      <c r="Y258" s="31" t="s">
        <v>38</v>
      </c>
      <c r="Z258" s="31">
        <f t="shared" ref="Z258:AI258" si="721">SUM(D261)</f>
        <v>30</v>
      </c>
      <c r="AA258" s="32">
        <f t="shared" si="721"/>
        <v>28</v>
      </c>
      <c r="AB258" s="33">
        <f t="shared" si="721"/>
        <v>5892.315</v>
      </c>
      <c r="AC258" s="32">
        <f t="shared" si="721"/>
        <v>2316</v>
      </c>
      <c r="AD258" s="32">
        <f t="shared" si="721"/>
        <v>0</v>
      </c>
      <c r="AE258" s="32">
        <f t="shared" si="721"/>
        <v>2316</v>
      </c>
      <c r="AF258" s="32">
        <f t="shared" si="721"/>
        <v>3018</v>
      </c>
      <c r="AG258" s="32">
        <f t="shared" si="721"/>
        <v>110</v>
      </c>
      <c r="AH258" s="32">
        <f t="shared" si="721"/>
        <v>3128</v>
      </c>
      <c r="AI258" s="32">
        <f t="shared" si="721"/>
        <v>5444</v>
      </c>
      <c r="AJ258" s="34">
        <f t="shared" si="710"/>
        <v>210.4398214</v>
      </c>
      <c r="AK258" s="31">
        <v>7324.0</v>
      </c>
      <c r="AL258" s="35">
        <f t="shared" si="712"/>
        <v>0.7433096668</v>
      </c>
      <c r="AM258" s="36">
        <f>SUM(Q261)</f>
        <v>1.5</v>
      </c>
      <c r="AN258" s="35">
        <f t="shared" si="714"/>
        <v>0.6159435355</v>
      </c>
      <c r="AO258" s="37">
        <f t="shared" si="715"/>
        <v>0.9239153032</v>
      </c>
      <c r="AP258" s="36">
        <f t="shared" ref="AP258:AQ258" si="722">SUM(T261)</f>
        <v>143</v>
      </c>
      <c r="AQ258" s="36">
        <f t="shared" si="722"/>
        <v>5.107142857</v>
      </c>
      <c r="AR258" s="32">
        <f t="shared" si="717"/>
        <v>194.4285714</v>
      </c>
    </row>
    <row r="259" ht="15.75" customHeight="1">
      <c r="A259" s="21"/>
      <c r="B259" s="38">
        <v>12.0</v>
      </c>
      <c r="C259" s="38" t="s">
        <v>39</v>
      </c>
      <c r="D259" s="39">
        <v>28.0</v>
      </c>
      <c r="E259" s="40">
        <f>IFERROR(__xludf.DUMMYFUNCTION("COUNT(IMPORTRANGE(""https://docs.google.com/spreadsheets/d/1TAY2D35yAzyl8a_p5CuZehQvmatfj0b0Q8ICl8GtJBY/edit"",""10!d2:d29""))"),28.0)</f>
        <v>28</v>
      </c>
      <c r="F259" s="45">
        <f>IFERROR(__xludf.DUMMYFUNCTION("SUM(IMPORTRANGE(""https://docs.google.com/spreadsheets/d/1TAY2D35yAzyl8a_p5CuZehQvmatfj0b0Q8ICl8GtJBY/edit"",""10!Q2:Q29""))"),5351.562999999998)</f>
        <v>5351.563</v>
      </c>
      <c r="G259" s="40">
        <f>IFERROR(__xludf.DUMMYFUNCTION("IMPORTRANGE(""https://docs.google.com/spreadsheets/d/1TAY2D35yAzyl8a_p5CuZehQvmatfj0b0Q8ICl8GtJBY/edit"",""10!e36"")"),1259.0)</f>
        <v>1259</v>
      </c>
      <c r="H259" s="40">
        <f>IFERROR(__xludf.DUMMYFUNCTION("(IMPORTRANGE(""https://docs.google.com/spreadsheets/d/1TAY2D35yAzyl8a_p5CuZehQvmatfj0b0Q8ICl8GtJBY/edit"",""10!e37""))"),0.0)</f>
        <v>0</v>
      </c>
      <c r="I259" s="40">
        <f t="shared" si="690"/>
        <v>1259</v>
      </c>
      <c r="J259" s="40">
        <f>IFERROR(__xludf.DUMMYFUNCTION("IMPORTRANGE(""https://docs.google.com/spreadsheets/d/1TAY2D35yAzyl8a_p5CuZehQvmatfj0b0Q8ICl8GtJBY/edit"",""10!e40"")"),1734.0)</f>
        <v>1734</v>
      </c>
      <c r="K259" s="40">
        <f>IFERROR(__xludf.DUMMYFUNCTION("IMPORTRANGE(""https://docs.google.com/spreadsheets/d/1TAY2D35yAzyl8a_p5CuZehQvmatfj0b0Q8ICl8GtJBY/edit"",""10!e41"")"),111.0)</f>
        <v>111</v>
      </c>
      <c r="L259" s="40">
        <f t="shared" si="720"/>
        <v>1845</v>
      </c>
      <c r="M259" s="40">
        <f t="shared" si="692"/>
        <v>3104</v>
      </c>
      <c r="N259" s="41">
        <f t="shared" si="693"/>
        <v>191.12725</v>
      </c>
      <c r="O259" s="38">
        <v>3569.0</v>
      </c>
      <c r="P259" s="42">
        <f t="shared" si="694"/>
        <v>0.8697114038</v>
      </c>
      <c r="Q259" s="43">
        <v>1.5</v>
      </c>
      <c r="R259" s="42">
        <f t="shared" si="695"/>
        <v>0.3866783094</v>
      </c>
      <c r="S259" s="44">
        <f t="shared" si="696"/>
        <v>0.5800174641</v>
      </c>
      <c r="T259" s="43">
        <f>F259/21.463</f>
        <v>249.339002</v>
      </c>
      <c r="U259" s="43">
        <f t="shared" si="697"/>
        <v>8.904964357</v>
      </c>
      <c r="V259" s="40">
        <f t="shared" si="698"/>
        <v>110.8571429</v>
      </c>
      <c r="X259" s="31">
        <v>5.0</v>
      </c>
      <c r="Y259" s="31" t="s">
        <v>40</v>
      </c>
      <c r="Z259" s="31">
        <f t="shared" ref="Z259:AI259" si="723">SUM(D263)</f>
        <v>30</v>
      </c>
      <c r="AA259" s="32">
        <f t="shared" si="723"/>
        <v>29</v>
      </c>
      <c r="AB259" s="33">
        <f t="shared" si="723"/>
        <v>5688.6</v>
      </c>
      <c r="AC259" s="32">
        <f t="shared" si="723"/>
        <v>3458</v>
      </c>
      <c r="AD259" s="32">
        <f t="shared" si="723"/>
        <v>0</v>
      </c>
      <c r="AE259" s="32">
        <f t="shared" si="723"/>
        <v>3458</v>
      </c>
      <c r="AF259" s="32">
        <f t="shared" si="723"/>
        <v>3897</v>
      </c>
      <c r="AG259" s="32">
        <f t="shared" si="723"/>
        <v>160</v>
      </c>
      <c r="AH259" s="32">
        <f t="shared" si="723"/>
        <v>4057</v>
      </c>
      <c r="AI259" s="32">
        <f t="shared" si="723"/>
        <v>7515</v>
      </c>
      <c r="AJ259" s="34">
        <f t="shared" si="710"/>
        <v>196.1586207</v>
      </c>
      <c r="AK259" s="31">
        <f t="shared" ref="AK259:AK260" si="726">SUM(O263)</f>
        <v>8239</v>
      </c>
      <c r="AL259" s="35">
        <f t="shared" si="712"/>
        <v>0.9121252579</v>
      </c>
      <c r="AM259" s="36">
        <f t="shared" ref="AM259:AM260" si="727">SUM(Q263)</f>
        <v>1.5</v>
      </c>
      <c r="AN259" s="35">
        <f t="shared" si="714"/>
        <v>0.880708786</v>
      </c>
      <c r="AO259" s="37">
        <f t="shared" si="715"/>
        <v>1.321063179</v>
      </c>
      <c r="AP259" s="36">
        <f t="shared" ref="AP259:AQ259" si="724">SUM(T263)</f>
        <v>200</v>
      </c>
      <c r="AQ259" s="36">
        <f t="shared" si="724"/>
        <v>6.896551724</v>
      </c>
      <c r="AR259" s="32">
        <f t="shared" si="717"/>
        <v>259.137931</v>
      </c>
    </row>
    <row r="260" ht="15.75" customHeight="1">
      <c r="A260" s="21"/>
      <c r="B260" s="38">
        <v>12.0</v>
      </c>
      <c r="C260" s="38" t="s">
        <v>41</v>
      </c>
      <c r="D260" s="39">
        <v>24.0</v>
      </c>
      <c r="E260" s="40">
        <f>IFERROR(__xludf.DUMMYFUNCTION("COUNT(IMPORTRANGE(""https://docs.google.com/spreadsheets/d/1VAsUtLQHi7oV9NsI9EIHPnO1bcPJHeRgSbMoxSvPBME/edit"",""10!d2:d25""))"),24.0)</f>
        <v>24</v>
      </c>
      <c r="F260" s="45">
        <f>IFERROR(__xludf.DUMMYFUNCTION("SUM(IMPORTRANGE(""https://docs.google.com/spreadsheets/d/1VAsUtLQHi7oV9NsI9EIHPnO1bcPJHeRgSbMoxSvPBME/edit"",""10!Q2:Q25""))"),4793.152000000001)</f>
        <v>4793.152</v>
      </c>
      <c r="G260" s="40">
        <f>IFERROR(__xludf.DUMMYFUNCTION("IMPORTRANGE(""https://docs.google.com/spreadsheets/d/1VAsUtLQHi7oV9NsI9EIHPnO1bcPJHeRgSbMoxSvPBME/edit"",""10!e32"")"),1352.0)</f>
        <v>1352</v>
      </c>
      <c r="H260" s="40">
        <f>IFERROR(__xludf.DUMMYFUNCTION("IMPORTRANGE(""https://docs.google.com/spreadsheets/d/1VAsUtLQHi7oV9NsI9EIHPnO1bcPJHeRgSbMoxSvPBME/edit"",""10!e33"")"),0.0)</f>
        <v>0</v>
      </c>
      <c r="I260" s="40">
        <f t="shared" si="690"/>
        <v>1352</v>
      </c>
      <c r="J260" s="40">
        <f>IFERROR(__xludf.DUMMYFUNCTION("IMPORTRANGE(""https://docs.google.com/spreadsheets/d/1VAsUtLQHi7oV9NsI9EIHPnO1bcPJHeRgSbMoxSvPBME/edit"",""10!e36"")"),1662.0)</f>
        <v>1662</v>
      </c>
      <c r="K260" s="40">
        <f>IFERROR(__xludf.DUMMYFUNCTION("IMPORTRANGE(""https://docs.google.com/spreadsheets/d/1VAsUtLQHi7oV9NsI9EIHPnO1bcPJHeRgSbMoxSvPBME/edit"",""10!e37"")"),229.0)</f>
        <v>229</v>
      </c>
      <c r="L260" s="40">
        <f t="shared" si="720"/>
        <v>1891</v>
      </c>
      <c r="M260" s="40">
        <f t="shared" si="692"/>
        <v>3243</v>
      </c>
      <c r="N260" s="41">
        <f t="shared" si="693"/>
        <v>199.7146667</v>
      </c>
      <c r="O260" s="38">
        <v>3801.0</v>
      </c>
      <c r="P260" s="42">
        <f t="shared" si="694"/>
        <v>0.8531965272</v>
      </c>
      <c r="Q260" s="43">
        <v>1.5</v>
      </c>
      <c r="R260" s="42">
        <f t="shared" si="695"/>
        <v>0.4510601792</v>
      </c>
      <c r="S260" s="44">
        <f t="shared" si="696"/>
        <v>0.6765902688</v>
      </c>
      <c r="T260" s="43">
        <f>F260/29.628</f>
        <v>161.7777778</v>
      </c>
      <c r="U260" s="43">
        <f t="shared" si="697"/>
        <v>6.740740741</v>
      </c>
      <c r="V260" s="40">
        <f t="shared" si="698"/>
        <v>135.125</v>
      </c>
      <c r="X260" s="22">
        <v>6.0</v>
      </c>
      <c r="Y260" s="22" t="s">
        <v>42</v>
      </c>
      <c r="Z260" s="22">
        <f t="shared" ref="Z260:AI260" si="725">SUM(D264)</f>
        <v>33</v>
      </c>
      <c r="AA260" s="23">
        <f t="shared" si="725"/>
        <v>33</v>
      </c>
      <c r="AB260" s="24">
        <f t="shared" si="725"/>
        <v>6501.826</v>
      </c>
      <c r="AC260" s="23">
        <f t="shared" si="725"/>
        <v>3171</v>
      </c>
      <c r="AD260" s="23">
        <f t="shared" si="725"/>
        <v>0</v>
      </c>
      <c r="AE260" s="23">
        <f t="shared" si="725"/>
        <v>3171</v>
      </c>
      <c r="AF260" s="23">
        <f t="shared" si="725"/>
        <v>4820</v>
      </c>
      <c r="AG260" s="23">
        <f t="shared" si="725"/>
        <v>37</v>
      </c>
      <c r="AH260" s="23">
        <f t="shared" si="725"/>
        <v>4857</v>
      </c>
      <c r="AI260" s="23">
        <f t="shared" si="725"/>
        <v>8028</v>
      </c>
      <c r="AJ260" s="25">
        <f t="shared" si="710"/>
        <v>197.0250303</v>
      </c>
      <c r="AK260" s="22">
        <f t="shared" si="726"/>
        <v>9877</v>
      </c>
      <c r="AL260" s="26">
        <f t="shared" si="712"/>
        <v>0.8127974081</v>
      </c>
      <c r="AM260" s="27">
        <f t="shared" si="727"/>
        <v>1.5</v>
      </c>
      <c r="AN260" s="26">
        <f t="shared" si="714"/>
        <v>0.8231533726</v>
      </c>
      <c r="AO260" s="28">
        <f t="shared" si="715"/>
        <v>1.234730059</v>
      </c>
      <c r="AP260" s="27">
        <f t="shared" ref="AP260:AQ260" si="728">SUM(T264)</f>
        <v>248.5882623</v>
      </c>
      <c r="AQ260" s="27">
        <f t="shared" si="728"/>
        <v>7.532977645</v>
      </c>
      <c r="AR260" s="23">
        <f t="shared" si="717"/>
        <v>243.2727273</v>
      </c>
    </row>
    <row r="261" ht="15.75" customHeight="1">
      <c r="A261" s="21"/>
      <c r="B261" s="38">
        <v>13.0</v>
      </c>
      <c r="C261" s="38" t="s">
        <v>43</v>
      </c>
      <c r="D261" s="39">
        <v>30.0</v>
      </c>
      <c r="E261" s="40">
        <f>IFERROR(__xludf.DUMMYFUNCTION("COUNT(IMPORTRANGE(""https://docs.google.com/spreadsheets/d/1p9Y_DGk7-TpRBFth-ljZceOIGCjQ0ylUeUq6xqnsZ-Q/edit"",""10!d2:d31""))"),28.0)</f>
        <v>28</v>
      </c>
      <c r="F261" s="45">
        <f>IFERROR(__xludf.DUMMYFUNCTION("SUM(IMPORTRANGE(""https://docs.google.com/spreadsheets/d/1p9Y_DGk7-TpRBFth-ljZceOIGCjQ0ylUeUq6xqnsZ-Q/edit"",""10!Q2:Q31""))"),5892.315)</f>
        <v>5892.315</v>
      </c>
      <c r="G261" s="40">
        <f>IFERROR(__xludf.DUMMYFUNCTION("IMPORTRANGE(""https://docs.google.com/spreadsheets/d/1p9Y_DGk7-TpRBFth-ljZceOIGCjQ0ylUeUq6xqnsZ-Q/edit"",""10!e38"")"),2316.0)</f>
        <v>2316</v>
      </c>
      <c r="H261" s="40">
        <f>IFERROR(__xludf.DUMMYFUNCTION("IMPORTRANGE(""https://docs.google.com/spreadsheets/d/1p9Y_DGk7-TpRBFth-ljZceOIGCjQ0ylUeUq6xqnsZ-Q/edit"",""10!e39"")"),0.0)</f>
        <v>0</v>
      </c>
      <c r="I261" s="40">
        <f t="shared" si="690"/>
        <v>2316</v>
      </c>
      <c r="J261" s="40">
        <f>IFERROR(__xludf.DUMMYFUNCTION("IMPORTRANGE(""https://docs.google.com/spreadsheets/d/1p9Y_DGk7-TpRBFth-ljZceOIGCjQ0ylUeUq6xqnsZ-Q/edit"",""10!e42"")"),3018.0)</f>
        <v>3018</v>
      </c>
      <c r="K261" s="40">
        <f>IFERROR(__xludf.DUMMYFUNCTION("IMPORTRANGE(""https://docs.google.com/spreadsheets/d/1p9Y_DGk7-TpRBFth-ljZceOIGCjQ0ylUeUq6xqnsZ-Q/edit"",""10!e43"")"),110.0)</f>
        <v>110</v>
      </c>
      <c r="L261" s="40">
        <f t="shared" si="720"/>
        <v>3128</v>
      </c>
      <c r="M261" s="40">
        <f t="shared" si="692"/>
        <v>5444</v>
      </c>
      <c r="N261" s="41">
        <f t="shared" si="693"/>
        <v>210.4398214</v>
      </c>
      <c r="O261" s="38">
        <v>8345.0</v>
      </c>
      <c r="P261" s="42">
        <f t="shared" si="694"/>
        <v>0.6523666866</v>
      </c>
      <c r="Q261" s="43">
        <v>1.5</v>
      </c>
      <c r="R261" s="42">
        <f t="shared" si="695"/>
        <v>0.6159435355</v>
      </c>
      <c r="S261" s="44">
        <f t="shared" si="696"/>
        <v>0.9239153032</v>
      </c>
      <c r="T261" s="43">
        <f>F261/41.205</f>
        <v>143</v>
      </c>
      <c r="U261" s="43">
        <f t="shared" si="697"/>
        <v>5.107142857</v>
      </c>
      <c r="V261" s="40">
        <f t="shared" si="698"/>
        <v>194.4285714</v>
      </c>
      <c r="X261" s="46" t="s">
        <v>33</v>
      </c>
      <c r="Y261" s="46">
        <v>6.0</v>
      </c>
      <c r="Z261" s="46">
        <f t="shared" ref="Z261:AI261" si="729">SUM(Z255:Z260)</f>
        <v>226</v>
      </c>
      <c r="AA261" s="47">
        <f t="shared" si="729"/>
        <v>221</v>
      </c>
      <c r="AB261" s="49">
        <f t="shared" si="729"/>
        <v>43642.934</v>
      </c>
      <c r="AC261" s="47">
        <f t="shared" si="729"/>
        <v>17830</v>
      </c>
      <c r="AD261" s="47">
        <f t="shared" si="729"/>
        <v>92</v>
      </c>
      <c r="AE261" s="47">
        <f t="shared" si="729"/>
        <v>17922</v>
      </c>
      <c r="AF261" s="47">
        <f t="shared" si="729"/>
        <v>24115</v>
      </c>
      <c r="AG261" s="47">
        <f t="shared" si="729"/>
        <v>408</v>
      </c>
      <c r="AH261" s="47">
        <f t="shared" si="729"/>
        <v>24523</v>
      </c>
      <c r="AI261" s="47">
        <f t="shared" si="729"/>
        <v>42445</v>
      </c>
      <c r="AJ261" s="49">
        <f t="shared" si="710"/>
        <v>197.4793394</v>
      </c>
      <c r="AK261" s="46">
        <f>SUM(AK255:AK260)</f>
        <v>53273</v>
      </c>
      <c r="AL261" s="50">
        <f t="shared" si="712"/>
        <v>0.7967450679</v>
      </c>
      <c r="AM261" s="51">
        <v>1.5</v>
      </c>
      <c r="AN261" s="50">
        <f t="shared" si="714"/>
        <v>0.6483676525</v>
      </c>
      <c r="AO261" s="52">
        <f t="shared" si="715"/>
        <v>0.9725514788</v>
      </c>
      <c r="AP261" s="51">
        <f>SUM(AP255:AP260)</f>
        <v>1436.436406</v>
      </c>
      <c r="AQ261" s="51">
        <f>AP261/AA261</f>
        <v>6.499712243</v>
      </c>
      <c r="AR261" s="47">
        <f t="shared" si="717"/>
        <v>192.0588235</v>
      </c>
    </row>
    <row r="262" ht="15.75" customHeight="1">
      <c r="A262" s="21"/>
      <c r="B262" s="38">
        <v>14.0</v>
      </c>
      <c r="C262" s="38" t="s">
        <v>27</v>
      </c>
      <c r="D262" s="39">
        <v>30.0</v>
      </c>
      <c r="E262" s="40">
        <f>IFERROR(__xludf.DUMMYFUNCTION("COUNT(IMPORTRANGE(""https://docs.google.com/spreadsheets/d/1zJUDEKztv_fercXA0LYNw155qdzS7TJGhWLhquaW5IY/edit"",""10!d2:d31""))"),28.0)</f>
        <v>28</v>
      </c>
      <c r="F262" s="45">
        <f>IFERROR(__xludf.DUMMYFUNCTION("SUM(IMPORTRANGE(""https://docs.google.com/spreadsheets/d/1zJUDEKztv_fercXA0LYNw155qdzS7TJGhWLhquaW5IY/edit"",""10!Q2:Q31""))"),5305.880000000001)</f>
        <v>5305.88</v>
      </c>
      <c r="G262" s="40">
        <f>IFERROR(__xludf.DUMMYFUNCTION("IMPORTRANGE(""https://docs.google.com/spreadsheets/d/1zJUDEKztv_fercXA0LYNw155qdzS7TJGhWLhquaW5IY/edit"",""10!e38"")"),2462.0)</f>
        <v>2462</v>
      </c>
      <c r="H262" s="40">
        <f>IFERROR(__xludf.DUMMYFUNCTION("IMPORTRANGE(""https://docs.google.com/spreadsheets/d/1zJUDEKztv_fercXA0LYNw155qdzS7TJGhWLhquaW5IY/edit"",""10!e39"")"),0.0)</f>
        <v>0</v>
      </c>
      <c r="I262" s="40">
        <f t="shared" si="690"/>
        <v>2462</v>
      </c>
      <c r="J262" s="40">
        <f>IFERROR(__xludf.DUMMYFUNCTION("IMPORTRANGE(""https://docs.google.com/spreadsheets/d/1zJUDEKztv_fercXA0LYNw155qdzS7TJGhWLhquaW5IY/edit"",""10!e42"")"),3395.0)</f>
        <v>3395</v>
      </c>
      <c r="K262" s="40">
        <f>IFERROR(__xludf.DUMMYFUNCTION("IMPORTRANGE(""https://docs.google.com/spreadsheets/d/1zJUDEKztv_fercXA0LYNw155qdzS7TJGhWLhquaW5IY/edit"",""10!e43"")"),183.0)</f>
        <v>183</v>
      </c>
      <c r="L262" s="40">
        <f t="shared" si="720"/>
        <v>3578</v>
      </c>
      <c r="M262" s="40">
        <f t="shared" si="692"/>
        <v>6040</v>
      </c>
      <c r="N262" s="41">
        <f t="shared" si="693"/>
        <v>189.4957143</v>
      </c>
      <c r="O262" s="38">
        <v>8101.0</v>
      </c>
      <c r="P262" s="42">
        <f t="shared" si="694"/>
        <v>0.7455869646</v>
      </c>
      <c r="Q262" s="43">
        <v>1.5</v>
      </c>
      <c r="R262" s="42">
        <f t="shared" si="695"/>
        <v>0.7589064711</v>
      </c>
      <c r="S262" s="44">
        <f t="shared" si="696"/>
        <v>1.138359707</v>
      </c>
      <c r="T262" s="43">
        <f>F262/19.985</f>
        <v>265.4931198</v>
      </c>
      <c r="U262" s="43">
        <f t="shared" si="697"/>
        <v>9.481897137</v>
      </c>
      <c r="V262" s="40">
        <f t="shared" si="698"/>
        <v>215.7142857</v>
      </c>
      <c r="X262" s="59" t="s">
        <v>44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6"/>
    </row>
    <row r="263" ht="15.75" customHeight="1">
      <c r="A263" s="21"/>
      <c r="B263" s="38">
        <v>15.0</v>
      </c>
      <c r="C263" s="38" t="s">
        <v>40</v>
      </c>
      <c r="D263" s="39">
        <v>30.0</v>
      </c>
      <c r="E263" s="40">
        <f>IFERROR(__xludf.DUMMYFUNCTION("COUNT(IMPORTRANGE(""https://docs.google.com/spreadsheets/d/15GJA66Ucb-8RQ5vWVpq5HYaWoZZFX82SCeHChBujbrI/edit"",""10!d2:d31""))"),29.0)</f>
        <v>29</v>
      </c>
      <c r="F263" s="45">
        <f>IFERROR(__xludf.DUMMYFUNCTION("SUM(IMPORTRANGE(""https://docs.google.com/spreadsheets/d/15GJA66Ucb-8RQ5vWVpq5HYaWoZZFX82SCeHChBujbrI/edit"",""10!Q2:Q31""))"),5688.599999999999)</f>
        <v>5688.6</v>
      </c>
      <c r="G263" s="40">
        <f>IFERROR(__xludf.DUMMYFUNCTION("IMPORTRANGE(""https://docs.google.com/spreadsheets/d/15GJA66Ucb-8RQ5vWVpq5HYaWoZZFX82SCeHChBujbrI/edit"",""10!e38"")"),3458.0)</f>
        <v>3458</v>
      </c>
      <c r="H263" s="40">
        <f>IFERROR(__xludf.DUMMYFUNCTION("IMPORTRANGE(""https://docs.google.com/spreadsheets/d/15GJA66Ucb-8RQ5vWVpq5HYaWoZZFX82SCeHChBujbrI/edit"",""10!e39"")"),0.0)</f>
        <v>0</v>
      </c>
      <c r="I263" s="40">
        <f t="shared" si="690"/>
        <v>3458</v>
      </c>
      <c r="J263" s="40">
        <f>IFERROR(__xludf.DUMMYFUNCTION("IMPORTRANGE(""https://docs.google.com/spreadsheets/d/15GJA66Ucb-8RQ5vWVpq5HYaWoZZFX82SCeHChBujbrI/edit"",""10!e42"")"),3897.0)</f>
        <v>3897</v>
      </c>
      <c r="K263" s="40">
        <f>IFERROR(__xludf.DUMMYFUNCTION("IMPORTRANGE(""https://docs.google.com/spreadsheets/d/15GJA66Ucb-8RQ5vWVpq5HYaWoZZFX82SCeHChBujbrI/edit"",""10!e43"")"),160.0)</f>
        <v>160</v>
      </c>
      <c r="L263" s="40">
        <f t="shared" si="720"/>
        <v>4057</v>
      </c>
      <c r="M263" s="40">
        <f t="shared" si="692"/>
        <v>7515</v>
      </c>
      <c r="N263" s="41">
        <f t="shared" si="693"/>
        <v>196.1586207</v>
      </c>
      <c r="O263" s="38">
        <v>8239.0</v>
      </c>
      <c r="P263" s="42">
        <f t="shared" si="694"/>
        <v>0.9121252579</v>
      </c>
      <c r="Q263" s="43">
        <v>1.5</v>
      </c>
      <c r="R263" s="42">
        <f t="shared" si="695"/>
        <v>0.880708786</v>
      </c>
      <c r="S263" s="44">
        <f t="shared" si="696"/>
        <v>1.321063179</v>
      </c>
      <c r="T263" s="43">
        <f>F263/28.443</f>
        <v>200</v>
      </c>
      <c r="U263" s="43">
        <f t="shared" si="697"/>
        <v>6.896551724</v>
      </c>
      <c r="V263" s="40">
        <f t="shared" si="698"/>
        <v>259.137931</v>
      </c>
      <c r="X263" s="14" t="s">
        <v>2</v>
      </c>
      <c r="Y263" s="14" t="s">
        <v>3</v>
      </c>
      <c r="Z263" s="14" t="s">
        <v>4</v>
      </c>
      <c r="AA263" s="14" t="s">
        <v>5</v>
      </c>
      <c r="AB263" s="15" t="s">
        <v>6</v>
      </c>
      <c r="AC263" s="14" t="s">
        <v>7</v>
      </c>
      <c r="AD263" s="14" t="s">
        <v>8</v>
      </c>
      <c r="AE263" s="14" t="s">
        <v>9</v>
      </c>
      <c r="AF263" s="14" t="s">
        <v>10</v>
      </c>
      <c r="AG263" s="14" t="s">
        <v>11</v>
      </c>
      <c r="AH263" s="14" t="s">
        <v>12</v>
      </c>
      <c r="AI263" s="14" t="s">
        <v>13</v>
      </c>
      <c r="AJ263" s="15" t="s">
        <v>14</v>
      </c>
      <c r="AK263" s="14" t="s">
        <v>15</v>
      </c>
      <c r="AL263" s="14" t="s">
        <v>16</v>
      </c>
      <c r="AM263" s="16" t="s">
        <v>17</v>
      </c>
      <c r="AN263" s="17" t="s">
        <v>18</v>
      </c>
      <c r="AO263" s="18" t="s">
        <v>19</v>
      </c>
      <c r="AP263" s="19" t="s">
        <v>20</v>
      </c>
      <c r="AQ263" s="19" t="s">
        <v>21</v>
      </c>
      <c r="AR263" s="20" t="s">
        <v>22</v>
      </c>
    </row>
    <row r="264" ht="15.75" customHeight="1">
      <c r="A264" s="21"/>
      <c r="B264" s="38">
        <v>16.0</v>
      </c>
      <c r="C264" s="38" t="s">
        <v>42</v>
      </c>
      <c r="D264" s="39">
        <v>33.0</v>
      </c>
      <c r="E264" s="40">
        <f>IFERROR(__xludf.DUMMYFUNCTION("COUNT(IMPORTRANGE(""https://docs.google.com/spreadsheets/d/14Tu_jFPEdrIQ6DHYu6vRvJKQsbXr-48NY1tKy4-8JKI/edit"",""10!d2:d34""))"),33.0)</f>
        <v>33</v>
      </c>
      <c r="F264" s="45">
        <f>IFERROR(__xludf.DUMMYFUNCTION("SUM(IMPORTRANGE(""https://docs.google.com/spreadsheets/d/14Tu_jFPEdrIQ6DHYu6vRvJKQsbXr-48NY1tKy4-8JKI/edit"",""10!Q2:Q34""))"),6501.825999999998)</f>
        <v>6501.826</v>
      </c>
      <c r="G264" s="40">
        <f>IFERROR(__xludf.DUMMYFUNCTION("IMPORTRANGE(""https://docs.google.com/spreadsheets/d/14Tu_jFPEdrIQ6DHYu6vRvJKQsbXr-48NY1tKy4-8JKI/edit"",""10!e41"")"),3171.0)</f>
        <v>3171</v>
      </c>
      <c r="H264" s="40">
        <f>IFERROR(__xludf.DUMMYFUNCTION("IMPORTRANGE(""https://docs.google.com/spreadsheets/d/14Tu_jFPEdrIQ6DHYu6vRvJKQsbXr-48NY1tKy4-8JKI/edit"",""10!e42"")"),0.0)</f>
        <v>0</v>
      </c>
      <c r="I264" s="40">
        <f t="shared" si="690"/>
        <v>3171</v>
      </c>
      <c r="J264" s="40">
        <f>IFERROR(__xludf.DUMMYFUNCTION("IMPORTRANGE(""https://docs.google.com/spreadsheets/d/14Tu_jFPEdrIQ6DHYu6vRvJKQsbXr-48NY1tKy4-8JKI/edit"",""10!e45"")"),4820.0)</f>
        <v>4820</v>
      </c>
      <c r="K264" s="40">
        <f>IFERROR(__xludf.DUMMYFUNCTION("IMPORTRANGE(""https://docs.google.com/spreadsheets/d/14Tu_jFPEdrIQ6DHYu6vRvJKQsbXr-48NY1tKy4-8JKI/edit"",""10!e46"")"),37.0)</f>
        <v>37</v>
      </c>
      <c r="L264" s="40">
        <f t="shared" si="720"/>
        <v>4857</v>
      </c>
      <c r="M264" s="40">
        <f t="shared" si="692"/>
        <v>8028</v>
      </c>
      <c r="N264" s="41">
        <f t="shared" si="693"/>
        <v>197.0250303</v>
      </c>
      <c r="O264" s="38">
        <v>9877.0</v>
      </c>
      <c r="P264" s="42">
        <f t="shared" si="694"/>
        <v>0.8127974081</v>
      </c>
      <c r="Q264" s="43">
        <v>1.5</v>
      </c>
      <c r="R264" s="42">
        <f t="shared" si="695"/>
        <v>0.8231533726</v>
      </c>
      <c r="S264" s="44">
        <f t="shared" si="696"/>
        <v>1.234730059</v>
      </c>
      <c r="T264" s="43">
        <f>F264/26.155</f>
        <v>248.5882623</v>
      </c>
      <c r="U264" s="43">
        <f t="shared" si="697"/>
        <v>7.532977645</v>
      </c>
      <c r="V264" s="40">
        <f t="shared" si="698"/>
        <v>243.2727273</v>
      </c>
      <c r="X264" s="31">
        <v>1.0</v>
      </c>
      <c r="Y264" s="31" t="s">
        <v>26</v>
      </c>
      <c r="Z264" s="31">
        <f t="shared" ref="Z264:AI264" si="730">SUM(D249)</f>
        <v>20</v>
      </c>
      <c r="AA264" s="32">
        <f t="shared" si="730"/>
        <v>20</v>
      </c>
      <c r="AB264" s="34">
        <f t="shared" si="730"/>
        <v>3525.003</v>
      </c>
      <c r="AC264" s="32">
        <f t="shared" si="730"/>
        <v>2012</v>
      </c>
      <c r="AD264" s="32">
        <f t="shared" si="730"/>
        <v>0</v>
      </c>
      <c r="AE264" s="32">
        <f t="shared" si="730"/>
        <v>2012</v>
      </c>
      <c r="AF264" s="32">
        <f t="shared" si="730"/>
        <v>2751</v>
      </c>
      <c r="AG264" s="32">
        <f t="shared" si="730"/>
        <v>0</v>
      </c>
      <c r="AH264" s="32">
        <f t="shared" si="730"/>
        <v>2751</v>
      </c>
      <c r="AI264" s="32">
        <f t="shared" si="730"/>
        <v>4763</v>
      </c>
      <c r="AJ264" s="34">
        <f t="shared" ref="AJ264:AJ270" si="733">AB264/AA264</f>
        <v>176.25015</v>
      </c>
      <c r="AK264" s="31">
        <f>SUM(O249)</f>
        <v>5161</v>
      </c>
      <c r="AL264" s="35">
        <f t="shared" ref="AL264:AL270" si="734">AI264/AK264</f>
        <v>0.9228831622</v>
      </c>
      <c r="AM264" s="36">
        <f>SUM(Q249)</f>
        <v>1.5</v>
      </c>
      <c r="AN264" s="35">
        <f t="shared" ref="AN264:AN270" si="735">AO264/AM264</f>
        <v>0.9008030159</v>
      </c>
      <c r="AO264" s="37">
        <f t="shared" ref="AO264:AO270" si="736">AI264/AB264</f>
        <v>1.351204524</v>
      </c>
      <c r="AP264" s="36">
        <f t="shared" ref="AP264:AQ264" si="731">SUM(T249)</f>
        <v>244.5371488</v>
      </c>
      <c r="AQ264" s="36">
        <f t="shared" si="731"/>
        <v>12.22685744</v>
      </c>
      <c r="AR264" s="32">
        <f t="shared" ref="AR264:AR270" si="738">AI264/AA264</f>
        <v>238.15</v>
      </c>
    </row>
    <row r="265" ht="15.75" customHeight="1">
      <c r="A265" s="21"/>
      <c r="B265" s="38">
        <v>17.0</v>
      </c>
      <c r="C265" s="38" t="s">
        <v>29</v>
      </c>
      <c r="D265" s="39">
        <v>30.0</v>
      </c>
      <c r="E265" s="40">
        <f>IFERROR(__xludf.DUMMYFUNCTION("COUNT(IMPORTRANGE(""https://docs.google.com/spreadsheets/d/1ja_RQYsP0p5wRrACHojay4CW1wLx0QdS5tSwp-vYQ-s/edit"",""10!d2:d31""))"),29.0)</f>
        <v>29</v>
      </c>
      <c r="F265" s="45">
        <f>IFERROR(__xludf.DUMMYFUNCTION("SUM(IMPORTRANGE(""https://docs.google.com/spreadsheets/d/1ja_RQYsP0p5wRrACHojay4CW1wLx0QdS5tSwp-vYQ-s/edit"",""10!Q2:Q31""))"),5695.564999999998)</f>
        <v>5695.565</v>
      </c>
      <c r="G265" s="40">
        <f>IFERROR(__xludf.DUMMYFUNCTION("IMPORTRANGE(""https://docs.google.com/spreadsheets/d/1ja_RQYsP0p5wRrACHojay4CW1wLx0QdS5tSwp-vYQ-s/edit"",""10!e38"")"),2870.0)</f>
        <v>2870</v>
      </c>
      <c r="H265" s="40">
        <f>IFERROR(__xludf.DUMMYFUNCTION("IMPORTRANGE(""https://docs.google.com/spreadsheets/d/1ja_RQYsP0p5wRrACHojay4CW1wLx0QdS5tSwp-vYQ-s/edit"",""10!e39"")"),0.0)</f>
        <v>0</v>
      </c>
      <c r="I265" s="40">
        <f t="shared" si="690"/>
        <v>2870</v>
      </c>
      <c r="J265" s="40">
        <f>IFERROR(__xludf.DUMMYFUNCTION("IMPORTRANGE(""https://docs.google.com/spreadsheets/d/1ja_RQYsP0p5wRrACHojay4CW1wLx0QdS5tSwp-vYQ-s/edit"",""10!e42"")"),4131.0)</f>
        <v>4131</v>
      </c>
      <c r="K265" s="40">
        <f>IFERROR(__xludf.DUMMYFUNCTION("IMPORTRANGE(""https://docs.google.com/spreadsheets/d/1ja_RQYsP0p5wRrACHojay4CW1wLx0QdS5tSwp-vYQ-s/edit"",""10!e43"")"),0.0)</f>
        <v>0</v>
      </c>
      <c r="L265" s="40">
        <f t="shared" si="720"/>
        <v>4131</v>
      </c>
      <c r="M265" s="40">
        <f t="shared" si="692"/>
        <v>7001</v>
      </c>
      <c r="N265" s="41">
        <f t="shared" si="693"/>
        <v>196.3987931</v>
      </c>
      <c r="O265" s="38">
        <v>9201.0</v>
      </c>
      <c r="P265" s="42">
        <f t="shared" si="694"/>
        <v>0.7608955548</v>
      </c>
      <c r="Q265" s="43">
        <v>1.5</v>
      </c>
      <c r="R265" s="42">
        <f t="shared" si="695"/>
        <v>0.819468013</v>
      </c>
      <c r="S265" s="44">
        <f t="shared" si="696"/>
        <v>1.229202019</v>
      </c>
      <c r="T265" s="43">
        <f>F265/26.491</f>
        <v>215</v>
      </c>
      <c r="U265" s="43">
        <f t="shared" si="697"/>
        <v>7.413793103</v>
      </c>
      <c r="V265" s="40">
        <f t="shared" si="698"/>
        <v>241.4137931</v>
      </c>
      <c r="X265" s="31">
        <v>2.0</v>
      </c>
      <c r="Y265" s="31" t="s">
        <v>32</v>
      </c>
      <c r="Z265" s="31">
        <f t="shared" ref="Z265:AI265" si="732">SUM(D252)</f>
        <v>42</v>
      </c>
      <c r="AA265" s="32">
        <f t="shared" si="732"/>
        <v>42</v>
      </c>
      <c r="AB265" s="33">
        <f t="shared" si="732"/>
        <v>8379.726</v>
      </c>
      <c r="AC265" s="31">
        <f t="shared" si="732"/>
        <v>4945</v>
      </c>
      <c r="AD265" s="31">
        <f t="shared" si="732"/>
        <v>0</v>
      </c>
      <c r="AE265" s="32">
        <f t="shared" si="732"/>
        <v>4945</v>
      </c>
      <c r="AF265" s="31">
        <f t="shared" si="732"/>
        <v>5910</v>
      </c>
      <c r="AG265" s="31">
        <f t="shared" si="732"/>
        <v>0</v>
      </c>
      <c r="AH265" s="32">
        <f t="shared" si="732"/>
        <v>5910</v>
      </c>
      <c r="AI265" s="32">
        <f t="shared" si="732"/>
        <v>10855</v>
      </c>
      <c r="AJ265" s="34">
        <f t="shared" si="733"/>
        <v>199.5172857</v>
      </c>
      <c r="AK265" s="31">
        <f>SUM(O252)</f>
        <v>13817</v>
      </c>
      <c r="AL265" s="35">
        <f t="shared" si="734"/>
        <v>0.7856264023</v>
      </c>
      <c r="AM265" s="36">
        <f>SUM(Q252)</f>
        <v>1.5</v>
      </c>
      <c r="AN265" s="35">
        <f t="shared" si="735"/>
        <v>0.8635922782</v>
      </c>
      <c r="AO265" s="37">
        <f t="shared" si="736"/>
        <v>1.295388417</v>
      </c>
      <c r="AP265" s="36">
        <f t="shared" ref="AP265:AQ265" si="737">SUM(T252)</f>
        <v>334</v>
      </c>
      <c r="AQ265" s="36">
        <f t="shared" si="737"/>
        <v>7.952380952</v>
      </c>
      <c r="AR265" s="32">
        <f t="shared" si="738"/>
        <v>258.452381</v>
      </c>
    </row>
    <row r="266" ht="15.75" customHeight="1">
      <c r="A266" s="21"/>
      <c r="B266" s="38">
        <v>18.0</v>
      </c>
      <c r="C266" s="38" t="s">
        <v>31</v>
      </c>
      <c r="D266" s="39">
        <v>15.0</v>
      </c>
      <c r="E266" s="40">
        <f>IFERROR(__xludf.DUMMYFUNCTION("COUNT(IMPORTRANGE(""https://docs.google.com/spreadsheets/d/1ObnK1oSznTOmyW9Zcd2kxExl7TOnO2MNq_0giEKc_mE/edit"",""10!d2:d16""))"),14.0)</f>
        <v>14</v>
      </c>
      <c r="F266" s="41">
        <f>IFERROR(__xludf.DUMMYFUNCTION("SUM(IMPORTRANGE(""https://docs.google.com/spreadsheets/d/1ObnK1oSznTOmyW9Zcd2kxExl7TOnO2MNq_0giEKc_mE/edit"",""10!Q2:Q16""))"),2520.97)</f>
        <v>2520.97</v>
      </c>
      <c r="G266" s="40">
        <f>IFERROR(__xludf.DUMMYFUNCTION("IMPORTRANGE(""https://docs.google.com/spreadsheets/d/1ObnK1oSznTOmyW9Zcd2kxExl7TOnO2MNq_0giEKc_mE/edit"",""10!e23"")"),778.0)</f>
        <v>778</v>
      </c>
      <c r="H266" s="40">
        <f>IFERROR(__xludf.DUMMYFUNCTION("IMPORTRANGE(""https://docs.google.com/spreadsheets/d/1ObnK1oSznTOmyW9Zcd2kxExl7TOnO2MNq_0giEKc_mE/edit"",""10!e24"")"),0.0)</f>
        <v>0</v>
      </c>
      <c r="I266" s="40">
        <f t="shared" si="690"/>
        <v>778</v>
      </c>
      <c r="J266" s="40">
        <f>IFERROR(__xludf.DUMMYFUNCTION("IMPORTRANGE(""https://docs.google.com/spreadsheets/d/1ObnK1oSznTOmyW9Zcd2kxExl7TOnO2MNq_0giEKc_mE/edit"",""10!e27"")"),891.0)</f>
        <v>891</v>
      </c>
      <c r="K266" s="40">
        <f>IFERROR(__xludf.DUMMYFUNCTION("IMPORTRANGE(""https://docs.google.com/spreadsheets/d/1ObnK1oSznTOmyW9Zcd2kxExl7TOnO2MNq_0giEKc_mE/edit"",""10!e28"")"),0.0)</f>
        <v>0</v>
      </c>
      <c r="L266" s="40">
        <f t="shared" si="720"/>
        <v>891</v>
      </c>
      <c r="M266" s="40">
        <f t="shared" si="692"/>
        <v>1669</v>
      </c>
      <c r="N266" s="41">
        <f t="shared" si="693"/>
        <v>180.0692857</v>
      </c>
      <c r="O266" s="38">
        <v>2717.0</v>
      </c>
      <c r="P266" s="42">
        <f t="shared" si="694"/>
        <v>0.6142804564</v>
      </c>
      <c r="Q266" s="43">
        <v>1.5</v>
      </c>
      <c r="R266" s="42">
        <f t="shared" si="695"/>
        <v>0.4413645012</v>
      </c>
      <c r="S266" s="44">
        <f t="shared" si="696"/>
        <v>0.6620467518</v>
      </c>
      <c r="T266" s="43">
        <f>F266/43.465</f>
        <v>58</v>
      </c>
      <c r="U266" s="43">
        <f t="shared" si="697"/>
        <v>4.142857143</v>
      </c>
      <c r="V266" s="40">
        <f t="shared" si="698"/>
        <v>119.2142857</v>
      </c>
      <c r="X266" s="31">
        <v>3.0</v>
      </c>
      <c r="Y266" s="31" t="s">
        <v>36</v>
      </c>
      <c r="Z266" s="31">
        <f t="shared" ref="Z266:AI266" si="739">SUM(D257)</f>
        <v>29</v>
      </c>
      <c r="AA266" s="32">
        <f t="shared" si="739"/>
        <v>29</v>
      </c>
      <c r="AB266" s="33">
        <f t="shared" si="739"/>
        <v>5712.817</v>
      </c>
      <c r="AC266" s="32">
        <f t="shared" si="739"/>
        <v>1622</v>
      </c>
      <c r="AD266" s="32">
        <f t="shared" si="739"/>
        <v>0</v>
      </c>
      <c r="AE266" s="32">
        <f t="shared" si="739"/>
        <v>1622</v>
      </c>
      <c r="AF266" s="32">
        <f t="shared" si="739"/>
        <v>2398</v>
      </c>
      <c r="AG266" s="32">
        <f t="shared" si="739"/>
        <v>0</v>
      </c>
      <c r="AH266" s="32">
        <f t="shared" si="739"/>
        <v>2398</v>
      </c>
      <c r="AI266" s="32">
        <f t="shared" si="739"/>
        <v>4020</v>
      </c>
      <c r="AJ266" s="34">
        <f t="shared" si="733"/>
        <v>196.9936897</v>
      </c>
      <c r="AK266" s="31">
        <f t="shared" ref="AK266:AK269" si="743">SUM(O257)</f>
        <v>4796</v>
      </c>
      <c r="AL266" s="35">
        <f t="shared" si="734"/>
        <v>0.8381984987</v>
      </c>
      <c r="AM266" s="36">
        <f t="shared" ref="AM266:AM269" si="744">SUM(Q257)</f>
        <v>1.5</v>
      </c>
      <c r="AN266" s="35">
        <f t="shared" si="735"/>
        <v>0.4691205757</v>
      </c>
      <c r="AO266" s="37">
        <f t="shared" si="736"/>
        <v>0.7036808636</v>
      </c>
      <c r="AP266" s="36">
        <f t="shared" ref="AP266:AQ266" si="740">SUM(T257)</f>
        <v>152.6919602</v>
      </c>
      <c r="AQ266" s="36">
        <f t="shared" si="740"/>
        <v>5.265240008</v>
      </c>
      <c r="AR266" s="32">
        <f t="shared" si="738"/>
        <v>138.6206897</v>
      </c>
    </row>
    <row r="267" ht="15.75" customHeight="1">
      <c r="A267" s="21"/>
      <c r="B267" s="60" t="s">
        <v>33</v>
      </c>
      <c r="C267" s="60">
        <v>18.0</v>
      </c>
      <c r="D267" s="60">
        <f t="shared" ref="D267:M267" si="741">SUM(D249:D266)</f>
        <v>585</v>
      </c>
      <c r="E267" s="61">
        <f t="shared" si="741"/>
        <v>574</v>
      </c>
      <c r="F267" s="62">
        <f t="shared" si="741"/>
        <v>111111.285</v>
      </c>
      <c r="G267" s="61">
        <f t="shared" si="741"/>
        <v>42413</v>
      </c>
      <c r="H267" s="61">
        <f t="shared" si="741"/>
        <v>467</v>
      </c>
      <c r="I267" s="61">
        <f t="shared" si="741"/>
        <v>42880</v>
      </c>
      <c r="J267" s="61">
        <f t="shared" si="741"/>
        <v>57309</v>
      </c>
      <c r="K267" s="61">
        <f t="shared" si="741"/>
        <v>1409</v>
      </c>
      <c r="L267" s="61">
        <f t="shared" si="741"/>
        <v>58718</v>
      </c>
      <c r="M267" s="61">
        <f t="shared" si="741"/>
        <v>101598</v>
      </c>
      <c r="N267" s="62">
        <f t="shared" si="693"/>
        <v>193.5736672</v>
      </c>
      <c r="O267" s="60">
        <f>SUM(O249:O266)</f>
        <v>126399</v>
      </c>
      <c r="P267" s="63">
        <f t="shared" si="694"/>
        <v>0.8037880047</v>
      </c>
      <c r="Q267" s="64">
        <v>1.5</v>
      </c>
      <c r="R267" s="63">
        <f t="shared" si="695"/>
        <v>0.609587046</v>
      </c>
      <c r="S267" s="65">
        <f t="shared" si="696"/>
        <v>0.914380569</v>
      </c>
      <c r="T267" s="64">
        <f>SUM(T249:T266)</f>
        <v>4085.664591</v>
      </c>
      <c r="U267" s="64">
        <f t="shared" si="697"/>
        <v>7.117882563</v>
      </c>
      <c r="V267" s="61">
        <f t="shared" si="698"/>
        <v>177</v>
      </c>
      <c r="X267" s="31">
        <v>4.0</v>
      </c>
      <c r="Y267" s="31" t="s">
        <v>37</v>
      </c>
      <c r="Z267" s="31">
        <f t="shared" ref="Z267:AI267" si="742">SUM(D258)</f>
        <v>30</v>
      </c>
      <c r="AA267" s="32">
        <f t="shared" si="742"/>
        <v>30</v>
      </c>
      <c r="AB267" s="33">
        <f t="shared" si="742"/>
        <v>5699.538</v>
      </c>
      <c r="AC267" s="32">
        <f t="shared" si="742"/>
        <v>2197</v>
      </c>
      <c r="AD267" s="32">
        <f t="shared" si="742"/>
        <v>0</v>
      </c>
      <c r="AE267" s="32">
        <f t="shared" si="742"/>
        <v>2197</v>
      </c>
      <c r="AF267" s="32">
        <f t="shared" si="742"/>
        <v>3031</v>
      </c>
      <c r="AG267" s="32">
        <f t="shared" si="742"/>
        <v>0</v>
      </c>
      <c r="AH267" s="32">
        <f t="shared" si="742"/>
        <v>3031</v>
      </c>
      <c r="AI267" s="32">
        <f t="shared" si="742"/>
        <v>5228</v>
      </c>
      <c r="AJ267" s="34">
        <f t="shared" si="733"/>
        <v>189.9846</v>
      </c>
      <c r="AK267" s="31">
        <f t="shared" si="743"/>
        <v>5887</v>
      </c>
      <c r="AL267" s="35">
        <f t="shared" si="734"/>
        <v>0.8880584338</v>
      </c>
      <c r="AM267" s="36">
        <f t="shared" si="744"/>
        <v>1.5</v>
      </c>
      <c r="AN267" s="35">
        <f t="shared" si="735"/>
        <v>0.6115115529</v>
      </c>
      <c r="AO267" s="37">
        <f t="shared" si="736"/>
        <v>0.9172673294</v>
      </c>
      <c r="AP267" s="36">
        <f t="shared" ref="AP267:AQ267" si="745">SUM(T258)</f>
        <v>229.8942401</v>
      </c>
      <c r="AQ267" s="36">
        <f t="shared" si="745"/>
        <v>7.663141336</v>
      </c>
      <c r="AR267" s="32">
        <f t="shared" si="738"/>
        <v>174.2666667</v>
      </c>
    </row>
    <row r="268" ht="15.7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X268" s="31">
        <v>5.0</v>
      </c>
      <c r="Y268" s="31" t="s">
        <v>39</v>
      </c>
      <c r="Z268" s="31">
        <f t="shared" ref="Z268:AI268" si="746">SUM(D259)</f>
        <v>28</v>
      </c>
      <c r="AA268" s="32">
        <f t="shared" si="746"/>
        <v>28</v>
      </c>
      <c r="AB268" s="33">
        <f t="shared" si="746"/>
        <v>5351.563</v>
      </c>
      <c r="AC268" s="32">
        <f t="shared" si="746"/>
        <v>1259</v>
      </c>
      <c r="AD268" s="32">
        <f t="shared" si="746"/>
        <v>0</v>
      </c>
      <c r="AE268" s="32">
        <f t="shared" si="746"/>
        <v>1259</v>
      </c>
      <c r="AF268" s="32">
        <f t="shared" si="746"/>
        <v>1734</v>
      </c>
      <c r="AG268" s="32">
        <f t="shared" si="746"/>
        <v>111</v>
      </c>
      <c r="AH268" s="32">
        <f t="shared" si="746"/>
        <v>1845</v>
      </c>
      <c r="AI268" s="32">
        <f t="shared" si="746"/>
        <v>3104</v>
      </c>
      <c r="AJ268" s="34">
        <f t="shared" si="733"/>
        <v>191.12725</v>
      </c>
      <c r="AK268" s="31">
        <f t="shared" si="743"/>
        <v>3569</v>
      </c>
      <c r="AL268" s="35">
        <f t="shared" si="734"/>
        <v>0.8697114038</v>
      </c>
      <c r="AM268" s="36">
        <f t="shared" si="744"/>
        <v>1.5</v>
      </c>
      <c r="AN268" s="35">
        <f t="shared" si="735"/>
        <v>0.3866783094</v>
      </c>
      <c r="AO268" s="37">
        <f t="shared" si="736"/>
        <v>0.5800174641</v>
      </c>
      <c r="AP268" s="36">
        <f t="shared" ref="AP268:AQ268" si="747">SUM(T259)</f>
        <v>249.339002</v>
      </c>
      <c r="AQ268" s="36">
        <f t="shared" si="747"/>
        <v>8.904964357</v>
      </c>
      <c r="AR268" s="32">
        <f t="shared" si="738"/>
        <v>110.8571429</v>
      </c>
    </row>
    <row r="269" ht="15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X269" s="31">
        <v>6.0</v>
      </c>
      <c r="Y269" s="31" t="s">
        <v>41</v>
      </c>
      <c r="Z269" s="31">
        <f t="shared" ref="Z269:AI269" si="748">SUM(D260)</f>
        <v>24</v>
      </c>
      <c r="AA269" s="32">
        <f t="shared" si="748"/>
        <v>24</v>
      </c>
      <c r="AB269" s="33">
        <f t="shared" si="748"/>
        <v>4793.152</v>
      </c>
      <c r="AC269" s="32">
        <f t="shared" si="748"/>
        <v>1352</v>
      </c>
      <c r="AD269" s="32">
        <f t="shared" si="748"/>
        <v>0</v>
      </c>
      <c r="AE269" s="32">
        <f t="shared" si="748"/>
        <v>1352</v>
      </c>
      <c r="AF269" s="32">
        <f t="shared" si="748"/>
        <v>1662</v>
      </c>
      <c r="AG269" s="32">
        <f t="shared" si="748"/>
        <v>229</v>
      </c>
      <c r="AH269" s="32">
        <f t="shared" si="748"/>
        <v>1891</v>
      </c>
      <c r="AI269" s="32">
        <f t="shared" si="748"/>
        <v>3243</v>
      </c>
      <c r="AJ269" s="34">
        <f t="shared" si="733"/>
        <v>199.7146667</v>
      </c>
      <c r="AK269" s="31">
        <f t="shared" si="743"/>
        <v>3801</v>
      </c>
      <c r="AL269" s="35">
        <f t="shared" si="734"/>
        <v>0.8531965272</v>
      </c>
      <c r="AM269" s="36">
        <f t="shared" si="744"/>
        <v>1.5</v>
      </c>
      <c r="AN269" s="35">
        <f t="shared" si="735"/>
        <v>0.4510601792</v>
      </c>
      <c r="AO269" s="37">
        <f t="shared" si="736"/>
        <v>0.6765902688</v>
      </c>
      <c r="AP269" s="36">
        <f t="shared" ref="AP269:AQ269" si="749">SUM(T260)</f>
        <v>161.7777778</v>
      </c>
      <c r="AQ269" s="36">
        <f t="shared" si="749"/>
        <v>6.740740741</v>
      </c>
      <c r="AR269" s="32">
        <f t="shared" si="738"/>
        <v>135.125</v>
      </c>
    </row>
    <row r="270" ht="15.75" customHeight="1">
      <c r="A270" s="1" t="s">
        <v>45</v>
      </c>
      <c r="D270" s="2"/>
      <c r="X270" s="46" t="s">
        <v>33</v>
      </c>
      <c r="Y270" s="46">
        <v>6.0</v>
      </c>
      <c r="Z270" s="46">
        <f t="shared" ref="Z270:AI270" si="750">SUM(Z264:Z269)</f>
        <v>173</v>
      </c>
      <c r="AA270" s="47">
        <f t="shared" si="750"/>
        <v>173</v>
      </c>
      <c r="AB270" s="49">
        <f t="shared" si="750"/>
        <v>33461.799</v>
      </c>
      <c r="AC270" s="47">
        <f t="shared" si="750"/>
        <v>13387</v>
      </c>
      <c r="AD270" s="47">
        <f t="shared" si="750"/>
        <v>0</v>
      </c>
      <c r="AE270" s="47">
        <f t="shared" si="750"/>
        <v>13387</v>
      </c>
      <c r="AF270" s="47">
        <f t="shared" si="750"/>
        <v>17486</v>
      </c>
      <c r="AG270" s="47">
        <f t="shared" si="750"/>
        <v>340</v>
      </c>
      <c r="AH270" s="47">
        <f t="shared" si="750"/>
        <v>17826</v>
      </c>
      <c r="AI270" s="47">
        <f t="shared" si="750"/>
        <v>31213</v>
      </c>
      <c r="AJ270" s="49">
        <f t="shared" si="733"/>
        <v>193.4208035</v>
      </c>
      <c r="AK270" s="46">
        <f>SUM(AK264:AK269)</f>
        <v>37031</v>
      </c>
      <c r="AL270" s="50">
        <f t="shared" si="734"/>
        <v>0.8428883908</v>
      </c>
      <c r="AM270" s="51">
        <v>1.5</v>
      </c>
      <c r="AN270" s="50">
        <f t="shared" si="735"/>
        <v>0.6218633573</v>
      </c>
      <c r="AO270" s="52">
        <f t="shared" si="736"/>
        <v>0.9327950359</v>
      </c>
      <c r="AP270" s="51">
        <f>SUM(AP264:AP269)</f>
        <v>1372.240129</v>
      </c>
      <c r="AQ270" s="51">
        <f>AP270/AA270</f>
        <v>7.932023866</v>
      </c>
      <c r="AR270" s="47">
        <f t="shared" si="738"/>
        <v>180.4219653</v>
      </c>
    </row>
    <row r="271" ht="15.75" customHeight="1">
      <c r="A271" s="1" t="s">
        <v>45</v>
      </c>
      <c r="D271" s="2"/>
      <c r="X271" s="66" t="s">
        <v>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6"/>
    </row>
    <row r="272" ht="15.75" customHeight="1">
      <c r="A272" s="7">
        <v>46245.0</v>
      </c>
      <c r="B272" s="8" t="s">
        <v>2</v>
      </c>
      <c r="C272" s="8" t="s">
        <v>3</v>
      </c>
      <c r="D272" s="8" t="s">
        <v>4</v>
      </c>
      <c r="E272" s="8" t="s">
        <v>5</v>
      </c>
      <c r="F272" s="9" t="s">
        <v>6</v>
      </c>
      <c r="G272" s="8" t="s">
        <v>7</v>
      </c>
      <c r="H272" s="8" t="s">
        <v>8</v>
      </c>
      <c r="I272" s="8" t="s">
        <v>9</v>
      </c>
      <c r="J272" s="8" t="s">
        <v>10</v>
      </c>
      <c r="K272" s="8" t="s">
        <v>11</v>
      </c>
      <c r="L272" s="8" t="s">
        <v>12</v>
      </c>
      <c r="M272" s="8" t="s">
        <v>13</v>
      </c>
      <c r="N272" s="9" t="s">
        <v>14</v>
      </c>
      <c r="O272" s="8" t="s">
        <v>15</v>
      </c>
      <c r="P272" s="8" t="s">
        <v>16</v>
      </c>
      <c r="Q272" s="8" t="s">
        <v>17</v>
      </c>
      <c r="R272" s="8" t="s">
        <v>18</v>
      </c>
      <c r="S272" s="11" t="s">
        <v>19</v>
      </c>
      <c r="T272" s="12" t="s">
        <v>20</v>
      </c>
      <c r="U272" s="12" t="s">
        <v>21</v>
      </c>
      <c r="V272" s="13" t="s">
        <v>22</v>
      </c>
      <c r="X272" s="14" t="s">
        <v>2</v>
      </c>
      <c r="Y272" s="14" t="s">
        <v>3</v>
      </c>
      <c r="Z272" s="14" t="s">
        <v>4</v>
      </c>
      <c r="AA272" s="14" t="s">
        <v>5</v>
      </c>
      <c r="AB272" s="15" t="s">
        <v>6</v>
      </c>
      <c r="AC272" s="14" t="s">
        <v>7</v>
      </c>
      <c r="AD272" s="14" t="s">
        <v>8</v>
      </c>
      <c r="AE272" s="14" t="s">
        <v>9</v>
      </c>
      <c r="AF272" s="14" t="s">
        <v>10</v>
      </c>
      <c r="AG272" s="14" t="s">
        <v>11</v>
      </c>
      <c r="AH272" s="14" t="s">
        <v>12</v>
      </c>
      <c r="AI272" s="14" t="s">
        <v>13</v>
      </c>
      <c r="AJ272" s="15" t="s">
        <v>14</v>
      </c>
      <c r="AK272" s="14" t="s">
        <v>15</v>
      </c>
      <c r="AL272" s="14" t="s">
        <v>16</v>
      </c>
      <c r="AM272" s="16" t="s">
        <v>17</v>
      </c>
      <c r="AN272" s="17" t="s">
        <v>18</v>
      </c>
      <c r="AO272" s="18" t="s">
        <v>19</v>
      </c>
      <c r="AP272" s="19" t="s">
        <v>20</v>
      </c>
      <c r="AQ272" s="19" t="s">
        <v>21</v>
      </c>
      <c r="AR272" s="20" t="s">
        <v>22</v>
      </c>
    </row>
    <row r="273" ht="15.7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X273" s="22">
        <v>1.0</v>
      </c>
      <c r="Y273" s="22" t="s">
        <v>23</v>
      </c>
      <c r="Z273" s="22">
        <f t="shared" ref="Z273:AI273" si="751">SUM(D281)</f>
        <v>35</v>
      </c>
      <c r="AA273" s="23">
        <f t="shared" si="751"/>
        <v>35</v>
      </c>
      <c r="AB273" s="24">
        <f t="shared" si="751"/>
        <v>6849.22</v>
      </c>
      <c r="AC273" s="23">
        <f t="shared" si="751"/>
        <v>2437</v>
      </c>
      <c r="AD273" s="23">
        <f t="shared" si="751"/>
        <v>0</v>
      </c>
      <c r="AE273" s="23">
        <f t="shared" si="751"/>
        <v>2437</v>
      </c>
      <c r="AF273" s="23">
        <f t="shared" si="751"/>
        <v>2583</v>
      </c>
      <c r="AG273" s="23">
        <f t="shared" si="751"/>
        <v>115</v>
      </c>
      <c r="AH273" s="23">
        <f t="shared" si="751"/>
        <v>2698</v>
      </c>
      <c r="AI273" s="23">
        <f t="shared" si="751"/>
        <v>5135</v>
      </c>
      <c r="AJ273" s="25">
        <f t="shared" ref="AJ273:AJ275" si="754">AB273/AA273</f>
        <v>195.692</v>
      </c>
      <c r="AK273" s="22">
        <f>SUM(O281)</f>
        <v>6853</v>
      </c>
      <c r="AL273" s="26">
        <f t="shared" ref="AL273:AL279" si="755">AI273/AK273</f>
        <v>0.7493068729</v>
      </c>
      <c r="AM273" s="27">
        <f t="shared" ref="AM273:AM275" si="756">SUM(Q281)</f>
        <v>1.5</v>
      </c>
      <c r="AN273" s="26">
        <f t="shared" ref="AN273:AN279" si="757">AO273/AM273</f>
        <v>0.4998136041</v>
      </c>
      <c r="AO273" s="28">
        <f t="shared" ref="AO273:AO279" si="758">AI273/AB273</f>
        <v>0.7497204061</v>
      </c>
      <c r="AP273" s="27">
        <f t="shared" ref="AP273:AQ273" si="752">SUM(T281)</f>
        <v>203</v>
      </c>
      <c r="AQ273" s="27">
        <f t="shared" si="752"/>
        <v>5.8</v>
      </c>
      <c r="AR273" s="23">
        <f t="shared" ref="AR273:AR279" si="760">AI273/AA273</f>
        <v>146.7142857</v>
      </c>
    </row>
    <row r="274" ht="15.7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X274" s="22">
        <v>2.0</v>
      </c>
      <c r="Y274" s="22" t="s">
        <v>24</v>
      </c>
      <c r="Z274" s="22">
        <f t="shared" ref="Z274:AI274" si="753">SUM(D282)</f>
        <v>44</v>
      </c>
      <c r="AA274" s="23">
        <f t="shared" si="753"/>
        <v>38</v>
      </c>
      <c r="AB274" s="24">
        <f t="shared" si="753"/>
        <v>7151.877</v>
      </c>
      <c r="AC274" s="23">
        <f t="shared" si="753"/>
        <v>1047</v>
      </c>
      <c r="AD274" s="23">
        <f t="shared" si="753"/>
        <v>0</v>
      </c>
      <c r="AE274" s="23">
        <f t="shared" si="753"/>
        <v>1047</v>
      </c>
      <c r="AF274" s="23">
        <f t="shared" si="753"/>
        <v>1365</v>
      </c>
      <c r="AG274" s="23">
        <f t="shared" si="753"/>
        <v>0</v>
      </c>
      <c r="AH274" s="23">
        <f t="shared" si="753"/>
        <v>1365</v>
      </c>
      <c r="AI274" s="23">
        <f t="shared" si="753"/>
        <v>2412</v>
      </c>
      <c r="AJ274" s="25">
        <f t="shared" si="754"/>
        <v>188.2072895</v>
      </c>
      <c r="AK274" s="22">
        <v>1580.0</v>
      </c>
      <c r="AL274" s="29">
        <f t="shared" si="755"/>
        <v>1.526582278</v>
      </c>
      <c r="AM274" s="27">
        <f t="shared" si="756"/>
        <v>1.5</v>
      </c>
      <c r="AN274" s="26">
        <f t="shared" si="757"/>
        <v>0.2248360815</v>
      </c>
      <c r="AO274" s="28">
        <f t="shared" si="758"/>
        <v>0.3372541222</v>
      </c>
      <c r="AP274" s="27">
        <f t="shared" ref="AP274:AQ274" si="759">SUM(T282)</f>
        <v>266.8113039</v>
      </c>
      <c r="AQ274" s="27">
        <f t="shared" si="759"/>
        <v>7.021350102</v>
      </c>
      <c r="AR274" s="23">
        <f t="shared" si="760"/>
        <v>63.47368421</v>
      </c>
    </row>
    <row r="275" ht="15.75" customHeight="1">
      <c r="A275" s="21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X275" s="31">
        <v>3.0</v>
      </c>
      <c r="Y275" s="31" t="s">
        <v>25</v>
      </c>
      <c r="Z275" s="31">
        <f t="shared" ref="Z275:AI275" si="761">SUM(D283)</f>
        <v>32</v>
      </c>
      <c r="AA275" s="32">
        <f t="shared" si="761"/>
        <v>32</v>
      </c>
      <c r="AB275" s="33">
        <f t="shared" si="761"/>
        <v>6106.576</v>
      </c>
      <c r="AC275" s="32">
        <f t="shared" si="761"/>
        <v>2341</v>
      </c>
      <c r="AD275" s="32">
        <f t="shared" si="761"/>
        <v>376</v>
      </c>
      <c r="AE275" s="32">
        <f t="shared" si="761"/>
        <v>2717</v>
      </c>
      <c r="AF275" s="32">
        <f t="shared" si="761"/>
        <v>3206</v>
      </c>
      <c r="AG275" s="32">
        <f t="shared" si="761"/>
        <v>421</v>
      </c>
      <c r="AH275" s="32">
        <f t="shared" si="761"/>
        <v>3627</v>
      </c>
      <c r="AI275" s="32">
        <f t="shared" si="761"/>
        <v>6344</v>
      </c>
      <c r="AJ275" s="34">
        <f t="shared" si="754"/>
        <v>190.8305</v>
      </c>
      <c r="AK275" s="31">
        <f>SUM(O283)</f>
        <v>6622</v>
      </c>
      <c r="AL275" s="35">
        <f t="shared" si="755"/>
        <v>0.9580187255</v>
      </c>
      <c r="AM275" s="36">
        <f t="shared" si="756"/>
        <v>1.5</v>
      </c>
      <c r="AN275" s="35">
        <f t="shared" si="757"/>
        <v>0.6925867022</v>
      </c>
      <c r="AO275" s="37">
        <f t="shared" si="758"/>
        <v>1.038880053</v>
      </c>
      <c r="AP275" s="36">
        <f t="shared" ref="AP275:AQ275" si="762">SUM(T283)</f>
        <v>256.1483221</v>
      </c>
      <c r="AQ275" s="36">
        <f t="shared" si="762"/>
        <v>8.004635067</v>
      </c>
      <c r="AR275" s="32">
        <f t="shared" si="760"/>
        <v>198.25</v>
      </c>
    </row>
    <row r="276" ht="15.75" customHeight="1">
      <c r="A276" s="21"/>
      <c r="B276" s="38">
        <v>1.0</v>
      </c>
      <c r="C276" s="38" t="s">
        <v>26</v>
      </c>
      <c r="D276" s="39">
        <v>20.0</v>
      </c>
      <c r="E276" s="40">
        <f>IFERROR(__xludf.DUMMYFUNCTION("COUNT(IMPORTRANGE(""https://docs.google.com/spreadsheets/d/1iVFEBQOAONhqDIMRa2hQ7WkCQv0dJWSAmc0AzfvSCMg/edit"",""11!d2:d21""))"),19.0)</f>
        <v>19</v>
      </c>
      <c r="F276" s="41">
        <f>IFERROR(__xludf.DUMMYFUNCTION("SUM(IMPORTRANGE(""https://docs.google.com/spreadsheets/d/1iVFEBQOAONhqDIMRa2hQ7WkCQv0dJWSAmc0AzfvSCMg/edit"",""11!Q2:Q21""))"),3748.5119999999997)</f>
        <v>3748.512</v>
      </c>
      <c r="G276" s="40">
        <f>IFERROR(__xludf.DUMMYFUNCTION("IMPORTRANGE(""https://docs.google.com/spreadsheets/d/1iVFEBQOAONhqDIMRa2hQ7WkCQv0dJWSAmc0AzfvSCMg/edit"",""11!e28"")"),2132.0)</f>
        <v>2132</v>
      </c>
      <c r="H276" s="40">
        <f>IFERROR(__xludf.DUMMYFUNCTION("IMPORTRANGE(""https://docs.google.com/spreadsheets/d/1iVFEBQOAONhqDIMRa2hQ7WkCQv0dJWSAmc0AzfvSCMg/edit"",""11!e29"")"),0.0)</f>
        <v>0</v>
      </c>
      <c r="I276" s="40">
        <f t="shared" ref="I276:I293" si="765">SUM(G276:H276)</f>
        <v>2132</v>
      </c>
      <c r="J276" s="40">
        <f>IFERROR(__xludf.DUMMYFUNCTION("IMPORTRANGE(""https://docs.google.com/spreadsheets/d/1iVFEBQOAONhqDIMRa2hQ7WkCQv0dJWSAmc0AzfvSCMg/edit"",""11!e32"")"),3144.0)</f>
        <v>3144</v>
      </c>
      <c r="K276" s="40">
        <f>IFERROR(__xludf.DUMMYFUNCTION("IMPORTRANGE(""https://docs.google.com/spreadsheets/d/1iVFEBQOAONhqDIMRa2hQ7WkCQv0dJWSAmc0AzfvSCMg/edit"",""11!e33"")"),0.0)</f>
        <v>0</v>
      </c>
      <c r="L276" s="40">
        <f t="shared" ref="L276:L282" si="766">SUM(J276:K276)</f>
        <v>3144</v>
      </c>
      <c r="M276" s="40">
        <f t="shared" ref="M276:M293" si="767">SUM(I276+L276)</f>
        <v>5276</v>
      </c>
      <c r="N276" s="41">
        <f t="shared" ref="N276:N294" si="768">F276/E276</f>
        <v>197.2901053</v>
      </c>
      <c r="O276" s="38">
        <v>5161.0</v>
      </c>
      <c r="P276" s="56">
        <f t="shared" ref="P276:P294" si="769">M276/O276</f>
        <v>1.022282503</v>
      </c>
      <c r="Q276" s="43">
        <v>1.5</v>
      </c>
      <c r="R276" s="42">
        <f t="shared" ref="R276:R294" si="770">S276/Q276</f>
        <v>0.9383278841</v>
      </c>
      <c r="S276" s="44">
        <f t="shared" ref="S276:S294" si="771">M276/F276</f>
        <v>1.407491826</v>
      </c>
      <c r="T276" s="43">
        <f>F276/14.415</f>
        <v>260.0424558</v>
      </c>
      <c r="U276" s="43">
        <f t="shared" ref="U276:U294" si="772">T276/E276</f>
        <v>13.68644504</v>
      </c>
      <c r="V276" s="40">
        <f t="shared" ref="V276:V294" si="773">M276/E276</f>
        <v>277.6842105</v>
      </c>
      <c r="X276" s="22">
        <v>4.0</v>
      </c>
      <c r="Y276" s="22" t="s">
        <v>27</v>
      </c>
      <c r="Z276" s="22">
        <f t="shared" ref="Z276:AK276" si="763">SUM(D289)</f>
        <v>30</v>
      </c>
      <c r="AA276" s="23">
        <f t="shared" si="763"/>
        <v>29</v>
      </c>
      <c r="AB276" s="24">
        <f t="shared" si="763"/>
        <v>5685.595</v>
      </c>
      <c r="AC276" s="23">
        <f t="shared" si="763"/>
        <v>2796</v>
      </c>
      <c r="AD276" s="23">
        <f t="shared" si="763"/>
        <v>0</v>
      </c>
      <c r="AE276" s="23">
        <f t="shared" si="763"/>
        <v>2796</v>
      </c>
      <c r="AF276" s="23">
        <f t="shared" si="763"/>
        <v>3046</v>
      </c>
      <c r="AG276" s="23">
        <f t="shared" si="763"/>
        <v>155</v>
      </c>
      <c r="AH276" s="23">
        <f t="shared" si="763"/>
        <v>3201</v>
      </c>
      <c r="AI276" s="23">
        <f t="shared" si="763"/>
        <v>5997</v>
      </c>
      <c r="AJ276" s="25">
        <f t="shared" si="763"/>
        <v>196.055</v>
      </c>
      <c r="AK276" s="22">
        <f t="shared" si="763"/>
        <v>8101</v>
      </c>
      <c r="AL276" s="26">
        <f t="shared" si="755"/>
        <v>0.7402789779</v>
      </c>
      <c r="AM276" s="27">
        <f>SUM(Q289)</f>
        <v>1.5</v>
      </c>
      <c r="AN276" s="26">
        <f t="shared" si="757"/>
        <v>0.7031805818</v>
      </c>
      <c r="AO276" s="28">
        <f t="shared" si="758"/>
        <v>1.054770873</v>
      </c>
      <c r="AP276" s="27">
        <f t="shared" ref="AP276:AQ276" si="764">SUM(T289)</f>
        <v>284.4931198</v>
      </c>
      <c r="AQ276" s="27">
        <f t="shared" si="764"/>
        <v>9.810107581</v>
      </c>
      <c r="AR276" s="23">
        <f t="shared" si="760"/>
        <v>206.7931034</v>
      </c>
    </row>
    <row r="277" ht="15.75" customHeight="1">
      <c r="A277" s="21"/>
      <c r="B277" s="38">
        <v>2.0</v>
      </c>
      <c r="C277" s="38" t="s">
        <v>28</v>
      </c>
      <c r="D277" s="39">
        <v>33.0</v>
      </c>
      <c r="E277" s="40">
        <f>IFERROR(__xludf.DUMMYFUNCTION("COUNT(IMPORTRANGE(""https://docs.google.com/spreadsheets/d/1tJCeYclgeJZ4Dc78t_SkhVjtacKW-5-VGim8X1rzUzk/edit"",""11!d2:d34""))"),33.0)</f>
        <v>33</v>
      </c>
      <c r="F277" s="41">
        <f>IFERROR(__xludf.DUMMYFUNCTION("SUM(IMPORTRANGE(""https://docs.google.com/spreadsheets/d/1tJCeYclgeJZ4Dc78t_SkhVjtacKW-5-VGim8X1rzUzk/edit"",""11!Q2:Q34""))"),6590.627)</f>
        <v>6590.627</v>
      </c>
      <c r="G277" s="40">
        <f>IFERROR(__xludf.DUMMYFUNCTION("IMPORTRANGE(""https://docs.google.com/spreadsheets/d/1tJCeYclgeJZ4Dc78t_SkhVjtacKW-5-VGim8X1rzUzk/edit"",""11!e41"")"),2686.0)</f>
        <v>2686</v>
      </c>
      <c r="H277" s="40">
        <f>IFERROR(__xludf.DUMMYFUNCTION("IMPORTRANGE(""https://docs.google.com/spreadsheets/d/1tJCeYclgeJZ4Dc78t_SkhVjtacKW-5-VGim8X1rzUzk/edit"",""11!e42"")"),226.0)</f>
        <v>226</v>
      </c>
      <c r="I277" s="40">
        <f t="shared" si="765"/>
        <v>2912</v>
      </c>
      <c r="J277" s="40">
        <f>IFERROR(__xludf.DUMMYFUNCTION("IMPORTRANGE(""https://docs.google.com/spreadsheets/d/1tJCeYclgeJZ4Dc78t_SkhVjtacKW-5-VGim8X1rzUzk/edit"",""11!e45"")"),2952.0)</f>
        <v>2952</v>
      </c>
      <c r="K277" s="40">
        <f>IFERROR(__xludf.DUMMYFUNCTION("IMPORTRANGE(""https://docs.google.com/spreadsheets/d/1tJCeYclgeJZ4Dc78t_SkhVjtacKW-5-VGim8X1rzUzk/edit"",""11!e46"")"),142.0)</f>
        <v>142</v>
      </c>
      <c r="L277" s="40">
        <f t="shared" si="766"/>
        <v>3094</v>
      </c>
      <c r="M277" s="40">
        <f t="shared" si="767"/>
        <v>6006</v>
      </c>
      <c r="N277" s="41">
        <f t="shared" si="768"/>
        <v>199.7159697</v>
      </c>
      <c r="O277" s="38">
        <v>7315.0</v>
      </c>
      <c r="P277" s="42">
        <f t="shared" si="769"/>
        <v>0.8210526316</v>
      </c>
      <c r="Q277" s="43">
        <v>1.5</v>
      </c>
      <c r="R277" s="42">
        <f t="shared" si="770"/>
        <v>0.6075294505</v>
      </c>
      <c r="S277" s="44">
        <f t="shared" si="771"/>
        <v>0.9112941758</v>
      </c>
      <c r="T277" s="43">
        <f>F277/30.897</f>
        <v>213.3096093</v>
      </c>
      <c r="U277" s="43">
        <f t="shared" si="772"/>
        <v>6.463927556</v>
      </c>
      <c r="V277" s="40">
        <f t="shared" si="773"/>
        <v>182</v>
      </c>
      <c r="X277" s="22">
        <v>5.0</v>
      </c>
      <c r="Y277" s="22" t="s">
        <v>29</v>
      </c>
      <c r="Z277" s="22">
        <f t="shared" ref="Z277:AI277" si="774">SUM(D292)</f>
        <v>30</v>
      </c>
      <c r="AA277" s="23">
        <f t="shared" si="774"/>
        <v>28</v>
      </c>
      <c r="AB277" s="24">
        <f t="shared" si="774"/>
        <v>5574.165</v>
      </c>
      <c r="AC277" s="23">
        <f t="shared" si="774"/>
        <v>2764</v>
      </c>
      <c r="AD277" s="23">
        <f t="shared" si="774"/>
        <v>0</v>
      </c>
      <c r="AE277" s="23">
        <f t="shared" si="774"/>
        <v>2764</v>
      </c>
      <c r="AF277" s="23">
        <f t="shared" si="774"/>
        <v>4361</v>
      </c>
      <c r="AG277" s="23">
        <f t="shared" si="774"/>
        <v>0</v>
      </c>
      <c r="AH277" s="23">
        <f t="shared" si="774"/>
        <v>4361</v>
      </c>
      <c r="AI277" s="23">
        <f t="shared" si="774"/>
        <v>7125</v>
      </c>
      <c r="AJ277" s="25">
        <f t="shared" ref="AJ277:AJ279" si="777">AB277/AA277</f>
        <v>199.0773214</v>
      </c>
      <c r="AK277" s="22">
        <f t="shared" ref="AK277:AK278" si="778">SUM(O292)</f>
        <v>9201</v>
      </c>
      <c r="AL277" s="26">
        <f t="shared" si="755"/>
        <v>0.7743723508</v>
      </c>
      <c r="AM277" s="27">
        <f t="shared" ref="AM277:AM278" si="779">SUM(Q292)</f>
        <v>1.5</v>
      </c>
      <c r="AN277" s="26">
        <f t="shared" si="757"/>
        <v>0.852145568</v>
      </c>
      <c r="AO277" s="28">
        <f t="shared" si="758"/>
        <v>1.278218352</v>
      </c>
      <c r="AP277" s="27">
        <f t="shared" ref="AP277:AQ277" si="775">SUM(T292)</f>
        <v>210.4173115</v>
      </c>
      <c r="AQ277" s="27">
        <f t="shared" si="775"/>
        <v>7.514903984</v>
      </c>
      <c r="AR277" s="23">
        <f t="shared" si="760"/>
        <v>254.4642857</v>
      </c>
    </row>
    <row r="278" ht="15.75" customHeight="1">
      <c r="A278" s="21"/>
      <c r="B278" s="38">
        <v>3.0</v>
      </c>
      <c r="C278" s="38" t="s">
        <v>30</v>
      </c>
      <c r="D278" s="39">
        <v>60.0</v>
      </c>
      <c r="E278" s="40">
        <f>IFERROR(__xludf.DUMMYFUNCTION("COUNT(IMPORTRANGE(""https://docs.google.com/spreadsheets/d/130gLEONC13J8KkQ6dk06x3bLRy_jCrAw2hXatQf2W50/edit"",""11!d2:d61""))"),59.0)</f>
        <v>59</v>
      </c>
      <c r="F278" s="45">
        <f>IFERROR(__xludf.DUMMYFUNCTION("SUM(IMPORTRANGE(""https://docs.google.com/spreadsheets/d/130gLEONC13J8KkQ6dk06x3bLRy_jCrAw2hXatQf2W50/edit"",""11!Q2:Q61""))"),11566.27899999999)</f>
        <v>11566.279</v>
      </c>
      <c r="G278" s="40">
        <f>IFERROR(__xludf.DUMMYFUNCTION("IMPORTRANGE(""https://docs.google.com/spreadsheets/d/130gLEONC13J8KkQ6dk06x3bLRy_jCrAw2hXatQf2W50/edit"",""11!e68"")"),3715.0)</f>
        <v>3715</v>
      </c>
      <c r="H278" s="40">
        <f>IFERROR(__xludf.DUMMYFUNCTION("IMPORTRANGE(""https://docs.google.com/spreadsheets/d/130gLEONC13J8KkQ6dk06x3bLRy_jCrAw2hXatQf2W50/edit"",""11!e69"")"),0.0)</f>
        <v>0</v>
      </c>
      <c r="I278" s="40">
        <f t="shared" si="765"/>
        <v>3715</v>
      </c>
      <c r="J278" s="40">
        <f>IFERROR(__xludf.DUMMYFUNCTION("IMPORTRANGE(""https://docs.google.com/spreadsheets/d/130gLEONC13J8KkQ6dk06x3bLRy_jCrAw2hXatQf2W50/edit"",""11!e72"")"),5597.0)</f>
        <v>5597</v>
      </c>
      <c r="K278" s="40">
        <f>IFERROR(__xludf.DUMMYFUNCTION("IMPORTRANGE(""https://docs.google.com/spreadsheets/d/130gLEONC13J8KkQ6dk06x3bLRy_jCrAw2hXatQf2W50/edit"",""11!e73"")"),24.0)</f>
        <v>24</v>
      </c>
      <c r="L278" s="40">
        <f t="shared" si="766"/>
        <v>5621</v>
      </c>
      <c r="M278" s="40">
        <f t="shared" si="767"/>
        <v>9336</v>
      </c>
      <c r="N278" s="41">
        <f t="shared" si="768"/>
        <v>196.0386271</v>
      </c>
      <c r="O278" s="38">
        <v>11164.0</v>
      </c>
      <c r="P278" s="42">
        <f t="shared" si="769"/>
        <v>0.8362594052</v>
      </c>
      <c r="Q278" s="43">
        <v>1.5</v>
      </c>
      <c r="R278" s="42">
        <f t="shared" si="770"/>
        <v>0.5381160181</v>
      </c>
      <c r="S278" s="44">
        <f t="shared" si="771"/>
        <v>0.8071740272</v>
      </c>
      <c r="T278" s="43">
        <f>F278/29.603</f>
        <v>390.7130696</v>
      </c>
      <c r="U278" s="43">
        <f t="shared" si="772"/>
        <v>6.622255417</v>
      </c>
      <c r="V278" s="40">
        <f t="shared" si="773"/>
        <v>158.2372881</v>
      </c>
      <c r="X278" s="22">
        <v>6.0</v>
      </c>
      <c r="Y278" s="22" t="s">
        <v>31</v>
      </c>
      <c r="Z278" s="22">
        <f t="shared" ref="Z278:AI278" si="776">SUM(D293)</f>
        <v>15</v>
      </c>
      <c r="AA278" s="23">
        <f t="shared" si="776"/>
        <v>14</v>
      </c>
      <c r="AB278" s="25">
        <f t="shared" si="776"/>
        <v>2694.83</v>
      </c>
      <c r="AC278" s="23">
        <f t="shared" si="776"/>
        <v>842</v>
      </c>
      <c r="AD278" s="23">
        <f t="shared" si="776"/>
        <v>0</v>
      </c>
      <c r="AE278" s="23">
        <f t="shared" si="776"/>
        <v>842</v>
      </c>
      <c r="AF278" s="23">
        <f t="shared" si="776"/>
        <v>1054</v>
      </c>
      <c r="AG278" s="23">
        <f t="shared" si="776"/>
        <v>0</v>
      </c>
      <c r="AH278" s="23">
        <f t="shared" si="776"/>
        <v>1054</v>
      </c>
      <c r="AI278" s="23">
        <f t="shared" si="776"/>
        <v>1896</v>
      </c>
      <c r="AJ278" s="25">
        <f t="shared" si="777"/>
        <v>192.4878571</v>
      </c>
      <c r="AK278" s="22">
        <f t="shared" si="778"/>
        <v>2717</v>
      </c>
      <c r="AL278" s="26">
        <f t="shared" si="755"/>
        <v>0.6978284873</v>
      </c>
      <c r="AM278" s="27">
        <f t="shared" si="779"/>
        <v>1.5</v>
      </c>
      <c r="AN278" s="26">
        <f t="shared" si="757"/>
        <v>0.4690462849</v>
      </c>
      <c r="AO278" s="28">
        <f t="shared" si="758"/>
        <v>0.7035694274</v>
      </c>
      <c r="AP278" s="27">
        <f t="shared" ref="AP278:AQ278" si="780">SUM(T293)</f>
        <v>62</v>
      </c>
      <c r="AQ278" s="27">
        <f t="shared" si="780"/>
        <v>4.428571429</v>
      </c>
      <c r="AR278" s="23">
        <f t="shared" si="760"/>
        <v>135.4285714</v>
      </c>
    </row>
    <row r="279" ht="15.75" customHeight="1">
      <c r="A279" s="21"/>
      <c r="B279" s="38">
        <v>4.0</v>
      </c>
      <c r="C279" s="38" t="s">
        <v>32</v>
      </c>
      <c r="D279" s="39">
        <v>42.0</v>
      </c>
      <c r="E279" s="40">
        <f>IFERROR(__xludf.DUMMYFUNCTION("COUNT(IMPORTRANGE(""https://docs.google.com/spreadsheets/d/1gYHli7FuKQLm2Q-5LMR0UtkD-gRRA_p8s-phLPLDLgc/edit"",""11!d2:d43""))"),42.0)</f>
        <v>42</v>
      </c>
      <c r="F279" s="45">
        <f>IFERROR(__xludf.DUMMYFUNCTION("SUM(IMPORTRANGE(""https://docs.google.com/spreadsheets/d/1gYHli7FuKQLm2Q-5LMR0UtkD-gRRA_p8s-phLPLDLgc/edit"",""11!Q2:Q43""))"),7978.301999999992)</f>
        <v>7978.302</v>
      </c>
      <c r="G279" s="38">
        <f>IFERROR(__xludf.DUMMYFUNCTION("IMPORTRANGE(""https://docs.google.com/spreadsheets/d/1gYHli7FuKQLm2Q-5LMR0UtkD-gRRA_p8s-phLPLDLgc/edit"",""11!e50"")"),4972.0)</f>
        <v>4972</v>
      </c>
      <c r="H279" s="38">
        <f>IFERROR(__xludf.DUMMYFUNCTION("IMPORTRANGE(""https://docs.google.com/spreadsheets/d/1gYHli7FuKQLm2Q-5LMR0UtkD-gRRA_p8s-phLPLDLgc/edit"",""11!e51"")"),0.0)</f>
        <v>0</v>
      </c>
      <c r="I279" s="40">
        <f t="shared" si="765"/>
        <v>4972</v>
      </c>
      <c r="J279" s="38">
        <f>IFERROR(__xludf.DUMMYFUNCTION("IMPORTRANGE(""https://docs.google.com/spreadsheets/d/1gYHli7FuKQLm2Q-5LMR0UtkD-gRRA_p8s-phLPLDLgc/edit"",""11!e54"")"),5756.0)</f>
        <v>5756</v>
      </c>
      <c r="K279" s="38">
        <f>IFERROR(__xludf.DUMMYFUNCTION("IMPORTRANGE(""https://docs.google.com/spreadsheets/d/1gYHli7FuKQLm2Q-5LMR0UtkD-gRRA_p8s-phLPLDLgc/edit"",""11!e55"")"),0.0)</f>
        <v>0</v>
      </c>
      <c r="L279" s="40">
        <f t="shared" si="766"/>
        <v>5756</v>
      </c>
      <c r="M279" s="40">
        <f t="shared" si="767"/>
        <v>10728</v>
      </c>
      <c r="N279" s="41">
        <f t="shared" si="768"/>
        <v>189.9595714</v>
      </c>
      <c r="O279" s="38">
        <v>13817.0</v>
      </c>
      <c r="P279" s="42">
        <f t="shared" si="769"/>
        <v>0.7764348267</v>
      </c>
      <c r="Q279" s="43">
        <v>1.5</v>
      </c>
      <c r="R279" s="42">
        <f t="shared" si="770"/>
        <v>0.8964313459</v>
      </c>
      <c r="S279" s="44">
        <f t="shared" si="771"/>
        <v>1.344647019</v>
      </c>
      <c r="T279" s="43">
        <f>F279/25.089</f>
        <v>318</v>
      </c>
      <c r="U279" s="43">
        <f t="shared" si="772"/>
        <v>7.571428571</v>
      </c>
      <c r="V279" s="40">
        <f t="shared" si="773"/>
        <v>255.4285714</v>
      </c>
      <c r="X279" s="46" t="s">
        <v>33</v>
      </c>
      <c r="Y279" s="46">
        <v>6.0</v>
      </c>
      <c r="Z279" s="46">
        <f t="shared" ref="Z279:AI279" si="781">SUM(Z273:Z278)</f>
        <v>186</v>
      </c>
      <c r="AA279" s="47">
        <f t="shared" si="781"/>
        <v>176</v>
      </c>
      <c r="AB279" s="48">
        <f t="shared" si="781"/>
        <v>34062.263</v>
      </c>
      <c r="AC279" s="47">
        <f t="shared" si="781"/>
        <v>12227</v>
      </c>
      <c r="AD279" s="47">
        <f t="shared" si="781"/>
        <v>376</v>
      </c>
      <c r="AE279" s="47">
        <f t="shared" si="781"/>
        <v>12603</v>
      </c>
      <c r="AF279" s="47">
        <f t="shared" si="781"/>
        <v>15615</v>
      </c>
      <c r="AG279" s="47">
        <f t="shared" si="781"/>
        <v>691</v>
      </c>
      <c r="AH279" s="47">
        <f t="shared" si="781"/>
        <v>16306</v>
      </c>
      <c r="AI279" s="47">
        <f t="shared" si="781"/>
        <v>28909</v>
      </c>
      <c r="AJ279" s="49">
        <f t="shared" si="777"/>
        <v>193.5355852</v>
      </c>
      <c r="AK279" s="46">
        <f>SUM(AK273:AK278)</f>
        <v>35074</v>
      </c>
      <c r="AL279" s="50">
        <f t="shared" si="755"/>
        <v>0.8242287735</v>
      </c>
      <c r="AM279" s="51">
        <v>1.5</v>
      </c>
      <c r="AN279" s="50">
        <f t="shared" si="757"/>
        <v>0.5658069949</v>
      </c>
      <c r="AO279" s="52">
        <f t="shared" si="758"/>
        <v>0.8487104923</v>
      </c>
      <c r="AP279" s="51">
        <f>SUM(AP273:AP278)</f>
        <v>1282.870057</v>
      </c>
      <c r="AQ279" s="51">
        <f>AP279/AA279</f>
        <v>7.289034417</v>
      </c>
      <c r="AR279" s="47">
        <f t="shared" si="760"/>
        <v>164.2556818</v>
      </c>
    </row>
    <row r="280" ht="15.75" customHeight="1">
      <c r="A280" s="21"/>
      <c r="B280" s="38">
        <v>5.0</v>
      </c>
      <c r="C280" s="38" t="s">
        <v>34</v>
      </c>
      <c r="D280" s="39">
        <v>40.0</v>
      </c>
      <c r="E280" s="40">
        <f>IFERROR(__xludf.DUMMYFUNCTION("COUNT(IMPORTRANGE(""https://docs.google.com/spreadsheets/d/1ptS0qWBCKWkc9h2aXWT_YgMhN7yIv5WgAHRbF8l9Zpo/edit"",""11!d2:d41""))"),39.0)</f>
        <v>39</v>
      </c>
      <c r="F280" s="45">
        <f>IFERROR(__xludf.DUMMYFUNCTION("SUM(IMPORTRANGE(""https://docs.google.com/spreadsheets/d/1ptS0qWBCKWkc9h2aXWT_YgMhN7yIv5WgAHRbF8l9Zpo/edit"",""11!Q2:Q41""))"),7438.977000000003)</f>
        <v>7438.977</v>
      </c>
      <c r="G280" s="40">
        <f>IFERROR(__xludf.DUMMYFUNCTION("IMPORTRANGE(""https://docs.google.com/spreadsheets/d/1ptS0qWBCKWkc9h2aXWT_YgMhN7yIv5WgAHRbF8l9Zpo/edit"",""11!e48"")"),2993.0)</f>
        <v>2993</v>
      </c>
      <c r="H280" s="40">
        <f>IFERROR(__xludf.DUMMYFUNCTION("IMPORTRANGE(""https://docs.google.com/spreadsheets/d/1ptS0qWBCKWkc9h2aXWT_YgMhN7yIv5WgAHRbF8l9Zpo/edit"",""11!e49"")"),0.0)</f>
        <v>0</v>
      </c>
      <c r="I280" s="40">
        <f t="shared" si="765"/>
        <v>2993</v>
      </c>
      <c r="J280" s="40">
        <f>IFERROR(__xludf.DUMMYFUNCTION("IMPORTRANGE(""https://docs.google.com/spreadsheets/d/1ptS0qWBCKWkc9h2aXWT_YgMhN7yIv5WgAHRbF8l9Zpo/edit"",""11!e52"")"),3398.0)</f>
        <v>3398</v>
      </c>
      <c r="K280" s="40">
        <f>IFERROR(__xludf.DUMMYFUNCTION("IMPORTRANGE(""https://docs.google.com/spreadsheets/d/1ptS0qWBCKWkc9h2aXWT_YgMhN7yIv5WgAHRbF8l9Zpo/edit"",""11!e53"")"),0.0)</f>
        <v>0</v>
      </c>
      <c r="L280" s="40">
        <f t="shared" si="766"/>
        <v>3398</v>
      </c>
      <c r="M280" s="40">
        <f t="shared" si="767"/>
        <v>6391</v>
      </c>
      <c r="N280" s="41">
        <f t="shared" si="768"/>
        <v>190.743</v>
      </c>
      <c r="O280" s="38">
        <v>9354.0</v>
      </c>
      <c r="P280" s="42">
        <f t="shared" si="769"/>
        <v>0.6832371178</v>
      </c>
      <c r="Q280" s="43">
        <v>1.5</v>
      </c>
      <c r="R280" s="42">
        <f t="shared" si="770"/>
        <v>0.5727490039</v>
      </c>
      <c r="S280" s="44">
        <f t="shared" si="771"/>
        <v>0.8591235058</v>
      </c>
      <c r="T280" s="43">
        <f>F280/30.713</f>
        <v>242.2093902</v>
      </c>
      <c r="U280" s="43">
        <f t="shared" si="772"/>
        <v>6.210497184</v>
      </c>
      <c r="V280" s="40">
        <f t="shared" si="773"/>
        <v>163.8717949</v>
      </c>
      <c r="X280" s="53" t="s">
        <v>35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6"/>
    </row>
    <row r="281" ht="15.75" customHeight="1">
      <c r="A281" s="21"/>
      <c r="B281" s="38">
        <v>6.0</v>
      </c>
      <c r="C281" s="38" t="s">
        <v>23</v>
      </c>
      <c r="D281" s="39">
        <v>35.0</v>
      </c>
      <c r="E281" s="40">
        <f>IFERROR(__xludf.DUMMYFUNCTION("COUNT(IMPORTRANGE(""https://docs.google.com/spreadsheets/d/1829CoYW82aTBBUgqkPnJa94KlBWI-DowAnP4ENQCmaQ/edit"",""11!d2:d36""))"),35.0)</f>
        <v>35</v>
      </c>
      <c r="F281" s="45">
        <f>IFERROR(__xludf.DUMMYFUNCTION("SUM(IMPORTRANGE(""https://docs.google.com/spreadsheets/d/1829CoYW82aTBBUgqkPnJa94KlBWI-DowAnP4ENQCmaQ/edit"",""11!Q2:Q36""))"),6849.219999999996)</f>
        <v>6849.22</v>
      </c>
      <c r="G281" s="40">
        <f>IFERROR(__xludf.DUMMYFUNCTION("IMPORTRANGE(""https://docs.google.com/spreadsheets/d/1829CoYW82aTBBUgqkPnJa94KlBWI-DowAnP4ENQCmaQ/edit"",""11!e43"")"),2437.0)</f>
        <v>2437</v>
      </c>
      <c r="H281" s="40">
        <f>IFERROR(__xludf.DUMMYFUNCTION("IMPORTRANGE(""https://docs.google.com/spreadsheets/d/1829CoYW82aTBBUgqkPnJa94KlBWI-DowAnP4ENQCmaQ/edit"",""11!e44"")"),0.0)</f>
        <v>0</v>
      </c>
      <c r="I281" s="40">
        <f t="shared" si="765"/>
        <v>2437</v>
      </c>
      <c r="J281" s="40">
        <f>IFERROR(__xludf.DUMMYFUNCTION("IMPORTRANGE(""https://docs.google.com/spreadsheets/d/1829CoYW82aTBBUgqkPnJa94KlBWI-DowAnP4ENQCmaQ/edit"",""11!e47"")"),2583.0)</f>
        <v>2583</v>
      </c>
      <c r="K281" s="40">
        <f>IFERROR(__xludf.DUMMYFUNCTION("IMPORTRANGE(""https://docs.google.com/spreadsheets/d/1829CoYW82aTBBUgqkPnJa94KlBWI-DowAnP4ENQCmaQ/edit"",""11!e48"")"),115.0)</f>
        <v>115</v>
      </c>
      <c r="L281" s="40">
        <f t="shared" si="766"/>
        <v>2698</v>
      </c>
      <c r="M281" s="40">
        <f t="shared" si="767"/>
        <v>5135</v>
      </c>
      <c r="N281" s="41">
        <f t="shared" si="768"/>
        <v>195.692</v>
      </c>
      <c r="O281" s="38">
        <v>6853.0</v>
      </c>
      <c r="P281" s="42">
        <f t="shared" si="769"/>
        <v>0.7493068729</v>
      </c>
      <c r="Q281" s="43">
        <v>1.5</v>
      </c>
      <c r="R281" s="42">
        <f t="shared" si="770"/>
        <v>0.4998136041</v>
      </c>
      <c r="S281" s="44">
        <f t="shared" si="771"/>
        <v>0.7497204061</v>
      </c>
      <c r="T281" s="43">
        <f>F281/33.74</f>
        <v>203</v>
      </c>
      <c r="U281" s="43">
        <f t="shared" si="772"/>
        <v>5.8</v>
      </c>
      <c r="V281" s="40">
        <f t="shared" si="773"/>
        <v>146.7142857</v>
      </c>
      <c r="X281" s="14" t="s">
        <v>2</v>
      </c>
      <c r="Y281" s="14" t="s">
        <v>3</v>
      </c>
      <c r="Z281" s="14" t="s">
        <v>4</v>
      </c>
      <c r="AA281" s="14" t="s">
        <v>5</v>
      </c>
      <c r="AB281" s="15" t="s">
        <v>6</v>
      </c>
      <c r="AC281" s="14" t="s">
        <v>7</v>
      </c>
      <c r="AD281" s="14" t="s">
        <v>8</v>
      </c>
      <c r="AE281" s="14" t="s">
        <v>9</v>
      </c>
      <c r="AF281" s="14" t="s">
        <v>10</v>
      </c>
      <c r="AG281" s="14" t="s">
        <v>11</v>
      </c>
      <c r="AH281" s="14" t="s">
        <v>12</v>
      </c>
      <c r="AI281" s="14" t="s">
        <v>13</v>
      </c>
      <c r="AJ281" s="15" t="s">
        <v>14</v>
      </c>
      <c r="AK281" s="14" t="s">
        <v>15</v>
      </c>
      <c r="AL281" s="14" t="s">
        <v>16</v>
      </c>
      <c r="AM281" s="16" t="s">
        <v>17</v>
      </c>
      <c r="AN281" s="17" t="s">
        <v>18</v>
      </c>
      <c r="AO281" s="18" t="s">
        <v>19</v>
      </c>
      <c r="AP281" s="19" t="s">
        <v>20</v>
      </c>
      <c r="AQ281" s="19" t="s">
        <v>21</v>
      </c>
      <c r="AR281" s="20" t="s">
        <v>22</v>
      </c>
    </row>
    <row r="282" ht="15.75" customHeight="1">
      <c r="A282" s="21"/>
      <c r="B282" s="38">
        <v>7.0</v>
      </c>
      <c r="C282" s="38" t="s">
        <v>24</v>
      </c>
      <c r="D282" s="39">
        <v>44.0</v>
      </c>
      <c r="E282" s="54">
        <f>IFERROR(__xludf.DUMMYFUNCTION("COUNT(IMPORTRANGE(""https://docs.google.com/spreadsheets/d/1E2x4oDZxEIsuC5nl-5Z0--MoN8b1dt9SbpRcCfNP84Q/edit"",""11!d2:d45""))"),38.0)</f>
        <v>38</v>
      </c>
      <c r="F282" s="55">
        <f>IFERROR(__xludf.DUMMYFUNCTION("SUM(IMPORTRANGE(""https://docs.google.com/spreadsheets/d/1E2x4oDZxEIsuC5nl-5Z0--MoN8b1dt9SbpRcCfNP84Q/edit"",""11!Q2:Q45""))"),7151.876999999995)</f>
        <v>7151.877</v>
      </c>
      <c r="G282" s="54">
        <f>IFERROR(__xludf.DUMMYFUNCTION("IMPORTRANGE(""https://docs.google.com/spreadsheets/d/1E2x4oDZxEIsuC5nl-5Z0--MoN8b1dt9SbpRcCfNP84Q/edit"",""11!e53"")"),1047.0)</f>
        <v>1047</v>
      </c>
      <c r="H282" s="54">
        <f>IFERROR(__xludf.DUMMYFUNCTION("IMPORTRANGE(""https://docs.google.com/spreadsheets/d/1E2x4oDZxEIsuC5nl-5Z0--MoN8b1dt9SbpRcCfNP84Q/edit"",""11!e54"")"),0.0)</f>
        <v>0</v>
      </c>
      <c r="I282" s="54">
        <f t="shared" si="765"/>
        <v>1047</v>
      </c>
      <c r="J282" s="54">
        <f>IFERROR(__xludf.DUMMYFUNCTION("IMPORTRANGE(""https://docs.google.com/spreadsheets/d/1E2x4oDZxEIsuC5nl-5Z0--MoN8b1dt9SbpRcCfNP84Q/edit"",""11!e57"")"),1365.0)</f>
        <v>1365</v>
      </c>
      <c r="K282" s="54">
        <f>IFERROR(__xludf.DUMMYFUNCTION("IMPORTRANGE(""https://docs.google.com/spreadsheets/d/1E2x4oDZxEIsuC5nl-5Z0--MoN8b1dt9SbpRcCfNP84Q/edit"",""11!e58"")"),0.0)</f>
        <v>0</v>
      </c>
      <c r="L282" s="40">
        <f t="shared" si="766"/>
        <v>1365</v>
      </c>
      <c r="M282" s="40">
        <f t="shared" si="767"/>
        <v>2412</v>
      </c>
      <c r="N282" s="41">
        <f t="shared" si="768"/>
        <v>188.2072895</v>
      </c>
      <c r="O282" s="38">
        <v>1580.0</v>
      </c>
      <c r="P282" s="56">
        <f t="shared" si="769"/>
        <v>1.526582278</v>
      </c>
      <c r="Q282" s="43">
        <v>1.5</v>
      </c>
      <c r="R282" s="42">
        <f t="shared" si="770"/>
        <v>0.2248360815</v>
      </c>
      <c r="S282" s="44">
        <f t="shared" si="771"/>
        <v>0.3372541222</v>
      </c>
      <c r="T282" s="43">
        <f>F282/26.805</f>
        <v>266.8113039</v>
      </c>
      <c r="U282" s="43">
        <f t="shared" si="772"/>
        <v>7.021350102</v>
      </c>
      <c r="V282" s="40">
        <f t="shared" si="773"/>
        <v>63.47368421</v>
      </c>
      <c r="X282" s="22">
        <v>1.0</v>
      </c>
      <c r="Y282" s="22" t="s">
        <v>28</v>
      </c>
      <c r="Z282" s="22">
        <f t="shared" ref="Z282:AI282" si="782">SUM(D277)</f>
        <v>33</v>
      </c>
      <c r="AA282" s="23">
        <f t="shared" si="782"/>
        <v>33</v>
      </c>
      <c r="AB282" s="25">
        <f t="shared" si="782"/>
        <v>6590.627</v>
      </c>
      <c r="AC282" s="23">
        <f t="shared" si="782"/>
        <v>2686</v>
      </c>
      <c r="AD282" s="23">
        <f t="shared" si="782"/>
        <v>226</v>
      </c>
      <c r="AE282" s="23">
        <f t="shared" si="782"/>
        <v>2912</v>
      </c>
      <c r="AF282" s="23">
        <f t="shared" si="782"/>
        <v>2952</v>
      </c>
      <c r="AG282" s="23">
        <f t="shared" si="782"/>
        <v>142</v>
      </c>
      <c r="AH282" s="23">
        <f t="shared" si="782"/>
        <v>3094</v>
      </c>
      <c r="AI282" s="23">
        <f t="shared" si="782"/>
        <v>6006</v>
      </c>
      <c r="AJ282" s="25">
        <f t="shared" ref="AJ282:AJ288" si="785">AB282/AA282</f>
        <v>199.7159697</v>
      </c>
      <c r="AK282" s="22">
        <f t="shared" ref="AK282:AK283" si="786">SUM(O277)</f>
        <v>7315</v>
      </c>
      <c r="AL282" s="26">
        <f t="shared" ref="AL282:AL288" si="787">AI282/AK282</f>
        <v>0.8210526316</v>
      </c>
      <c r="AM282" s="27">
        <f t="shared" ref="AM282:AM283" si="788">SUM(Q277)</f>
        <v>1.5</v>
      </c>
      <c r="AN282" s="26">
        <f t="shared" ref="AN282:AN288" si="789">AO282/AM282</f>
        <v>0.6075294505</v>
      </c>
      <c r="AO282" s="28">
        <f t="shared" ref="AO282:AO288" si="790">AI282/AB282</f>
        <v>0.9112941758</v>
      </c>
      <c r="AP282" s="27">
        <f t="shared" ref="AP282:AQ282" si="783">SUM(T277)</f>
        <v>213.3096093</v>
      </c>
      <c r="AQ282" s="27">
        <f t="shared" si="783"/>
        <v>6.463927556</v>
      </c>
      <c r="AR282" s="23">
        <f t="shared" ref="AR282:AR288" si="792">AI282/AA282</f>
        <v>182</v>
      </c>
    </row>
    <row r="283" ht="15.75" customHeight="1">
      <c r="A283" s="21"/>
      <c r="B283" s="38">
        <v>8.0</v>
      </c>
      <c r="C283" s="38" t="s">
        <v>25</v>
      </c>
      <c r="D283" s="57">
        <v>32.0</v>
      </c>
      <c r="E283" s="40">
        <f>IFERROR(__xludf.DUMMYFUNCTION("COUNT(IMPORTRANGE(""https://docs.google.com/spreadsheets/d/1KbRFOEYB0B44J_NSh1MwYQ1sLDlZXUHI-wuMLcZDn5k/edit"",""11!d2:D33""))"),32.0)</f>
        <v>32</v>
      </c>
      <c r="F283" s="45">
        <f>IFERROR(__xludf.DUMMYFUNCTION("SUM(IMPORTRANGE(""https://docs.google.com/spreadsheets/d/1KbRFOEYB0B44J_NSh1MwYQ1sLDlZXUHI-wuMLcZDn5k/edit"",""11!Q2:Q33""))"),6106.576000000002)</f>
        <v>6106.576</v>
      </c>
      <c r="G283" s="40">
        <f>IFERROR(__xludf.DUMMYFUNCTION("IMPORTRANGE(""https://docs.google.com/spreadsheets/d/1KbRFOEYB0B44J_NSh1MwYQ1sLDlZXUHI-wuMLcZDn5k/edit"",""11!e40"")"),2341.0)</f>
        <v>2341</v>
      </c>
      <c r="H283" s="40">
        <f>IFERROR(__xludf.DUMMYFUNCTION("IMPORTRANGE(""https://docs.google.com/spreadsheets/d/1KbRFOEYB0B44J_NSh1MwYQ1sLDlZXUHI-wuMLcZDn5k/edit"",""11!e41"")"),376.0)</f>
        <v>376</v>
      </c>
      <c r="I283" s="40">
        <f t="shared" si="765"/>
        <v>2717</v>
      </c>
      <c r="J283" s="40">
        <f>IFERROR(__xludf.DUMMYFUNCTION("IMPORTRANGE(""https://docs.google.com/spreadsheets/d/1KbRFOEYB0B44J_NSh1MwYQ1sLDlZXUHI-wuMLcZDn5k/edit"",""11!e44"")"),3206.0)</f>
        <v>3206</v>
      </c>
      <c r="K283" s="40">
        <f>IFERROR(__xludf.DUMMYFUNCTION("IMPORTRANGE(""https://docs.google.com/spreadsheets/d/1KbRFOEYB0B44J_NSh1MwYQ1sLDlZXUHI-wuMLcZDn5k/edit"",""11!e45"")"),421.0)</f>
        <v>421</v>
      </c>
      <c r="L283" s="40">
        <f>J283+K283</f>
        <v>3627</v>
      </c>
      <c r="M283" s="40">
        <f t="shared" si="767"/>
        <v>6344</v>
      </c>
      <c r="N283" s="41">
        <f t="shared" si="768"/>
        <v>190.8305</v>
      </c>
      <c r="O283" s="38">
        <v>6622.0</v>
      </c>
      <c r="P283" s="42">
        <f t="shared" si="769"/>
        <v>0.9580187255</v>
      </c>
      <c r="Q283" s="43">
        <v>1.5</v>
      </c>
      <c r="R283" s="42">
        <f t="shared" si="770"/>
        <v>0.6925867022</v>
      </c>
      <c r="S283" s="44">
        <f t="shared" si="771"/>
        <v>1.038880053</v>
      </c>
      <c r="T283" s="43">
        <f>F283/23.84</f>
        <v>256.1483221</v>
      </c>
      <c r="U283" s="43">
        <f t="shared" si="772"/>
        <v>8.004635067</v>
      </c>
      <c r="V283" s="40">
        <f t="shared" si="773"/>
        <v>198.25</v>
      </c>
      <c r="X283" s="31">
        <v>2.0</v>
      </c>
      <c r="Y283" s="31" t="s">
        <v>30</v>
      </c>
      <c r="Z283" s="31">
        <f t="shared" ref="Z283:AI283" si="784">SUM(D278)</f>
        <v>60</v>
      </c>
      <c r="AA283" s="32">
        <f t="shared" si="784"/>
        <v>59</v>
      </c>
      <c r="AB283" s="33">
        <f t="shared" si="784"/>
        <v>11566.279</v>
      </c>
      <c r="AC283" s="32">
        <f t="shared" si="784"/>
        <v>3715</v>
      </c>
      <c r="AD283" s="32">
        <f t="shared" si="784"/>
        <v>0</v>
      </c>
      <c r="AE283" s="32">
        <f t="shared" si="784"/>
        <v>3715</v>
      </c>
      <c r="AF283" s="32">
        <f t="shared" si="784"/>
        <v>5597</v>
      </c>
      <c r="AG283" s="32">
        <f t="shared" si="784"/>
        <v>24</v>
      </c>
      <c r="AH283" s="32">
        <f t="shared" si="784"/>
        <v>5621</v>
      </c>
      <c r="AI283" s="32">
        <f t="shared" si="784"/>
        <v>9336</v>
      </c>
      <c r="AJ283" s="34">
        <f t="shared" si="785"/>
        <v>196.0386271</v>
      </c>
      <c r="AK283" s="31">
        <f t="shared" si="786"/>
        <v>11164</v>
      </c>
      <c r="AL283" s="35">
        <f t="shared" si="787"/>
        <v>0.8362594052</v>
      </c>
      <c r="AM283" s="36">
        <f t="shared" si="788"/>
        <v>1.5</v>
      </c>
      <c r="AN283" s="35">
        <f t="shared" si="789"/>
        <v>0.5381160181</v>
      </c>
      <c r="AO283" s="37">
        <f t="shared" si="790"/>
        <v>0.8071740272</v>
      </c>
      <c r="AP283" s="36">
        <f t="shared" ref="AP283:AQ283" si="791">SUM(T278)</f>
        <v>390.7130696</v>
      </c>
      <c r="AQ283" s="36">
        <f t="shared" si="791"/>
        <v>6.622255417</v>
      </c>
      <c r="AR283" s="32">
        <f t="shared" si="792"/>
        <v>158.2372881</v>
      </c>
    </row>
    <row r="284" ht="15.75" customHeight="1">
      <c r="A284" s="21"/>
      <c r="B284" s="38">
        <v>9.0</v>
      </c>
      <c r="C284" s="38" t="s">
        <v>36</v>
      </c>
      <c r="D284" s="58">
        <v>29.0</v>
      </c>
      <c r="E284" s="40">
        <f>IFERROR(__xludf.DUMMYFUNCTION("COUNT(IMPORTRANGE(""https://docs.google.com/spreadsheets/d/1VqqqRGfmmkT0JC4ILJva2p8P11jjV0FX-TSKAaqOigw/edit"",""11!d2:d31""))"),28.0)</f>
        <v>28</v>
      </c>
      <c r="F284" s="45">
        <f>IFERROR(__xludf.DUMMYFUNCTION("SUM(IMPORTRANGE(""https://docs.google.com/spreadsheets/d/1VqqqRGfmmkT0JC4ILJva2p8P11jjV0FX-TSKAaqOigw/edit"",""11!Q2:Q31""))"),5586.210999999999)</f>
        <v>5586.211</v>
      </c>
      <c r="G284" s="40">
        <f>IFERROR(__xludf.DUMMYFUNCTION("IMPORTRANGE(""https://docs.google.com/spreadsheets/d/1VqqqRGfmmkT0JC4ILJva2p8P11jjV0FX-TSKAaqOigw/edit"",""11!e38"")"),1663.0)</f>
        <v>1663</v>
      </c>
      <c r="H284" s="40">
        <f>IFERROR(__xludf.DUMMYFUNCTION("IMPORTRANGE(""https://docs.google.com/spreadsheets/d/1VqqqRGfmmkT0JC4ILJva2p8P11jjV0FX-TSKAaqOigw/edit"",""11!e39"")"),0.0)</f>
        <v>0</v>
      </c>
      <c r="I284" s="40">
        <f t="shared" si="765"/>
        <v>1663</v>
      </c>
      <c r="J284" s="40">
        <f>IFERROR(__xludf.DUMMYFUNCTION("IMPORTRANGE(""https://docs.google.com/spreadsheets/d/1VqqqRGfmmkT0JC4ILJva2p8P11jjV0FX-TSKAaqOigw/edit"",""11!e42"")"),2457.0)</f>
        <v>2457</v>
      </c>
      <c r="K284" s="40">
        <f>IFERROR(__xludf.DUMMYFUNCTION("IMPORTRANGE(""https://docs.google.com/spreadsheets/d/1VqqqRGfmmkT0JC4ILJva2p8P11jjV0FX-TSKAaqOigw/edit"",""11!e43"")"),0.0)</f>
        <v>0</v>
      </c>
      <c r="L284" s="40">
        <f t="shared" ref="L284:L293" si="795">SUM(J284:K284)</f>
        <v>2457</v>
      </c>
      <c r="M284" s="40">
        <f t="shared" si="767"/>
        <v>4120</v>
      </c>
      <c r="N284" s="41">
        <f t="shared" si="768"/>
        <v>199.5075357</v>
      </c>
      <c r="O284" s="38">
        <v>4796.0</v>
      </c>
      <c r="P284" s="42">
        <f t="shared" si="769"/>
        <v>0.8590492077</v>
      </c>
      <c r="Q284" s="43">
        <v>1.5</v>
      </c>
      <c r="R284" s="42">
        <f t="shared" si="770"/>
        <v>0.4916868816</v>
      </c>
      <c r="S284" s="44">
        <f t="shared" si="771"/>
        <v>0.7375303224</v>
      </c>
      <c r="T284" s="43">
        <f>F284/37.414</f>
        <v>149.3080398</v>
      </c>
      <c r="U284" s="43">
        <f t="shared" si="772"/>
        <v>5.332429992</v>
      </c>
      <c r="V284" s="40">
        <f t="shared" si="773"/>
        <v>147.1428571</v>
      </c>
      <c r="X284" s="22">
        <v>3.0</v>
      </c>
      <c r="Y284" s="22" t="s">
        <v>34</v>
      </c>
      <c r="Z284" s="22">
        <f t="shared" ref="Z284:AI284" si="793">SUM(D280)</f>
        <v>40</v>
      </c>
      <c r="AA284" s="23">
        <f t="shared" si="793"/>
        <v>39</v>
      </c>
      <c r="AB284" s="24">
        <f t="shared" si="793"/>
        <v>7438.977</v>
      </c>
      <c r="AC284" s="23">
        <f t="shared" si="793"/>
        <v>2993</v>
      </c>
      <c r="AD284" s="23">
        <f t="shared" si="793"/>
        <v>0</v>
      </c>
      <c r="AE284" s="23">
        <f t="shared" si="793"/>
        <v>2993</v>
      </c>
      <c r="AF284" s="23">
        <f t="shared" si="793"/>
        <v>3398</v>
      </c>
      <c r="AG284" s="23">
        <f t="shared" si="793"/>
        <v>0</v>
      </c>
      <c r="AH284" s="23">
        <f t="shared" si="793"/>
        <v>3398</v>
      </c>
      <c r="AI284" s="23">
        <f t="shared" si="793"/>
        <v>6391</v>
      </c>
      <c r="AJ284" s="25">
        <f t="shared" si="785"/>
        <v>190.743</v>
      </c>
      <c r="AK284" s="22">
        <f>SUM(O280)</f>
        <v>9354</v>
      </c>
      <c r="AL284" s="26">
        <f t="shared" si="787"/>
        <v>0.6832371178</v>
      </c>
      <c r="AM284" s="27">
        <f>SUM(Q280)</f>
        <v>1.5</v>
      </c>
      <c r="AN284" s="26">
        <f t="shared" si="789"/>
        <v>0.5727490039</v>
      </c>
      <c r="AO284" s="28">
        <f t="shared" si="790"/>
        <v>0.8591235058</v>
      </c>
      <c r="AP284" s="27">
        <f t="shared" ref="AP284:AQ284" si="794">SUM(T280)</f>
        <v>242.2093902</v>
      </c>
      <c r="AQ284" s="27">
        <f t="shared" si="794"/>
        <v>6.210497184</v>
      </c>
      <c r="AR284" s="23">
        <f t="shared" si="792"/>
        <v>163.8717949</v>
      </c>
    </row>
    <row r="285" ht="15.75" customHeight="1">
      <c r="A285" s="21"/>
      <c r="B285" s="38">
        <v>10.0</v>
      </c>
      <c r="C285" s="38" t="s">
        <v>37</v>
      </c>
      <c r="D285" s="39">
        <v>30.0</v>
      </c>
      <c r="E285" s="40">
        <f>IFERROR(__xludf.DUMMYFUNCTION("COUNT(IMPORTRANGE(""https://docs.google.com/spreadsheets/d/1IYeRjQd_D6MRqoBKNaky3aSEUloYCJc5XDnPAbdyetk/edit"",""11!d2:d31""))"),30.0)</f>
        <v>30</v>
      </c>
      <c r="F285" s="45">
        <f>IFERROR(__xludf.DUMMYFUNCTION("SUM(IMPORTRANGE(""https://docs.google.com/spreadsheets/d/1IYeRjQd_D6MRqoBKNaky3aSEUloYCJc5XDnPAbdyetk/edit"",""11!Q2:Q31""))"),5985.731999999997)</f>
        <v>5985.732</v>
      </c>
      <c r="G285" s="40">
        <f>IFERROR(__xludf.DUMMYFUNCTION("(IMPORTRANGE(""https://docs.google.com/spreadsheets/d/1IYeRjQd_D6MRqoBKNaky3aSEUloYCJc5XDnPAbdyetk/edit"",""11!e38""))"),2254.0)</f>
        <v>2254</v>
      </c>
      <c r="H285" s="40">
        <f>IFERROR(__xludf.DUMMYFUNCTION("(IMPORTRANGE(""https://docs.google.com/spreadsheets/d/1IYeRjQd_D6MRqoBKNaky3aSEUloYCJc5XDnPAbdyetk/edit"",""11!e39""))"),0.0)</f>
        <v>0</v>
      </c>
      <c r="I285" s="40">
        <f t="shared" si="765"/>
        <v>2254</v>
      </c>
      <c r="J285" s="40">
        <f>IFERROR(__xludf.DUMMYFUNCTION("(IMPORTRANGE(""https://docs.google.com/spreadsheets/d/1IYeRjQd_D6MRqoBKNaky3aSEUloYCJc5XDnPAbdyetk/edit"",""11!e42""))"),2905.0)</f>
        <v>2905</v>
      </c>
      <c r="K285" s="40">
        <f>IFERROR(__xludf.DUMMYFUNCTION("(IMPORTRANGE(""https://docs.google.com/spreadsheets/d/1IYeRjQd_D6MRqoBKNaky3aSEUloYCJc5XDnPAbdyetk/edit"",""11!e43""))"),0.0)</f>
        <v>0</v>
      </c>
      <c r="L285" s="40">
        <f t="shared" si="795"/>
        <v>2905</v>
      </c>
      <c r="M285" s="40">
        <f t="shared" si="767"/>
        <v>5159</v>
      </c>
      <c r="N285" s="41">
        <f t="shared" si="768"/>
        <v>199.5244</v>
      </c>
      <c r="O285" s="38">
        <v>5887.0</v>
      </c>
      <c r="P285" s="42">
        <f t="shared" si="769"/>
        <v>0.8763376932</v>
      </c>
      <c r="Q285" s="43">
        <v>1.5</v>
      </c>
      <c r="R285" s="42">
        <f t="shared" si="770"/>
        <v>0.5745885939</v>
      </c>
      <c r="S285" s="44">
        <f t="shared" si="771"/>
        <v>0.8618828908</v>
      </c>
      <c r="T285" s="43">
        <f>F285/24.792</f>
        <v>241.4380445</v>
      </c>
      <c r="U285" s="43">
        <f t="shared" si="772"/>
        <v>8.047934818</v>
      </c>
      <c r="V285" s="40">
        <f t="shared" si="773"/>
        <v>171.9666667</v>
      </c>
      <c r="X285" s="31">
        <v>4.0</v>
      </c>
      <c r="Y285" s="31" t="s">
        <v>38</v>
      </c>
      <c r="Z285" s="31">
        <f t="shared" ref="Z285:AI285" si="796">SUM(D288)</f>
        <v>30</v>
      </c>
      <c r="AA285" s="32">
        <f t="shared" si="796"/>
        <v>30</v>
      </c>
      <c r="AB285" s="33">
        <f t="shared" si="796"/>
        <v>6038.079</v>
      </c>
      <c r="AC285" s="32">
        <f t="shared" si="796"/>
        <v>2236</v>
      </c>
      <c r="AD285" s="32">
        <f t="shared" si="796"/>
        <v>0</v>
      </c>
      <c r="AE285" s="32">
        <f t="shared" si="796"/>
        <v>2236</v>
      </c>
      <c r="AF285" s="32">
        <f t="shared" si="796"/>
        <v>3334</v>
      </c>
      <c r="AG285" s="32">
        <f t="shared" si="796"/>
        <v>102</v>
      </c>
      <c r="AH285" s="32">
        <f t="shared" si="796"/>
        <v>3436</v>
      </c>
      <c r="AI285" s="32">
        <f t="shared" si="796"/>
        <v>5672</v>
      </c>
      <c r="AJ285" s="34">
        <f t="shared" si="785"/>
        <v>201.2693</v>
      </c>
      <c r="AK285" s="31">
        <v>7324.0</v>
      </c>
      <c r="AL285" s="35">
        <f t="shared" si="787"/>
        <v>0.7744401966</v>
      </c>
      <c r="AM285" s="36">
        <f>SUM(Q288)</f>
        <v>1.5</v>
      </c>
      <c r="AN285" s="35">
        <f t="shared" si="789"/>
        <v>0.6262477409</v>
      </c>
      <c r="AO285" s="37">
        <f t="shared" si="790"/>
        <v>0.9393716114</v>
      </c>
      <c r="AP285" s="36">
        <f t="shared" ref="AP285:AQ285" si="797">SUM(T288)</f>
        <v>146.5375319</v>
      </c>
      <c r="AQ285" s="36">
        <f t="shared" si="797"/>
        <v>4.884584395</v>
      </c>
      <c r="AR285" s="32">
        <f t="shared" si="792"/>
        <v>189.0666667</v>
      </c>
    </row>
    <row r="286" ht="15.75" customHeight="1">
      <c r="A286" s="21"/>
      <c r="B286" s="38">
        <v>12.0</v>
      </c>
      <c r="C286" s="38" t="s">
        <v>39</v>
      </c>
      <c r="D286" s="39">
        <v>28.0</v>
      </c>
      <c r="E286" s="40">
        <f>IFERROR(__xludf.DUMMYFUNCTION("COUNT(IMPORTRANGE(""https://docs.google.com/spreadsheets/d/1TAY2D35yAzyl8a_p5CuZehQvmatfj0b0Q8ICl8GtJBY/edit"",""11!d2:d29""))"),27.0)</f>
        <v>27</v>
      </c>
      <c r="F286" s="45">
        <f>IFERROR(__xludf.DUMMYFUNCTION("SUM(IMPORTRANGE(""https://docs.google.com/spreadsheets/d/1TAY2D35yAzyl8a_p5CuZehQvmatfj0b0Q8ICl8GtJBY/edit"",""11!Q2:Q29""))"),5115.469999999998)</f>
        <v>5115.47</v>
      </c>
      <c r="G286" s="40">
        <f>IFERROR(__xludf.DUMMYFUNCTION("IMPORTRANGE(""https://docs.google.com/spreadsheets/d/1TAY2D35yAzyl8a_p5CuZehQvmatfj0b0Q8ICl8GtJBY/edit"",""11!e36"")"),1368.0)</f>
        <v>1368</v>
      </c>
      <c r="H286" s="40">
        <f>IFERROR(__xludf.DUMMYFUNCTION("(IMPORTRANGE(""https://docs.google.com/spreadsheets/d/1TAY2D35yAzyl8a_p5CuZehQvmatfj0b0Q8ICl8GtJBY/edit"",""11!e37""))"),0.0)</f>
        <v>0</v>
      </c>
      <c r="I286" s="40">
        <f t="shared" si="765"/>
        <v>1368</v>
      </c>
      <c r="J286" s="40">
        <f>IFERROR(__xludf.DUMMYFUNCTION("IMPORTRANGE(""https://docs.google.com/spreadsheets/d/1TAY2D35yAzyl8a_p5CuZehQvmatfj0b0Q8ICl8GtJBY/edit"",""11!e40"")"),1554.0)</f>
        <v>1554</v>
      </c>
      <c r="K286" s="40">
        <f>IFERROR(__xludf.DUMMYFUNCTION("IMPORTRANGE(""https://docs.google.com/spreadsheets/d/1TAY2D35yAzyl8a_p5CuZehQvmatfj0b0Q8ICl8GtJBY/edit"",""11!e41"")"),189.0)</f>
        <v>189</v>
      </c>
      <c r="L286" s="40">
        <f t="shared" si="795"/>
        <v>1743</v>
      </c>
      <c r="M286" s="40">
        <f t="shared" si="767"/>
        <v>3111</v>
      </c>
      <c r="N286" s="41">
        <f t="shared" si="768"/>
        <v>189.4618519</v>
      </c>
      <c r="O286" s="38">
        <v>3569.0</v>
      </c>
      <c r="P286" s="42">
        <f t="shared" si="769"/>
        <v>0.8716727375</v>
      </c>
      <c r="Q286" s="43">
        <v>1.5</v>
      </c>
      <c r="R286" s="42">
        <f t="shared" si="770"/>
        <v>0.4054368416</v>
      </c>
      <c r="S286" s="44">
        <f t="shared" si="771"/>
        <v>0.6081552624</v>
      </c>
      <c r="T286" s="43">
        <f>F286/21.463</f>
        <v>238.339002</v>
      </c>
      <c r="U286" s="43">
        <f t="shared" si="772"/>
        <v>8.827370445</v>
      </c>
      <c r="V286" s="40">
        <f t="shared" si="773"/>
        <v>115.2222222</v>
      </c>
      <c r="X286" s="31">
        <v>5.0</v>
      </c>
      <c r="Y286" s="31" t="s">
        <v>40</v>
      </c>
      <c r="Z286" s="31">
        <f t="shared" ref="Z286:AI286" si="798">SUM(D290)</f>
        <v>30</v>
      </c>
      <c r="AA286" s="32">
        <f t="shared" si="798"/>
        <v>30</v>
      </c>
      <c r="AB286" s="33">
        <f t="shared" si="798"/>
        <v>5802.372</v>
      </c>
      <c r="AC286" s="32">
        <f t="shared" si="798"/>
        <v>3302</v>
      </c>
      <c r="AD286" s="32">
        <f t="shared" si="798"/>
        <v>0</v>
      </c>
      <c r="AE286" s="32">
        <f t="shared" si="798"/>
        <v>3302</v>
      </c>
      <c r="AF286" s="32">
        <f t="shared" si="798"/>
        <v>3994</v>
      </c>
      <c r="AG286" s="32">
        <f t="shared" si="798"/>
        <v>17</v>
      </c>
      <c r="AH286" s="32">
        <f t="shared" si="798"/>
        <v>4011</v>
      </c>
      <c r="AI286" s="32">
        <f t="shared" si="798"/>
        <v>7313</v>
      </c>
      <c r="AJ286" s="34">
        <f t="shared" si="785"/>
        <v>193.4124</v>
      </c>
      <c r="AK286" s="31">
        <f t="shared" ref="AK286:AK287" si="801">SUM(O290)</f>
        <v>8239</v>
      </c>
      <c r="AL286" s="35">
        <f t="shared" si="787"/>
        <v>0.8876077194</v>
      </c>
      <c r="AM286" s="36">
        <f t="shared" ref="AM286:AM287" si="802">SUM(Q290)</f>
        <v>1.5</v>
      </c>
      <c r="AN286" s="35">
        <f t="shared" si="789"/>
        <v>0.8402310871</v>
      </c>
      <c r="AO286" s="37">
        <f t="shared" si="790"/>
        <v>1.260346631</v>
      </c>
      <c r="AP286" s="36">
        <f t="shared" ref="AP286:AQ286" si="799">SUM(T290)</f>
        <v>204</v>
      </c>
      <c r="AQ286" s="36">
        <f t="shared" si="799"/>
        <v>6.8</v>
      </c>
      <c r="AR286" s="32">
        <f t="shared" si="792"/>
        <v>243.7666667</v>
      </c>
    </row>
    <row r="287" ht="15.75" customHeight="1">
      <c r="A287" s="21"/>
      <c r="B287" s="38">
        <v>12.0</v>
      </c>
      <c r="C287" s="38" t="s">
        <v>41</v>
      </c>
      <c r="D287" s="39">
        <v>24.0</v>
      </c>
      <c r="E287" s="40">
        <f>IFERROR(__xludf.DUMMYFUNCTION("COUNT(IMPORTRANGE(""https://docs.google.com/spreadsheets/d/1VAsUtLQHi7oV9NsI9EIHPnO1bcPJHeRgSbMoxSvPBME/edit"",""11!d2:d25""))"),24.0)</f>
        <v>24</v>
      </c>
      <c r="F287" s="45">
        <f>IFERROR(__xludf.DUMMYFUNCTION("SUM(IMPORTRANGE(""https://docs.google.com/spreadsheets/d/1VAsUtLQHi7oV9NsI9EIHPnO1bcPJHeRgSbMoxSvPBME/edit"",""11!Q2:Q25""))"),4720.728000000001)</f>
        <v>4720.728</v>
      </c>
      <c r="G287" s="40">
        <f>IFERROR(__xludf.DUMMYFUNCTION("IMPORTRANGE(""https://docs.google.com/spreadsheets/d/1VAsUtLQHi7oV9NsI9EIHPnO1bcPJHeRgSbMoxSvPBME/edit"",""11!e32"")"),1422.0)</f>
        <v>1422</v>
      </c>
      <c r="H287" s="40">
        <f>IFERROR(__xludf.DUMMYFUNCTION("IMPORTRANGE(""https://docs.google.com/spreadsheets/d/1VAsUtLQHi7oV9NsI9EIHPnO1bcPJHeRgSbMoxSvPBME/edit"",""11!e33"")"),0.0)</f>
        <v>0</v>
      </c>
      <c r="I287" s="40">
        <f t="shared" si="765"/>
        <v>1422</v>
      </c>
      <c r="J287" s="40">
        <f>IFERROR(__xludf.DUMMYFUNCTION("IMPORTRANGE(""https://docs.google.com/spreadsheets/d/1VAsUtLQHi7oV9NsI9EIHPnO1bcPJHeRgSbMoxSvPBME/edit"",""11!e36"")"),1493.0)</f>
        <v>1493</v>
      </c>
      <c r="K287" s="40">
        <f>IFERROR(__xludf.DUMMYFUNCTION("IMPORTRANGE(""https://docs.google.com/spreadsheets/d/1VAsUtLQHi7oV9NsI9EIHPnO1bcPJHeRgSbMoxSvPBME/edit"",""11!e37"")"),280.0)</f>
        <v>280</v>
      </c>
      <c r="L287" s="40">
        <f t="shared" si="795"/>
        <v>1773</v>
      </c>
      <c r="M287" s="40">
        <f t="shared" si="767"/>
        <v>3195</v>
      </c>
      <c r="N287" s="41">
        <f t="shared" si="768"/>
        <v>196.697</v>
      </c>
      <c r="O287" s="38">
        <v>3801.0</v>
      </c>
      <c r="P287" s="42">
        <f t="shared" si="769"/>
        <v>0.8405682715</v>
      </c>
      <c r="Q287" s="43">
        <v>1.5</v>
      </c>
      <c r="R287" s="42">
        <f t="shared" si="770"/>
        <v>0.4512015943</v>
      </c>
      <c r="S287" s="44">
        <f t="shared" si="771"/>
        <v>0.6768023915</v>
      </c>
      <c r="T287" s="43">
        <f>F287/29.628</f>
        <v>159.3333333</v>
      </c>
      <c r="U287" s="43">
        <f t="shared" si="772"/>
        <v>6.638888889</v>
      </c>
      <c r="V287" s="40">
        <f t="shared" si="773"/>
        <v>133.125</v>
      </c>
      <c r="X287" s="22">
        <v>6.0</v>
      </c>
      <c r="Y287" s="22" t="s">
        <v>42</v>
      </c>
      <c r="Z287" s="22">
        <f t="shared" ref="Z287:AI287" si="800">SUM(D291)</f>
        <v>33</v>
      </c>
      <c r="AA287" s="23">
        <f t="shared" si="800"/>
        <v>33</v>
      </c>
      <c r="AB287" s="24">
        <f t="shared" si="800"/>
        <v>6527.981</v>
      </c>
      <c r="AC287" s="23">
        <f t="shared" si="800"/>
        <v>3521</v>
      </c>
      <c r="AD287" s="23">
        <f t="shared" si="800"/>
        <v>0</v>
      </c>
      <c r="AE287" s="23">
        <f t="shared" si="800"/>
        <v>3521</v>
      </c>
      <c r="AF287" s="23">
        <f t="shared" si="800"/>
        <v>4445</v>
      </c>
      <c r="AG287" s="23">
        <f t="shared" si="800"/>
        <v>41</v>
      </c>
      <c r="AH287" s="23">
        <f t="shared" si="800"/>
        <v>4486</v>
      </c>
      <c r="AI287" s="23">
        <f t="shared" si="800"/>
        <v>8007</v>
      </c>
      <c r="AJ287" s="25">
        <f t="shared" si="785"/>
        <v>197.8176061</v>
      </c>
      <c r="AK287" s="22">
        <f t="shared" si="801"/>
        <v>9877</v>
      </c>
      <c r="AL287" s="26">
        <f t="shared" si="787"/>
        <v>0.8106712565</v>
      </c>
      <c r="AM287" s="27">
        <f t="shared" si="802"/>
        <v>1.5</v>
      </c>
      <c r="AN287" s="26">
        <f t="shared" si="789"/>
        <v>0.8177107133</v>
      </c>
      <c r="AO287" s="28">
        <f t="shared" si="790"/>
        <v>1.22656607</v>
      </c>
      <c r="AP287" s="27">
        <f t="shared" ref="AP287:AQ287" si="803">SUM(T291)</f>
        <v>249.5882623</v>
      </c>
      <c r="AQ287" s="27">
        <f t="shared" si="803"/>
        <v>7.563280675</v>
      </c>
      <c r="AR287" s="23">
        <f t="shared" si="792"/>
        <v>242.6363636</v>
      </c>
    </row>
    <row r="288" ht="15.75" customHeight="1">
      <c r="A288" s="21"/>
      <c r="B288" s="38">
        <v>13.0</v>
      </c>
      <c r="C288" s="38" t="s">
        <v>43</v>
      </c>
      <c r="D288" s="39">
        <v>30.0</v>
      </c>
      <c r="E288" s="40">
        <f>IFERROR(__xludf.DUMMYFUNCTION("COUNT(IMPORTRANGE(""https://docs.google.com/spreadsheets/d/1p9Y_DGk7-TpRBFth-ljZceOIGCjQ0ylUeUq6xqnsZ-Q/edit"",""11!d2:d31""))"),30.0)</f>
        <v>30</v>
      </c>
      <c r="F288" s="45">
        <f>IFERROR(__xludf.DUMMYFUNCTION("SUM(IMPORTRANGE(""https://docs.google.com/spreadsheets/d/1p9Y_DGk7-TpRBFth-ljZceOIGCjQ0ylUeUq6xqnsZ-Q/edit"",""11!Q2:Q31""))"),6038.078999999999)</f>
        <v>6038.079</v>
      </c>
      <c r="G288" s="40">
        <f>IFERROR(__xludf.DUMMYFUNCTION("IMPORTRANGE(""https://docs.google.com/spreadsheets/d/1p9Y_DGk7-TpRBFth-ljZceOIGCjQ0ylUeUq6xqnsZ-Q/edit"",""11!e38"")"),2236.0)</f>
        <v>2236</v>
      </c>
      <c r="H288" s="40">
        <f>IFERROR(__xludf.DUMMYFUNCTION("IMPORTRANGE(""https://docs.google.com/spreadsheets/d/1p9Y_DGk7-TpRBFth-ljZceOIGCjQ0ylUeUq6xqnsZ-Q/edit"",""11!e39"")"),0.0)</f>
        <v>0</v>
      </c>
      <c r="I288" s="40">
        <f t="shared" si="765"/>
        <v>2236</v>
      </c>
      <c r="J288" s="40">
        <f>IFERROR(__xludf.DUMMYFUNCTION("IMPORTRANGE(""https://docs.google.com/spreadsheets/d/1p9Y_DGk7-TpRBFth-ljZceOIGCjQ0ylUeUq6xqnsZ-Q/edit"",""11!e42"")"),3334.0)</f>
        <v>3334</v>
      </c>
      <c r="K288" s="40">
        <f>IFERROR(__xludf.DUMMYFUNCTION("IMPORTRANGE(""https://docs.google.com/spreadsheets/d/1p9Y_DGk7-TpRBFth-ljZceOIGCjQ0ylUeUq6xqnsZ-Q/edit"",""11!e43"")"),102.0)</f>
        <v>102</v>
      </c>
      <c r="L288" s="40">
        <f t="shared" si="795"/>
        <v>3436</v>
      </c>
      <c r="M288" s="40">
        <f t="shared" si="767"/>
        <v>5672</v>
      </c>
      <c r="N288" s="41">
        <f t="shared" si="768"/>
        <v>201.2693</v>
      </c>
      <c r="O288" s="38">
        <v>8345.0</v>
      </c>
      <c r="P288" s="42">
        <f t="shared" si="769"/>
        <v>0.6796884362</v>
      </c>
      <c r="Q288" s="43">
        <v>1.5</v>
      </c>
      <c r="R288" s="42">
        <f t="shared" si="770"/>
        <v>0.6262477409</v>
      </c>
      <c r="S288" s="44">
        <f t="shared" si="771"/>
        <v>0.9393716114</v>
      </c>
      <c r="T288" s="43">
        <f>F288/41.205</f>
        <v>146.5375319</v>
      </c>
      <c r="U288" s="43">
        <f t="shared" si="772"/>
        <v>4.884584395</v>
      </c>
      <c r="V288" s="40">
        <f t="shared" si="773"/>
        <v>189.0666667</v>
      </c>
      <c r="X288" s="46" t="s">
        <v>33</v>
      </c>
      <c r="Y288" s="46">
        <v>6.0</v>
      </c>
      <c r="Z288" s="46">
        <f t="shared" ref="Z288:AI288" si="804">SUM(Z282:Z287)</f>
        <v>226</v>
      </c>
      <c r="AA288" s="47">
        <f t="shared" si="804"/>
        <v>224</v>
      </c>
      <c r="AB288" s="49">
        <f t="shared" si="804"/>
        <v>43964.315</v>
      </c>
      <c r="AC288" s="47">
        <f t="shared" si="804"/>
        <v>18453</v>
      </c>
      <c r="AD288" s="47">
        <f t="shared" si="804"/>
        <v>226</v>
      </c>
      <c r="AE288" s="47">
        <f t="shared" si="804"/>
        <v>18679</v>
      </c>
      <c r="AF288" s="47">
        <f t="shared" si="804"/>
        <v>23720</v>
      </c>
      <c r="AG288" s="47">
        <f t="shared" si="804"/>
        <v>326</v>
      </c>
      <c r="AH288" s="47">
        <f t="shared" si="804"/>
        <v>24046</v>
      </c>
      <c r="AI288" s="47">
        <f t="shared" si="804"/>
        <v>42725</v>
      </c>
      <c r="AJ288" s="49">
        <f t="shared" si="785"/>
        <v>196.2692634</v>
      </c>
      <c r="AK288" s="46">
        <f>SUM(AK282:AK287)</f>
        <v>53273</v>
      </c>
      <c r="AL288" s="50">
        <f t="shared" si="787"/>
        <v>0.8020010136</v>
      </c>
      <c r="AM288" s="51">
        <v>1.5</v>
      </c>
      <c r="AN288" s="50">
        <f t="shared" si="789"/>
        <v>0.6478739253</v>
      </c>
      <c r="AO288" s="52">
        <f t="shared" si="790"/>
        <v>0.971810888</v>
      </c>
      <c r="AP288" s="51">
        <f>SUM(AP282:AP287)</f>
        <v>1446.357863</v>
      </c>
      <c r="AQ288" s="51">
        <f>AP288/AA288</f>
        <v>6.456954747</v>
      </c>
      <c r="AR288" s="47">
        <f t="shared" si="792"/>
        <v>190.7366071</v>
      </c>
    </row>
    <row r="289" ht="15.75" customHeight="1">
      <c r="A289" s="21"/>
      <c r="B289" s="38">
        <v>14.0</v>
      </c>
      <c r="C289" s="38" t="s">
        <v>27</v>
      </c>
      <c r="D289" s="39">
        <v>30.0</v>
      </c>
      <c r="E289" s="40">
        <f>IFERROR(__xludf.DUMMYFUNCTION("COUNT(IMPORTRANGE(""https://docs.google.com/spreadsheets/d/1zJUDEKztv_fercXA0LYNw155qdzS7TJGhWLhquaW5IY/edit"",""11!d2:d31""))"),29.0)</f>
        <v>29</v>
      </c>
      <c r="F289" s="45">
        <f>IFERROR(__xludf.DUMMYFUNCTION("SUM(IMPORTRANGE(""https://docs.google.com/spreadsheets/d/1zJUDEKztv_fercXA0LYNw155qdzS7TJGhWLhquaW5IY/edit"",""11!Q2:Q31""))"),5685.595000000001)</f>
        <v>5685.595</v>
      </c>
      <c r="G289" s="40">
        <f>IFERROR(__xludf.DUMMYFUNCTION("IMPORTRANGE(""https://docs.google.com/spreadsheets/d/1zJUDEKztv_fercXA0LYNw155qdzS7TJGhWLhquaW5IY/edit"",""11!e38"")"),2796.0)</f>
        <v>2796</v>
      </c>
      <c r="H289" s="40">
        <f>IFERROR(__xludf.DUMMYFUNCTION("IMPORTRANGE(""https://docs.google.com/spreadsheets/d/1zJUDEKztv_fercXA0LYNw155qdzS7TJGhWLhquaW5IY/edit"",""11!e39"")"),0.0)</f>
        <v>0</v>
      </c>
      <c r="I289" s="40">
        <f t="shared" si="765"/>
        <v>2796</v>
      </c>
      <c r="J289" s="40">
        <f>IFERROR(__xludf.DUMMYFUNCTION("IMPORTRANGE(""https://docs.google.com/spreadsheets/d/1zJUDEKztv_fercXA0LYNw155qdzS7TJGhWLhquaW5IY/edit"",""11!e42"")"),3046.0)</f>
        <v>3046</v>
      </c>
      <c r="K289" s="40">
        <f>IFERROR(__xludf.DUMMYFUNCTION("IMPORTRANGE(""https://docs.google.com/spreadsheets/d/1zJUDEKztv_fercXA0LYNw155qdzS7TJGhWLhquaW5IY/edit"",""11!e43"")"),155.0)</f>
        <v>155</v>
      </c>
      <c r="L289" s="40">
        <f t="shared" si="795"/>
        <v>3201</v>
      </c>
      <c r="M289" s="40">
        <f t="shared" si="767"/>
        <v>5997</v>
      </c>
      <c r="N289" s="41">
        <f t="shared" si="768"/>
        <v>196.055</v>
      </c>
      <c r="O289" s="38">
        <v>8101.0</v>
      </c>
      <c r="P289" s="42">
        <f t="shared" si="769"/>
        <v>0.7402789779</v>
      </c>
      <c r="Q289" s="43">
        <v>1.5</v>
      </c>
      <c r="R289" s="42">
        <f t="shared" si="770"/>
        <v>0.7031805818</v>
      </c>
      <c r="S289" s="44">
        <f t="shared" si="771"/>
        <v>1.054770873</v>
      </c>
      <c r="T289" s="43">
        <f>F289/19.985</f>
        <v>284.4931198</v>
      </c>
      <c r="U289" s="43">
        <f t="shared" si="772"/>
        <v>9.810107581</v>
      </c>
      <c r="V289" s="40">
        <f t="shared" si="773"/>
        <v>206.7931034</v>
      </c>
      <c r="X289" s="59" t="s">
        <v>44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6"/>
    </row>
    <row r="290" ht="15.75" customHeight="1">
      <c r="A290" s="21"/>
      <c r="B290" s="38">
        <v>15.0</v>
      </c>
      <c r="C290" s="38" t="s">
        <v>40</v>
      </c>
      <c r="D290" s="39">
        <v>30.0</v>
      </c>
      <c r="E290" s="40">
        <f>IFERROR(__xludf.DUMMYFUNCTION("COUNT(IMPORTRANGE(""https://docs.google.com/spreadsheets/d/15GJA66Ucb-8RQ5vWVpq5HYaWoZZFX82SCeHChBujbrI/edit"",""11!d2:d31""))"),30.0)</f>
        <v>30</v>
      </c>
      <c r="F290" s="45">
        <f>IFERROR(__xludf.DUMMYFUNCTION("SUM(IMPORTRANGE(""https://docs.google.com/spreadsheets/d/15GJA66Ucb-8RQ5vWVpq5HYaWoZZFX82SCeHChBujbrI/edit"",""11!Q2:Q31""))"),5802.3719999999985)</f>
        <v>5802.372</v>
      </c>
      <c r="G290" s="40">
        <f>IFERROR(__xludf.DUMMYFUNCTION("IMPORTRANGE(""https://docs.google.com/spreadsheets/d/15GJA66Ucb-8RQ5vWVpq5HYaWoZZFX82SCeHChBujbrI/edit"",""11!e38"")"),3302.0)</f>
        <v>3302</v>
      </c>
      <c r="H290" s="40">
        <f>IFERROR(__xludf.DUMMYFUNCTION("IMPORTRANGE(""https://docs.google.com/spreadsheets/d/15GJA66Ucb-8RQ5vWVpq5HYaWoZZFX82SCeHChBujbrI/edit"",""11!e39"")"),0.0)</f>
        <v>0</v>
      </c>
      <c r="I290" s="40">
        <f t="shared" si="765"/>
        <v>3302</v>
      </c>
      <c r="J290" s="40">
        <f>IFERROR(__xludf.DUMMYFUNCTION("IMPORTRANGE(""https://docs.google.com/spreadsheets/d/15GJA66Ucb-8RQ5vWVpq5HYaWoZZFX82SCeHChBujbrI/edit"",""11!e42"")"),3994.0)</f>
        <v>3994</v>
      </c>
      <c r="K290" s="40">
        <f>IFERROR(__xludf.DUMMYFUNCTION("IMPORTRANGE(""https://docs.google.com/spreadsheets/d/15GJA66Ucb-8RQ5vWVpq5HYaWoZZFX82SCeHChBujbrI/edit"",""11!e43"")"),17.0)</f>
        <v>17</v>
      </c>
      <c r="L290" s="40">
        <f t="shared" si="795"/>
        <v>4011</v>
      </c>
      <c r="M290" s="40">
        <f t="shared" si="767"/>
        <v>7313</v>
      </c>
      <c r="N290" s="41">
        <f t="shared" si="768"/>
        <v>193.4124</v>
      </c>
      <c r="O290" s="38">
        <v>8239.0</v>
      </c>
      <c r="P290" s="42">
        <f t="shared" si="769"/>
        <v>0.8876077194</v>
      </c>
      <c r="Q290" s="43">
        <v>1.5</v>
      </c>
      <c r="R290" s="42">
        <f t="shared" si="770"/>
        <v>0.8402310871</v>
      </c>
      <c r="S290" s="44">
        <f t="shared" si="771"/>
        <v>1.260346631</v>
      </c>
      <c r="T290" s="43">
        <f>F290/28.443</f>
        <v>204</v>
      </c>
      <c r="U290" s="43">
        <f t="shared" si="772"/>
        <v>6.8</v>
      </c>
      <c r="V290" s="40">
        <f t="shared" si="773"/>
        <v>243.7666667</v>
      </c>
      <c r="X290" s="14" t="s">
        <v>2</v>
      </c>
      <c r="Y290" s="14" t="s">
        <v>3</v>
      </c>
      <c r="Z290" s="14" t="s">
        <v>4</v>
      </c>
      <c r="AA290" s="14" t="s">
        <v>5</v>
      </c>
      <c r="AB290" s="15" t="s">
        <v>6</v>
      </c>
      <c r="AC290" s="14" t="s">
        <v>7</v>
      </c>
      <c r="AD290" s="14" t="s">
        <v>8</v>
      </c>
      <c r="AE290" s="14" t="s">
        <v>9</v>
      </c>
      <c r="AF290" s="14" t="s">
        <v>10</v>
      </c>
      <c r="AG290" s="14" t="s">
        <v>11</v>
      </c>
      <c r="AH290" s="14" t="s">
        <v>12</v>
      </c>
      <c r="AI290" s="14" t="s">
        <v>13</v>
      </c>
      <c r="AJ290" s="15" t="s">
        <v>14</v>
      </c>
      <c r="AK290" s="14" t="s">
        <v>15</v>
      </c>
      <c r="AL290" s="14" t="s">
        <v>16</v>
      </c>
      <c r="AM290" s="16" t="s">
        <v>17</v>
      </c>
      <c r="AN290" s="17" t="s">
        <v>18</v>
      </c>
      <c r="AO290" s="18" t="s">
        <v>19</v>
      </c>
      <c r="AP290" s="19" t="s">
        <v>20</v>
      </c>
      <c r="AQ290" s="19" t="s">
        <v>21</v>
      </c>
      <c r="AR290" s="20" t="s">
        <v>22</v>
      </c>
    </row>
    <row r="291" ht="15.75" customHeight="1">
      <c r="A291" s="21"/>
      <c r="B291" s="38">
        <v>16.0</v>
      </c>
      <c r="C291" s="38" t="s">
        <v>42</v>
      </c>
      <c r="D291" s="39">
        <v>33.0</v>
      </c>
      <c r="E291" s="40">
        <f>IFERROR(__xludf.DUMMYFUNCTION("COUNT(IMPORTRANGE(""https://docs.google.com/spreadsheets/d/14Tu_jFPEdrIQ6DHYu6vRvJKQsbXr-48NY1tKy4-8JKI/edit"",""11!d2:d34""))"),33.0)</f>
        <v>33</v>
      </c>
      <c r="F291" s="45">
        <f>IFERROR(__xludf.DUMMYFUNCTION("SUM(IMPORTRANGE(""https://docs.google.com/spreadsheets/d/14Tu_jFPEdrIQ6DHYu6vRvJKQsbXr-48NY1tKy4-8JKI/edit"",""11!Q2:Q34""))"),6527.980999999999)</f>
        <v>6527.981</v>
      </c>
      <c r="G291" s="40">
        <f>IFERROR(__xludf.DUMMYFUNCTION("IMPORTRANGE(""https://docs.google.com/spreadsheets/d/14Tu_jFPEdrIQ6DHYu6vRvJKQsbXr-48NY1tKy4-8JKI/edit"",""11!e41"")"),3521.0)</f>
        <v>3521</v>
      </c>
      <c r="H291" s="40">
        <f>IFERROR(__xludf.DUMMYFUNCTION("IMPORTRANGE(""https://docs.google.com/spreadsheets/d/14Tu_jFPEdrIQ6DHYu6vRvJKQsbXr-48NY1tKy4-8JKI/edit"",""11!e42"")"),0.0)</f>
        <v>0</v>
      </c>
      <c r="I291" s="40">
        <f t="shared" si="765"/>
        <v>3521</v>
      </c>
      <c r="J291" s="40">
        <f>IFERROR(__xludf.DUMMYFUNCTION("IMPORTRANGE(""https://docs.google.com/spreadsheets/d/14Tu_jFPEdrIQ6DHYu6vRvJKQsbXr-48NY1tKy4-8JKI/edit"",""11!e45"")"),4445.0)</f>
        <v>4445</v>
      </c>
      <c r="K291" s="40">
        <f>IFERROR(__xludf.DUMMYFUNCTION("IMPORTRANGE(""https://docs.google.com/spreadsheets/d/14Tu_jFPEdrIQ6DHYu6vRvJKQsbXr-48NY1tKy4-8JKI/edit"",""11!e46"")"),41.0)</f>
        <v>41</v>
      </c>
      <c r="L291" s="40">
        <f t="shared" si="795"/>
        <v>4486</v>
      </c>
      <c r="M291" s="40">
        <f t="shared" si="767"/>
        <v>8007</v>
      </c>
      <c r="N291" s="41">
        <f t="shared" si="768"/>
        <v>197.8176061</v>
      </c>
      <c r="O291" s="38">
        <v>9877.0</v>
      </c>
      <c r="P291" s="42">
        <f t="shared" si="769"/>
        <v>0.8106712565</v>
      </c>
      <c r="Q291" s="43">
        <v>1.5</v>
      </c>
      <c r="R291" s="42">
        <f t="shared" si="770"/>
        <v>0.8177107133</v>
      </c>
      <c r="S291" s="44">
        <f t="shared" si="771"/>
        <v>1.22656607</v>
      </c>
      <c r="T291" s="43">
        <f>F291/26.155</f>
        <v>249.5882623</v>
      </c>
      <c r="U291" s="43">
        <f t="shared" si="772"/>
        <v>7.563280675</v>
      </c>
      <c r="V291" s="40">
        <f t="shared" si="773"/>
        <v>242.6363636</v>
      </c>
      <c r="X291" s="31">
        <v>1.0</v>
      </c>
      <c r="Y291" s="31" t="s">
        <v>26</v>
      </c>
      <c r="Z291" s="31">
        <f t="shared" ref="Z291:AI291" si="805">SUM(D276)</f>
        <v>20</v>
      </c>
      <c r="AA291" s="32">
        <f t="shared" si="805"/>
        <v>19</v>
      </c>
      <c r="AB291" s="34">
        <f t="shared" si="805"/>
        <v>3748.512</v>
      </c>
      <c r="AC291" s="32">
        <f t="shared" si="805"/>
        <v>2132</v>
      </c>
      <c r="AD291" s="32">
        <f t="shared" si="805"/>
        <v>0</v>
      </c>
      <c r="AE291" s="32">
        <f t="shared" si="805"/>
        <v>2132</v>
      </c>
      <c r="AF291" s="32">
        <f t="shared" si="805"/>
        <v>3144</v>
      </c>
      <c r="AG291" s="32">
        <f t="shared" si="805"/>
        <v>0</v>
      </c>
      <c r="AH291" s="32">
        <f t="shared" si="805"/>
        <v>3144</v>
      </c>
      <c r="AI291" s="32">
        <f t="shared" si="805"/>
        <v>5276</v>
      </c>
      <c r="AJ291" s="34">
        <f t="shared" ref="AJ291:AJ297" si="808">AB291/AA291</f>
        <v>197.2901053</v>
      </c>
      <c r="AK291" s="31">
        <f>SUM(O276)</f>
        <v>5161</v>
      </c>
      <c r="AL291" s="67">
        <f t="shared" ref="AL291:AL297" si="809">AI291/AK291</f>
        <v>1.022282503</v>
      </c>
      <c r="AM291" s="36">
        <f>SUM(Q276)</f>
        <v>1.5</v>
      </c>
      <c r="AN291" s="35">
        <f t="shared" ref="AN291:AN297" si="810">AO291/AM291</f>
        <v>0.9383278841</v>
      </c>
      <c r="AO291" s="37">
        <f t="shared" ref="AO291:AO297" si="811">AI291/AB291</f>
        <v>1.407491826</v>
      </c>
      <c r="AP291" s="36">
        <f t="shared" ref="AP291:AQ291" si="806">SUM(T276)</f>
        <v>260.0424558</v>
      </c>
      <c r="AQ291" s="36">
        <f t="shared" si="806"/>
        <v>13.68644504</v>
      </c>
      <c r="AR291" s="32">
        <f t="shared" ref="AR291:AR297" si="813">AI291/AA291</f>
        <v>277.6842105</v>
      </c>
    </row>
    <row r="292" ht="15.75" customHeight="1">
      <c r="A292" s="21"/>
      <c r="B292" s="38">
        <v>17.0</v>
      </c>
      <c r="C292" s="38" t="s">
        <v>29</v>
      </c>
      <c r="D292" s="39">
        <v>30.0</v>
      </c>
      <c r="E292" s="40">
        <f>IFERROR(__xludf.DUMMYFUNCTION("COUNT(IMPORTRANGE(""https://docs.google.com/spreadsheets/d/1ja_RQYsP0p5wRrACHojay4CW1wLx0QdS5tSwp-vYQ-s/edit"",""11!d2:d31""))"),28.0)</f>
        <v>28</v>
      </c>
      <c r="F292" s="45">
        <f>IFERROR(__xludf.DUMMYFUNCTION("SUM(IMPORTRANGE(""https://docs.google.com/spreadsheets/d/1ja_RQYsP0p5wRrACHojay4CW1wLx0QdS5tSwp-vYQ-s/edit"",""11!Q2:Q31""))"),5574.164999999997)</f>
        <v>5574.165</v>
      </c>
      <c r="G292" s="40">
        <f>IFERROR(__xludf.DUMMYFUNCTION("IMPORTRANGE(""https://docs.google.com/spreadsheets/d/1ja_RQYsP0p5wRrACHojay4CW1wLx0QdS5tSwp-vYQ-s/edit"",""11!e38"")"),2764.0)</f>
        <v>2764</v>
      </c>
      <c r="H292" s="40">
        <f>IFERROR(__xludf.DUMMYFUNCTION("IMPORTRANGE(""https://docs.google.com/spreadsheets/d/1ja_RQYsP0p5wRrACHojay4CW1wLx0QdS5tSwp-vYQ-s/edit"",""11!e39"")"),0.0)</f>
        <v>0</v>
      </c>
      <c r="I292" s="40">
        <f t="shared" si="765"/>
        <v>2764</v>
      </c>
      <c r="J292" s="40">
        <f>IFERROR(__xludf.DUMMYFUNCTION("IMPORTRANGE(""https://docs.google.com/spreadsheets/d/1ja_RQYsP0p5wRrACHojay4CW1wLx0QdS5tSwp-vYQ-s/edit"",""11!e42"")"),4361.0)</f>
        <v>4361</v>
      </c>
      <c r="K292" s="40">
        <f>IFERROR(__xludf.DUMMYFUNCTION("IMPORTRANGE(""https://docs.google.com/spreadsheets/d/1ja_RQYsP0p5wRrACHojay4CW1wLx0QdS5tSwp-vYQ-s/edit"",""11!e43"")"),0.0)</f>
        <v>0</v>
      </c>
      <c r="L292" s="40">
        <f t="shared" si="795"/>
        <v>4361</v>
      </c>
      <c r="M292" s="40">
        <f t="shared" si="767"/>
        <v>7125</v>
      </c>
      <c r="N292" s="41">
        <f t="shared" si="768"/>
        <v>199.0773214</v>
      </c>
      <c r="O292" s="38">
        <v>9201.0</v>
      </c>
      <c r="P292" s="42">
        <f t="shared" si="769"/>
        <v>0.7743723508</v>
      </c>
      <c r="Q292" s="43">
        <v>1.5</v>
      </c>
      <c r="R292" s="42">
        <f t="shared" si="770"/>
        <v>0.852145568</v>
      </c>
      <c r="S292" s="44">
        <f t="shared" si="771"/>
        <v>1.278218352</v>
      </c>
      <c r="T292" s="43">
        <f>F292/26.491</f>
        <v>210.4173115</v>
      </c>
      <c r="U292" s="43">
        <f t="shared" si="772"/>
        <v>7.514903984</v>
      </c>
      <c r="V292" s="40">
        <f t="shared" si="773"/>
        <v>254.4642857</v>
      </c>
      <c r="X292" s="31">
        <v>2.0</v>
      </c>
      <c r="Y292" s="31" t="s">
        <v>32</v>
      </c>
      <c r="Z292" s="31">
        <f t="shared" ref="Z292:AI292" si="807">SUM(D279)</f>
        <v>42</v>
      </c>
      <c r="AA292" s="32">
        <f t="shared" si="807"/>
        <v>42</v>
      </c>
      <c r="AB292" s="33">
        <f t="shared" si="807"/>
        <v>7978.302</v>
      </c>
      <c r="AC292" s="31">
        <f t="shared" si="807"/>
        <v>4972</v>
      </c>
      <c r="AD292" s="31">
        <f t="shared" si="807"/>
        <v>0</v>
      </c>
      <c r="AE292" s="32">
        <f t="shared" si="807"/>
        <v>4972</v>
      </c>
      <c r="AF292" s="31">
        <f t="shared" si="807"/>
        <v>5756</v>
      </c>
      <c r="AG292" s="31">
        <f t="shared" si="807"/>
        <v>0</v>
      </c>
      <c r="AH292" s="32">
        <f t="shared" si="807"/>
        <v>5756</v>
      </c>
      <c r="AI292" s="32">
        <f t="shared" si="807"/>
        <v>10728</v>
      </c>
      <c r="AJ292" s="34">
        <f t="shared" si="808"/>
        <v>189.9595714</v>
      </c>
      <c r="AK292" s="31">
        <f>SUM(O279)</f>
        <v>13817</v>
      </c>
      <c r="AL292" s="35">
        <f t="shared" si="809"/>
        <v>0.7764348267</v>
      </c>
      <c r="AM292" s="36">
        <f>SUM(Q279)</f>
        <v>1.5</v>
      </c>
      <c r="AN292" s="35">
        <f t="shared" si="810"/>
        <v>0.8964313459</v>
      </c>
      <c r="AO292" s="37">
        <f t="shared" si="811"/>
        <v>1.344647019</v>
      </c>
      <c r="AP292" s="36">
        <f t="shared" ref="AP292:AQ292" si="812">SUM(T279)</f>
        <v>318</v>
      </c>
      <c r="AQ292" s="36">
        <f t="shared" si="812"/>
        <v>7.571428571</v>
      </c>
      <c r="AR292" s="32">
        <f t="shared" si="813"/>
        <v>255.4285714</v>
      </c>
    </row>
    <row r="293" ht="15.75" customHeight="1">
      <c r="A293" s="21"/>
      <c r="B293" s="38">
        <v>18.0</v>
      </c>
      <c r="C293" s="38" t="s">
        <v>31</v>
      </c>
      <c r="D293" s="39">
        <v>15.0</v>
      </c>
      <c r="E293" s="40">
        <f>IFERROR(__xludf.DUMMYFUNCTION("COUNT(IMPORTRANGE(""https://docs.google.com/spreadsheets/d/1ObnK1oSznTOmyW9Zcd2kxExl7TOnO2MNq_0giEKc_mE/edit"",""11!d2:d16""))"),14.0)</f>
        <v>14</v>
      </c>
      <c r="F293" s="41">
        <f>IFERROR(__xludf.DUMMYFUNCTION("SUM(IMPORTRANGE(""https://docs.google.com/spreadsheets/d/1ObnK1oSznTOmyW9Zcd2kxExl7TOnO2MNq_0giEKc_mE/edit"",""11!Q2:Q16""))"),2694.83)</f>
        <v>2694.83</v>
      </c>
      <c r="G293" s="40">
        <f>IFERROR(__xludf.DUMMYFUNCTION("IMPORTRANGE(""https://docs.google.com/spreadsheets/d/1ObnK1oSznTOmyW9Zcd2kxExl7TOnO2MNq_0giEKc_mE/edit"",""11!e23"")"),842.0)</f>
        <v>842</v>
      </c>
      <c r="H293" s="40">
        <f>IFERROR(__xludf.DUMMYFUNCTION("IMPORTRANGE(""https://docs.google.com/spreadsheets/d/1ObnK1oSznTOmyW9Zcd2kxExl7TOnO2MNq_0giEKc_mE/edit"",""11!e24"")"),0.0)</f>
        <v>0</v>
      </c>
      <c r="I293" s="40">
        <f t="shared" si="765"/>
        <v>842</v>
      </c>
      <c r="J293" s="40">
        <f>IFERROR(__xludf.DUMMYFUNCTION("IMPORTRANGE(""https://docs.google.com/spreadsheets/d/1ObnK1oSznTOmyW9Zcd2kxExl7TOnO2MNq_0giEKc_mE/edit"",""11!e27"")"),1054.0)</f>
        <v>1054</v>
      </c>
      <c r="K293" s="40">
        <f>IFERROR(__xludf.DUMMYFUNCTION("IMPORTRANGE(""https://docs.google.com/spreadsheets/d/1ObnK1oSznTOmyW9Zcd2kxExl7TOnO2MNq_0giEKc_mE/edit"",""11!e28"")"),0.0)</f>
        <v>0</v>
      </c>
      <c r="L293" s="40">
        <f t="shared" si="795"/>
        <v>1054</v>
      </c>
      <c r="M293" s="40">
        <f t="shared" si="767"/>
        <v>1896</v>
      </c>
      <c r="N293" s="41">
        <f t="shared" si="768"/>
        <v>192.4878571</v>
      </c>
      <c r="O293" s="38">
        <v>2717.0</v>
      </c>
      <c r="P293" s="42">
        <f t="shared" si="769"/>
        <v>0.6978284873</v>
      </c>
      <c r="Q293" s="43">
        <v>1.5</v>
      </c>
      <c r="R293" s="42">
        <f t="shared" si="770"/>
        <v>0.4690462849</v>
      </c>
      <c r="S293" s="44">
        <f t="shared" si="771"/>
        <v>0.7035694274</v>
      </c>
      <c r="T293" s="43">
        <f>F293/43.465</f>
        <v>62</v>
      </c>
      <c r="U293" s="43">
        <f t="shared" si="772"/>
        <v>4.428571429</v>
      </c>
      <c r="V293" s="40">
        <f t="shared" si="773"/>
        <v>135.4285714</v>
      </c>
      <c r="X293" s="31">
        <v>3.0</v>
      </c>
      <c r="Y293" s="31" t="s">
        <v>36</v>
      </c>
      <c r="Z293" s="31">
        <f t="shared" ref="Z293:AI293" si="814">SUM(D284)</f>
        <v>29</v>
      </c>
      <c r="AA293" s="32">
        <f t="shared" si="814"/>
        <v>28</v>
      </c>
      <c r="AB293" s="33">
        <f t="shared" si="814"/>
        <v>5586.211</v>
      </c>
      <c r="AC293" s="32">
        <f t="shared" si="814"/>
        <v>1663</v>
      </c>
      <c r="AD293" s="32">
        <f t="shared" si="814"/>
        <v>0</v>
      </c>
      <c r="AE293" s="32">
        <f t="shared" si="814"/>
        <v>1663</v>
      </c>
      <c r="AF293" s="32">
        <f t="shared" si="814"/>
        <v>2457</v>
      </c>
      <c r="AG293" s="32">
        <f t="shared" si="814"/>
        <v>0</v>
      </c>
      <c r="AH293" s="32">
        <f t="shared" si="814"/>
        <v>2457</v>
      </c>
      <c r="AI293" s="32">
        <f t="shared" si="814"/>
        <v>4120</v>
      </c>
      <c r="AJ293" s="34">
        <f t="shared" si="808"/>
        <v>199.5075357</v>
      </c>
      <c r="AK293" s="31">
        <f t="shared" ref="AK293:AK296" si="818">SUM(O284)</f>
        <v>4796</v>
      </c>
      <c r="AL293" s="35">
        <f t="shared" si="809"/>
        <v>0.8590492077</v>
      </c>
      <c r="AM293" s="36">
        <f t="shared" ref="AM293:AM296" si="819">SUM(Q284)</f>
        <v>1.5</v>
      </c>
      <c r="AN293" s="35">
        <f t="shared" si="810"/>
        <v>0.4916868816</v>
      </c>
      <c r="AO293" s="37">
        <f t="shared" si="811"/>
        <v>0.7375303224</v>
      </c>
      <c r="AP293" s="36">
        <f t="shared" ref="AP293:AQ293" si="815">SUM(T284)</f>
        <v>149.3080398</v>
      </c>
      <c r="AQ293" s="36">
        <f t="shared" si="815"/>
        <v>5.332429992</v>
      </c>
      <c r="AR293" s="32">
        <f t="shared" si="813"/>
        <v>147.1428571</v>
      </c>
    </row>
    <row r="294" ht="15.75" customHeight="1">
      <c r="A294" s="21"/>
      <c r="B294" s="60" t="s">
        <v>33</v>
      </c>
      <c r="C294" s="60">
        <v>18.0</v>
      </c>
      <c r="D294" s="60">
        <f t="shared" ref="D294:M294" si="816">SUM(D276:D293)</f>
        <v>585</v>
      </c>
      <c r="E294" s="61">
        <f t="shared" si="816"/>
        <v>570</v>
      </c>
      <c r="F294" s="62">
        <f t="shared" si="816"/>
        <v>111161.533</v>
      </c>
      <c r="G294" s="61">
        <f t="shared" si="816"/>
        <v>44491</v>
      </c>
      <c r="H294" s="61">
        <f t="shared" si="816"/>
        <v>602</v>
      </c>
      <c r="I294" s="61">
        <f t="shared" si="816"/>
        <v>45093</v>
      </c>
      <c r="J294" s="61">
        <f t="shared" si="816"/>
        <v>56644</v>
      </c>
      <c r="K294" s="61">
        <f t="shared" si="816"/>
        <v>1486</v>
      </c>
      <c r="L294" s="61">
        <f t="shared" si="816"/>
        <v>58130</v>
      </c>
      <c r="M294" s="61">
        <f t="shared" si="816"/>
        <v>103223</v>
      </c>
      <c r="N294" s="62">
        <f t="shared" si="768"/>
        <v>195.0202333</v>
      </c>
      <c r="O294" s="60">
        <f>SUM(O276:O293)</f>
        <v>126399</v>
      </c>
      <c r="P294" s="63">
        <f t="shared" si="769"/>
        <v>0.816644119</v>
      </c>
      <c r="Q294" s="64">
        <v>1.5</v>
      </c>
      <c r="R294" s="63">
        <f t="shared" si="770"/>
        <v>0.6190570738</v>
      </c>
      <c r="S294" s="65">
        <f t="shared" si="771"/>
        <v>0.9285856106</v>
      </c>
      <c r="T294" s="64">
        <f>SUM(T276:T293)</f>
        <v>4095.688796</v>
      </c>
      <c r="U294" s="64">
        <f t="shared" si="772"/>
        <v>7.18541894</v>
      </c>
      <c r="V294" s="61">
        <f t="shared" si="773"/>
        <v>181.0929825</v>
      </c>
      <c r="X294" s="31">
        <v>4.0</v>
      </c>
      <c r="Y294" s="31" t="s">
        <v>37</v>
      </c>
      <c r="Z294" s="31">
        <f t="shared" ref="Z294:AI294" si="817">SUM(D285)</f>
        <v>30</v>
      </c>
      <c r="AA294" s="32">
        <f t="shared" si="817"/>
        <v>30</v>
      </c>
      <c r="AB294" s="33">
        <f t="shared" si="817"/>
        <v>5985.732</v>
      </c>
      <c r="AC294" s="32">
        <f t="shared" si="817"/>
        <v>2254</v>
      </c>
      <c r="AD294" s="32">
        <f t="shared" si="817"/>
        <v>0</v>
      </c>
      <c r="AE294" s="32">
        <f t="shared" si="817"/>
        <v>2254</v>
      </c>
      <c r="AF294" s="32">
        <f t="shared" si="817"/>
        <v>2905</v>
      </c>
      <c r="AG294" s="32">
        <f t="shared" si="817"/>
        <v>0</v>
      </c>
      <c r="AH294" s="32">
        <f t="shared" si="817"/>
        <v>2905</v>
      </c>
      <c r="AI294" s="32">
        <f t="shared" si="817"/>
        <v>5159</v>
      </c>
      <c r="AJ294" s="34">
        <f t="shared" si="808"/>
        <v>199.5244</v>
      </c>
      <c r="AK294" s="31">
        <f t="shared" si="818"/>
        <v>5887</v>
      </c>
      <c r="AL294" s="35">
        <f t="shared" si="809"/>
        <v>0.8763376932</v>
      </c>
      <c r="AM294" s="36">
        <f t="shared" si="819"/>
        <v>1.5</v>
      </c>
      <c r="AN294" s="35">
        <f t="shared" si="810"/>
        <v>0.5745885939</v>
      </c>
      <c r="AO294" s="37">
        <f t="shared" si="811"/>
        <v>0.8618828908</v>
      </c>
      <c r="AP294" s="36">
        <f t="shared" ref="AP294:AQ294" si="820">SUM(T285)</f>
        <v>241.4380445</v>
      </c>
      <c r="AQ294" s="36">
        <f t="shared" si="820"/>
        <v>8.047934818</v>
      </c>
      <c r="AR294" s="32">
        <f t="shared" si="813"/>
        <v>171.9666667</v>
      </c>
    </row>
    <row r="295" ht="15.7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X295" s="31">
        <v>5.0</v>
      </c>
      <c r="Y295" s="31" t="s">
        <v>39</v>
      </c>
      <c r="Z295" s="31">
        <f t="shared" ref="Z295:AI295" si="821">SUM(D286)</f>
        <v>28</v>
      </c>
      <c r="AA295" s="32">
        <f t="shared" si="821"/>
        <v>27</v>
      </c>
      <c r="AB295" s="33">
        <f t="shared" si="821"/>
        <v>5115.47</v>
      </c>
      <c r="AC295" s="32">
        <f t="shared" si="821"/>
        <v>1368</v>
      </c>
      <c r="AD295" s="32">
        <f t="shared" si="821"/>
        <v>0</v>
      </c>
      <c r="AE295" s="32">
        <f t="shared" si="821"/>
        <v>1368</v>
      </c>
      <c r="AF295" s="32">
        <f t="shared" si="821"/>
        <v>1554</v>
      </c>
      <c r="AG295" s="32">
        <f t="shared" si="821"/>
        <v>189</v>
      </c>
      <c r="AH295" s="32">
        <f t="shared" si="821"/>
        <v>1743</v>
      </c>
      <c r="AI295" s="32">
        <f t="shared" si="821"/>
        <v>3111</v>
      </c>
      <c r="AJ295" s="34">
        <f t="shared" si="808"/>
        <v>189.4618519</v>
      </c>
      <c r="AK295" s="31">
        <f t="shared" si="818"/>
        <v>3569</v>
      </c>
      <c r="AL295" s="35">
        <f t="shared" si="809"/>
        <v>0.8716727375</v>
      </c>
      <c r="AM295" s="36">
        <f t="shared" si="819"/>
        <v>1.5</v>
      </c>
      <c r="AN295" s="35">
        <f t="shared" si="810"/>
        <v>0.4054368416</v>
      </c>
      <c r="AO295" s="37">
        <f t="shared" si="811"/>
        <v>0.6081552624</v>
      </c>
      <c r="AP295" s="36">
        <f t="shared" ref="AP295:AQ295" si="822">SUM(T286)</f>
        <v>238.339002</v>
      </c>
      <c r="AQ295" s="36">
        <f t="shared" si="822"/>
        <v>8.827370445</v>
      </c>
      <c r="AR295" s="32">
        <f t="shared" si="813"/>
        <v>115.2222222</v>
      </c>
    </row>
    <row r="296" ht="15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X296" s="31">
        <v>6.0</v>
      </c>
      <c r="Y296" s="31" t="s">
        <v>41</v>
      </c>
      <c r="Z296" s="31">
        <f t="shared" ref="Z296:AI296" si="823">SUM(D287)</f>
        <v>24</v>
      </c>
      <c r="AA296" s="32">
        <f t="shared" si="823"/>
        <v>24</v>
      </c>
      <c r="AB296" s="33">
        <f t="shared" si="823"/>
        <v>4720.728</v>
      </c>
      <c r="AC296" s="32">
        <f t="shared" si="823"/>
        <v>1422</v>
      </c>
      <c r="AD296" s="32">
        <f t="shared" si="823"/>
        <v>0</v>
      </c>
      <c r="AE296" s="32">
        <f t="shared" si="823"/>
        <v>1422</v>
      </c>
      <c r="AF296" s="32">
        <f t="shared" si="823"/>
        <v>1493</v>
      </c>
      <c r="AG296" s="32">
        <f t="shared" si="823"/>
        <v>280</v>
      </c>
      <c r="AH296" s="32">
        <f t="shared" si="823"/>
        <v>1773</v>
      </c>
      <c r="AI296" s="32">
        <f t="shared" si="823"/>
        <v>3195</v>
      </c>
      <c r="AJ296" s="34">
        <f t="shared" si="808"/>
        <v>196.697</v>
      </c>
      <c r="AK296" s="31">
        <f t="shared" si="818"/>
        <v>3801</v>
      </c>
      <c r="AL296" s="35">
        <f t="shared" si="809"/>
        <v>0.8405682715</v>
      </c>
      <c r="AM296" s="36">
        <f t="shared" si="819"/>
        <v>1.5</v>
      </c>
      <c r="AN296" s="35">
        <f t="shared" si="810"/>
        <v>0.4512015943</v>
      </c>
      <c r="AO296" s="37">
        <f t="shared" si="811"/>
        <v>0.6768023915</v>
      </c>
      <c r="AP296" s="36">
        <f t="shared" ref="AP296:AQ296" si="824">SUM(T287)</f>
        <v>159.3333333</v>
      </c>
      <c r="AQ296" s="36">
        <f t="shared" si="824"/>
        <v>6.638888889</v>
      </c>
      <c r="AR296" s="32">
        <f t="shared" si="813"/>
        <v>133.125</v>
      </c>
    </row>
    <row r="297" ht="15.75" customHeight="1">
      <c r="A297" s="1" t="s">
        <v>45</v>
      </c>
      <c r="D297" s="2"/>
      <c r="X297" s="46" t="s">
        <v>33</v>
      </c>
      <c r="Y297" s="46">
        <v>6.0</v>
      </c>
      <c r="Z297" s="46">
        <f t="shared" ref="Z297:AI297" si="825">SUM(Z291:Z296)</f>
        <v>173</v>
      </c>
      <c r="AA297" s="47">
        <f t="shared" si="825"/>
        <v>170</v>
      </c>
      <c r="AB297" s="49">
        <f t="shared" si="825"/>
        <v>33134.955</v>
      </c>
      <c r="AC297" s="47">
        <f t="shared" si="825"/>
        <v>13811</v>
      </c>
      <c r="AD297" s="47">
        <f t="shared" si="825"/>
        <v>0</v>
      </c>
      <c r="AE297" s="47">
        <f t="shared" si="825"/>
        <v>13811</v>
      </c>
      <c r="AF297" s="47">
        <f t="shared" si="825"/>
        <v>17309</v>
      </c>
      <c r="AG297" s="47">
        <f t="shared" si="825"/>
        <v>469</v>
      </c>
      <c r="AH297" s="47">
        <f t="shared" si="825"/>
        <v>17778</v>
      </c>
      <c r="AI297" s="47">
        <f t="shared" si="825"/>
        <v>31589</v>
      </c>
      <c r="AJ297" s="49">
        <f t="shared" si="808"/>
        <v>194.9115</v>
      </c>
      <c r="AK297" s="46">
        <f>SUM(AK291:AK296)</f>
        <v>37031</v>
      </c>
      <c r="AL297" s="50">
        <f t="shared" si="809"/>
        <v>0.8530420459</v>
      </c>
      <c r="AM297" s="51">
        <v>1.5</v>
      </c>
      <c r="AN297" s="50">
        <f t="shared" si="810"/>
        <v>0.6355624546</v>
      </c>
      <c r="AO297" s="52">
        <f t="shared" si="811"/>
        <v>0.9533436819</v>
      </c>
      <c r="AP297" s="51">
        <f>SUM(AP291:AP296)</f>
        <v>1366.460875</v>
      </c>
      <c r="AQ297" s="51">
        <f>AP297/AA297</f>
        <v>8.038005149</v>
      </c>
      <c r="AR297" s="47">
        <f t="shared" si="813"/>
        <v>185.8176471</v>
      </c>
    </row>
    <row r="298" ht="15.75" customHeight="1">
      <c r="A298" s="1" t="s">
        <v>45</v>
      </c>
      <c r="D298" s="2"/>
      <c r="X298" s="66" t="s">
        <v>1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6"/>
    </row>
    <row r="299" ht="15.75" customHeight="1">
      <c r="A299" s="7">
        <v>46246.0</v>
      </c>
      <c r="B299" s="8" t="s">
        <v>2</v>
      </c>
      <c r="C299" s="8" t="s">
        <v>3</v>
      </c>
      <c r="D299" s="8" t="s">
        <v>4</v>
      </c>
      <c r="E299" s="8" t="s">
        <v>5</v>
      </c>
      <c r="F299" s="9" t="s">
        <v>6</v>
      </c>
      <c r="G299" s="8" t="s">
        <v>7</v>
      </c>
      <c r="H299" s="8" t="s">
        <v>8</v>
      </c>
      <c r="I299" s="8" t="s">
        <v>9</v>
      </c>
      <c r="J299" s="8" t="s">
        <v>10</v>
      </c>
      <c r="K299" s="8" t="s">
        <v>11</v>
      </c>
      <c r="L299" s="8" t="s">
        <v>12</v>
      </c>
      <c r="M299" s="8" t="s">
        <v>13</v>
      </c>
      <c r="N299" s="9" t="s">
        <v>14</v>
      </c>
      <c r="O299" s="8" t="s">
        <v>15</v>
      </c>
      <c r="P299" s="8" t="s">
        <v>16</v>
      </c>
      <c r="Q299" s="8" t="s">
        <v>17</v>
      </c>
      <c r="R299" s="8" t="s">
        <v>18</v>
      </c>
      <c r="S299" s="11" t="s">
        <v>19</v>
      </c>
      <c r="T299" s="12" t="s">
        <v>20</v>
      </c>
      <c r="U299" s="12" t="s">
        <v>21</v>
      </c>
      <c r="V299" s="13" t="s">
        <v>22</v>
      </c>
      <c r="X299" s="14" t="s">
        <v>2</v>
      </c>
      <c r="Y299" s="14" t="s">
        <v>3</v>
      </c>
      <c r="Z299" s="14" t="s">
        <v>4</v>
      </c>
      <c r="AA299" s="14" t="s">
        <v>5</v>
      </c>
      <c r="AB299" s="15" t="s">
        <v>6</v>
      </c>
      <c r="AC299" s="14" t="s">
        <v>7</v>
      </c>
      <c r="AD299" s="14" t="s">
        <v>8</v>
      </c>
      <c r="AE299" s="14" t="s">
        <v>9</v>
      </c>
      <c r="AF299" s="14" t="s">
        <v>10</v>
      </c>
      <c r="AG299" s="14" t="s">
        <v>11</v>
      </c>
      <c r="AH299" s="14" t="s">
        <v>12</v>
      </c>
      <c r="AI299" s="14" t="s">
        <v>13</v>
      </c>
      <c r="AJ299" s="15" t="s">
        <v>14</v>
      </c>
      <c r="AK299" s="14" t="s">
        <v>15</v>
      </c>
      <c r="AL299" s="14" t="s">
        <v>16</v>
      </c>
      <c r="AM299" s="16" t="s">
        <v>17</v>
      </c>
      <c r="AN299" s="17" t="s">
        <v>18</v>
      </c>
      <c r="AO299" s="18" t="s">
        <v>19</v>
      </c>
      <c r="AP299" s="19" t="s">
        <v>20</v>
      </c>
      <c r="AQ299" s="19" t="s">
        <v>21</v>
      </c>
      <c r="AR299" s="20" t="s">
        <v>22</v>
      </c>
    </row>
    <row r="300" ht="15.7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X300" s="22">
        <v>1.0</v>
      </c>
      <c r="Y300" s="22" t="s">
        <v>23</v>
      </c>
      <c r="Z300" s="22">
        <f t="shared" ref="Z300:AI300" si="826">SUM(D308)</f>
        <v>35</v>
      </c>
      <c r="AA300" s="23">
        <f t="shared" si="826"/>
        <v>34</v>
      </c>
      <c r="AB300" s="24">
        <f t="shared" si="826"/>
        <v>6429.264</v>
      </c>
      <c r="AC300" s="23">
        <f t="shared" si="826"/>
        <v>2770</v>
      </c>
      <c r="AD300" s="23">
        <f t="shared" si="826"/>
        <v>0</v>
      </c>
      <c r="AE300" s="23">
        <f t="shared" si="826"/>
        <v>2770</v>
      </c>
      <c r="AF300" s="23">
        <f t="shared" si="826"/>
        <v>2375</v>
      </c>
      <c r="AG300" s="23">
        <f t="shared" si="826"/>
        <v>0</v>
      </c>
      <c r="AH300" s="23">
        <f t="shared" si="826"/>
        <v>2375</v>
      </c>
      <c r="AI300" s="23">
        <f t="shared" si="826"/>
        <v>5145</v>
      </c>
      <c r="AJ300" s="25">
        <f t="shared" ref="AJ300:AJ302" si="829">AB300/AA300</f>
        <v>189.096</v>
      </c>
      <c r="AK300" s="22">
        <f>SUM(O308)</f>
        <v>6853</v>
      </c>
      <c r="AL300" s="26">
        <f t="shared" ref="AL300:AL306" si="830">AI300/AK300</f>
        <v>0.7507660878</v>
      </c>
      <c r="AM300" s="27">
        <f t="shared" ref="AM300:AM302" si="831">SUM(Q308)</f>
        <v>1.5</v>
      </c>
      <c r="AN300" s="26">
        <f t="shared" ref="AN300:AN306" si="832">AO300/AM300</f>
        <v>0.53349808</v>
      </c>
      <c r="AO300" s="28">
        <f t="shared" ref="AO300:AO306" si="833">AI300/AB300</f>
        <v>0.80024712</v>
      </c>
      <c r="AP300" s="27">
        <f t="shared" ref="AP300:AQ300" si="827">SUM(T308)</f>
        <v>190.5531713</v>
      </c>
      <c r="AQ300" s="27">
        <f t="shared" si="827"/>
        <v>5.604505039</v>
      </c>
      <c r="AR300" s="23">
        <f t="shared" ref="AR300:AR306" si="835">AI300/AA300</f>
        <v>151.3235294</v>
      </c>
    </row>
    <row r="301" ht="15.7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X301" s="22">
        <v>2.0</v>
      </c>
      <c r="Y301" s="22" t="s">
        <v>24</v>
      </c>
      <c r="Z301" s="22">
        <f t="shared" ref="Z301:AI301" si="828">SUM(D309)</f>
        <v>44</v>
      </c>
      <c r="AA301" s="23">
        <f t="shared" si="828"/>
        <v>43</v>
      </c>
      <c r="AB301" s="24">
        <f t="shared" si="828"/>
        <v>8351.792</v>
      </c>
      <c r="AC301" s="23">
        <f t="shared" si="828"/>
        <v>1178</v>
      </c>
      <c r="AD301" s="23">
        <f t="shared" si="828"/>
        <v>25</v>
      </c>
      <c r="AE301" s="23">
        <f t="shared" si="828"/>
        <v>1203</v>
      </c>
      <c r="AF301" s="23">
        <f t="shared" si="828"/>
        <v>1252</v>
      </c>
      <c r="AG301" s="23">
        <f t="shared" si="828"/>
        <v>0</v>
      </c>
      <c r="AH301" s="23">
        <f t="shared" si="828"/>
        <v>1252</v>
      </c>
      <c r="AI301" s="23">
        <f t="shared" si="828"/>
        <v>2455</v>
      </c>
      <c r="AJ301" s="25">
        <f t="shared" si="829"/>
        <v>194.2277209</v>
      </c>
      <c r="AK301" s="22">
        <v>1580.0</v>
      </c>
      <c r="AL301" s="29">
        <f t="shared" si="830"/>
        <v>1.553797468</v>
      </c>
      <c r="AM301" s="27">
        <f t="shared" si="831"/>
        <v>1.5</v>
      </c>
      <c r="AN301" s="26">
        <f t="shared" si="832"/>
        <v>0.1959659276</v>
      </c>
      <c r="AO301" s="28">
        <f t="shared" si="833"/>
        <v>0.2939488914</v>
      </c>
      <c r="AP301" s="27">
        <f t="shared" ref="AP301:AQ301" si="834">SUM(T309)</f>
        <v>311.5759</v>
      </c>
      <c r="AQ301" s="27">
        <f t="shared" si="834"/>
        <v>7.245951163</v>
      </c>
      <c r="AR301" s="23">
        <f t="shared" si="835"/>
        <v>57.09302326</v>
      </c>
    </row>
    <row r="302" ht="15.75" customHeight="1">
      <c r="A302" s="21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X302" s="31">
        <v>3.0</v>
      </c>
      <c r="Y302" s="31" t="s">
        <v>25</v>
      </c>
      <c r="Z302" s="31">
        <f t="shared" ref="Z302:AI302" si="836">SUM(D310)</f>
        <v>32</v>
      </c>
      <c r="AA302" s="32">
        <f t="shared" si="836"/>
        <v>31</v>
      </c>
      <c r="AB302" s="33">
        <f t="shared" si="836"/>
        <v>5594.9</v>
      </c>
      <c r="AC302" s="32">
        <f t="shared" si="836"/>
        <v>2427</v>
      </c>
      <c r="AD302" s="32">
        <f t="shared" si="836"/>
        <v>314</v>
      </c>
      <c r="AE302" s="32">
        <f t="shared" si="836"/>
        <v>2741</v>
      </c>
      <c r="AF302" s="32">
        <f t="shared" si="836"/>
        <v>3323</v>
      </c>
      <c r="AG302" s="32">
        <f t="shared" si="836"/>
        <v>365</v>
      </c>
      <c r="AH302" s="32">
        <f t="shared" si="836"/>
        <v>3688</v>
      </c>
      <c r="AI302" s="32">
        <f t="shared" si="836"/>
        <v>6429</v>
      </c>
      <c r="AJ302" s="34">
        <f t="shared" si="829"/>
        <v>180.4806452</v>
      </c>
      <c r="AK302" s="31">
        <f>SUM(O310)</f>
        <v>6622</v>
      </c>
      <c r="AL302" s="35">
        <f t="shared" si="830"/>
        <v>0.9708547267</v>
      </c>
      <c r="AM302" s="36">
        <f t="shared" si="831"/>
        <v>1.5</v>
      </c>
      <c r="AN302" s="35">
        <f t="shared" si="832"/>
        <v>0.7660547999</v>
      </c>
      <c r="AO302" s="37">
        <f t="shared" si="833"/>
        <v>1.1490822</v>
      </c>
      <c r="AP302" s="36">
        <f t="shared" ref="AP302:AQ302" si="837">SUM(T310)</f>
        <v>234.6854027</v>
      </c>
      <c r="AQ302" s="36">
        <f t="shared" si="837"/>
        <v>7.570496861</v>
      </c>
      <c r="AR302" s="32">
        <f t="shared" si="835"/>
        <v>207.3870968</v>
      </c>
    </row>
    <row r="303" ht="15.75" customHeight="1">
      <c r="A303" s="21"/>
      <c r="B303" s="38">
        <v>1.0</v>
      </c>
      <c r="C303" s="38" t="s">
        <v>26</v>
      </c>
      <c r="D303" s="39">
        <v>20.0</v>
      </c>
      <c r="E303" s="40">
        <f>IFERROR(__xludf.DUMMYFUNCTION("COUNT(IMPORTRANGE(""https://docs.google.com/spreadsheets/d/1iVFEBQOAONhqDIMRa2hQ7WkCQv0dJWSAmc0AzfvSCMg/edit"",""12!d2:d21""))"),20.0)</f>
        <v>20</v>
      </c>
      <c r="F303" s="41">
        <f>IFERROR(__xludf.DUMMYFUNCTION("SUM(IMPORTRANGE(""https://docs.google.com/spreadsheets/d/1iVFEBQOAONhqDIMRa2hQ7WkCQv0dJWSAmc0AzfvSCMg/edit"",""12!Q2:Q21""))"),3770.0580000000004)</f>
        <v>3770.058</v>
      </c>
      <c r="G303" s="40">
        <f>IFERROR(__xludf.DUMMYFUNCTION("IMPORTRANGE(""https://docs.google.com/spreadsheets/d/1iVFEBQOAONhqDIMRa2hQ7WkCQv0dJWSAmc0AzfvSCMg/edit"",""12!e28"")"),2241.0)</f>
        <v>2241</v>
      </c>
      <c r="H303" s="40">
        <f>IFERROR(__xludf.DUMMYFUNCTION("IMPORTRANGE(""https://docs.google.com/spreadsheets/d/1iVFEBQOAONhqDIMRa2hQ7WkCQv0dJWSAmc0AzfvSCMg/edit"",""12!e29"")"),0.0)</f>
        <v>0</v>
      </c>
      <c r="I303" s="40">
        <f t="shared" ref="I303:I320" si="840">SUM(G303:H303)</f>
        <v>2241</v>
      </c>
      <c r="J303" s="40">
        <f>IFERROR(__xludf.DUMMYFUNCTION("IMPORTRANGE(""https://docs.google.com/spreadsheets/d/1iVFEBQOAONhqDIMRa2hQ7WkCQv0dJWSAmc0AzfvSCMg/edit"",""12!e32"")"),3186.0)</f>
        <v>3186</v>
      </c>
      <c r="K303" s="40">
        <f>IFERROR(__xludf.DUMMYFUNCTION("IMPORTRANGE(""https://docs.google.com/spreadsheets/d/1iVFEBQOAONhqDIMRa2hQ7WkCQv0dJWSAmc0AzfvSCMg/edit"",""12!e33"")"),0.0)</f>
        <v>0</v>
      </c>
      <c r="L303" s="40">
        <f t="shared" ref="L303:L309" si="841">SUM(J303:K303)</f>
        <v>3186</v>
      </c>
      <c r="M303" s="40">
        <f t="shared" ref="M303:M320" si="842">SUM(I303+L303)</f>
        <v>5427</v>
      </c>
      <c r="N303" s="41">
        <f t="shared" ref="N303:N321" si="843">F303/E303</f>
        <v>188.5029</v>
      </c>
      <c r="O303" s="38">
        <v>5161.0</v>
      </c>
      <c r="P303" s="56">
        <f t="shared" ref="P303:P321" si="844">M303/O303</f>
        <v>1.051540399</v>
      </c>
      <c r="Q303" s="43">
        <v>1.5</v>
      </c>
      <c r="R303" s="42">
        <f t="shared" ref="R303:R321" si="845">S303/Q303</f>
        <v>0.9596669335</v>
      </c>
      <c r="S303" s="44">
        <f t="shared" ref="S303:S321" si="846">M303/F303</f>
        <v>1.4395004</v>
      </c>
      <c r="T303" s="43">
        <f>F303/14.415</f>
        <v>261.5371488</v>
      </c>
      <c r="U303" s="43">
        <f t="shared" ref="U303:U321" si="847">T303/E303</f>
        <v>13.07685744</v>
      </c>
      <c r="V303" s="40">
        <f t="shared" ref="V303:V321" si="848">M303/E303</f>
        <v>271.35</v>
      </c>
      <c r="X303" s="22">
        <v>4.0</v>
      </c>
      <c r="Y303" s="22" t="s">
        <v>27</v>
      </c>
      <c r="Z303" s="22">
        <f t="shared" ref="Z303:AK303" si="838">SUM(D316)</f>
        <v>30</v>
      </c>
      <c r="AA303" s="23">
        <f t="shared" si="838"/>
        <v>30</v>
      </c>
      <c r="AB303" s="24">
        <f t="shared" si="838"/>
        <v>5285.895</v>
      </c>
      <c r="AC303" s="23">
        <f t="shared" si="838"/>
        <v>2941</v>
      </c>
      <c r="AD303" s="23">
        <f t="shared" si="838"/>
        <v>0</v>
      </c>
      <c r="AE303" s="23">
        <f t="shared" si="838"/>
        <v>2941</v>
      </c>
      <c r="AF303" s="23">
        <f t="shared" si="838"/>
        <v>2655</v>
      </c>
      <c r="AG303" s="23">
        <f t="shared" si="838"/>
        <v>0</v>
      </c>
      <c r="AH303" s="23">
        <f t="shared" si="838"/>
        <v>2655</v>
      </c>
      <c r="AI303" s="23">
        <f t="shared" si="838"/>
        <v>5596</v>
      </c>
      <c r="AJ303" s="25">
        <f t="shared" si="838"/>
        <v>176.1965</v>
      </c>
      <c r="AK303" s="22">
        <f t="shared" si="838"/>
        <v>8101</v>
      </c>
      <c r="AL303" s="26">
        <f t="shared" si="830"/>
        <v>0.6907789162</v>
      </c>
      <c r="AM303" s="27">
        <f>SUM(Q316)</f>
        <v>1.5</v>
      </c>
      <c r="AN303" s="26">
        <f t="shared" si="832"/>
        <v>0.7057776718</v>
      </c>
      <c r="AO303" s="28">
        <f t="shared" si="833"/>
        <v>1.058666508</v>
      </c>
      <c r="AP303" s="27">
        <f t="shared" ref="AP303:AQ303" si="839">SUM(T316)</f>
        <v>264.4931198</v>
      </c>
      <c r="AQ303" s="27">
        <f t="shared" si="839"/>
        <v>8.816437328</v>
      </c>
      <c r="AR303" s="23">
        <f t="shared" si="835"/>
        <v>186.5333333</v>
      </c>
    </row>
    <row r="304" ht="15.75" customHeight="1">
      <c r="A304" s="21"/>
      <c r="B304" s="38">
        <v>2.0</v>
      </c>
      <c r="C304" s="38" t="s">
        <v>28</v>
      </c>
      <c r="D304" s="39">
        <v>33.0</v>
      </c>
      <c r="E304" s="40">
        <f>IFERROR(__xludf.DUMMYFUNCTION("COUNT(IMPORTRANGE(""https://docs.google.com/spreadsheets/d/1tJCeYclgeJZ4Dc78t_SkhVjtacKW-5-VGim8X1rzUzk/edit"",""12!d2:d34""))"),33.0)</f>
        <v>33</v>
      </c>
      <c r="F304" s="41">
        <f>IFERROR(__xludf.DUMMYFUNCTION("SUM(IMPORTRANGE(""https://docs.google.com/spreadsheets/d/1tJCeYclgeJZ4Dc78t_SkhVjtacKW-5-VGim8X1rzUzk/edit"",""12!Q2:Q34""))"),6481.311000000001)</f>
        <v>6481.311</v>
      </c>
      <c r="G304" s="40">
        <f>IFERROR(__xludf.DUMMYFUNCTION("IMPORTRANGE(""https://docs.google.com/spreadsheets/d/1tJCeYclgeJZ4Dc78t_SkhVjtacKW-5-VGim8X1rzUzk/edit"",""12!e41"")"),2797.0)</f>
        <v>2797</v>
      </c>
      <c r="H304" s="40">
        <f>IFERROR(__xludf.DUMMYFUNCTION("IMPORTRANGE(""https://docs.google.com/spreadsheets/d/1tJCeYclgeJZ4Dc78t_SkhVjtacKW-5-VGim8X1rzUzk/edit"",""12!e42"")"),133.0)</f>
        <v>133</v>
      </c>
      <c r="I304" s="40">
        <f t="shared" si="840"/>
        <v>2930</v>
      </c>
      <c r="J304" s="40">
        <f>IFERROR(__xludf.DUMMYFUNCTION("IMPORTRANGE(""https://docs.google.com/spreadsheets/d/1tJCeYclgeJZ4Dc78t_SkhVjtacKW-5-VGim8X1rzUzk/edit"",""12!e45"")"),2978.0)</f>
        <v>2978</v>
      </c>
      <c r="K304" s="40">
        <f>IFERROR(__xludf.DUMMYFUNCTION("IMPORTRANGE(""https://docs.google.com/spreadsheets/d/1tJCeYclgeJZ4Dc78t_SkhVjtacKW-5-VGim8X1rzUzk/edit"",""12!e46"")"),113.0)</f>
        <v>113</v>
      </c>
      <c r="L304" s="40">
        <f t="shared" si="841"/>
        <v>3091</v>
      </c>
      <c r="M304" s="40">
        <f t="shared" si="842"/>
        <v>6021</v>
      </c>
      <c r="N304" s="41">
        <f t="shared" si="843"/>
        <v>196.4033636</v>
      </c>
      <c r="O304" s="38">
        <v>7315.0</v>
      </c>
      <c r="P304" s="42">
        <f t="shared" si="844"/>
        <v>0.8231032126</v>
      </c>
      <c r="Q304" s="43">
        <v>1.5</v>
      </c>
      <c r="R304" s="42">
        <f t="shared" si="845"/>
        <v>0.619319147</v>
      </c>
      <c r="S304" s="44">
        <f t="shared" si="846"/>
        <v>0.9289787205</v>
      </c>
      <c r="T304" s="43">
        <f>F304/30.897</f>
        <v>209.7715312</v>
      </c>
      <c r="U304" s="43">
        <f t="shared" si="847"/>
        <v>6.356713067</v>
      </c>
      <c r="V304" s="40">
        <f t="shared" si="848"/>
        <v>182.4545455</v>
      </c>
      <c r="X304" s="22">
        <v>5.0</v>
      </c>
      <c r="Y304" s="22" t="s">
        <v>29</v>
      </c>
      <c r="Z304" s="22">
        <f t="shared" ref="Z304:AI304" si="849">SUM(D319)</f>
        <v>30</v>
      </c>
      <c r="AA304" s="23">
        <f t="shared" si="849"/>
        <v>29</v>
      </c>
      <c r="AB304" s="24">
        <f t="shared" si="849"/>
        <v>5775.038</v>
      </c>
      <c r="AC304" s="23">
        <f t="shared" si="849"/>
        <v>2892</v>
      </c>
      <c r="AD304" s="23">
        <f t="shared" si="849"/>
        <v>0</v>
      </c>
      <c r="AE304" s="23">
        <f t="shared" si="849"/>
        <v>2892</v>
      </c>
      <c r="AF304" s="23">
        <f t="shared" si="849"/>
        <v>4035</v>
      </c>
      <c r="AG304" s="23">
        <f t="shared" si="849"/>
        <v>0</v>
      </c>
      <c r="AH304" s="23">
        <f t="shared" si="849"/>
        <v>4035</v>
      </c>
      <c r="AI304" s="23">
        <f t="shared" si="849"/>
        <v>6927</v>
      </c>
      <c r="AJ304" s="25">
        <f t="shared" ref="AJ304:AJ306" si="852">AB304/AA304</f>
        <v>199.1392414</v>
      </c>
      <c r="AK304" s="22">
        <f t="shared" ref="AK304:AK305" si="853">SUM(O319)</f>
        <v>9201</v>
      </c>
      <c r="AL304" s="26">
        <f t="shared" si="830"/>
        <v>0.7528529508</v>
      </c>
      <c r="AM304" s="27">
        <f t="shared" ref="AM304:AM305" si="854">SUM(Q319)</f>
        <v>1.5</v>
      </c>
      <c r="AN304" s="26">
        <f t="shared" si="832"/>
        <v>0.7996484179</v>
      </c>
      <c r="AO304" s="28">
        <f t="shared" si="833"/>
        <v>1.199472627</v>
      </c>
      <c r="AP304" s="27">
        <f t="shared" ref="AP304:AQ304" si="850">SUM(T319)</f>
        <v>218</v>
      </c>
      <c r="AQ304" s="27">
        <f t="shared" si="850"/>
        <v>7.517241379</v>
      </c>
      <c r="AR304" s="23">
        <f t="shared" si="835"/>
        <v>238.862069</v>
      </c>
    </row>
    <row r="305" ht="15.75" customHeight="1">
      <c r="A305" s="21"/>
      <c r="B305" s="38">
        <v>3.0</v>
      </c>
      <c r="C305" s="38" t="s">
        <v>30</v>
      </c>
      <c r="D305" s="39">
        <v>60.0</v>
      </c>
      <c r="E305" s="40">
        <f>IFERROR(__xludf.DUMMYFUNCTION("COUNT(IMPORTRANGE(""https://docs.google.com/spreadsheets/d/130gLEONC13J8KkQ6dk06x3bLRy_jCrAw2hXatQf2W50/edit"",""12!d2:d61""))"),59.0)</f>
        <v>59</v>
      </c>
      <c r="F305" s="45">
        <f>IFERROR(__xludf.DUMMYFUNCTION("SUM(IMPORTRANGE(""https://docs.google.com/spreadsheets/d/130gLEONC13J8KkQ6dk06x3bLRy_jCrAw2hXatQf2W50/edit"",""12!Q2:Q61""))"),11828.50099999999)</f>
        <v>11828.501</v>
      </c>
      <c r="G305" s="40">
        <f>IFERROR(__xludf.DUMMYFUNCTION("IMPORTRANGE(""https://docs.google.com/spreadsheets/d/130gLEONC13J8KkQ6dk06x3bLRy_jCrAw2hXatQf2W50/edit"",""12!e68"")"),3835.0)</f>
        <v>3835</v>
      </c>
      <c r="H305" s="40">
        <f>IFERROR(__xludf.DUMMYFUNCTION("IMPORTRANGE(""https://docs.google.com/spreadsheets/d/130gLEONC13J8KkQ6dk06x3bLRy_jCrAw2hXatQf2W50/edit"",""12!e69"")"),0.0)</f>
        <v>0</v>
      </c>
      <c r="I305" s="40">
        <f t="shared" si="840"/>
        <v>3835</v>
      </c>
      <c r="J305" s="40">
        <f>IFERROR(__xludf.DUMMYFUNCTION("IMPORTRANGE(""https://docs.google.com/spreadsheets/d/130gLEONC13J8KkQ6dk06x3bLRy_jCrAw2hXatQf2W50/edit"",""12!e72"")"),4877.0)</f>
        <v>4877</v>
      </c>
      <c r="K305" s="40">
        <f>IFERROR(__xludf.DUMMYFUNCTION("IMPORTRANGE(""https://docs.google.com/spreadsheets/d/130gLEONC13J8KkQ6dk06x3bLRy_jCrAw2hXatQf2W50/edit"",""12!e73"")"),93.0)</f>
        <v>93</v>
      </c>
      <c r="L305" s="40">
        <f t="shared" si="841"/>
        <v>4970</v>
      </c>
      <c r="M305" s="40">
        <f t="shared" si="842"/>
        <v>8805</v>
      </c>
      <c r="N305" s="41">
        <f t="shared" si="843"/>
        <v>200.4830678</v>
      </c>
      <c r="O305" s="38">
        <v>11164.0</v>
      </c>
      <c r="P305" s="42">
        <f t="shared" si="844"/>
        <v>0.788695808</v>
      </c>
      <c r="Q305" s="43">
        <v>1.5</v>
      </c>
      <c r="R305" s="42">
        <f t="shared" si="845"/>
        <v>0.4962589934</v>
      </c>
      <c r="S305" s="44">
        <f t="shared" si="846"/>
        <v>0.7443884901</v>
      </c>
      <c r="T305" s="43">
        <f>F305/29.603</f>
        <v>399.5710232</v>
      </c>
      <c r="U305" s="43">
        <f t="shared" si="847"/>
        <v>6.772390224</v>
      </c>
      <c r="V305" s="40">
        <f t="shared" si="848"/>
        <v>149.2372881</v>
      </c>
      <c r="X305" s="22">
        <v>6.0</v>
      </c>
      <c r="Y305" s="22" t="s">
        <v>31</v>
      </c>
      <c r="Z305" s="22">
        <f t="shared" ref="Z305:AI305" si="851">SUM(D320)</f>
        <v>15</v>
      </c>
      <c r="AA305" s="23">
        <f t="shared" si="851"/>
        <v>14</v>
      </c>
      <c r="AB305" s="25">
        <f t="shared" si="851"/>
        <v>2868.69</v>
      </c>
      <c r="AC305" s="23">
        <f t="shared" si="851"/>
        <v>980</v>
      </c>
      <c r="AD305" s="23">
        <f t="shared" si="851"/>
        <v>12</v>
      </c>
      <c r="AE305" s="23">
        <f t="shared" si="851"/>
        <v>992</v>
      </c>
      <c r="AF305" s="23">
        <f t="shared" si="851"/>
        <v>1106</v>
      </c>
      <c r="AG305" s="23">
        <f t="shared" si="851"/>
        <v>0</v>
      </c>
      <c r="AH305" s="23">
        <f t="shared" si="851"/>
        <v>1106</v>
      </c>
      <c r="AI305" s="23">
        <f t="shared" si="851"/>
        <v>2098</v>
      </c>
      <c r="AJ305" s="25">
        <f t="shared" si="852"/>
        <v>204.9064286</v>
      </c>
      <c r="AK305" s="22">
        <f t="shared" si="853"/>
        <v>2717</v>
      </c>
      <c r="AL305" s="26">
        <f t="shared" si="830"/>
        <v>0.7721751932</v>
      </c>
      <c r="AM305" s="27">
        <f t="shared" si="854"/>
        <v>1.5</v>
      </c>
      <c r="AN305" s="26">
        <f t="shared" si="832"/>
        <v>0.4875628481</v>
      </c>
      <c r="AO305" s="28">
        <f t="shared" si="833"/>
        <v>0.7313442721</v>
      </c>
      <c r="AP305" s="27">
        <f t="shared" ref="AP305:AQ305" si="855">SUM(T320)</f>
        <v>66</v>
      </c>
      <c r="AQ305" s="27">
        <f t="shared" si="855"/>
        <v>4.714285714</v>
      </c>
      <c r="AR305" s="23">
        <f t="shared" si="835"/>
        <v>149.8571429</v>
      </c>
    </row>
    <row r="306" ht="15.75" customHeight="1">
      <c r="A306" s="21"/>
      <c r="B306" s="38">
        <v>4.0</v>
      </c>
      <c r="C306" s="38" t="s">
        <v>32</v>
      </c>
      <c r="D306" s="39">
        <v>42.0</v>
      </c>
      <c r="E306" s="40">
        <f>IFERROR(__xludf.DUMMYFUNCTION("COUNT(IMPORTRANGE(""https://docs.google.com/spreadsheets/d/1gYHli7FuKQLm2Q-5LMR0UtkD-gRRA_p8s-phLPLDLgc/edit"",""12!d2:d43""))"),42.0)</f>
        <v>42</v>
      </c>
      <c r="F306" s="45">
        <f>IFERROR(__xludf.DUMMYFUNCTION("SUM(IMPORTRANGE(""https://docs.google.com/spreadsheets/d/1gYHli7FuKQLm2Q-5LMR0UtkD-gRRA_p8s-phLPLDLgc/edit"",""12!Q2:Q43""))"),8067.187999999991)</f>
        <v>8067.188</v>
      </c>
      <c r="G306" s="38">
        <f>IFERROR(__xludf.DUMMYFUNCTION("IMPORTRANGE(""https://docs.google.com/spreadsheets/d/1gYHli7FuKQLm2Q-5LMR0UtkD-gRRA_p8s-phLPLDLgc/edit"",""12!e50"")"),4860.0)</f>
        <v>4860</v>
      </c>
      <c r="H306" s="38">
        <f>IFERROR(__xludf.DUMMYFUNCTION("IMPORTRANGE(""https://docs.google.com/spreadsheets/d/1gYHli7FuKQLm2Q-5LMR0UtkD-gRRA_p8s-phLPLDLgc/edit"",""12!e51"")"),0.0)</f>
        <v>0</v>
      </c>
      <c r="I306" s="40">
        <f t="shared" si="840"/>
        <v>4860</v>
      </c>
      <c r="J306" s="38">
        <f>IFERROR(__xludf.DUMMYFUNCTION("IMPORTRANGE(""https://docs.google.com/spreadsheets/d/1gYHli7FuKQLm2Q-5LMR0UtkD-gRRA_p8s-phLPLDLgc/edit"",""12!e54"")"),5642.0)</f>
        <v>5642</v>
      </c>
      <c r="K306" s="38">
        <f>IFERROR(__xludf.DUMMYFUNCTION("IMPORTRANGE(""https://docs.google.com/spreadsheets/d/1gYHli7FuKQLm2Q-5LMR0UtkD-gRRA_p8s-phLPLDLgc/edit"",""12!e55"")"),0.0)</f>
        <v>0</v>
      </c>
      <c r="L306" s="40">
        <f t="shared" si="841"/>
        <v>5642</v>
      </c>
      <c r="M306" s="40">
        <f t="shared" si="842"/>
        <v>10502</v>
      </c>
      <c r="N306" s="41">
        <f t="shared" si="843"/>
        <v>192.0759048</v>
      </c>
      <c r="O306" s="38">
        <v>13817.0</v>
      </c>
      <c r="P306" s="42">
        <f t="shared" si="844"/>
        <v>0.7600781646</v>
      </c>
      <c r="Q306" s="43">
        <v>1.5</v>
      </c>
      <c r="R306" s="42">
        <f t="shared" si="845"/>
        <v>0.867877795</v>
      </c>
      <c r="S306" s="44">
        <f t="shared" si="846"/>
        <v>1.301816693</v>
      </c>
      <c r="T306" s="43">
        <f>F306/25.089</f>
        <v>321.5428275</v>
      </c>
      <c r="U306" s="43">
        <f t="shared" si="847"/>
        <v>7.655781608</v>
      </c>
      <c r="V306" s="40">
        <f t="shared" si="848"/>
        <v>250.047619</v>
      </c>
      <c r="X306" s="68" t="s">
        <v>33</v>
      </c>
      <c r="Y306" s="46">
        <v>6.0</v>
      </c>
      <c r="Z306" s="46">
        <f t="shared" ref="Z306:AI306" si="856">SUM(Z300:Z305)</f>
        <v>186</v>
      </c>
      <c r="AA306" s="47">
        <f t="shared" si="856"/>
        <v>181</v>
      </c>
      <c r="AB306" s="48">
        <f t="shared" si="856"/>
        <v>34305.579</v>
      </c>
      <c r="AC306" s="47">
        <f t="shared" si="856"/>
        <v>13188</v>
      </c>
      <c r="AD306" s="47">
        <f t="shared" si="856"/>
        <v>351</v>
      </c>
      <c r="AE306" s="47">
        <f t="shared" si="856"/>
        <v>13539</v>
      </c>
      <c r="AF306" s="47">
        <f t="shared" si="856"/>
        <v>14746</v>
      </c>
      <c r="AG306" s="47">
        <f t="shared" si="856"/>
        <v>365</v>
      </c>
      <c r="AH306" s="47">
        <f t="shared" si="856"/>
        <v>15111</v>
      </c>
      <c r="AI306" s="47">
        <f t="shared" si="856"/>
        <v>28650</v>
      </c>
      <c r="AJ306" s="49">
        <f t="shared" si="852"/>
        <v>189.5335856</v>
      </c>
      <c r="AK306" s="46">
        <f>SUM(AK300:AK305)</f>
        <v>35074</v>
      </c>
      <c r="AL306" s="50">
        <f t="shared" si="830"/>
        <v>0.8168443862</v>
      </c>
      <c r="AM306" s="51">
        <v>1.5</v>
      </c>
      <c r="AN306" s="50">
        <f t="shared" si="832"/>
        <v>0.5567607531</v>
      </c>
      <c r="AO306" s="52">
        <f t="shared" si="833"/>
        <v>0.8351411297</v>
      </c>
      <c r="AP306" s="51">
        <f>SUM(AP300:AP305)</f>
        <v>1285.307594</v>
      </c>
      <c r="AQ306" s="51">
        <f>AP306/AA306</f>
        <v>7.101146927</v>
      </c>
      <c r="AR306" s="47">
        <f t="shared" si="835"/>
        <v>158.2872928</v>
      </c>
    </row>
    <row r="307" ht="15.75" customHeight="1">
      <c r="A307" s="21"/>
      <c r="B307" s="38">
        <v>5.0</v>
      </c>
      <c r="C307" s="38" t="s">
        <v>34</v>
      </c>
      <c r="D307" s="39">
        <v>40.0</v>
      </c>
      <c r="E307" s="40">
        <f>IFERROR(__xludf.DUMMYFUNCTION("COUNT(IMPORTRANGE(""https://docs.google.com/spreadsheets/d/1ptS0qWBCKWkc9h2aXWT_YgMhN7yIv5WgAHRbF8l9Zpo/edit"",""12!d2:d41""))"),40.0)</f>
        <v>40</v>
      </c>
      <c r="F307" s="45">
        <f>IFERROR(__xludf.DUMMYFUNCTION("SUM(IMPORTRANGE(""https://docs.google.com/spreadsheets/d/1ptS0qWBCKWkc9h2aXWT_YgMhN7yIv5WgAHRbF8l9Zpo/edit"",""12!Q2:Q41""))"),7964.100000000002)</f>
        <v>7964.1</v>
      </c>
      <c r="G307" s="40">
        <f>IFERROR(__xludf.DUMMYFUNCTION("IMPORTRANGE(""https://docs.google.com/spreadsheets/d/1ptS0qWBCKWkc9h2aXWT_YgMhN7yIv5WgAHRbF8l9Zpo/edit"",""12!e48"")"),2941.0)</f>
        <v>2941</v>
      </c>
      <c r="H307" s="40">
        <f>IFERROR(__xludf.DUMMYFUNCTION("IMPORTRANGE(""https://docs.google.com/spreadsheets/d/1ptS0qWBCKWkc9h2aXWT_YgMhN7yIv5WgAHRbF8l9Zpo/edit"",""12!e49"")"),0.0)</f>
        <v>0</v>
      </c>
      <c r="I307" s="40">
        <f t="shared" si="840"/>
        <v>2941</v>
      </c>
      <c r="J307" s="40">
        <f>IFERROR(__xludf.DUMMYFUNCTION("IMPORTRANGE(""https://docs.google.com/spreadsheets/d/1ptS0qWBCKWkc9h2aXWT_YgMhN7yIv5WgAHRbF8l9Zpo/edit"",""12!e52"")"),3426.0)</f>
        <v>3426</v>
      </c>
      <c r="K307" s="40">
        <f>IFERROR(__xludf.DUMMYFUNCTION("IMPORTRANGE(""https://docs.google.com/spreadsheets/d/1ptS0qWBCKWkc9h2aXWT_YgMhN7yIv5WgAHRbF8l9Zpo/edit"",""12!e53"")"),0.0)</f>
        <v>0</v>
      </c>
      <c r="L307" s="40">
        <f t="shared" si="841"/>
        <v>3426</v>
      </c>
      <c r="M307" s="40">
        <f t="shared" si="842"/>
        <v>6367</v>
      </c>
      <c r="N307" s="41">
        <f t="shared" si="843"/>
        <v>199.1025</v>
      </c>
      <c r="O307" s="38">
        <v>9354.0</v>
      </c>
      <c r="P307" s="42">
        <f t="shared" si="844"/>
        <v>0.6806713705</v>
      </c>
      <c r="Q307" s="43">
        <v>1.5</v>
      </c>
      <c r="R307" s="42">
        <f t="shared" si="845"/>
        <v>0.5329750589</v>
      </c>
      <c r="S307" s="44">
        <f t="shared" si="846"/>
        <v>0.7994625884</v>
      </c>
      <c r="T307" s="43">
        <f>F307/30.713</f>
        <v>259.3071338</v>
      </c>
      <c r="U307" s="43">
        <f t="shared" si="847"/>
        <v>6.482678345</v>
      </c>
      <c r="V307" s="40">
        <f t="shared" si="848"/>
        <v>159.175</v>
      </c>
      <c r="X307" s="53" t="s">
        <v>35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6"/>
    </row>
    <row r="308" ht="15.75" customHeight="1">
      <c r="A308" s="21"/>
      <c r="B308" s="38">
        <v>6.0</v>
      </c>
      <c r="C308" s="38" t="s">
        <v>23</v>
      </c>
      <c r="D308" s="39">
        <v>35.0</v>
      </c>
      <c r="E308" s="40">
        <f>IFERROR(__xludf.DUMMYFUNCTION("COUNT(IMPORTRANGE(""https://docs.google.com/spreadsheets/d/1829CoYW82aTBBUgqkPnJa94KlBWI-DowAnP4ENQCmaQ/edit"",""12!d2:d36""))"),34.0)</f>
        <v>34</v>
      </c>
      <c r="F308" s="45">
        <f>IFERROR(__xludf.DUMMYFUNCTION("SUM(IMPORTRANGE(""https://docs.google.com/spreadsheets/d/1829CoYW82aTBBUgqkPnJa94KlBWI-DowAnP4ENQCmaQ/edit"",""12!Q2:Q36""))"),6429.2639999999965)</f>
        <v>6429.264</v>
      </c>
      <c r="G308" s="40">
        <f>IFERROR(__xludf.DUMMYFUNCTION("IMPORTRANGE(""https://docs.google.com/spreadsheets/d/1829CoYW82aTBBUgqkPnJa94KlBWI-DowAnP4ENQCmaQ/edit"",""12!e43"")"),2770.0)</f>
        <v>2770</v>
      </c>
      <c r="H308" s="40">
        <f>IFERROR(__xludf.DUMMYFUNCTION("IMPORTRANGE(""https://docs.google.com/spreadsheets/d/1829CoYW82aTBBUgqkPnJa94KlBWI-DowAnP4ENQCmaQ/edit"",""12!e44"")"),0.0)</f>
        <v>0</v>
      </c>
      <c r="I308" s="40">
        <f t="shared" si="840"/>
        <v>2770</v>
      </c>
      <c r="J308" s="40">
        <f>IFERROR(__xludf.DUMMYFUNCTION("IMPORTRANGE(""https://docs.google.com/spreadsheets/d/1829CoYW82aTBBUgqkPnJa94KlBWI-DowAnP4ENQCmaQ/edit"",""12!e47"")"),2375.0)</f>
        <v>2375</v>
      </c>
      <c r="K308" s="40">
        <f>IFERROR(__xludf.DUMMYFUNCTION("IMPORTRANGE(""https://docs.google.com/spreadsheets/d/1829CoYW82aTBBUgqkPnJa94KlBWI-DowAnP4ENQCmaQ/edit"",""12!e48"")"),0.0)</f>
        <v>0</v>
      </c>
      <c r="L308" s="40">
        <f t="shared" si="841"/>
        <v>2375</v>
      </c>
      <c r="M308" s="40">
        <f t="shared" si="842"/>
        <v>5145</v>
      </c>
      <c r="N308" s="41">
        <f t="shared" si="843"/>
        <v>189.096</v>
      </c>
      <c r="O308" s="38">
        <v>6853.0</v>
      </c>
      <c r="P308" s="42">
        <f t="shared" si="844"/>
        <v>0.7507660878</v>
      </c>
      <c r="Q308" s="43">
        <v>1.5</v>
      </c>
      <c r="R308" s="42">
        <f t="shared" si="845"/>
        <v>0.53349808</v>
      </c>
      <c r="S308" s="44">
        <f t="shared" si="846"/>
        <v>0.80024712</v>
      </c>
      <c r="T308" s="43">
        <f>F308/33.74</f>
        <v>190.5531713</v>
      </c>
      <c r="U308" s="43">
        <f t="shared" si="847"/>
        <v>5.604505039</v>
      </c>
      <c r="V308" s="40">
        <f t="shared" si="848"/>
        <v>151.3235294</v>
      </c>
      <c r="X308" s="14" t="s">
        <v>2</v>
      </c>
      <c r="Y308" s="14" t="s">
        <v>3</v>
      </c>
      <c r="Z308" s="14" t="s">
        <v>4</v>
      </c>
      <c r="AA308" s="14" t="s">
        <v>5</v>
      </c>
      <c r="AB308" s="15" t="s">
        <v>6</v>
      </c>
      <c r="AC308" s="14" t="s">
        <v>7</v>
      </c>
      <c r="AD308" s="14" t="s">
        <v>8</v>
      </c>
      <c r="AE308" s="14" t="s">
        <v>9</v>
      </c>
      <c r="AF308" s="14" t="s">
        <v>10</v>
      </c>
      <c r="AG308" s="14" t="s">
        <v>11</v>
      </c>
      <c r="AH308" s="14" t="s">
        <v>12</v>
      </c>
      <c r="AI308" s="14" t="s">
        <v>13</v>
      </c>
      <c r="AJ308" s="15" t="s">
        <v>14</v>
      </c>
      <c r="AK308" s="14" t="s">
        <v>15</v>
      </c>
      <c r="AL308" s="14" t="s">
        <v>16</v>
      </c>
      <c r="AM308" s="16" t="s">
        <v>17</v>
      </c>
      <c r="AN308" s="17" t="s">
        <v>18</v>
      </c>
      <c r="AO308" s="18" t="s">
        <v>19</v>
      </c>
      <c r="AP308" s="19" t="s">
        <v>20</v>
      </c>
      <c r="AQ308" s="19" t="s">
        <v>21</v>
      </c>
      <c r="AR308" s="20" t="s">
        <v>22</v>
      </c>
    </row>
    <row r="309" ht="15.75" customHeight="1">
      <c r="A309" s="21"/>
      <c r="B309" s="38">
        <v>7.0</v>
      </c>
      <c r="C309" s="38" t="s">
        <v>24</v>
      </c>
      <c r="D309" s="39">
        <v>44.0</v>
      </c>
      <c r="E309" s="54">
        <f>IFERROR(__xludf.DUMMYFUNCTION("COUNT(IMPORTRANGE(""https://docs.google.com/spreadsheets/d/1E2x4oDZxEIsuC5nl-5Z0--MoN8b1dt9SbpRcCfNP84Q/edit"",""12!d2:d45""))"),43.0)</f>
        <v>43</v>
      </c>
      <c r="F309" s="55">
        <f>IFERROR(__xludf.DUMMYFUNCTION("SUM(IMPORTRANGE(""https://docs.google.com/spreadsheets/d/1E2x4oDZxEIsuC5nl-5Z0--MoN8b1dt9SbpRcCfNP84Q/edit"",""12!Q2:Q45""))"),8351.791999999992)</f>
        <v>8351.792</v>
      </c>
      <c r="G309" s="54">
        <f>IFERROR(__xludf.DUMMYFUNCTION("IMPORTRANGE(""https://docs.google.com/spreadsheets/d/1E2x4oDZxEIsuC5nl-5Z0--MoN8b1dt9SbpRcCfNP84Q/edit"",""12!e53"")"),1178.0)</f>
        <v>1178</v>
      </c>
      <c r="H309" s="54">
        <f>IFERROR(__xludf.DUMMYFUNCTION("IMPORTRANGE(""https://docs.google.com/spreadsheets/d/1E2x4oDZxEIsuC5nl-5Z0--MoN8b1dt9SbpRcCfNP84Q/edit"",""12!e54"")"),25.0)</f>
        <v>25</v>
      </c>
      <c r="I309" s="54">
        <f t="shared" si="840"/>
        <v>1203</v>
      </c>
      <c r="J309" s="54">
        <f>IFERROR(__xludf.DUMMYFUNCTION("IMPORTRANGE(""https://docs.google.com/spreadsheets/d/1E2x4oDZxEIsuC5nl-5Z0--MoN8b1dt9SbpRcCfNP84Q/edit"",""12!e57"")"),1252.0)</f>
        <v>1252</v>
      </c>
      <c r="K309" s="54">
        <f>IFERROR(__xludf.DUMMYFUNCTION("IMPORTRANGE(""https://docs.google.com/spreadsheets/d/1E2x4oDZxEIsuC5nl-5Z0--MoN8b1dt9SbpRcCfNP84Q/edit"",""12!e58"")"),0.0)</f>
        <v>0</v>
      </c>
      <c r="L309" s="40">
        <f t="shared" si="841"/>
        <v>1252</v>
      </c>
      <c r="M309" s="40">
        <f t="shared" si="842"/>
        <v>2455</v>
      </c>
      <c r="N309" s="41">
        <f t="shared" si="843"/>
        <v>194.2277209</v>
      </c>
      <c r="O309" s="38">
        <v>1580.0</v>
      </c>
      <c r="P309" s="56">
        <f t="shared" si="844"/>
        <v>1.553797468</v>
      </c>
      <c r="Q309" s="43">
        <v>1.5</v>
      </c>
      <c r="R309" s="42">
        <f t="shared" si="845"/>
        <v>0.1959659276</v>
      </c>
      <c r="S309" s="44">
        <f t="shared" si="846"/>
        <v>0.2939488914</v>
      </c>
      <c r="T309" s="43">
        <f>F309/26.805</f>
        <v>311.5759</v>
      </c>
      <c r="U309" s="43">
        <f t="shared" si="847"/>
        <v>7.245951163</v>
      </c>
      <c r="V309" s="40">
        <f t="shared" si="848"/>
        <v>57.09302326</v>
      </c>
      <c r="X309" s="22">
        <v>1.0</v>
      </c>
      <c r="Y309" s="22" t="s">
        <v>28</v>
      </c>
      <c r="Z309" s="22">
        <f t="shared" ref="Z309:AI309" si="857">SUM(D304)</f>
        <v>33</v>
      </c>
      <c r="AA309" s="23">
        <f t="shared" si="857"/>
        <v>33</v>
      </c>
      <c r="AB309" s="25">
        <f t="shared" si="857"/>
        <v>6481.311</v>
      </c>
      <c r="AC309" s="23">
        <f t="shared" si="857"/>
        <v>2797</v>
      </c>
      <c r="AD309" s="23">
        <f t="shared" si="857"/>
        <v>133</v>
      </c>
      <c r="AE309" s="23">
        <f t="shared" si="857"/>
        <v>2930</v>
      </c>
      <c r="AF309" s="23">
        <f t="shared" si="857"/>
        <v>2978</v>
      </c>
      <c r="AG309" s="23">
        <f t="shared" si="857"/>
        <v>113</v>
      </c>
      <c r="AH309" s="23">
        <f t="shared" si="857"/>
        <v>3091</v>
      </c>
      <c r="AI309" s="23">
        <f t="shared" si="857"/>
        <v>6021</v>
      </c>
      <c r="AJ309" s="25">
        <f t="shared" ref="AJ309:AJ315" si="860">AB309/AA309</f>
        <v>196.4033636</v>
      </c>
      <c r="AK309" s="22">
        <f t="shared" ref="AK309:AK310" si="861">SUM(O304)</f>
        <v>7315</v>
      </c>
      <c r="AL309" s="26">
        <f t="shared" ref="AL309:AL315" si="862">AI309/AK309</f>
        <v>0.8231032126</v>
      </c>
      <c r="AM309" s="27">
        <f t="shared" ref="AM309:AM310" si="863">SUM(Q304)</f>
        <v>1.5</v>
      </c>
      <c r="AN309" s="26">
        <f t="shared" ref="AN309:AN315" si="864">AO309/AM309</f>
        <v>0.619319147</v>
      </c>
      <c r="AO309" s="28">
        <f t="shared" ref="AO309:AO315" si="865">AI309/AB309</f>
        <v>0.9289787205</v>
      </c>
      <c r="AP309" s="27">
        <f t="shared" ref="AP309:AQ309" si="858">SUM(T304)</f>
        <v>209.7715312</v>
      </c>
      <c r="AQ309" s="27">
        <f t="shared" si="858"/>
        <v>6.356713067</v>
      </c>
      <c r="AR309" s="23">
        <f t="shared" ref="AR309:AR315" si="867">AI309/AA309</f>
        <v>182.4545455</v>
      </c>
    </row>
    <row r="310" ht="15.75" customHeight="1">
      <c r="A310" s="21"/>
      <c r="B310" s="38">
        <v>8.0</v>
      </c>
      <c r="C310" s="38" t="s">
        <v>25</v>
      </c>
      <c r="D310" s="57">
        <v>32.0</v>
      </c>
      <c r="E310" s="40">
        <f>IFERROR(__xludf.DUMMYFUNCTION("COUNT(IMPORTRANGE(""https://docs.google.com/spreadsheets/d/1KbRFOEYB0B44J_NSh1MwYQ1sLDlZXUHI-wuMLcZDn5k/edit"",""12!d2:D33""))"),31.0)</f>
        <v>31</v>
      </c>
      <c r="F310" s="45">
        <f>IFERROR(__xludf.DUMMYFUNCTION("SUM(IMPORTRANGE(""https://docs.google.com/spreadsheets/d/1KbRFOEYB0B44J_NSh1MwYQ1sLDlZXUHI-wuMLcZDn5k/edit"",""12!Q2:Q33""))"),5594.900000000001)</f>
        <v>5594.9</v>
      </c>
      <c r="G310" s="40">
        <f>IFERROR(__xludf.DUMMYFUNCTION("IMPORTRANGE(""https://docs.google.com/spreadsheets/d/1KbRFOEYB0B44J_NSh1MwYQ1sLDlZXUHI-wuMLcZDn5k/edit"",""12!e40"")"),2427.0)</f>
        <v>2427</v>
      </c>
      <c r="H310" s="40">
        <f>IFERROR(__xludf.DUMMYFUNCTION("IMPORTRANGE(""https://docs.google.com/spreadsheets/d/1KbRFOEYB0B44J_NSh1MwYQ1sLDlZXUHI-wuMLcZDn5k/edit"",""12!e41"")"),314.0)</f>
        <v>314</v>
      </c>
      <c r="I310" s="40">
        <f t="shared" si="840"/>
        <v>2741</v>
      </c>
      <c r="J310" s="40">
        <f>IFERROR(__xludf.DUMMYFUNCTION("IMPORTRANGE(""https://docs.google.com/spreadsheets/d/1KbRFOEYB0B44J_NSh1MwYQ1sLDlZXUHI-wuMLcZDn5k/edit"",""12!e44"")"),3323.0)</f>
        <v>3323</v>
      </c>
      <c r="K310" s="40">
        <f>IFERROR(__xludf.DUMMYFUNCTION("IMPORTRANGE(""https://docs.google.com/spreadsheets/d/1KbRFOEYB0B44J_NSh1MwYQ1sLDlZXUHI-wuMLcZDn5k/edit"",""12!e45"")"),365.0)</f>
        <v>365</v>
      </c>
      <c r="L310" s="40">
        <f>J310+K310</f>
        <v>3688</v>
      </c>
      <c r="M310" s="40">
        <f t="shared" si="842"/>
        <v>6429</v>
      </c>
      <c r="N310" s="41">
        <f t="shared" si="843"/>
        <v>180.4806452</v>
      </c>
      <c r="O310" s="38">
        <v>6622.0</v>
      </c>
      <c r="P310" s="42">
        <f t="shared" si="844"/>
        <v>0.9708547267</v>
      </c>
      <c r="Q310" s="43">
        <v>1.5</v>
      </c>
      <c r="R310" s="42">
        <f t="shared" si="845"/>
        <v>0.7660547999</v>
      </c>
      <c r="S310" s="44">
        <f t="shared" si="846"/>
        <v>1.1490822</v>
      </c>
      <c r="T310" s="43">
        <f>F310/23.84</f>
        <v>234.6854027</v>
      </c>
      <c r="U310" s="43">
        <f t="shared" si="847"/>
        <v>7.570496861</v>
      </c>
      <c r="V310" s="40">
        <f t="shared" si="848"/>
        <v>207.3870968</v>
      </c>
      <c r="X310" s="31">
        <v>2.0</v>
      </c>
      <c r="Y310" s="31" t="s">
        <v>30</v>
      </c>
      <c r="Z310" s="31">
        <f t="shared" ref="Z310:AI310" si="859">SUM(D305)</f>
        <v>60</v>
      </c>
      <c r="AA310" s="32">
        <f t="shared" si="859"/>
        <v>59</v>
      </c>
      <c r="AB310" s="33">
        <f t="shared" si="859"/>
        <v>11828.501</v>
      </c>
      <c r="AC310" s="32">
        <f t="shared" si="859"/>
        <v>3835</v>
      </c>
      <c r="AD310" s="32">
        <f t="shared" si="859"/>
        <v>0</v>
      </c>
      <c r="AE310" s="32">
        <f t="shared" si="859"/>
        <v>3835</v>
      </c>
      <c r="AF310" s="32">
        <f t="shared" si="859"/>
        <v>4877</v>
      </c>
      <c r="AG310" s="32">
        <f t="shared" si="859"/>
        <v>93</v>
      </c>
      <c r="AH310" s="32">
        <f t="shared" si="859"/>
        <v>4970</v>
      </c>
      <c r="AI310" s="32">
        <f t="shared" si="859"/>
        <v>8805</v>
      </c>
      <c r="AJ310" s="34">
        <f t="shared" si="860"/>
        <v>200.4830678</v>
      </c>
      <c r="AK310" s="31">
        <f t="shared" si="861"/>
        <v>11164</v>
      </c>
      <c r="AL310" s="35">
        <f t="shared" si="862"/>
        <v>0.788695808</v>
      </c>
      <c r="AM310" s="36">
        <f t="shared" si="863"/>
        <v>1.5</v>
      </c>
      <c r="AN310" s="35">
        <f t="shared" si="864"/>
        <v>0.4962589934</v>
      </c>
      <c r="AO310" s="37">
        <f t="shared" si="865"/>
        <v>0.7443884901</v>
      </c>
      <c r="AP310" s="36">
        <f t="shared" ref="AP310:AQ310" si="866">SUM(T305)</f>
        <v>399.5710232</v>
      </c>
      <c r="AQ310" s="36">
        <f t="shared" si="866"/>
        <v>6.772390224</v>
      </c>
      <c r="AR310" s="32">
        <f t="shared" si="867"/>
        <v>149.2372881</v>
      </c>
    </row>
    <row r="311" ht="15.75" customHeight="1">
      <c r="A311" s="21"/>
      <c r="B311" s="38">
        <v>9.0</v>
      </c>
      <c r="C311" s="38" t="s">
        <v>36</v>
      </c>
      <c r="D311" s="58">
        <v>29.0</v>
      </c>
      <c r="E311" s="40">
        <f>IFERROR(__xludf.DUMMYFUNCTION("COUNT(IMPORTRANGE(""https://docs.google.com/spreadsheets/d/1VqqqRGfmmkT0JC4ILJva2p8P11jjV0FX-TSKAaqOigw/edit"",""12!d2:d31""))"),29.0)</f>
        <v>29</v>
      </c>
      <c r="F311" s="45">
        <f>IFERROR(__xludf.DUMMYFUNCTION("SUM(IMPORTRANGE(""https://docs.google.com/spreadsheets/d/1VqqqRGfmmkT0JC4ILJva2p8P11jjV0FX-TSKAaqOigw/edit"",""12!Q2:Q31""))"),5753.775999999999)</f>
        <v>5753.776</v>
      </c>
      <c r="G311" s="40">
        <f>IFERROR(__xludf.DUMMYFUNCTION("IMPORTRANGE(""https://docs.google.com/spreadsheets/d/1VqqqRGfmmkT0JC4ILJva2p8P11jjV0FX-TSKAaqOigw/edit"",""12!e38"")"),1720.0)</f>
        <v>1720</v>
      </c>
      <c r="H311" s="40">
        <f>IFERROR(__xludf.DUMMYFUNCTION("IMPORTRANGE(""https://docs.google.com/spreadsheets/d/1VqqqRGfmmkT0JC4ILJva2p8P11jjV0FX-TSKAaqOigw/edit"",""12!e39"")"),0.0)</f>
        <v>0</v>
      </c>
      <c r="I311" s="40">
        <f t="shared" si="840"/>
        <v>1720</v>
      </c>
      <c r="J311" s="40">
        <f>IFERROR(__xludf.DUMMYFUNCTION("IMPORTRANGE(""https://docs.google.com/spreadsheets/d/1VqqqRGfmmkT0JC4ILJva2p8P11jjV0FX-TSKAaqOigw/edit"",""12!e42"")"),2334.0)</f>
        <v>2334</v>
      </c>
      <c r="K311" s="40">
        <f>IFERROR(__xludf.DUMMYFUNCTION("IMPORTRANGE(""https://docs.google.com/spreadsheets/d/1VqqqRGfmmkT0JC4ILJva2p8P11jjV0FX-TSKAaqOigw/edit"",""12!e43"")"),0.0)</f>
        <v>0</v>
      </c>
      <c r="L311" s="40">
        <f t="shared" ref="L311:L320" si="870">SUM(J311:K311)</f>
        <v>2334</v>
      </c>
      <c r="M311" s="40">
        <f t="shared" si="842"/>
        <v>4054</v>
      </c>
      <c r="N311" s="41">
        <f t="shared" si="843"/>
        <v>198.406069</v>
      </c>
      <c r="O311" s="38">
        <v>4796.0</v>
      </c>
      <c r="P311" s="42">
        <f t="shared" si="844"/>
        <v>0.8452877398</v>
      </c>
      <c r="Q311" s="43">
        <v>1.5</v>
      </c>
      <c r="R311" s="42">
        <f t="shared" si="845"/>
        <v>0.4697205221</v>
      </c>
      <c r="S311" s="44">
        <f t="shared" si="846"/>
        <v>0.7045807831</v>
      </c>
      <c r="T311" s="43">
        <f>F311/37.414</f>
        <v>153.7867109</v>
      </c>
      <c r="U311" s="43">
        <f t="shared" si="847"/>
        <v>5.30299003</v>
      </c>
      <c r="V311" s="40">
        <f t="shared" si="848"/>
        <v>139.7931034</v>
      </c>
      <c r="X311" s="22">
        <v>3.0</v>
      </c>
      <c r="Y311" s="22" t="s">
        <v>34</v>
      </c>
      <c r="Z311" s="22">
        <f t="shared" ref="Z311:AI311" si="868">SUM(D307)</f>
        <v>40</v>
      </c>
      <c r="AA311" s="23">
        <f t="shared" si="868"/>
        <v>40</v>
      </c>
      <c r="AB311" s="24">
        <f t="shared" si="868"/>
        <v>7964.1</v>
      </c>
      <c r="AC311" s="23">
        <f t="shared" si="868"/>
        <v>2941</v>
      </c>
      <c r="AD311" s="23">
        <f t="shared" si="868"/>
        <v>0</v>
      </c>
      <c r="AE311" s="23">
        <f t="shared" si="868"/>
        <v>2941</v>
      </c>
      <c r="AF311" s="23">
        <f t="shared" si="868"/>
        <v>3426</v>
      </c>
      <c r="AG311" s="23">
        <f t="shared" si="868"/>
        <v>0</v>
      </c>
      <c r="AH311" s="23">
        <f t="shared" si="868"/>
        <v>3426</v>
      </c>
      <c r="AI311" s="23">
        <f t="shared" si="868"/>
        <v>6367</v>
      </c>
      <c r="AJ311" s="25">
        <f t="shared" si="860"/>
        <v>199.1025</v>
      </c>
      <c r="AK311" s="22">
        <f>SUM(O307)</f>
        <v>9354</v>
      </c>
      <c r="AL311" s="26">
        <f t="shared" si="862"/>
        <v>0.6806713705</v>
      </c>
      <c r="AM311" s="27">
        <f>SUM(Q307)</f>
        <v>1.5</v>
      </c>
      <c r="AN311" s="26">
        <f t="shared" si="864"/>
        <v>0.5329750589</v>
      </c>
      <c r="AO311" s="28">
        <f t="shared" si="865"/>
        <v>0.7994625884</v>
      </c>
      <c r="AP311" s="27">
        <f t="shared" ref="AP311:AQ311" si="869">SUM(T307)</f>
        <v>259.3071338</v>
      </c>
      <c r="AQ311" s="27">
        <f t="shared" si="869"/>
        <v>6.482678345</v>
      </c>
      <c r="AR311" s="23">
        <f t="shared" si="867"/>
        <v>159.175</v>
      </c>
    </row>
    <row r="312" ht="15.75" customHeight="1">
      <c r="A312" s="21"/>
      <c r="B312" s="38">
        <v>10.0</v>
      </c>
      <c r="C312" s="38" t="s">
        <v>37</v>
      </c>
      <c r="D312" s="39">
        <v>30.0</v>
      </c>
      <c r="E312" s="40">
        <f>IFERROR(__xludf.DUMMYFUNCTION("COUNT(IMPORTRANGE(""https://docs.google.com/spreadsheets/d/1IYeRjQd_D6MRqoBKNaky3aSEUloYCJc5XDnPAbdyetk/edit"",""12!d2:d31""))"),30.0)</f>
        <v>30</v>
      </c>
      <c r="F312" s="45">
        <f>IFERROR(__xludf.DUMMYFUNCTION("SUM(IMPORTRANGE(""https://docs.google.com/spreadsheets/d/1IYeRjQd_D6MRqoBKNaky3aSEUloYCJc5XDnPAbdyetk/edit"",""12!Q2:Q31""))"),5985.731999999998)</f>
        <v>5985.732</v>
      </c>
      <c r="G312" s="40">
        <f>IFERROR(__xludf.DUMMYFUNCTION("(IMPORTRANGE(""https://docs.google.com/spreadsheets/d/1IYeRjQd_D6MRqoBKNaky3aSEUloYCJc5XDnPAbdyetk/edit"",""12!e38""))"),2253.0)</f>
        <v>2253</v>
      </c>
      <c r="H312" s="40">
        <f>IFERROR(__xludf.DUMMYFUNCTION("(IMPORTRANGE(""https://docs.google.com/spreadsheets/d/1IYeRjQd_D6MRqoBKNaky3aSEUloYCJc5XDnPAbdyetk/edit"",""12!e39""))"),0.0)</f>
        <v>0</v>
      </c>
      <c r="I312" s="40">
        <f t="shared" si="840"/>
        <v>2253</v>
      </c>
      <c r="J312" s="40">
        <f>IFERROR(__xludf.DUMMYFUNCTION("(IMPORTRANGE(""https://docs.google.com/spreadsheets/d/1IYeRjQd_D6MRqoBKNaky3aSEUloYCJc5XDnPAbdyetk/edit"",""12!e42""))"),3123.0)</f>
        <v>3123</v>
      </c>
      <c r="K312" s="40">
        <f>IFERROR(__xludf.DUMMYFUNCTION("(IMPORTRANGE(""https://docs.google.com/spreadsheets/d/1IYeRjQd_D6MRqoBKNaky3aSEUloYCJc5XDnPAbdyetk/edit"",""12!e43""))"),0.0)</f>
        <v>0</v>
      </c>
      <c r="L312" s="40">
        <f t="shared" si="870"/>
        <v>3123</v>
      </c>
      <c r="M312" s="40">
        <f t="shared" si="842"/>
        <v>5376</v>
      </c>
      <c r="N312" s="41">
        <f t="shared" si="843"/>
        <v>199.5244</v>
      </c>
      <c r="O312" s="38">
        <v>5887.0</v>
      </c>
      <c r="P312" s="42">
        <f t="shared" si="844"/>
        <v>0.9131985731</v>
      </c>
      <c r="Q312" s="43">
        <v>1.5</v>
      </c>
      <c r="R312" s="42">
        <f t="shared" si="845"/>
        <v>0.5987571779</v>
      </c>
      <c r="S312" s="44">
        <f t="shared" si="846"/>
        <v>0.8981357669</v>
      </c>
      <c r="T312" s="43">
        <f>F312/24.792</f>
        <v>241.4380445</v>
      </c>
      <c r="U312" s="43">
        <f t="shared" si="847"/>
        <v>8.047934818</v>
      </c>
      <c r="V312" s="40">
        <f t="shared" si="848"/>
        <v>179.2</v>
      </c>
      <c r="X312" s="31">
        <v>4.0</v>
      </c>
      <c r="Y312" s="31" t="s">
        <v>38</v>
      </c>
      <c r="Z312" s="31">
        <f t="shared" ref="Z312:AI312" si="871">SUM(D315)</f>
        <v>30</v>
      </c>
      <c r="AA312" s="32">
        <f t="shared" si="871"/>
        <v>30</v>
      </c>
      <c r="AB312" s="33">
        <f t="shared" si="871"/>
        <v>6345.57</v>
      </c>
      <c r="AC312" s="32">
        <f t="shared" si="871"/>
        <v>2289</v>
      </c>
      <c r="AD312" s="32">
        <f t="shared" si="871"/>
        <v>229</v>
      </c>
      <c r="AE312" s="32">
        <f t="shared" si="871"/>
        <v>2518</v>
      </c>
      <c r="AF312" s="32">
        <f t="shared" si="871"/>
        <v>2945</v>
      </c>
      <c r="AG312" s="32">
        <f t="shared" si="871"/>
        <v>330</v>
      </c>
      <c r="AH312" s="32">
        <f t="shared" si="871"/>
        <v>3275</v>
      </c>
      <c r="AI312" s="32">
        <f t="shared" si="871"/>
        <v>5793</v>
      </c>
      <c r="AJ312" s="34">
        <f t="shared" si="860"/>
        <v>211.519</v>
      </c>
      <c r="AK312" s="31">
        <v>7324.0</v>
      </c>
      <c r="AL312" s="35">
        <f t="shared" si="862"/>
        <v>0.7909612234</v>
      </c>
      <c r="AM312" s="36">
        <f>SUM(Q315)</f>
        <v>1.5</v>
      </c>
      <c r="AN312" s="35">
        <f t="shared" si="864"/>
        <v>0.6086135682</v>
      </c>
      <c r="AO312" s="37">
        <f t="shared" si="865"/>
        <v>0.9129203523</v>
      </c>
      <c r="AP312" s="36">
        <f t="shared" ref="AP312:AQ312" si="872">SUM(T315)</f>
        <v>154</v>
      </c>
      <c r="AQ312" s="36">
        <f t="shared" si="872"/>
        <v>5.133333333</v>
      </c>
      <c r="AR312" s="32">
        <f t="shared" si="867"/>
        <v>193.1</v>
      </c>
    </row>
    <row r="313" ht="15.75" customHeight="1">
      <c r="A313" s="21"/>
      <c r="B313" s="38">
        <v>12.0</v>
      </c>
      <c r="C313" s="38" t="s">
        <v>39</v>
      </c>
      <c r="D313" s="39">
        <v>28.0</v>
      </c>
      <c r="E313" s="40">
        <f>IFERROR(__xludf.DUMMYFUNCTION("COUNT(IMPORTRANGE(""https://docs.google.com/spreadsheets/d/1TAY2D35yAzyl8a_p5CuZehQvmatfj0b0Q8ICl8GtJBY/edit"",""12!d2:d29""))"),26.0)</f>
        <v>26</v>
      </c>
      <c r="F313" s="45">
        <f>IFERROR(__xludf.DUMMYFUNCTION("SUM(IMPORTRANGE(""https://docs.google.com/spreadsheets/d/1TAY2D35yAzyl8a_p5CuZehQvmatfj0b0Q8ICl8GtJBY/edit"",""12!Q2:Q29""))"),4705.853999999998)</f>
        <v>4705.854</v>
      </c>
      <c r="G313" s="40">
        <f>IFERROR(__xludf.DUMMYFUNCTION("IMPORTRANGE(""https://docs.google.com/spreadsheets/d/1TAY2D35yAzyl8a_p5CuZehQvmatfj0b0Q8ICl8GtJBY/edit"",""12!e36"")"),1195.0)</f>
        <v>1195</v>
      </c>
      <c r="H313" s="40">
        <f>IFERROR(__xludf.DUMMYFUNCTION("(IMPORTRANGE(""https://docs.google.com/spreadsheets/d/1TAY2D35yAzyl8a_p5CuZehQvmatfj0b0Q8ICl8GtJBY/edit"",""12!e37""))"),36.0)</f>
        <v>36</v>
      </c>
      <c r="I313" s="40">
        <f t="shared" si="840"/>
        <v>1231</v>
      </c>
      <c r="J313" s="40">
        <f>IFERROR(__xludf.DUMMYFUNCTION("IMPORTRANGE(""https://docs.google.com/spreadsheets/d/1TAY2D35yAzyl8a_p5CuZehQvmatfj0b0Q8ICl8GtJBY/edit"",""12!e40"")"),1815.0)</f>
        <v>1815</v>
      </c>
      <c r="K313" s="40">
        <f>IFERROR(__xludf.DUMMYFUNCTION("IMPORTRANGE(""https://docs.google.com/spreadsheets/d/1TAY2D35yAzyl8a_p5CuZehQvmatfj0b0Q8ICl8GtJBY/edit"",""12!e41"")"),136.0)</f>
        <v>136</v>
      </c>
      <c r="L313" s="40">
        <f t="shared" si="870"/>
        <v>1951</v>
      </c>
      <c r="M313" s="40">
        <f t="shared" si="842"/>
        <v>3182</v>
      </c>
      <c r="N313" s="41">
        <f t="shared" si="843"/>
        <v>180.9943846</v>
      </c>
      <c r="O313" s="38">
        <v>3569.0</v>
      </c>
      <c r="P313" s="42">
        <f t="shared" si="844"/>
        <v>0.8915662651</v>
      </c>
      <c r="Q313" s="43">
        <v>1.5</v>
      </c>
      <c r="R313" s="42">
        <f t="shared" si="845"/>
        <v>0.4507860493</v>
      </c>
      <c r="S313" s="44">
        <f t="shared" si="846"/>
        <v>0.676179074</v>
      </c>
      <c r="T313" s="43">
        <f>F313/21.463</f>
        <v>219.2542515</v>
      </c>
      <c r="U313" s="43">
        <f t="shared" si="847"/>
        <v>8.432855827</v>
      </c>
      <c r="V313" s="40">
        <f t="shared" si="848"/>
        <v>122.3846154</v>
      </c>
      <c r="X313" s="31">
        <v>5.0</v>
      </c>
      <c r="Y313" s="31" t="s">
        <v>40</v>
      </c>
      <c r="Z313" s="31">
        <f t="shared" ref="Z313:AI313" si="873">SUM(D317)</f>
        <v>30</v>
      </c>
      <c r="AA313" s="32">
        <f t="shared" si="873"/>
        <v>30</v>
      </c>
      <c r="AB313" s="33">
        <f t="shared" si="873"/>
        <v>5589.716</v>
      </c>
      <c r="AC313" s="32">
        <f t="shared" si="873"/>
        <v>3322</v>
      </c>
      <c r="AD313" s="32">
        <f t="shared" si="873"/>
        <v>0</v>
      </c>
      <c r="AE313" s="32">
        <f t="shared" si="873"/>
        <v>3322</v>
      </c>
      <c r="AF313" s="32">
        <f t="shared" si="873"/>
        <v>3813</v>
      </c>
      <c r="AG313" s="32">
        <f t="shared" si="873"/>
        <v>147</v>
      </c>
      <c r="AH313" s="32">
        <f t="shared" si="873"/>
        <v>3960</v>
      </c>
      <c r="AI313" s="32">
        <f t="shared" si="873"/>
        <v>7282</v>
      </c>
      <c r="AJ313" s="34">
        <f t="shared" si="860"/>
        <v>186.3238667</v>
      </c>
      <c r="AK313" s="31">
        <f t="shared" ref="AK313:AK314" si="876">SUM(O317)</f>
        <v>8239</v>
      </c>
      <c r="AL313" s="35">
        <f t="shared" si="862"/>
        <v>0.8838451268</v>
      </c>
      <c r="AM313" s="36">
        <f t="shared" ref="AM313:AM314" si="877">SUM(Q317)</f>
        <v>1.5</v>
      </c>
      <c r="AN313" s="35">
        <f t="shared" si="864"/>
        <v>0.8684996996</v>
      </c>
      <c r="AO313" s="37">
        <f t="shared" si="865"/>
        <v>1.302749549</v>
      </c>
      <c r="AP313" s="36">
        <f t="shared" ref="AP313:AQ313" si="874">SUM(T317)</f>
        <v>196.5234328</v>
      </c>
      <c r="AQ313" s="36">
        <f t="shared" si="874"/>
        <v>6.550781094</v>
      </c>
      <c r="AR313" s="32">
        <f t="shared" si="867"/>
        <v>242.7333333</v>
      </c>
    </row>
    <row r="314" ht="15.75" customHeight="1">
      <c r="A314" s="21"/>
      <c r="B314" s="38">
        <v>12.0</v>
      </c>
      <c r="C314" s="38" t="s">
        <v>41</v>
      </c>
      <c r="D314" s="39">
        <v>24.0</v>
      </c>
      <c r="E314" s="40">
        <f>IFERROR(__xludf.DUMMYFUNCTION("COUNT(IMPORTRANGE(""https://docs.google.com/spreadsheets/d/1VAsUtLQHi7oV9NsI9EIHPnO1bcPJHeRgSbMoxSvPBME/edit"",""12!d2:d25""))"),24.0)</f>
        <v>24</v>
      </c>
      <c r="F314" s="45">
        <f>IFERROR(__xludf.DUMMYFUNCTION("SUM(IMPORTRANGE(""https://docs.google.com/spreadsheets/d/1VAsUtLQHi7oV9NsI9EIHPnO1bcPJHeRgSbMoxSvPBME/edit"",""12!Q2:Q25""))"),4793.152000000001)</f>
        <v>4793.152</v>
      </c>
      <c r="G314" s="40">
        <f>IFERROR(__xludf.DUMMYFUNCTION("IMPORTRANGE(""https://docs.google.com/spreadsheets/d/1VAsUtLQHi7oV9NsI9EIHPnO1bcPJHeRgSbMoxSvPBME/edit"",""12!e32"")"),1446.0)</f>
        <v>1446</v>
      </c>
      <c r="H314" s="40">
        <f>IFERROR(__xludf.DUMMYFUNCTION("IMPORTRANGE(""https://docs.google.com/spreadsheets/d/1VAsUtLQHi7oV9NsI9EIHPnO1bcPJHeRgSbMoxSvPBME/edit"",""12!e33"")"),58.0)</f>
        <v>58</v>
      </c>
      <c r="I314" s="40">
        <f t="shared" si="840"/>
        <v>1504</v>
      </c>
      <c r="J314" s="40">
        <f>IFERROR(__xludf.DUMMYFUNCTION("IMPORTRANGE(""https://docs.google.com/spreadsheets/d/1VAsUtLQHi7oV9NsI9EIHPnO1bcPJHeRgSbMoxSvPBME/edit"",""12!e36"")"),1419.0)</f>
        <v>1419</v>
      </c>
      <c r="K314" s="40">
        <f>IFERROR(__xludf.DUMMYFUNCTION("IMPORTRANGE(""https://docs.google.com/spreadsheets/d/1VAsUtLQHi7oV9NsI9EIHPnO1bcPJHeRgSbMoxSvPBME/edit"",""12!e37"")"),199.0)</f>
        <v>199</v>
      </c>
      <c r="L314" s="40">
        <f t="shared" si="870"/>
        <v>1618</v>
      </c>
      <c r="M314" s="40">
        <f t="shared" si="842"/>
        <v>3122</v>
      </c>
      <c r="N314" s="41">
        <f t="shared" si="843"/>
        <v>199.7146667</v>
      </c>
      <c r="O314" s="38">
        <v>3801.0</v>
      </c>
      <c r="P314" s="42">
        <f t="shared" si="844"/>
        <v>0.8213627993</v>
      </c>
      <c r="Q314" s="43">
        <v>1.5</v>
      </c>
      <c r="R314" s="42">
        <f t="shared" si="845"/>
        <v>0.4342306135</v>
      </c>
      <c r="S314" s="44">
        <f t="shared" si="846"/>
        <v>0.6513459202</v>
      </c>
      <c r="T314" s="43">
        <f>F314/29.628</f>
        <v>161.7777778</v>
      </c>
      <c r="U314" s="43">
        <f t="shared" si="847"/>
        <v>6.740740741</v>
      </c>
      <c r="V314" s="40">
        <f t="shared" si="848"/>
        <v>130.0833333</v>
      </c>
      <c r="X314" s="22">
        <v>6.0</v>
      </c>
      <c r="Y314" s="22" t="s">
        <v>42</v>
      </c>
      <c r="Z314" s="22">
        <f t="shared" ref="Z314:AI314" si="875">SUM(D318)</f>
        <v>33</v>
      </c>
      <c r="AA314" s="23">
        <f t="shared" si="875"/>
        <v>33</v>
      </c>
      <c r="AB314" s="24">
        <f t="shared" si="875"/>
        <v>6197.197</v>
      </c>
      <c r="AC314" s="23">
        <f t="shared" si="875"/>
        <v>3611</v>
      </c>
      <c r="AD314" s="23">
        <f t="shared" si="875"/>
        <v>88</v>
      </c>
      <c r="AE314" s="23">
        <f t="shared" si="875"/>
        <v>3699</v>
      </c>
      <c r="AF314" s="23">
        <f t="shared" si="875"/>
        <v>4016</v>
      </c>
      <c r="AG314" s="23">
        <f t="shared" si="875"/>
        <v>45</v>
      </c>
      <c r="AH314" s="23">
        <f t="shared" si="875"/>
        <v>4061</v>
      </c>
      <c r="AI314" s="23">
        <f t="shared" si="875"/>
        <v>7760</v>
      </c>
      <c r="AJ314" s="25">
        <f t="shared" si="860"/>
        <v>187.7938485</v>
      </c>
      <c r="AK314" s="22">
        <f t="shared" si="876"/>
        <v>9877</v>
      </c>
      <c r="AL314" s="26">
        <f t="shared" si="862"/>
        <v>0.7856636631</v>
      </c>
      <c r="AM314" s="27">
        <f t="shared" si="877"/>
        <v>1.5</v>
      </c>
      <c r="AN314" s="26">
        <f t="shared" si="864"/>
        <v>0.8347860062</v>
      </c>
      <c r="AO314" s="28">
        <f t="shared" si="865"/>
        <v>1.252179009</v>
      </c>
      <c r="AP314" s="27">
        <f t="shared" ref="AP314:AQ314" si="878">SUM(T318)</f>
        <v>236.9411967</v>
      </c>
      <c r="AQ314" s="27">
        <f t="shared" si="878"/>
        <v>7.180036264</v>
      </c>
      <c r="AR314" s="23">
        <f t="shared" si="867"/>
        <v>235.1515152</v>
      </c>
    </row>
    <row r="315" ht="15.75" customHeight="1">
      <c r="A315" s="21"/>
      <c r="B315" s="38">
        <v>13.0</v>
      </c>
      <c r="C315" s="38" t="s">
        <v>43</v>
      </c>
      <c r="D315" s="39">
        <v>30.0</v>
      </c>
      <c r="E315" s="40">
        <f>IFERROR(__xludf.DUMMYFUNCTION("COUNT(IMPORTRANGE(""https://docs.google.com/spreadsheets/d/1p9Y_DGk7-TpRBFth-ljZceOIGCjQ0ylUeUq6xqnsZ-Q/edit"",""12!d2:d31""))"),30.0)</f>
        <v>30</v>
      </c>
      <c r="F315" s="45">
        <f>IFERROR(__xludf.DUMMYFUNCTION("SUM(IMPORTRANGE(""https://docs.google.com/spreadsheets/d/1p9Y_DGk7-TpRBFth-ljZceOIGCjQ0ylUeUq6xqnsZ-Q/edit"",""12!Q2:Q31""))"),6345.569999999999)</f>
        <v>6345.57</v>
      </c>
      <c r="G315" s="40">
        <f>IFERROR(__xludf.DUMMYFUNCTION("IMPORTRANGE(""https://docs.google.com/spreadsheets/d/1p9Y_DGk7-TpRBFth-ljZceOIGCjQ0ylUeUq6xqnsZ-Q/edit"",""12!e38"")"),2289.0)</f>
        <v>2289</v>
      </c>
      <c r="H315" s="40">
        <f>IFERROR(__xludf.DUMMYFUNCTION("IMPORTRANGE(""https://docs.google.com/spreadsheets/d/1p9Y_DGk7-TpRBFth-ljZceOIGCjQ0ylUeUq6xqnsZ-Q/edit"",""12!e39"")"),229.0)</f>
        <v>229</v>
      </c>
      <c r="I315" s="40">
        <f t="shared" si="840"/>
        <v>2518</v>
      </c>
      <c r="J315" s="40">
        <f>IFERROR(__xludf.DUMMYFUNCTION("IMPORTRANGE(""https://docs.google.com/spreadsheets/d/1p9Y_DGk7-TpRBFth-ljZceOIGCjQ0ylUeUq6xqnsZ-Q/edit"",""12!e42"")"),2945.0)</f>
        <v>2945</v>
      </c>
      <c r="K315" s="40">
        <f>IFERROR(__xludf.DUMMYFUNCTION("IMPORTRANGE(""https://docs.google.com/spreadsheets/d/1p9Y_DGk7-TpRBFth-ljZceOIGCjQ0ylUeUq6xqnsZ-Q/edit"",""12!e43"")"),330.0)</f>
        <v>330</v>
      </c>
      <c r="L315" s="40">
        <f t="shared" si="870"/>
        <v>3275</v>
      </c>
      <c r="M315" s="40">
        <f t="shared" si="842"/>
        <v>5793</v>
      </c>
      <c r="N315" s="41">
        <f t="shared" si="843"/>
        <v>211.519</v>
      </c>
      <c r="O315" s="38">
        <v>8345.0</v>
      </c>
      <c r="P315" s="42">
        <f t="shared" si="844"/>
        <v>0.6941881366</v>
      </c>
      <c r="Q315" s="43">
        <v>1.5</v>
      </c>
      <c r="R315" s="42">
        <f t="shared" si="845"/>
        <v>0.6086135682</v>
      </c>
      <c r="S315" s="44">
        <f t="shared" si="846"/>
        <v>0.9129203523</v>
      </c>
      <c r="T315" s="43">
        <f>F315/41.205</f>
        <v>154</v>
      </c>
      <c r="U315" s="43">
        <f t="shared" si="847"/>
        <v>5.133333333</v>
      </c>
      <c r="V315" s="40">
        <f t="shared" si="848"/>
        <v>193.1</v>
      </c>
      <c r="X315" s="46" t="s">
        <v>33</v>
      </c>
      <c r="Y315" s="46">
        <v>6.0</v>
      </c>
      <c r="Z315" s="46">
        <f t="shared" ref="Z315:AI315" si="879">SUM(Z309:Z314)</f>
        <v>226</v>
      </c>
      <c r="AA315" s="47">
        <f t="shared" si="879"/>
        <v>225</v>
      </c>
      <c r="AB315" s="49">
        <f t="shared" si="879"/>
        <v>44406.395</v>
      </c>
      <c r="AC315" s="47">
        <f t="shared" si="879"/>
        <v>18795</v>
      </c>
      <c r="AD315" s="47">
        <f t="shared" si="879"/>
        <v>450</v>
      </c>
      <c r="AE315" s="47">
        <f t="shared" si="879"/>
        <v>19245</v>
      </c>
      <c r="AF315" s="47">
        <f t="shared" si="879"/>
        <v>22055</v>
      </c>
      <c r="AG315" s="47">
        <f t="shared" si="879"/>
        <v>728</v>
      </c>
      <c r="AH315" s="47">
        <f t="shared" si="879"/>
        <v>22783</v>
      </c>
      <c r="AI315" s="47">
        <f t="shared" si="879"/>
        <v>42028</v>
      </c>
      <c r="AJ315" s="49">
        <f t="shared" si="860"/>
        <v>197.3617556</v>
      </c>
      <c r="AK315" s="46">
        <f>SUM(AK309:AK314)</f>
        <v>53273</v>
      </c>
      <c r="AL315" s="50">
        <f t="shared" si="862"/>
        <v>0.7889174629</v>
      </c>
      <c r="AM315" s="51">
        <v>1.5</v>
      </c>
      <c r="AN315" s="50">
        <f t="shared" si="864"/>
        <v>0.6309601729</v>
      </c>
      <c r="AO315" s="52">
        <f t="shared" si="865"/>
        <v>0.9464402593</v>
      </c>
      <c r="AP315" s="51">
        <f>SUM(AP309:AP314)</f>
        <v>1456.114318</v>
      </c>
      <c r="AQ315" s="51">
        <f>AP315/AA315</f>
        <v>6.47161919</v>
      </c>
      <c r="AR315" s="47">
        <f t="shared" si="867"/>
        <v>186.7911111</v>
      </c>
    </row>
    <row r="316" ht="15.75" customHeight="1">
      <c r="A316" s="21"/>
      <c r="B316" s="38">
        <v>14.0</v>
      </c>
      <c r="C316" s="38" t="s">
        <v>27</v>
      </c>
      <c r="D316" s="39">
        <v>30.0</v>
      </c>
      <c r="E316" s="40">
        <f>IFERROR(__xludf.DUMMYFUNCTION("COUNT(IMPORTRANGE(""https://docs.google.com/spreadsheets/d/1zJUDEKztv_fercXA0LYNw155qdzS7TJGhWLhquaW5IY/edit"",""12!d2:d31""))"),30.0)</f>
        <v>30</v>
      </c>
      <c r="F316" s="45">
        <f>IFERROR(__xludf.DUMMYFUNCTION("SUM(IMPORTRANGE(""https://docs.google.com/spreadsheets/d/1zJUDEKztv_fercXA0LYNw155qdzS7TJGhWLhquaW5IY/edit"",""12!Q2:Q31""))"),5285.895000000001)</f>
        <v>5285.895</v>
      </c>
      <c r="G316" s="40">
        <f>IFERROR(__xludf.DUMMYFUNCTION("IMPORTRANGE(""https://docs.google.com/spreadsheets/d/1zJUDEKztv_fercXA0LYNw155qdzS7TJGhWLhquaW5IY/edit"",""12!e38"")"),2941.0)</f>
        <v>2941</v>
      </c>
      <c r="H316" s="40">
        <f>IFERROR(__xludf.DUMMYFUNCTION("IMPORTRANGE(""https://docs.google.com/spreadsheets/d/1zJUDEKztv_fercXA0LYNw155qdzS7TJGhWLhquaW5IY/edit"",""12!e39"")"),0.0)</f>
        <v>0</v>
      </c>
      <c r="I316" s="40">
        <f t="shared" si="840"/>
        <v>2941</v>
      </c>
      <c r="J316" s="40">
        <f>IFERROR(__xludf.DUMMYFUNCTION("IMPORTRANGE(""https://docs.google.com/spreadsheets/d/1zJUDEKztv_fercXA0LYNw155qdzS7TJGhWLhquaW5IY/edit"",""12!e42"")"),2655.0)</f>
        <v>2655</v>
      </c>
      <c r="K316" s="40">
        <f>IFERROR(__xludf.DUMMYFUNCTION("IMPORTRANGE(""https://docs.google.com/spreadsheets/d/1zJUDEKztv_fercXA0LYNw155qdzS7TJGhWLhquaW5IY/edit"",""12!e43"")"),0.0)</f>
        <v>0</v>
      </c>
      <c r="L316" s="40">
        <f t="shared" si="870"/>
        <v>2655</v>
      </c>
      <c r="M316" s="40">
        <f t="shared" si="842"/>
        <v>5596</v>
      </c>
      <c r="N316" s="41">
        <f t="shared" si="843"/>
        <v>176.1965</v>
      </c>
      <c r="O316" s="38">
        <v>8101.0</v>
      </c>
      <c r="P316" s="42">
        <f t="shared" si="844"/>
        <v>0.6907789162</v>
      </c>
      <c r="Q316" s="43">
        <v>1.5</v>
      </c>
      <c r="R316" s="42">
        <f t="shared" si="845"/>
        <v>0.7057776718</v>
      </c>
      <c r="S316" s="44">
        <f t="shared" si="846"/>
        <v>1.058666508</v>
      </c>
      <c r="T316" s="43">
        <f>F316/19.985</f>
        <v>264.4931198</v>
      </c>
      <c r="U316" s="43">
        <f t="shared" si="847"/>
        <v>8.816437328</v>
      </c>
      <c r="V316" s="40">
        <f t="shared" si="848"/>
        <v>186.5333333</v>
      </c>
      <c r="X316" s="59" t="s">
        <v>44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6"/>
    </row>
    <row r="317" ht="15.75" customHeight="1">
      <c r="A317" s="21"/>
      <c r="B317" s="38">
        <v>15.0</v>
      </c>
      <c r="C317" s="38" t="s">
        <v>40</v>
      </c>
      <c r="D317" s="39">
        <v>30.0</v>
      </c>
      <c r="E317" s="40">
        <f>IFERROR(__xludf.DUMMYFUNCTION("COUNT(IMPORTRANGE(""https://docs.google.com/spreadsheets/d/15GJA66Ucb-8RQ5vWVpq5HYaWoZZFX82SCeHChBujbrI/edit"",""12!d2:d31""))"),30.0)</f>
        <v>30</v>
      </c>
      <c r="F317" s="45">
        <f>IFERROR(__xludf.DUMMYFUNCTION("SUM(IMPORTRANGE(""https://docs.google.com/spreadsheets/d/15GJA66Ucb-8RQ5vWVpq5HYaWoZZFX82SCeHChBujbrI/edit"",""12!Q2:Q31""))"),5589.715999999999)</f>
        <v>5589.716</v>
      </c>
      <c r="G317" s="40">
        <f>IFERROR(__xludf.DUMMYFUNCTION("IMPORTRANGE(""https://docs.google.com/spreadsheets/d/15GJA66Ucb-8RQ5vWVpq5HYaWoZZFX82SCeHChBujbrI/edit"",""12!e38"")"),3322.0)</f>
        <v>3322</v>
      </c>
      <c r="H317" s="40">
        <f>IFERROR(__xludf.DUMMYFUNCTION("IMPORTRANGE(""https://docs.google.com/spreadsheets/d/15GJA66Ucb-8RQ5vWVpq5HYaWoZZFX82SCeHChBujbrI/edit"",""12!e39"")"),0.0)</f>
        <v>0</v>
      </c>
      <c r="I317" s="40">
        <f t="shared" si="840"/>
        <v>3322</v>
      </c>
      <c r="J317" s="40">
        <f>IFERROR(__xludf.DUMMYFUNCTION("IMPORTRANGE(""https://docs.google.com/spreadsheets/d/15GJA66Ucb-8RQ5vWVpq5HYaWoZZFX82SCeHChBujbrI/edit"",""12!e42"")"),3813.0)</f>
        <v>3813</v>
      </c>
      <c r="K317" s="40">
        <f>IFERROR(__xludf.DUMMYFUNCTION("IMPORTRANGE(""https://docs.google.com/spreadsheets/d/15GJA66Ucb-8RQ5vWVpq5HYaWoZZFX82SCeHChBujbrI/edit"",""12!e43"")"),147.0)</f>
        <v>147</v>
      </c>
      <c r="L317" s="40">
        <f t="shared" si="870"/>
        <v>3960</v>
      </c>
      <c r="M317" s="40">
        <f t="shared" si="842"/>
        <v>7282</v>
      </c>
      <c r="N317" s="41">
        <f t="shared" si="843"/>
        <v>186.3238667</v>
      </c>
      <c r="O317" s="38">
        <v>8239.0</v>
      </c>
      <c r="P317" s="42">
        <f t="shared" si="844"/>
        <v>0.8838451268</v>
      </c>
      <c r="Q317" s="43">
        <v>1.5</v>
      </c>
      <c r="R317" s="42">
        <f t="shared" si="845"/>
        <v>0.8684996996</v>
      </c>
      <c r="S317" s="44">
        <f t="shared" si="846"/>
        <v>1.302749549</v>
      </c>
      <c r="T317" s="43">
        <f>F317/28.443</f>
        <v>196.5234328</v>
      </c>
      <c r="U317" s="43">
        <f t="shared" si="847"/>
        <v>6.550781094</v>
      </c>
      <c r="V317" s="40">
        <f t="shared" si="848"/>
        <v>242.7333333</v>
      </c>
      <c r="X317" s="14" t="s">
        <v>2</v>
      </c>
      <c r="Y317" s="14" t="s">
        <v>3</v>
      </c>
      <c r="Z317" s="14" t="s">
        <v>4</v>
      </c>
      <c r="AA317" s="14" t="s">
        <v>5</v>
      </c>
      <c r="AB317" s="15" t="s">
        <v>6</v>
      </c>
      <c r="AC317" s="14" t="s">
        <v>7</v>
      </c>
      <c r="AD317" s="14" t="s">
        <v>8</v>
      </c>
      <c r="AE317" s="14" t="s">
        <v>9</v>
      </c>
      <c r="AF317" s="14" t="s">
        <v>10</v>
      </c>
      <c r="AG317" s="14" t="s">
        <v>11</v>
      </c>
      <c r="AH317" s="14" t="s">
        <v>12</v>
      </c>
      <c r="AI317" s="14" t="s">
        <v>13</v>
      </c>
      <c r="AJ317" s="15" t="s">
        <v>14</v>
      </c>
      <c r="AK317" s="14" t="s">
        <v>15</v>
      </c>
      <c r="AL317" s="14" t="s">
        <v>16</v>
      </c>
      <c r="AM317" s="16" t="s">
        <v>17</v>
      </c>
      <c r="AN317" s="17" t="s">
        <v>18</v>
      </c>
      <c r="AO317" s="18" t="s">
        <v>19</v>
      </c>
      <c r="AP317" s="19" t="s">
        <v>20</v>
      </c>
      <c r="AQ317" s="19" t="s">
        <v>21</v>
      </c>
      <c r="AR317" s="20" t="s">
        <v>22</v>
      </c>
    </row>
    <row r="318" ht="15.75" customHeight="1">
      <c r="A318" s="21"/>
      <c r="B318" s="38">
        <v>16.0</v>
      </c>
      <c r="C318" s="38" t="s">
        <v>42</v>
      </c>
      <c r="D318" s="39">
        <v>33.0</v>
      </c>
      <c r="E318" s="40">
        <f>IFERROR(__xludf.DUMMYFUNCTION("COUNT(IMPORTRANGE(""https://docs.google.com/spreadsheets/d/14Tu_jFPEdrIQ6DHYu6vRvJKQsbXr-48NY1tKy4-8JKI/edit"",""12!d2:d34""))"),33.0)</f>
        <v>33</v>
      </c>
      <c r="F318" s="45">
        <f>IFERROR(__xludf.DUMMYFUNCTION("SUM(IMPORTRANGE(""https://docs.google.com/spreadsheets/d/14Tu_jFPEdrIQ6DHYu6vRvJKQsbXr-48NY1tKy4-8JKI/edit"",""12!Q2:Q34""))"),6197.196999999999)</f>
        <v>6197.197</v>
      </c>
      <c r="G318" s="40">
        <f>IFERROR(__xludf.DUMMYFUNCTION("IMPORTRANGE(""https://docs.google.com/spreadsheets/d/14Tu_jFPEdrIQ6DHYu6vRvJKQsbXr-48NY1tKy4-8JKI/edit"",""12!e41"")"),3611.0)</f>
        <v>3611</v>
      </c>
      <c r="H318" s="40">
        <f>IFERROR(__xludf.DUMMYFUNCTION("IMPORTRANGE(""https://docs.google.com/spreadsheets/d/14Tu_jFPEdrIQ6DHYu6vRvJKQsbXr-48NY1tKy4-8JKI/edit"",""12!e42"")"),88.0)</f>
        <v>88</v>
      </c>
      <c r="I318" s="40">
        <f t="shared" si="840"/>
        <v>3699</v>
      </c>
      <c r="J318" s="40">
        <f>IFERROR(__xludf.DUMMYFUNCTION("IMPORTRANGE(""https://docs.google.com/spreadsheets/d/14Tu_jFPEdrIQ6DHYu6vRvJKQsbXr-48NY1tKy4-8JKI/edit"",""12!e45"")"),4016.0)</f>
        <v>4016</v>
      </c>
      <c r="K318" s="40">
        <f>IFERROR(__xludf.DUMMYFUNCTION("IMPORTRANGE(""https://docs.google.com/spreadsheets/d/14Tu_jFPEdrIQ6DHYu6vRvJKQsbXr-48NY1tKy4-8JKI/edit"",""12!e46"")"),45.0)</f>
        <v>45</v>
      </c>
      <c r="L318" s="40">
        <f t="shared" si="870"/>
        <v>4061</v>
      </c>
      <c r="M318" s="40">
        <f t="shared" si="842"/>
        <v>7760</v>
      </c>
      <c r="N318" s="41">
        <f t="shared" si="843"/>
        <v>187.7938485</v>
      </c>
      <c r="O318" s="38">
        <v>9877.0</v>
      </c>
      <c r="P318" s="42">
        <f t="shared" si="844"/>
        <v>0.7856636631</v>
      </c>
      <c r="Q318" s="43">
        <v>1.5</v>
      </c>
      <c r="R318" s="42">
        <f t="shared" si="845"/>
        <v>0.8347860062</v>
      </c>
      <c r="S318" s="44">
        <f t="shared" si="846"/>
        <v>1.252179009</v>
      </c>
      <c r="T318" s="43">
        <f>F318/26.155</f>
        <v>236.9411967</v>
      </c>
      <c r="U318" s="43">
        <f t="shared" si="847"/>
        <v>7.180036264</v>
      </c>
      <c r="V318" s="40">
        <f t="shared" si="848"/>
        <v>235.1515152</v>
      </c>
      <c r="X318" s="31">
        <v>1.0</v>
      </c>
      <c r="Y318" s="31" t="s">
        <v>26</v>
      </c>
      <c r="Z318" s="31">
        <f t="shared" ref="Z318:AI318" si="880">SUM(D303)</f>
        <v>20</v>
      </c>
      <c r="AA318" s="32">
        <f t="shared" si="880"/>
        <v>20</v>
      </c>
      <c r="AB318" s="34">
        <f t="shared" si="880"/>
        <v>3770.058</v>
      </c>
      <c r="AC318" s="32">
        <f t="shared" si="880"/>
        <v>2241</v>
      </c>
      <c r="AD318" s="32">
        <f t="shared" si="880"/>
        <v>0</v>
      </c>
      <c r="AE318" s="32">
        <f t="shared" si="880"/>
        <v>2241</v>
      </c>
      <c r="AF318" s="32">
        <f t="shared" si="880"/>
        <v>3186</v>
      </c>
      <c r="AG318" s="32">
        <f t="shared" si="880"/>
        <v>0</v>
      </c>
      <c r="AH318" s="32">
        <f t="shared" si="880"/>
        <v>3186</v>
      </c>
      <c r="AI318" s="32">
        <f t="shared" si="880"/>
        <v>5427</v>
      </c>
      <c r="AJ318" s="34">
        <f t="shared" ref="AJ318:AJ324" si="883">AB318/AA318</f>
        <v>188.5029</v>
      </c>
      <c r="AK318" s="31">
        <f>SUM(O303)</f>
        <v>5161</v>
      </c>
      <c r="AL318" s="67">
        <f t="shared" ref="AL318:AL324" si="884">AI318/AK318</f>
        <v>1.051540399</v>
      </c>
      <c r="AM318" s="36">
        <f>SUM(Q303)</f>
        <v>1.5</v>
      </c>
      <c r="AN318" s="35">
        <f t="shared" ref="AN318:AN324" si="885">AO318/AM318</f>
        <v>0.9596669335</v>
      </c>
      <c r="AO318" s="37">
        <f t="shared" ref="AO318:AO324" si="886">AI318/AB318</f>
        <v>1.4395004</v>
      </c>
      <c r="AP318" s="36">
        <f t="shared" ref="AP318:AQ318" si="881">SUM(T303)</f>
        <v>261.5371488</v>
      </c>
      <c r="AQ318" s="36">
        <f t="shared" si="881"/>
        <v>13.07685744</v>
      </c>
      <c r="AR318" s="32">
        <f t="shared" ref="AR318:AR324" si="888">AI318/AA318</f>
        <v>271.35</v>
      </c>
    </row>
    <row r="319" ht="15.75" customHeight="1">
      <c r="A319" s="21"/>
      <c r="B319" s="38">
        <v>17.0</v>
      </c>
      <c r="C319" s="38" t="s">
        <v>29</v>
      </c>
      <c r="D319" s="39">
        <v>30.0</v>
      </c>
      <c r="E319" s="40">
        <f>IFERROR(__xludf.DUMMYFUNCTION("COUNT(IMPORTRANGE(""https://docs.google.com/spreadsheets/d/1ja_RQYsP0p5wRrACHojay4CW1wLx0QdS5tSwp-vYQ-s/edit"",""12!d2:d31""))"),29.0)</f>
        <v>29</v>
      </c>
      <c r="F319" s="45">
        <f>IFERROR(__xludf.DUMMYFUNCTION("SUM(IMPORTRANGE(""https://docs.google.com/spreadsheets/d/1ja_RQYsP0p5wRrACHojay4CW1wLx0QdS5tSwp-vYQ-s/edit"",""12!Q2:Q31""))"),5775.037999999998)</f>
        <v>5775.038</v>
      </c>
      <c r="G319" s="40">
        <f>IFERROR(__xludf.DUMMYFUNCTION("IMPORTRANGE(""https://docs.google.com/spreadsheets/d/1ja_RQYsP0p5wRrACHojay4CW1wLx0QdS5tSwp-vYQ-s/edit"",""12!e38"")"),2892.0)</f>
        <v>2892</v>
      </c>
      <c r="H319" s="40">
        <f>IFERROR(__xludf.DUMMYFUNCTION("IMPORTRANGE(""https://docs.google.com/spreadsheets/d/1ja_RQYsP0p5wRrACHojay4CW1wLx0QdS5tSwp-vYQ-s/edit"",""12!e39"")"),0.0)</f>
        <v>0</v>
      </c>
      <c r="I319" s="40">
        <f t="shared" si="840"/>
        <v>2892</v>
      </c>
      <c r="J319" s="40">
        <f>IFERROR(__xludf.DUMMYFUNCTION("IMPORTRANGE(""https://docs.google.com/spreadsheets/d/1ja_RQYsP0p5wRrACHojay4CW1wLx0QdS5tSwp-vYQ-s/edit"",""12!e42"")"),4035.0)</f>
        <v>4035</v>
      </c>
      <c r="K319" s="40">
        <f>IFERROR(__xludf.DUMMYFUNCTION("IMPORTRANGE(""https://docs.google.com/spreadsheets/d/1ja_RQYsP0p5wRrACHojay4CW1wLx0QdS5tSwp-vYQ-s/edit"",""12!e43"")"),0.0)</f>
        <v>0</v>
      </c>
      <c r="L319" s="40">
        <f t="shared" si="870"/>
        <v>4035</v>
      </c>
      <c r="M319" s="40">
        <f t="shared" si="842"/>
        <v>6927</v>
      </c>
      <c r="N319" s="41">
        <f t="shared" si="843"/>
        <v>199.1392414</v>
      </c>
      <c r="O319" s="38">
        <v>9201.0</v>
      </c>
      <c r="P319" s="42">
        <f t="shared" si="844"/>
        <v>0.7528529508</v>
      </c>
      <c r="Q319" s="43">
        <v>1.5</v>
      </c>
      <c r="R319" s="42">
        <f t="shared" si="845"/>
        <v>0.7996484179</v>
      </c>
      <c r="S319" s="44">
        <f t="shared" si="846"/>
        <v>1.199472627</v>
      </c>
      <c r="T319" s="43">
        <f>F319/26.491</f>
        <v>218</v>
      </c>
      <c r="U319" s="43">
        <f t="shared" si="847"/>
        <v>7.517241379</v>
      </c>
      <c r="V319" s="40">
        <f t="shared" si="848"/>
        <v>238.862069</v>
      </c>
      <c r="X319" s="31">
        <v>2.0</v>
      </c>
      <c r="Y319" s="31" t="s">
        <v>32</v>
      </c>
      <c r="Z319" s="31">
        <f t="shared" ref="Z319:AI319" si="882">SUM(D306)</f>
        <v>42</v>
      </c>
      <c r="AA319" s="32">
        <f t="shared" si="882"/>
        <v>42</v>
      </c>
      <c r="AB319" s="33">
        <f t="shared" si="882"/>
        <v>8067.188</v>
      </c>
      <c r="AC319" s="31">
        <f t="shared" si="882"/>
        <v>4860</v>
      </c>
      <c r="AD319" s="31">
        <f t="shared" si="882"/>
        <v>0</v>
      </c>
      <c r="AE319" s="32">
        <f t="shared" si="882"/>
        <v>4860</v>
      </c>
      <c r="AF319" s="31">
        <f t="shared" si="882"/>
        <v>5642</v>
      </c>
      <c r="AG319" s="31">
        <f t="shared" si="882"/>
        <v>0</v>
      </c>
      <c r="AH319" s="32">
        <f t="shared" si="882"/>
        <v>5642</v>
      </c>
      <c r="AI319" s="32">
        <f t="shared" si="882"/>
        <v>10502</v>
      </c>
      <c r="AJ319" s="34">
        <f t="shared" si="883"/>
        <v>192.0759048</v>
      </c>
      <c r="AK319" s="31">
        <f>SUM(O306)</f>
        <v>13817</v>
      </c>
      <c r="AL319" s="35">
        <f t="shared" si="884"/>
        <v>0.7600781646</v>
      </c>
      <c r="AM319" s="36">
        <f>SUM(Q306)</f>
        <v>1.5</v>
      </c>
      <c r="AN319" s="35">
        <f t="shared" si="885"/>
        <v>0.867877795</v>
      </c>
      <c r="AO319" s="37">
        <f t="shared" si="886"/>
        <v>1.301816693</v>
      </c>
      <c r="AP319" s="36">
        <f t="shared" ref="AP319:AQ319" si="887">SUM(T306)</f>
        <v>321.5428275</v>
      </c>
      <c r="AQ319" s="36">
        <f t="shared" si="887"/>
        <v>7.655781608</v>
      </c>
      <c r="AR319" s="32">
        <f t="shared" si="888"/>
        <v>250.047619</v>
      </c>
    </row>
    <row r="320" ht="15.75" customHeight="1">
      <c r="A320" s="21"/>
      <c r="B320" s="38">
        <v>18.0</v>
      </c>
      <c r="C320" s="38" t="s">
        <v>31</v>
      </c>
      <c r="D320" s="39">
        <v>15.0</v>
      </c>
      <c r="E320" s="40">
        <f>IFERROR(__xludf.DUMMYFUNCTION("COUNT(IMPORTRANGE(""https://docs.google.com/spreadsheets/d/1ObnK1oSznTOmyW9Zcd2kxExl7TOnO2MNq_0giEKc_mE/edit"",""12!d2:d16""))"),14.0)</f>
        <v>14</v>
      </c>
      <c r="F320" s="41">
        <f>IFERROR(__xludf.DUMMYFUNCTION("SUM(IMPORTRANGE(""https://docs.google.com/spreadsheets/d/1ObnK1oSznTOmyW9Zcd2kxExl7TOnO2MNq_0giEKc_mE/edit"",""12!Q2:Q16""))"),2868.69)</f>
        <v>2868.69</v>
      </c>
      <c r="G320" s="40">
        <f>IFERROR(__xludf.DUMMYFUNCTION("IMPORTRANGE(""https://docs.google.com/spreadsheets/d/1ObnK1oSznTOmyW9Zcd2kxExl7TOnO2MNq_0giEKc_mE/edit"",""12!e23"")"),980.0)</f>
        <v>980</v>
      </c>
      <c r="H320" s="40">
        <f>IFERROR(__xludf.DUMMYFUNCTION("IMPORTRANGE(""https://docs.google.com/spreadsheets/d/1ObnK1oSznTOmyW9Zcd2kxExl7TOnO2MNq_0giEKc_mE/edit"",""12!e24"")"),12.0)</f>
        <v>12</v>
      </c>
      <c r="I320" s="40">
        <f t="shared" si="840"/>
        <v>992</v>
      </c>
      <c r="J320" s="40">
        <f>IFERROR(__xludf.DUMMYFUNCTION("IMPORTRANGE(""https://docs.google.com/spreadsheets/d/1ObnK1oSznTOmyW9Zcd2kxExl7TOnO2MNq_0giEKc_mE/edit"",""12!e27"")"),1106.0)</f>
        <v>1106</v>
      </c>
      <c r="K320" s="40">
        <f>IFERROR(__xludf.DUMMYFUNCTION("IMPORTRANGE(""https://docs.google.com/spreadsheets/d/1ObnK1oSznTOmyW9Zcd2kxExl7TOnO2MNq_0giEKc_mE/edit"",""12!e28"")"),0.0)</f>
        <v>0</v>
      </c>
      <c r="L320" s="40">
        <f t="shared" si="870"/>
        <v>1106</v>
      </c>
      <c r="M320" s="40">
        <f t="shared" si="842"/>
        <v>2098</v>
      </c>
      <c r="N320" s="41">
        <f t="shared" si="843"/>
        <v>204.9064286</v>
      </c>
      <c r="O320" s="38">
        <v>2717.0</v>
      </c>
      <c r="P320" s="42">
        <f t="shared" si="844"/>
        <v>0.7721751932</v>
      </c>
      <c r="Q320" s="43">
        <v>1.5</v>
      </c>
      <c r="R320" s="42">
        <f t="shared" si="845"/>
        <v>0.4875628481</v>
      </c>
      <c r="S320" s="44">
        <f t="shared" si="846"/>
        <v>0.7313442721</v>
      </c>
      <c r="T320" s="43">
        <f>F320/43.465</f>
        <v>66</v>
      </c>
      <c r="U320" s="43">
        <f t="shared" si="847"/>
        <v>4.714285714</v>
      </c>
      <c r="V320" s="40">
        <f t="shared" si="848"/>
        <v>149.8571429</v>
      </c>
      <c r="X320" s="31">
        <v>3.0</v>
      </c>
      <c r="Y320" s="31" t="s">
        <v>36</v>
      </c>
      <c r="Z320" s="31">
        <f t="shared" ref="Z320:AI320" si="889">SUM(D311)</f>
        <v>29</v>
      </c>
      <c r="AA320" s="32">
        <f t="shared" si="889"/>
        <v>29</v>
      </c>
      <c r="AB320" s="33">
        <f t="shared" si="889"/>
        <v>5753.776</v>
      </c>
      <c r="AC320" s="32">
        <f t="shared" si="889"/>
        <v>1720</v>
      </c>
      <c r="AD320" s="32">
        <f t="shared" si="889"/>
        <v>0</v>
      </c>
      <c r="AE320" s="32">
        <f t="shared" si="889"/>
        <v>1720</v>
      </c>
      <c r="AF320" s="32">
        <f t="shared" si="889"/>
        <v>2334</v>
      </c>
      <c r="AG320" s="32">
        <f t="shared" si="889"/>
        <v>0</v>
      </c>
      <c r="AH320" s="32">
        <f t="shared" si="889"/>
        <v>2334</v>
      </c>
      <c r="AI320" s="32">
        <f t="shared" si="889"/>
        <v>4054</v>
      </c>
      <c r="AJ320" s="34">
        <f t="shared" si="883"/>
        <v>198.406069</v>
      </c>
      <c r="AK320" s="31">
        <f t="shared" ref="AK320:AK323" si="893">SUM(O311)</f>
        <v>4796</v>
      </c>
      <c r="AL320" s="35">
        <f t="shared" si="884"/>
        <v>0.8452877398</v>
      </c>
      <c r="AM320" s="36">
        <f t="shared" ref="AM320:AM323" si="894">SUM(Q311)</f>
        <v>1.5</v>
      </c>
      <c r="AN320" s="35">
        <f t="shared" si="885"/>
        <v>0.4697205221</v>
      </c>
      <c r="AO320" s="37">
        <f t="shared" si="886"/>
        <v>0.7045807831</v>
      </c>
      <c r="AP320" s="36">
        <f t="shared" ref="AP320:AQ320" si="890">SUM(T311)</f>
        <v>153.7867109</v>
      </c>
      <c r="AQ320" s="36">
        <f t="shared" si="890"/>
        <v>5.30299003</v>
      </c>
      <c r="AR320" s="32">
        <f t="shared" si="888"/>
        <v>139.7931034</v>
      </c>
    </row>
    <row r="321" ht="15.75" customHeight="1">
      <c r="A321" s="21"/>
      <c r="B321" s="60" t="s">
        <v>33</v>
      </c>
      <c r="C321" s="60">
        <v>18.0</v>
      </c>
      <c r="D321" s="60">
        <f t="shared" ref="D321:M321" si="891">SUM(D303:D320)</f>
        <v>585</v>
      </c>
      <c r="E321" s="61">
        <f t="shared" si="891"/>
        <v>577</v>
      </c>
      <c r="F321" s="62">
        <f t="shared" si="891"/>
        <v>111787.734</v>
      </c>
      <c r="G321" s="61">
        <f t="shared" si="891"/>
        <v>45698</v>
      </c>
      <c r="H321" s="61">
        <f t="shared" si="891"/>
        <v>895</v>
      </c>
      <c r="I321" s="61">
        <f t="shared" si="891"/>
        <v>46593</v>
      </c>
      <c r="J321" s="61">
        <f t="shared" si="891"/>
        <v>54320</v>
      </c>
      <c r="K321" s="61">
        <f t="shared" si="891"/>
        <v>1428</v>
      </c>
      <c r="L321" s="61">
        <f t="shared" si="891"/>
        <v>55748</v>
      </c>
      <c r="M321" s="61">
        <f t="shared" si="891"/>
        <v>102341</v>
      </c>
      <c r="N321" s="62">
        <f t="shared" si="843"/>
        <v>193.7395737</v>
      </c>
      <c r="O321" s="60">
        <f>SUM(O303:O320)</f>
        <v>126399</v>
      </c>
      <c r="P321" s="63">
        <f t="shared" si="844"/>
        <v>0.8096662157</v>
      </c>
      <c r="Q321" s="64">
        <v>1.5</v>
      </c>
      <c r="R321" s="63">
        <f t="shared" si="845"/>
        <v>0.6103293348</v>
      </c>
      <c r="S321" s="65">
        <f t="shared" si="846"/>
        <v>0.9154940022</v>
      </c>
      <c r="T321" s="64">
        <f>SUM(T303:T320)</f>
        <v>4100.758673</v>
      </c>
      <c r="U321" s="64">
        <f t="shared" si="847"/>
        <v>7.107034095</v>
      </c>
      <c r="V321" s="61">
        <f t="shared" si="848"/>
        <v>177.3674177</v>
      </c>
      <c r="X321" s="31">
        <v>4.0</v>
      </c>
      <c r="Y321" s="31" t="s">
        <v>37</v>
      </c>
      <c r="Z321" s="31">
        <f t="shared" ref="Z321:AI321" si="892">SUM(D312)</f>
        <v>30</v>
      </c>
      <c r="AA321" s="32">
        <f t="shared" si="892"/>
        <v>30</v>
      </c>
      <c r="AB321" s="33">
        <f t="shared" si="892"/>
        <v>5985.732</v>
      </c>
      <c r="AC321" s="32">
        <f t="shared" si="892"/>
        <v>2253</v>
      </c>
      <c r="AD321" s="32">
        <f t="shared" si="892"/>
        <v>0</v>
      </c>
      <c r="AE321" s="32">
        <f t="shared" si="892"/>
        <v>2253</v>
      </c>
      <c r="AF321" s="32">
        <f t="shared" si="892"/>
        <v>3123</v>
      </c>
      <c r="AG321" s="32">
        <f t="shared" si="892"/>
        <v>0</v>
      </c>
      <c r="AH321" s="32">
        <f t="shared" si="892"/>
        <v>3123</v>
      </c>
      <c r="AI321" s="32">
        <f t="shared" si="892"/>
        <v>5376</v>
      </c>
      <c r="AJ321" s="34">
        <f t="shared" si="883"/>
        <v>199.5244</v>
      </c>
      <c r="AK321" s="31">
        <f t="shared" si="893"/>
        <v>5887</v>
      </c>
      <c r="AL321" s="35">
        <f t="shared" si="884"/>
        <v>0.9131985731</v>
      </c>
      <c r="AM321" s="36">
        <f t="shared" si="894"/>
        <v>1.5</v>
      </c>
      <c r="AN321" s="35">
        <f t="shared" si="885"/>
        <v>0.5987571779</v>
      </c>
      <c r="AO321" s="37">
        <f t="shared" si="886"/>
        <v>0.8981357669</v>
      </c>
      <c r="AP321" s="36">
        <f t="shared" ref="AP321:AQ321" si="895">SUM(T312)</f>
        <v>241.4380445</v>
      </c>
      <c r="AQ321" s="36">
        <f t="shared" si="895"/>
        <v>8.047934818</v>
      </c>
      <c r="AR321" s="32">
        <f t="shared" si="888"/>
        <v>179.2</v>
      </c>
    </row>
    <row r="322" ht="15.7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X322" s="31">
        <v>5.0</v>
      </c>
      <c r="Y322" s="31" t="s">
        <v>39</v>
      </c>
      <c r="Z322" s="31">
        <f t="shared" ref="Z322:AI322" si="896">SUM(D313)</f>
        <v>28</v>
      </c>
      <c r="AA322" s="32">
        <f t="shared" si="896"/>
        <v>26</v>
      </c>
      <c r="AB322" s="33">
        <f t="shared" si="896"/>
        <v>4705.854</v>
      </c>
      <c r="AC322" s="32">
        <f t="shared" si="896"/>
        <v>1195</v>
      </c>
      <c r="AD322" s="32">
        <f t="shared" si="896"/>
        <v>36</v>
      </c>
      <c r="AE322" s="32">
        <f t="shared" si="896"/>
        <v>1231</v>
      </c>
      <c r="AF322" s="32">
        <f t="shared" si="896"/>
        <v>1815</v>
      </c>
      <c r="AG322" s="32">
        <f t="shared" si="896"/>
        <v>136</v>
      </c>
      <c r="AH322" s="32">
        <f t="shared" si="896"/>
        <v>1951</v>
      </c>
      <c r="AI322" s="32">
        <f t="shared" si="896"/>
        <v>3182</v>
      </c>
      <c r="AJ322" s="34">
        <f t="shared" si="883"/>
        <v>180.9943846</v>
      </c>
      <c r="AK322" s="31">
        <f t="shared" si="893"/>
        <v>3569</v>
      </c>
      <c r="AL322" s="35">
        <f t="shared" si="884"/>
        <v>0.8915662651</v>
      </c>
      <c r="AM322" s="36">
        <f t="shared" si="894"/>
        <v>1.5</v>
      </c>
      <c r="AN322" s="35">
        <f t="shared" si="885"/>
        <v>0.4507860493</v>
      </c>
      <c r="AO322" s="37">
        <f t="shared" si="886"/>
        <v>0.676179074</v>
      </c>
      <c r="AP322" s="36">
        <f t="shared" ref="AP322:AQ322" si="897">SUM(T313)</f>
        <v>219.2542515</v>
      </c>
      <c r="AQ322" s="36">
        <f t="shared" si="897"/>
        <v>8.432855827</v>
      </c>
      <c r="AR322" s="32">
        <f t="shared" si="888"/>
        <v>122.3846154</v>
      </c>
    </row>
    <row r="323" ht="15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X323" s="31">
        <v>6.0</v>
      </c>
      <c r="Y323" s="31" t="s">
        <v>41</v>
      </c>
      <c r="Z323" s="31">
        <f t="shared" ref="Z323:AI323" si="898">SUM(D314)</f>
        <v>24</v>
      </c>
      <c r="AA323" s="32">
        <f t="shared" si="898"/>
        <v>24</v>
      </c>
      <c r="AB323" s="33">
        <f t="shared" si="898"/>
        <v>4793.152</v>
      </c>
      <c r="AC323" s="32">
        <f t="shared" si="898"/>
        <v>1446</v>
      </c>
      <c r="AD323" s="32">
        <f t="shared" si="898"/>
        <v>58</v>
      </c>
      <c r="AE323" s="32">
        <f t="shared" si="898"/>
        <v>1504</v>
      </c>
      <c r="AF323" s="32">
        <f t="shared" si="898"/>
        <v>1419</v>
      </c>
      <c r="AG323" s="32">
        <f t="shared" si="898"/>
        <v>199</v>
      </c>
      <c r="AH323" s="32">
        <f t="shared" si="898"/>
        <v>1618</v>
      </c>
      <c r="AI323" s="32">
        <f t="shared" si="898"/>
        <v>3122</v>
      </c>
      <c r="AJ323" s="34">
        <f t="shared" si="883"/>
        <v>199.7146667</v>
      </c>
      <c r="AK323" s="31">
        <f t="shared" si="893"/>
        <v>3801</v>
      </c>
      <c r="AL323" s="35">
        <f t="shared" si="884"/>
        <v>0.8213627993</v>
      </c>
      <c r="AM323" s="36">
        <f t="shared" si="894"/>
        <v>1.5</v>
      </c>
      <c r="AN323" s="35">
        <f t="shared" si="885"/>
        <v>0.4342306135</v>
      </c>
      <c r="AO323" s="37">
        <f t="shared" si="886"/>
        <v>0.6513459202</v>
      </c>
      <c r="AP323" s="36">
        <f t="shared" ref="AP323:AQ323" si="899">SUM(T314)</f>
        <v>161.7777778</v>
      </c>
      <c r="AQ323" s="36">
        <f t="shared" si="899"/>
        <v>6.740740741</v>
      </c>
      <c r="AR323" s="32">
        <f t="shared" si="888"/>
        <v>130.0833333</v>
      </c>
    </row>
    <row r="324" ht="15.75" customHeight="1">
      <c r="A324" s="1" t="s">
        <v>45</v>
      </c>
      <c r="D324" s="2"/>
      <c r="X324" s="46" t="s">
        <v>33</v>
      </c>
      <c r="Y324" s="46">
        <v>6.0</v>
      </c>
      <c r="Z324" s="46">
        <f t="shared" ref="Z324:AI324" si="900">SUM(Z318:Z323)</f>
        <v>173</v>
      </c>
      <c r="AA324" s="47">
        <f t="shared" si="900"/>
        <v>171</v>
      </c>
      <c r="AB324" s="49">
        <f t="shared" si="900"/>
        <v>33075.76</v>
      </c>
      <c r="AC324" s="47">
        <f t="shared" si="900"/>
        <v>13715</v>
      </c>
      <c r="AD324" s="47">
        <f t="shared" si="900"/>
        <v>94</v>
      </c>
      <c r="AE324" s="47">
        <f t="shared" si="900"/>
        <v>13809</v>
      </c>
      <c r="AF324" s="47">
        <f t="shared" si="900"/>
        <v>17519</v>
      </c>
      <c r="AG324" s="47">
        <f t="shared" si="900"/>
        <v>335</v>
      </c>
      <c r="AH324" s="47">
        <f t="shared" si="900"/>
        <v>17854</v>
      </c>
      <c r="AI324" s="47">
        <f t="shared" si="900"/>
        <v>31663</v>
      </c>
      <c r="AJ324" s="49">
        <f t="shared" si="883"/>
        <v>193.4254971</v>
      </c>
      <c r="AK324" s="46">
        <f>SUM(AK318:AK323)</f>
        <v>37031</v>
      </c>
      <c r="AL324" s="50">
        <f t="shared" si="884"/>
        <v>0.8550403716</v>
      </c>
      <c r="AM324" s="51">
        <v>1.5</v>
      </c>
      <c r="AN324" s="50">
        <f t="shared" si="885"/>
        <v>0.6381914328</v>
      </c>
      <c r="AO324" s="52">
        <f t="shared" si="886"/>
        <v>0.9572871493</v>
      </c>
      <c r="AP324" s="51">
        <f>SUM(AP318:AP323)</f>
        <v>1359.336761</v>
      </c>
      <c r="AQ324" s="51">
        <f>AP324/AA324</f>
        <v>7.949337784</v>
      </c>
      <c r="AR324" s="47">
        <f t="shared" si="888"/>
        <v>185.1637427</v>
      </c>
    </row>
    <row r="325" ht="15.75" customHeight="1">
      <c r="A325" s="1" t="s">
        <v>45</v>
      </c>
      <c r="D325" s="2"/>
      <c r="X325" s="66" t="s">
        <v>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6"/>
    </row>
    <row r="326" ht="15.75" customHeight="1">
      <c r="A326" s="7">
        <v>46247.0</v>
      </c>
      <c r="B326" s="8" t="s">
        <v>2</v>
      </c>
      <c r="C326" s="8" t="s">
        <v>3</v>
      </c>
      <c r="D326" s="8" t="s">
        <v>4</v>
      </c>
      <c r="E326" s="8" t="s">
        <v>5</v>
      </c>
      <c r="F326" s="9" t="s">
        <v>6</v>
      </c>
      <c r="G326" s="8" t="s">
        <v>7</v>
      </c>
      <c r="H326" s="8" t="s">
        <v>8</v>
      </c>
      <c r="I326" s="8" t="s">
        <v>9</v>
      </c>
      <c r="J326" s="8" t="s">
        <v>10</v>
      </c>
      <c r="K326" s="8" t="s">
        <v>11</v>
      </c>
      <c r="L326" s="8" t="s">
        <v>12</v>
      </c>
      <c r="M326" s="8" t="s">
        <v>13</v>
      </c>
      <c r="N326" s="9" t="s">
        <v>14</v>
      </c>
      <c r="O326" s="8" t="s">
        <v>15</v>
      </c>
      <c r="P326" s="8" t="s">
        <v>16</v>
      </c>
      <c r="Q326" s="8" t="s">
        <v>17</v>
      </c>
      <c r="R326" s="8" t="s">
        <v>18</v>
      </c>
      <c r="S326" s="11" t="s">
        <v>19</v>
      </c>
      <c r="T326" s="12" t="s">
        <v>20</v>
      </c>
      <c r="U326" s="12" t="s">
        <v>21</v>
      </c>
      <c r="V326" s="13" t="s">
        <v>22</v>
      </c>
      <c r="X326" s="14" t="s">
        <v>2</v>
      </c>
      <c r="Y326" s="14" t="s">
        <v>3</v>
      </c>
      <c r="Z326" s="14" t="s">
        <v>4</v>
      </c>
      <c r="AA326" s="14" t="s">
        <v>5</v>
      </c>
      <c r="AB326" s="15" t="s">
        <v>6</v>
      </c>
      <c r="AC326" s="14" t="s">
        <v>7</v>
      </c>
      <c r="AD326" s="14" t="s">
        <v>8</v>
      </c>
      <c r="AE326" s="14" t="s">
        <v>9</v>
      </c>
      <c r="AF326" s="14" t="s">
        <v>10</v>
      </c>
      <c r="AG326" s="14" t="s">
        <v>11</v>
      </c>
      <c r="AH326" s="14" t="s">
        <v>12</v>
      </c>
      <c r="AI326" s="14" t="s">
        <v>13</v>
      </c>
      <c r="AJ326" s="15" t="s">
        <v>14</v>
      </c>
      <c r="AK326" s="14" t="s">
        <v>15</v>
      </c>
      <c r="AL326" s="14" t="s">
        <v>16</v>
      </c>
      <c r="AM326" s="16" t="s">
        <v>17</v>
      </c>
      <c r="AN326" s="17" t="s">
        <v>18</v>
      </c>
      <c r="AO326" s="18" t="s">
        <v>19</v>
      </c>
      <c r="AP326" s="19" t="s">
        <v>20</v>
      </c>
      <c r="AQ326" s="19" t="s">
        <v>21</v>
      </c>
      <c r="AR326" s="20" t="s">
        <v>22</v>
      </c>
    </row>
    <row r="327" ht="15.7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X327" s="22">
        <v>1.0</v>
      </c>
      <c r="Y327" s="22" t="s">
        <v>23</v>
      </c>
      <c r="Z327" s="22">
        <f t="shared" ref="Z327:AI327" si="901">SUM(D335)</f>
        <v>35</v>
      </c>
      <c r="AA327" s="23">
        <f t="shared" si="901"/>
        <v>34</v>
      </c>
      <c r="AB327" s="24">
        <f t="shared" si="901"/>
        <v>6395.524</v>
      </c>
      <c r="AC327" s="23">
        <f t="shared" si="901"/>
        <v>2663</v>
      </c>
      <c r="AD327" s="23">
        <f t="shared" si="901"/>
        <v>0</v>
      </c>
      <c r="AE327" s="23">
        <f t="shared" si="901"/>
        <v>2663</v>
      </c>
      <c r="AF327" s="23">
        <f t="shared" si="901"/>
        <v>2478</v>
      </c>
      <c r="AG327" s="23">
        <f t="shared" si="901"/>
        <v>0</v>
      </c>
      <c r="AH327" s="23">
        <f t="shared" si="901"/>
        <v>2478</v>
      </c>
      <c r="AI327" s="23">
        <f t="shared" si="901"/>
        <v>5141</v>
      </c>
      <c r="AJ327" s="25">
        <f t="shared" ref="AJ327:AJ329" si="904">AB327/AA327</f>
        <v>188.1036471</v>
      </c>
      <c r="AK327" s="22">
        <f>SUM(O335)</f>
        <v>6853</v>
      </c>
      <c r="AL327" s="26">
        <f t="shared" ref="AL327:AL333" si="905">AI327/AK327</f>
        <v>0.7501824019</v>
      </c>
      <c r="AM327" s="27">
        <f t="shared" ref="AM327:AM329" si="906">SUM(Q335)</f>
        <v>1.5</v>
      </c>
      <c r="AN327" s="26">
        <f t="shared" ref="AN327:AN333" si="907">AO327/AM327</f>
        <v>0.5358956253</v>
      </c>
      <c r="AO327" s="28">
        <f t="shared" ref="AO327:AO333" si="908">AI327/AB327</f>
        <v>0.803843438</v>
      </c>
      <c r="AP327" s="27">
        <f t="shared" ref="AP327:AQ327" si="902">SUM(T335)</f>
        <v>189.5531713</v>
      </c>
      <c r="AQ327" s="27">
        <f t="shared" si="902"/>
        <v>5.575093274</v>
      </c>
      <c r="AR327" s="23">
        <f t="shared" ref="AR327:AR333" si="910">AI327/AA327</f>
        <v>151.2058824</v>
      </c>
    </row>
    <row r="328" ht="15.7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X328" s="22">
        <v>2.0</v>
      </c>
      <c r="Y328" s="22" t="s">
        <v>24</v>
      </c>
      <c r="Z328" s="22">
        <f t="shared" ref="Z328:AI328" si="903">SUM(D336)</f>
        <v>44</v>
      </c>
      <c r="AA328" s="23">
        <f t="shared" si="903"/>
        <v>43</v>
      </c>
      <c r="AB328" s="24">
        <f t="shared" si="903"/>
        <v>8088.251</v>
      </c>
      <c r="AC328" s="23">
        <f t="shared" si="903"/>
        <v>1102</v>
      </c>
      <c r="AD328" s="23">
        <f t="shared" si="903"/>
        <v>0</v>
      </c>
      <c r="AE328" s="23">
        <f t="shared" si="903"/>
        <v>1102</v>
      </c>
      <c r="AF328" s="23">
        <f t="shared" si="903"/>
        <v>1360</v>
      </c>
      <c r="AG328" s="23">
        <f t="shared" si="903"/>
        <v>0</v>
      </c>
      <c r="AH328" s="23">
        <f t="shared" si="903"/>
        <v>1360</v>
      </c>
      <c r="AI328" s="23">
        <f t="shared" si="903"/>
        <v>2462</v>
      </c>
      <c r="AJ328" s="25">
        <f t="shared" si="904"/>
        <v>188.0988605</v>
      </c>
      <c r="AK328" s="22">
        <v>1580.0</v>
      </c>
      <c r="AL328" s="29">
        <f t="shared" si="905"/>
        <v>1.558227848</v>
      </c>
      <c r="AM328" s="27">
        <f t="shared" si="906"/>
        <v>1.5</v>
      </c>
      <c r="AN328" s="26">
        <f t="shared" si="907"/>
        <v>0.2029280908</v>
      </c>
      <c r="AO328" s="28">
        <f t="shared" si="908"/>
        <v>0.3043921362</v>
      </c>
      <c r="AP328" s="27">
        <f t="shared" ref="AP328:AQ328" si="909">SUM(T336)</f>
        <v>301.7441149</v>
      </c>
      <c r="AQ328" s="27">
        <f t="shared" si="909"/>
        <v>7.017304998</v>
      </c>
      <c r="AR328" s="23">
        <f t="shared" si="910"/>
        <v>57.25581395</v>
      </c>
    </row>
    <row r="329" ht="15.75" customHeight="1">
      <c r="A329" s="21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X329" s="31">
        <v>3.0</v>
      </c>
      <c r="Y329" s="31" t="s">
        <v>25</v>
      </c>
      <c r="Z329" s="31">
        <f t="shared" ref="Z329:AI329" si="911">SUM(D337)</f>
        <v>32</v>
      </c>
      <c r="AA329" s="32">
        <f t="shared" si="911"/>
        <v>32</v>
      </c>
      <c r="AB329" s="33">
        <f t="shared" si="911"/>
        <v>5873.908</v>
      </c>
      <c r="AC329" s="32">
        <f t="shared" si="911"/>
        <v>2241</v>
      </c>
      <c r="AD329" s="32">
        <f t="shared" si="911"/>
        <v>359</v>
      </c>
      <c r="AE329" s="32">
        <f t="shared" si="911"/>
        <v>2600</v>
      </c>
      <c r="AF329" s="32">
        <f t="shared" si="911"/>
        <v>3326</v>
      </c>
      <c r="AG329" s="32">
        <f t="shared" si="911"/>
        <v>395</v>
      </c>
      <c r="AH329" s="32">
        <f t="shared" si="911"/>
        <v>3721</v>
      </c>
      <c r="AI329" s="32">
        <f t="shared" si="911"/>
        <v>6321</v>
      </c>
      <c r="AJ329" s="34">
        <f t="shared" si="904"/>
        <v>183.559625</v>
      </c>
      <c r="AK329" s="31">
        <f>SUM(O337)</f>
        <v>6622</v>
      </c>
      <c r="AL329" s="35">
        <f t="shared" si="905"/>
        <v>0.9545454545</v>
      </c>
      <c r="AM329" s="36">
        <f t="shared" si="906"/>
        <v>1.5</v>
      </c>
      <c r="AN329" s="35">
        <f t="shared" si="907"/>
        <v>0.7174099424</v>
      </c>
      <c r="AO329" s="37">
        <f t="shared" si="908"/>
        <v>1.076114914</v>
      </c>
      <c r="AP329" s="36">
        <f t="shared" ref="AP329:AQ329" si="912">SUM(T337)</f>
        <v>246.3887584</v>
      </c>
      <c r="AQ329" s="36">
        <f t="shared" si="912"/>
        <v>7.6996487</v>
      </c>
      <c r="AR329" s="32">
        <f t="shared" si="910"/>
        <v>197.53125</v>
      </c>
    </row>
    <row r="330" ht="15.75" customHeight="1">
      <c r="A330" s="21"/>
      <c r="B330" s="38">
        <v>1.0</v>
      </c>
      <c r="C330" s="38" t="s">
        <v>26</v>
      </c>
      <c r="D330" s="39">
        <v>20.0</v>
      </c>
      <c r="E330" s="40">
        <f>IFERROR(__xludf.DUMMYFUNCTION("COUNT(IMPORTRANGE(""https://docs.google.com/spreadsheets/d/1iVFEBQOAONhqDIMRa2hQ7WkCQv0dJWSAmc0AzfvSCMg/edit"",""13!d2:d21""))"),20.0)</f>
        <v>20</v>
      </c>
      <c r="F330" s="41">
        <f>IFERROR(__xludf.DUMMYFUNCTION("SUM(IMPORTRANGE(""https://docs.google.com/spreadsheets/d/1iVFEBQOAONhqDIMRa2hQ7WkCQv0dJWSAmc0AzfvSCMg/edit"",""13!Q2:Q21""))"),3662.022)</f>
        <v>3662.022</v>
      </c>
      <c r="G330" s="40">
        <f>IFERROR(__xludf.DUMMYFUNCTION("IMPORTRANGE(""https://docs.google.com/spreadsheets/d/1iVFEBQOAONhqDIMRa2hQ7WkCQv0dJWSAmc0AzfvSCMg/edit"",""13!e28"")"),2150.0)</f>
        <v>2150</v>
      </c>
      <c r="H330" s="40">
        <f>IFERROR(__xludf.DUMMYFUNCTION("IMPORTRANGE(""https://docs.google.com/spreadsheets/d/1iVFEBQOAONhqDIMRa2hQ7WkCQv0dJWSAmc0AzfvSCMg/edit"",""13!e29"")"),0.0)</f>
        <v>0</v>
      </c>
      <c r="I330" s="40">
        <f t="shared" ref="I330:I347" si="915">SUM(G330:H330)</f>
        <v>2150</v>
      </c>
      <c r="J330" s="40">
        <f>IFERROR(__xludf.DUMMYFUNCTION("IMPORTRANGE(""https://docs.google.com/spreadsheets/d/1iVFEBQOAONhqDIMRa2hQ7WkCQv0dJWSAmc0AzfvSCMg/edit"",""13!e32"")"),2769.0)</f>
        <v>2769</v>
      </c>
      <c r="K330" s="40">
        <f>IFERROR(__xludf.DUMMYFUNCTION("IMPORTRANGE(""https://docs.google.com/spreadsheets/d/1iVFEBQOAONhqDIMRa2hQ7WkCQv0dJWSAmc0AzfvSCMg/edit"",""13!e33"")"),0.0)</f>
        <v>0</v>
      </c>
      <c r="L330" s="40">
        <f t="shared" ref="L330:L336" si="916">SUM(J330:K330)</f>
        <v>2769</v>
      </c>
      <c r="M330" s="40">
        <f t="shared" ref="M330:M347" si="917">SUM(I330+L330)</f>
        <v>4919</v>
      </c>
      <c r="N330" s="41">
        <f t="shared" ref="N330:N348" si="918">F330/E330</f>
        <v>183.1011</v>
      </c>
      <c r="O330" s="38">
        <v>5161.0</v>
      </c>
      <c r="P330" s="42">
        <f t="shared" ref="P330:P348" si="919">M330/O330</f>
        <v>0.9531098624</v>
      </c>
      <c r="Q330" s="43">
        <v>1.5</v>
      </c>
      <c r="R330" s="42">
        <f t="shared" ref="R330:R348" si="920">S330/Q330</f>
        <v>0.8954979881</v>
      </c>
      <c r="S330" s="44">
        <f t="shared" ref="S330:S348" si="921">M330/F330</f>
        <v>1.343246982</v>
      </c>
      <c r="T330" s="43">
        <f>F330/14.415</f>
        <v>254.0424558</v>
      </c>
      <c r="U330" s="43">
        <f t="shared" ref="U330:U348" si="922">T330/E330</f>
        <v>12.70212279</v>
      </c>
      <c r="V330" s="40">
        <f t="shared" ref="V330:V348" si="923">M330/E330</f>
        <v>245.95</v>
      </c>
      <c r="X330" s="22">
        <v>4.0</v>
      </c>
      <c r="Y330" s="22" t="s">
        <v>27</v>
      </c>
      <c r="Z330" s="22">
        <f t="shared" ref="Z330:AK330" si="913">SUM(D343)</f>
        <v>30</v>
      </c>
      <c r="AA330" s="23">
        <f t="shared" si="913"/>
        <v>28</v>
      </c>
      <c r="AB330" s="24">
        <f t="shared" si="913"/>
        <v>4552.473</v>
      </c>
      <c r="AC330" s="23">
        <f t="shared" si="913"/>
        <v>2226</v>
      </c>
      <c r="AD330" s="23">
        <f t="shared" si="913"/>
        <v>0</v>
      </c>
      <c r="AE330" s="23">
        <f t="shared" si="913"/>
        <v>2226</v>
      </c>
      <c r="AF330" s="23">
        <f t="shared" si="913"/>
        <v>2800</v>
      </c>
      <c r="AG330" s="23">
        <f t="shared" si="913"/>
        <v>0</v>
      </c>
      <c r="AH330" s="23">
        <f t="shared" si="913"/>
        <v>2800</v>
      </c>
      <c r="AI330" s="23">
        <f t="shared" si="913"/>
        <v>5026</v>
      </c>
      <c r="AJ330" s="25">
        <f t="shared" si="913"/>
        <v>162.5883214</v>
      </c>
      <c r="AK330" s="22">
        <f t="shared" si="913"/>
        <v>8101</v>
      </c>
      <c r="AL330" s="26">
        <f t="shared" si="905"/>
        <v>0.6204172324</v>
      </c>
      <c r="AM330" s="27">
        <f>SUM(Q343)</f>
        <v>1.5</v>
      </c>
      <c r="AN330" s="26">
        <f t="shared" si="907"/>
        <v>0.7360102227</v>
      </c>
      <c r="AO330" s="28">
        <f t="shared" si="908"/>
        <v>1.104015334</v>
      </c>
      <c r="AP330" s="27">
        <f t="shared" ref="AP330:AQ330" si="914">SUM(T343)</f>
        <v>227.7944959</v>
      </c>
      <c r="AQ330" s="27">
        <f t="shared" si="914"/>
        <v>8.13551771</v>
      </c>
      <c r="AR330" s="23">
        <f t="shared" si="910"/>
        <v>179.5</v>
      </c>
    </row>
    <row r="331" ht="15.75" customHeight="1">
      <c r="A331" s="21"/>
      <c r="B331" s="38">
        <v>2.0</v>
      </c>
      <c r="C331" s="38" t="s">
        <v>28</v>
      </c>
      <c r="D331" s="39">
        <v>33.0</v>
      </c>
      <c r="E331" s="40">
        <f>IFERROR(__xludf.DUMMYFUNCTION("COUNT(IMPORTRANGE(""https://docs.google.com/spreadsheets/d/1tJCeYclgeJZ4Dc78t_SkhVjtacKW-5-VGim8X1rzUzk/edit"",""13!d2:d34""))"),33.0)</f>
        <v>33</v>
      </c>
      <c r="F331" s="41">
        <f>IFERROR(__xludf.DUMMYFUNCTION("SUM(IMPORTRANGE(""https://docs.google.com/spreadsheets/d/1tJCeYclgeJZ4Dc78t_SkhVjtacKW-5-VGim8X1rzUzk/edit"",""13!Q2:Q34""))"),6512.208000000002)</f>
        <v>6512.208</v>
      </c>
      <c r="G331" s="40">
        <f>IFERROR(__xludf.DUMMYFUNCTION("IMPORTRANGE(""https://docs.google.com/spreadsheets/d/1tJCeYclgeJZ4Dc78t_SkhVjtacKW-5-VGim8X1rzUzk/edit"",""13!e41"")"),2683.0)</f>
        <v>2683</v>
      </c>
      <c r="H331" s="40">
        <f>IFERROR(__xludf.DUMMYFUNCTION("IMPORTRANGE(""https://docs.google.com/spreadsheets/d/1tJCeYclgeJZ4Dc78t_SkhVjtacKW-5-VGim8X1rzUzk/edit"",""13!e42"")"),119.0)</f>
        <v>119</v>
      </c>
      <c r="I331" s="40">
        <f t="shared" si="915"/>
        <v>2802</v>
      </c>
      <c r="J331" s="40">
        <f>IFERROR(__xludf.DUMMYFUNCTION("IMPORTRANGE(""https://docs.google.com/spreadsheets/d/1tJCeYclgeJZ4Dc78t_SkhVjtacKW-5-VGim8X1rzUzk/edit"",""13!e45"")"),2759.0)</f>
        <v>2759</v>
      </c>
      <c r="K331" s="40">
        <f>IFERROR(__xludf.DUMMYFUNCTION("IMPORTRANGE(""https://docs.google.com/spreadsheets/d/1tJCeYclgeJZ4Dc78t_SkhVjtacKW-5-VGim8X1rzUzk/edit"",""13!e46"")"),118.0)</f>
        <v>118</v>
      </c>
      <c r="L331" s="40">
        <f t="shared" si="916"/>
        <v>2877</v>
      </c>
      <c r="M331" s="40">
        <f t="shared" si="917"/>
        <v>5679</v>
      </c>
      <c r="N331" s="41">
        <f t="shared" si="918"/>
        <v>197.3396364</v>
      </c>
      <c r="O331" s="38">
        <v>7315.0</v>
      </c>
      <c r="P331" s="42">
        <f t="shared" si="919"/>
        <v>0.7763499658</v>
      </c>
      <c r="Q331" s="43">
        <v>1.5</v>
      </c>
      <c r="R331" s="42">
        <f t="shared" si="920"/>
        <v>0.5813696368</v>
      </c>
      <c r="S331" s="44">
        <f t="shared" si="921"/>
        <v>0.8720544553</v>
      </c>
      <c r="T331" s="43">
        <f>F331/30.897</f>
        <v>210.7715312</v>
      </c>
      <c r="U331" s="43">
        <f t="shared" si="922"/>
        <v>6.387016097</v>
      </c>
      <c r="V331" s="40">
        <f t="shared" si="923"/>
        <v>172.0909091</v>
      </c>
      <c r="X331" s="22">
        <v>5.0</v>
      </c>
      <c r="Y331" s="22" t="s">
        <v>29</v>
      </c>
      <c r="Z331" s="22">
        <f t="shared" ref="Z331:AI331" si="924">SUM(D346)</f>
        <v>30</v>
      </c>
      <c r="AA331" s="23">
        <f t="shared" si="924"/>
        <v>30</v>
      </c>
      <c r="AB331" s="24">
        <f t="shared" si="924"/>
        <v>6092.93</v>
      </c>
      <c r="AC331" s="23">
        <f t="shared" si="924"/>
        <v>2821</v>
      </c>
      <c r="AD331" s="23">
        <f t="shared" si="924"/>
        <v>0</v>
      </c>
      <c r="AE331" s="23">
        <f t="shared" si="924"/>
        <v>2821</v>
      </c>
      <c r="AF331" s="23">
        <f t="shared" si="924"/>
        <v>4213</v>
      </c>
      <c r="AG331" s="23">
        <f t="shared" si="924"/>
        <v>0</v>
      </c>
      <c r="AH331" s="23">
        <f t="shared" si="924"/>
        <v>4213</v>
      </c>
      <c r="AI331" s="23">
        <f t="shared" si="924"/>
        <v>7034</v>
      </c>
      <c r="AJ331" s="25">
        <f t="shared" ref="AJ331:AJ333" si="927">AB331/AA331</f>
        <v>203.0976667</v>
      </c>
      <c r="AK331" s="22">
        <f t="shared" ref="AK331:AK332" si="928">SUM(O346)</f>
        <v>9201</v>
      </c>
      <c r="AL331" s="26">
        <f t="shared" si="905"/>
        <v>0.7644821215</v>
      </c>
      <c r="AM331" s="27">
        <f t="shared" ref="AM331:AM332" si="929">SUM(Q346)</f>
        <v>1.5</v>
      </c>
      <c r="AN331" s="26">
        <f t="shared" si="907"/>
        <v>0.7696351892</v>
      </c>
      <c r="AO331" s="28">
        <f t="shared" si="908"/>
        <v>1.154452784</v>
      </c>
      <c r="AP331" s="27">
        <f t="shared" ref="AP331:AQ331" si="925">SUM(T346)</f>
        <v>230</v>
      </c>
      <c r="AQ331" s="27">
        <f t="shared" si="925"/>
        <v>7.666666667</v>
      </c>
      <c r="AR331" s="23">
        <f t="shared" si="910"/>
        <v>234.4666667</v>
      </c>
    </row>
    <row r="332" ht="15.75" customHeight="1">
      <c r="A332" s="21"/>
      <c r="B332" s="38">
        <v>3.0</v>
      </c>
      <c r="C332" s="38" t="s">
        <v>30</v>
      </c>
      <c r="D332" s="39">
        <v>60.0</v>
      </c>
      <c r="E332" s="40">
        <f>IFERROR(__xludf.DUMMYFUNCTION("COUNT(IMPORTRANGE(""https://docs.google.com/spreadsheets/d/130gLEONC13J8KkQ6dk06x3bLRy_jCrAw2hXatQf2W50/edit"",""13!d2:d61""))"),57.0)</f>
        <v>57</v>
      </c>
      <c r="F332" s="45">
        <f>IFERROR(__xludf.DUMMYFUNCTION("SUM(IMPORTRANGE(""https://docs.google.com/spreadsheets/d/130gLEONC13J8KkQ6dk06x3bLRy_jCrAw2hXatQf2W50/edit"",""13!Q2:Q61""))"),10403.268000000004)</f>
        <v>10403.268</v>
      </c>
      <c r="G332" s="40">
        <f>IFERROR(__xludf.DUMMYFUNCTION("IMPORTRANGE(""https://docs.google.com/spreadsheets/d/130gLEONC13J8KkQ6dk06x3bLRy_jCrAw2hXatQf2W50/edit"",""13!e68"")"),3615.0)</f>
        <v>3615</v>
      </c>
      <c r="H332" s="40">
        <f>IFERROR(__xludf.DUMMYFUNCTION("IMPORTRANGE(""https://docs.google.com/spreadsheets/d/130gLEONC13J8KkQ6dk06x3bLRy_jCrAw2hXatQf2W50/edit"",""13!e69"")"),0.0)</f>
        <v>0</v>
      </c>
      <c r="I332" s="40">
        <f t="shared" si="915"/>
        <v>3615</v>
      </c>
      <c r="J332" s="40">
        <f>IFERROR(__xludf.DUMMYFUNCTION("IMPORTRANGE(""https://docs.google.com/spreadsheets/d/130gLEONC13J8KkQ6dk06x3bLRy_jCrAw2hXatQf2W50/edit"",""13!e72"")"),4454.0)</f>
        <v>4454</v>
      </c>
      <c r="K332" s="40">
        <f>IFERROR(__xludf.DUMMYFUNCTION("IMPORTRANGE(""https://docs.google.com/spreadsheets/d/130gLEONC13J8KkQ6dk06x3bLRy_jCrAw2hXatQf2W50/edit"",""13!e73"")"),216.0)</f>
        <v>216</v>
      </c>
      <c r="L332" s="40">
        <f t="shared" si="916"/>
        <v>4670</v>
      </c>
      <c r="M332" s="40">
        <f t="shared" si="917"/>
        <v>8285</v>
      </c>
      <c r="N332" s="41">
        <f t="shared" si="918"/>
        <v>182.5134737</v>
      </c>
      <c r="O332" s="38">
        <v>11164.0</v>
      </c>
      <c r="P332" s="42">
        <f t="shared" si="919"/>
        <v>0.7421175206</v>
      </c>
      <c r="Q332" s="43">
        <v>1.5</v>
      </c>
      <c r="R332" s="42">
        <f t="shared" si="920"/>
        <v>0.5309229113</v>
      </c>
      <c r="S332" s="44">
        <f t="shared" si="921"/>
        <v>0.7963843669</v>
      </c>
      <c r="T332" s="43">
        <f>F332/29.603</f>
        <v>351.4261392</v>
      </c>
      <c r="U332" s="43">
        <f t="shared" si="922"/>
        <v>6.165370864</v>
      </c>
      <c r="V332" s="40">
        <f t="shared" si="923"/>
        <v>145.3508772</v>
      </c>
      <c r="X332" s="22">
        <v>6.0</v>
      </c>
      <c r="Y332" s="22" t="s">
        <v>31</v>
      </c>
      <c r="Z332" s="22">
        <f t="shared" ref="Z332:AI332" si="926">SUM(D347)</f>
        <v>15</v>
      </c>
      <c r="AA332" s="23">
        <f t="shared" si="926"/>
        <v>14</v>
      </c>
      <c r="AB332" s="25">
        <f t="shared" si="926"/>
        <v>2540.981</v>
      </c>
      <c r="AC332" s="23">
        <f t="shared" si="926"/>
        <v>1020</v>
      </c>
      <c r="AD332" s="23">
        <f t="shared" si="926"/>
        <v>0</v>
      </c>
      <c r="AE332" s="23">
        <f t="shared" si="926"/>
        <v>1020</v>
      </c>
      <c r="AF332" s="23">
        <f t="shared" si="926"/>
        <v>870</v>
      </c>
      <c r="AG332" s="23">
        <f t="shared" si="926"/>
        <v>0</v>
      </c>
      <c r="AH332" s="23">
        <f t="shared" si="926"/>
        <v>870</v>
      </c>
      <c r="AI332" s="23">
        <f t="shared" si="926"/>
        <v>1890</v>
      </c>
      <c r="AJ332" s="25">
        <f t="shared" si="927"/>
        <v>181.4986429</v>
      </c>
      <c r="AK332" s="22">
        <f t="shared" si="928"/>
        <v>2717</v>
      </c>
      <c r="AL332" s="26">
        <f t="shared" si="905"/>
        <v>0.6956201693</v>
      </c>
      <c r="AM332" s="27">
        <f t="shared" si="929"/>
        <v>1.5</v>
      </c>
      <c r="AN332" s="26">
        <f t="shared" si="907"/>
        <v>0.4958714764</v>
      </c>
      <c r="AO332" s="28">
        <f t="shared" si="908"/>
        <v>0.7438072146</v>
      </c>
      <c r="AP332" s="27">
        <f t="shared" ref="AP332:AQ332" si="930">SUM(T347)</f>
        <v>58.46039342</v>
      </c>
      <c r="AQ332" s="27">
        <f t="shared" si="930"/>
        <v>4.175742387</v>
      </c>
      <c r="AR332" s="23">
        <f t="shared" si="910"/>
        <v>135</v>
      </c>
    </row>
    <row r="333" ht="15.75" customHeight="1">
      <c r="A333" s="21"/>
      <c r="B333" s="38">
        <v>4.0</v>
      </c>
      <c r="C333" s="38" t="s">
        <v>32</v>
      </c>
      <c r="D333" s="39">
        <v>42.0</v>
      </c>
      <c r="E333" s="40">
        <f>IFERROR(__xludf.DUMMYFUNCTION("COUNT(IMPORTRANGE(""https://docs.google.com/spreadsheets/d/1gYHli7FuKQLm2Q-5LMR0UtkD-gRRA_p8s-phLPLDLgc/edit"",""13!d2:d43""))"),41.0)</f>
        <v>41</v>
      </c>
      <c r="F333" s="45">
        <f>IFERROR(__xludf.DUMMYFUNCTION("SUM(IMPORTRANGE(""https://docs.google.com/spreadsheets/d/1gYHli7FuKQLm2Q-5LMR0UtkD-gRRA_p8s-phLPLDLgc/edit"",""13!Q2:Q43""))"),8028.479999999992)</f>
        <v>8028.48</v>
      </c>
      <c r="G333" s="38">
        <f>IFERROR(__xludf.DUMMYFUNCTION("IMPORTRANGE(""https://docs.google.com/spreadsheets/d/1gYHli7FuKQLm2Q-5LMR0UtkD-gRRA_p8s-phLPLDLgc/edit"",""13!e50"")"),4560.0)</f>
        <v>4560</v>
      </c>
      <c r="H333" s="38">
        <f>IFERROR(__xludf.DUMMYFUNCTION("IMPORTRANGE(""https://docs.google.com/spreadsheets/d/1gYHli7FuKQLm2Q-5LMR0UtkD-gRRA_p8s-phLPLDLgc/edit"",""13!e51"")"),0.0)</f>
        <v>0</v>
      </c>
      <c r="I333" s="40">
        <f t="shared" si="915"/>
        <v>4560</v>
      </c>
      <c r="J333" s="38">
        <f>IFERROR(__xludf.DUMMYFUNCTION("IMPORTRANGE(""https://docs.google.com/spreadsheets/d/1gYHli7FuKQLm2Q-5LMR0UtkD-gRRA_p8s-phLPLDLgc/edit"",""13!e54"")"),5878.0)</f>
        <v>5878</v>
      </c>
      <c r="K333" s="38">
        <f>IFERROR(__xludf.DUMMYFUNCTION("IMPORTRANGE(""https://docs.google.com/spreadsheets/d/1gYHli7FuKQLm2Q-5LMR0UtkD-gRRA_p8s-phLPLDLgc/edit"",""13!e55"")"),0.0)</f>
        <v>0</v>
      </c>
      <c r="L333" s="40">
        <f t="shared" si="916"/>
        <v>5878</v>
      </c>
      <c r="M333" s="40">
        <f t="shared" si="917"/>
        <v>10438</v>
      </c>
      <c r="N333" s="41">
        <f t="shared" si="918"/>
        <v>195.8165854</v>
      </c>
      <c r="O333" s="38">
        <v>13817.0</v>
      </c>
      <c r="P333" s="42">
        <f t="shared" si="919"/>
        <v>0.7554461895</v>
      </c>
      <c r="Q333" s="43">
        <v>1.5</v>
      </c>
      <c r="R333" s="42">
        <f t="shared" si="920"/>
        <v>0.8667477115</v>
      </c>
      <c r="S333" s="44">
        <f t="shared" si="921"/>
        <v>1.300121567</v>
      </c>
      <c r="T333" s="43">
        <f>F333/25.089</f>
        <v>320</v>
      </c>
      <c r="U333" s="43">
        <f t="shared" si="922"/>
        <v>7.804878049</v>
      </c>
      <c r="V333" s="40">
        <f t="shared" si="923"/>
        <v>254.5853659</v>
      </c>
      <c r="X333" s="46" t="s">
        <v>33</v>
      </c>
      <c r="Y333" s="46">
        <v>6.0</v>
      </c>
      <c r="Z333" s="46">
        <f t="shared" ref="Z333:AI333" si="931">SUM(Z327:Z332)</f>
        <v>186</v>
      </c>
      <c r="AA333" s="47">
        <f t="shared" si="931"/>
        <v>181</v>
      </c>
      <c r="AB333" s="48">
        <f t="shared" si="931"/>
        <v>33544.067</v>
      </c>
      <c r="AC333" s="47">
        <f t="shared" si="931"/>
        <v>12073</v>
      </c>
      <c r="AD333" s="47">
        <f t="shared" si="931"/>
        <v>359</v>
      </c>
      <c r="AE333" s="47">
        <f t="shared" si="931"/>
        <v>12432</v>
      </c>
      <c r="AF333" s="47">
        <f t="shared" si="931"/>
        <v>15047</v>
      </c>
      <c r="AG333" s="47">
        <f t="shared" si="931"/>
        <v>395</v>
      </c>
      <c r="AH333" s="47">
        <f t="shared" si="931"/>
        <v>15442</v>
      </c>
      <c r="AI333" s="47">
        <f t="shared" si="931"/>
        <v>27874</v>
      </c>
      <c r="AJ333" s="49">
        <f t="shared" si="927"/>
        <v>185.326337</v>
      </c>
      <c r="AK333" s="46">
        <f>SUM(AK327:AK332)</f>
        <v>35074</v>
      </c>
      <c r="AL333" s="50">
        <f t="shared" si="905"/>
        <v>0.7947197354</v>
      </c>
      <c r="AM333" s="51">
        <v>1.5</v>
      </c>
      <c r="AN333" s="50">
        <f t="shared" si="907"/>
        <v>0.5539777471</v>
      </c>
      <c r="AO333" s="52">
        <f t="shared" si="908"/>
        <v>0.8309666207</v>
      </c>
      <c r="AP333" s="51">
        <f>SUM(AP327:AP332)</f>
        <v>1253.940934</v>
      </c>
      <c r="AQ333" s="51">
        <f>AP333/AA333</f>
        <v>6.927850464</v>
      </c>
      <c r="AR333" s="47">
        <f t="shared" si="910"/>
        <v>154</v>
      </c>
    </row>
    <row r="334" ht="15.75" customHeight="1">
      <c r="A334" s="21"/>
      <c r="B334" s="38">
        <v>5.0</v>
      </c>
      <c r="C334" s="38" t="s">
        <v>34</v>
      </c>
      <c r="D334" s="39">
        <v>40.0</v>
      </c>
      <c r="E334" s="40">
        <f>IFERROR(__xludf.DUMMYFUNCTION("COUNT(IMPORTRANGE(""https://docs.google.com/spreadsheets/d/1ptS0qWBCKWkc9h2aXWT_YgMhN7yIv5WgAHRbF8l9Zpo/edit"",""13!d2:d41""))"),40.0)</f>
        <v>40</v>
      </c>
      <c r="F334" s="45">
        <f>IFERROR(__xludf.DUMMYFUNCTION("SUM(IMPORTRANGE(""https://docs.google.com/spreadsheets/d/1ptS0qWBCKWkc9h2aXWT_YgMhN7yIv5WgAHRbF8l9Zpo/edit"",""13!Q2:Q41""))"),7837.242000000002)</f>
        <v>7837.242</v>
      </c>
      <c r="G334" s="40">
        <f>IFERROR(__xludf.DUMMYFUNCTION("IMPORTRANGE(""https://docs.google.com/spreadsheets/d/1ptS0qWBCKWkc9h2aXWT_YgMhN7yIv5WgAHRbF8l9Zpo/edit"",""13!e48"")"),2873.0)</f>
        <v>2873</v>
      </c>
      <c r="H334" s="40">
        <f>IFERROR(__xludf.DUMMYFUNCTION("IMPORTRANGE(""https://docs.google.com/spreadsheets/d/1ptS0qWBCKWkc9h2aXWT_YgMhN7yIv5WgAHRbF8l9Zpo/edit"",""13!e49"")"),0.0)</f>
        <v>0</v>
      </c>
      <c r="I334" s="40">
        <f t="shared" si="915"/>
        <v>2873</v>
      </c>
      <c r="J334" s="40">
        <f>IFERROR(__xludf.DUMMYFUNCTION("IMPORTRANGE(""https://docs.google.com/spreadsheets/d/1ptS0qWBCKWkc9h2aXWT_YgMhN7yIv5WgAHRbF8l9Zpo/edit"",""13!e52"")"),3149.0)</f>
        <v>3149</v>
      </c>
      <c r="K334" s="40">
        <f>IFERROR(__xludf.DUMMYFUNCTION("IMPORTRANGE(""https://docs.google.com/spreadsheets/d/1ptS0qWBCKWkc9h2aXWT_YgMhN7yIv5WgAHRbF8l9Zpo/edit"",""13!e53"")"),0.0)</f>
        <v>0</v>
      </c>
      <c r="L334" s="40">
        <f t="shared" si="916"/>
        <v>3149</v>
      </c>
      <c r="M334" s="40">
        <f t="shared" si="917"/>
        <v>6022</v>
      </c>
      <c r="N334" s="41">
        <f t="shared" si="918"/>
        <v>195.93105</v>
      </c>
      <c r="O334" s="38">
        <v>9354.0</v>
      </c>
      <c r="P334" s="42">
        <f t="shared" si="919"/>
        <v>0.6437887535</v>
      </c>
      <c r="Q334" s="43">
        <v>1.5</v>
      </c>
      <c r="R334" s="42">
        <f t="shared" si="920"/>
        <v>0.5122550339</v>
      </c>
      <c r="S334" s="44">
        <f t="shared" si="921"/>
        <v>0.7683825509</v>
      </c>
      <c r="T334" s="43">
        <f>F334/30.713</f>
        <v>255.1767004</v>
      </c>
      <c r="U334" s="43">
        <f t="shared" si="922"/>
        <v>6.379417511</v>
      </c>
      <c r="V334" s="40">
        <f t="shared" si="923"/>
        <v>150.55</v>
      </c>
      <c r="X334" s="53" t="s">
        <v>35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6"/>
    </row>
    <row r="335" ht="15.75" customHeight="1">
      <c r="A335" s="21"/>
      <c r="B335" s="38">
        <v>6.0</v>
      </c>
      <c r="C335" s="38" t="s">
        <v>23</v>
      </c>
      <c r="D335" s="39">
        <v>35.0</v>
      </c>
      <c r="E335" s="40">
        <f>IFERROR(__xludf.DUMMYFUNCTION("COUNT(IMPORTRANGE(""https://docs.google.com/spreadsheets/d/1829CoYW82aTBBUgqkPnJa94KlBWI-DowAnP4ENQCmaQ/edit"",""13!d2:d36""))"),34.0)</f>
        <v>34</v>
      </c>
      <c r="F335" s="45">
        <f>IFERROR(__xludf.DUMMYFUNCTION("SUM(IMPORTRANGE(""https://docs.google.com/spreadsheets/d/1829CoYW82aTBBUgqkPnJa94KlBWI-DowAnP4ENQCmaQ/edit"",""13!Q2:Q36""))"),6395.523999999997)</f>
        <v>6395.524</v>
      </c>
      <c r="G335" s="40">
        <f>IFERROR(__xludf.DUMMYFUNCTION("IMPORTRANGE(""https://docs.google.com/spreadsheets/d/1829CoYW82aTBBUgqkPnJa94KlBWI-DowAnP4ENQCmaQ/edit"",""13!e43"")"),2663.0)</f>
        <v>2663</v>
      </c>
      <c r="H335" s="40">
        <f>IFERROR(__xludf.DUMMYFUNCTION("IMPORTRANGE(""https://docs.google.com/spreadsheets/d/1829CoYW82aTBBUgqkPnJa94KlBWI-DowAnP4ENQCmaQ/edit"",""13!e44"")"),0.0)</f>
        <v>0</v>
      </c>
      <c r="I335" s="40">
        <f t="shared" si="915"/>
        <v>2663</v>
      </c>
      <c r="J335" s="40">
        <f>IFERROR(__xludf.DUMMYFUNCTION("IMPORTRANGE(""https://docs.google.com/spreadsheets/d/1829CoYW82aTBBUgqkPnJa94KlBWI-DowAnP4ENQCmaQ/edit"",""13!e47"")"),2478.0)</f>
        <v>2478</v>
      </c>
      <c r="K335" s="40">
        <f>IFERROR(__xludf.DUMMYFUNCTION("IMPORTRANGE(""https://docs.google.com/spreadsheets/d/1829CoYW82aTBBUgqkPnJa94KlBWI-DowAnP4ENQCmaQ/edit"",""13!e48"")"),0.0)</f>
        <v>0</v>
      </c>
      <c r="L335" s="40">
        <f t="shared" si="916"/>
        <v>2478</v>
      </c>
      <c r="M335" s="40">
        <f t="shared" si="917"/>
        <v>5141</v>
      </c>
      <c r="N335" s="41">
        <f t="shared" si="918"/>
        <v>188.1036471</v>
      </c>
      <c r="O335" s="38">
        <v>6853.0</v>
      </c>
      <c r="P335" s="42">
        <f t="shared" si="919"/>
        <v>0.7501824019</v>
      </c>
      <c r="Q335" s="43">
        <v>1.5</v>
      </c>
      <c r="R335" s="42">
        <f t="shared" si="920"/>
        <v>0.5358956253</v>
      </c>
      <c r="S335" s="44">
        <f t="shared" si="921"/>
        <v>0.803843438</v>
      </c>
      <c r="T335" s="43">
        <f>F335/33.74</f>
        <v>189.5531713</v>
      </c>
      <c r="U335" s="43">
        <f t="shared" si="922"/>
        <v>5.575093274</v>
      </c>
      <c r="V335" s="40">
        <f t="shared" si="923"/>
        <v>151.2058824</v>
      </c>
      <c r="X335" s="14" t="s">
        <v>2</v>
      </c>
      <c r="Y335" s="14" t="s">
        <v>3</v>
      </c>
      <c r="Z335" s="14" t="s">
        <v>4</v>
      </c>
      <c r="AA335" s="14" t="s">
        <v>5</v>
      </c>
      <c r="AB335" s="15" t="s">
        <v>6</v>
      </c>
      <c r="AC335" s="14" t="s">
        <v>7</v>
      </c>
      <c r="AD335" s="14" t="s">
        <v>8</v>
      </c>
      <c r="AE335" s="14" t="s">
        <v>9</v>
      </c>
      <c r="AF335" s="14" t="s">
        <v>10</v>
      </c>
      <c r="AG335" s="14" t="s">
        <v>11</v>
      </c>
      <c r="AH335" s="14" t="s">
        <v>12</v>
      </c>
      <c r="AI335" s="14" t="s">
        <v>13</v>
      </c>
      <c r="AJ335" s="15" t="s">
        <v>14</v>
      </c>
      <c r="AK335" s="14" t="s">
        <v>15</v>
      </c>
      <c r="AL335" s="14" t="s">
        <v>16</v>
      </c>
      <c r="AM335" s="16" t="s">
        <v>17</v>
      </c>
      <c r="AN335" s="17" t="s">
        <v>18</v>
      </c>
      <c r="AO335" s="18" t="s">
        <v>19</v>
      </c>
      <c r="AP335" s="19" t="s">
        <v>20</v>
      </c>
      <c r="AQ335" s="19" t="s">
        <v>21</v>
      </c>
      <c r="AR335" s="20" t="s">
        <v>22</v>
      </c>
    </row>
    <row r="336" ht="15.75" customHeight="1">
      <c r="A336" s="21"/>
      <c r="B336" s="38">
        <v>7.0</v>
      </c>
      <c r="C336" s="38" t="s">
        <v>24</v>
      </c>
      <c r="D336" s="39">
        <v>44.0</v>
      </c>
      <c r="E336" s="54">
        <f>IFERROR(__xludf.DUMMYFUNCTION("COUNT(IMPORTRANGE(""https://docs.google.com/spreadsheets/d/1E2x4oDZxEIsuC5nl-5Z0--MoN8b1dt9SbpRcCfNP84Q/edit"",""13!d2:d45""))"),43.0)</f>
        <v>43</v>
      </c>
      <c r="F336" s="55">
        <f>IFERROR(__xludf.DUMMYFUNCTION("SUM(IMPORTRANGE(""https://docs.google.com/spreadsheets/d/1E2x4oDZxEIsuC5nl-5Z0--MoN8b1dt9SbpRcCfNP84Q/edit"",""13!Q2:Q45""))"),8088.250999999993)</f>
        <v>8088.251</v>
      </c>
      <c r="G336" s="54">
        <f>IFERROR(__xludf.DUMMYFUNCTION("IMPORTRANGE(""https://docs.google.com/spreadsheets/d/1E2x4oDZxEIsuC5nl-5Z0--MoN8b1dt9SbpRcCfNP84Q/edit"",""13!e53"")"),1102.0)</f>
        <v>1102</v>
      </c>
      <c r="H336" s="54">
        <f>IFERROR(__xludf.DUMMYFUNCTION("IMPORTRANGE(""https://docs.google.com/spreadsheets/d/1E2x4oDZxEIsuC5nl-5Z0--MoN8b1dt9SbpRcCfNP84Q/edit"",""13!e54"")"),0.0)</f>
        <v>0</v>
      </c>
      <c r="I336" s="54">
        <f t="shared" si="915"/>
        <v>1102</v>
      </c>
      <c r="J336" s="54">
        <f>IFERROR(__xludf.DUMMYFUNCTION("IMPORTRANGE(""https://docs.google.com/spreadsheets/d/1E2x4oDZxEIsuC5nl-5Z0--MoN8b1dt9SbpRcCfNP84Q/edit"",""13!e57"")"),1360.0)</f>
        <v>1360</v>
      </c>
      <c r="K336" s="54">
        <f>IFERROR(__xludf.DUMMYFUNCTION("IMPORTRANGE(""https://docs.google.com/spreadsheets/d/1E2x4oDZxEIsuC5nl-5Z0--MoN8b1dt9SbpRcCfNP84Q/edit"",""13!e58"")"),0.0)</f>
        <v>0</v>
      </c>
      <c r="L336" s="40">
        <f t="shared" si="916"/>
        <v>1360</v>
      </c>
      <c r="M336" s="40">
        <f t="shared" si="917"/>
        <v>2462</v>
      </c>
      <c r="N336" s="41">
        <f t="shared" si="918"/>
        <v>188.0988605</v>
      </c>
      <c r="O336" s="38">
        <v>1580.0</v>
      </c>
      <c r="P336" s="56">
        <f t="shared" si="919"/>
        <v>1.558227848</v>
      </c>
      <c r="Q336" s="43">
        <v>1.5</v>
      </c>
      <c r="R336" s="42">
        <f t="shared" si="920"/>
        <v>0.2029280908</v>
      </c>
      <c r="S336" s="44">
        <f t="shared" si="921"/>
        <v>0.3043921362</v>
      </c>
      <c r="T336" s="43">
        <f>F336/26.805</f>
        <v>301.7441149</v>
      </c>
      <c r="U336" s="43">
        <f t="shared" si="922"/>
        <v>7.017304998</v>
      </c>
      <c r="V336" s="40">
        <f t="shared" si="923"/>
        <v>57.25581395</v>
      </c>
      <c r="X336" s="22">
        <v>1.0</v>
      </c>
      <c r="Y336" s="22" t="s">
        <v>28</v>
      </c>
      <c r="Z336" s="22">
        <f t="shared" ref="Z336:AI336" si="932">SUM(D331)</f>
        <v>33</v>
      </c>
      <c r="AA336" s="23">
        <f t="shared" si="932"/>
        <v>33</v>
      </c>
      <c r="AB336" s="25">
        <f t="shared" si="932"/>
        <v>6512.208</v>
      </c>
      <c r="AC336" s="23">
        <f t="shared" si="932"/>
        <v>2683</v>
      </c>
      <c r="AD336" s="23">
        <f t="shared" si="932"/>
        <v>119</v>
      </c>
      <c r="AE336" s="23">
        <f t="shared" si="932"/>
        <v>2802</v>
      </c>
      <c r="AF336" s="23">
        <f t="shared" si="932"/>
        <v>2759</v>
      </c>
      <c r="AG336" s="23">
        <f t="shared" si="932"/>
        <v>118</v>
      </c>
      <c r="AH336" s="23">
        <f t="shared" si="932"/>
        <v>2877</v>
      </c>
      <c r="AI336" s="23">
        <f t="shared" si="932"/>
        <v>5679</v>
      </c>
      <c r="AJ336" s="25">
        <f t="shared" ref="AJ336:AJ342" si="935">AB336/AA336</f>
        <v>197.3396364</v>
      </c>
      <c r="AK336" s="22">
        <f t="shared" ref="AK336:AK337" si="936">SUM(O331)</f>
        <v>7315</v>
      </c>
      <c r="AL336" s="26">
        <f t="shared" ref="AL336:AL342" si="937">AI336/AK336</f>
        <v>0.7763499658</v>
      </c>
      <c r="AM336" s="27">
        <f t="shared" ref="AM336:AM337" si="938">SUM(Q331)</f>
        <v>1.5</v>
      </c>
      <c r="AN336" s="26">
        <f t="shared" ref="AN336:AN342" si="939">AO336/AM336</f>
        <v>0.5813696368</v>
      </c>
      <c r="AO336" s="28">
        <f t="shared" ref="AO336:AO342" si="940">AI336/AB336</f>
        <v>0.8720544553</v>
      </c>
      <c r="AP336" s="27">
        <f t="shared" ref="AP336:AQ336" si="933">SUM(T331)</f>
        <v>210.7715312</v>
      </c>
      <c r="AQ336" s="27">
        <f t="shared" si="933"/>
        <v>6.387016097</v>
      </c>
      <c r="AR336" s="23">
        <f t="shared" ref="AR336:AR342" si="942">AI336/AA336</f>
        <v>172.0909091</v>
      </c>
    </row>
    <row r="337" ht="15.75" customHeight="1">
      <c r="A337" s="21"/>
      <c r="B337" s="38">
        <v>8.0</v>
      </c>
      <c r="C337" s="38" t="s">
        <v>25</v>
      </c>
      <c r="D337" s="57">
        <v>32.0</v>
      </c>
      <c r="E337" s="40">
        <f>IFERROR(__xludf.DUMMYFUNCTION("COUNT(IMPORTRANGE(""https://docs.google.com/spreadsheets/d/1KbRFOEYB0B44J_NSh1MwYQ1sLDlZXUHI-wuMLcZDn5k/edit"",""13!d2:D33""))"),32.0)</f>
        <v>32</v>
      </c>
      <c r="F337" s="45">
        <f>IFERROR(__xludf.DUMMYFUNCTION("SUM(IMPORTRANGE(""https://docs.google.com/spreadsheets/d/1KbRFOEYB0B44J_NSh1MwYQ1sLDlZXUHI-wuMLcZDn5k/edit"",""13!Q2:Q33""))"),5873.908000000002)</f>
        <v>5873.908</v>
      </c>
      <c r="G337" s="40">
        <f>IFERROR(__xludf.DUMMYFUNCTION("IMPORTRANGE(""https://docs.google.com/spreadsheets/d/1KbRFOEYB0B44J_NSh1MwYQ1sLDlZXUHI-wuMLcZDn5k/edit"",""13!e40"")"),2241.0)</f>
        <v>2241</v>
      </c>
      <c r="H337" s="40">
        <f>IFERROR(__xludf.DUMMYFUNCTION("IMPORTRANGE(""https://docs.google.com/spreadsheets/d/1KbRFOEYB0B44J_NSh1MwYQ1sLDlZXUHI-wuMLcZDn5k/edit"",""13!e41"")"),359.0)</f>
        <v>359</v>
      </c>
      <c r="I337" s="40">
        <f t="shared" si="915"/>
        <v>2600</v>
      </c>
      <c r="J337" s="40">
        <f>IFERROR(__xludf.DUMMYFUNCTION("IMPORTRANGE(""https://docs.google.com/spreadsheets/d/1KbRFOEYB0B44J_NSh1MwYQ1sLDlZXUHI-wuMLcZDn5k/edit"",""13!e44"")"),3326.0)</f>
        <v>3326</v>
      </c>
      <c r="K337" s="40">
        <f>IFERROR(__xludf.DUMMYFUNCTION("IMPORTRANGE(""https://docs.google.com/spreadsheets/d/1KbRFOEYB0B44J_NSh1MwYQ1sLDlZXUHI-wuMLcZDn5k/edit"",""13!e45"")"),395.0)</f>
        <v>395</v>
      </c>
      <c r="L337" s="40">
        <f>J337+K337</f>
        <v>3721</v>
      </c>
      <c r="M337" s="40">
        <f t="shared" si="917"/>
        <v>6321</v>
      </c>
      <c r="N337" s="41">
        <f t="shared" si="918"/>
        <v>183.559625</v>
      </c>
      <c r="O337" s="38">
        <v>6622.0</v>
      </c>
      <c r="P337" s="42">
        <f t="shared" si="919"/>
        <v>0.9545454545</v>
      </c>
      <c r="Q337" s="43">
        <v>1.5</v>
      </c>
      <c r="R337" s="42">
        <f t="shared" si="920"/>
        <v>0.7174099424</v>
      </c>
      <c r="S337" s="44">
        <f t="shared" si="921"/>
        <v>1.076114914</v>
      </c>
      <c r="T337" s="43">
        <f>F337/23.84</f>
        <v>246.3887584</v>
      </c>
      <c r="U337" s="43">
        <f t="shared" si="922"/>
        <v>7.6996487</v>
      </c>
      <c r="V337" s="40">
        <f t="shared" si="923"/>
        <v>197.53125</v>
      </c>
      <c r="X337" s="31">
        <v>2.0</v>
      </c>
      <c r="Y337" s="31" t="s">
        <v>30</v>
      </c>
      <c r="Z337" s="31">
        <f t="shared" ref="Z337:AI337" si="934">SUM(D332)</f>
        <v>60</v>
      </c>
      <c r="AA337" s="32">
        <f t="shared" si="934"/>
        <v>57</v>
      </c>
      <c r="AB337" s="33">
        <f t="shared" si="934"/>
        <v>10403.268</v>
      </c>
      <c r="AC337" s="32">
        <f t="shared" si="934"/>
        <v>3615</v>
      </c>
      <c r="AD337" s="32">
        <f t="shared" si="934"/>
        <v>0</v>
      </c>
      <c r="AE337" s="32">
        <f t="shared" si="934"/>
        <v>3615</v>
      </c>
      <c r="AF337" s="32">
        <f t="shared" si="934"/>
        <v>4454</v>
      </c>
      <c r="AG337" s="32">
        <f t="shared" si="934"/>
        <v>216</v>
      </c>
      <c r="AH337" s="32">
        <f t="shared" si="934"/>
        <v>4670</v>
      </c>
      <c r="AI337" s="32">
        <f t="shared" si="934"/>
        <v>8285</v>
      </c>
      <c r="AJ337" s="34">
        <f t="shared" si="935"/>
        <v>182.5134737</v>
      </c>
      <c r="AK337" s="31">
        <f t="shared" si="936"/>
        <v>11164</v>
      </c>
      <c r="AL337" s="35">
        <f t="shared" si="937"/>
        <v>0.7421175206</v>
      </c>
      <c r="AM337" s="36">
        <f t="shared" si="938"/>
        <v>1.5</v>
      </c>
      <c r="AN337" s="35">
        <f t="shared" si="939"/>
        <v>0.5309229113</v>
      </c>
      <c r="AO337" s="37">
        <f t="shared" si="940"/>
        <v>0.7963843669</v>
      </c>
      <c r="AP337" s="36">
        <f t="shared" ref="AP337:AQ337" si="941">SUM(T332)</f>
        <v>351.4261392</v>
      </c>
      <c r="AQ337" s="36">
        <f t="shared" si="941"/>
        <v>6.165370864</v>
      </c>
      <c r="AR337" s="32">
        <f t="shared" si="942"/>
        <v>145.3508772</v>
      </c>
    </row>
    <row r="338" ht="15.75" customHeight="1">
      <c r="A338" s="21"/>
      <c r="B338" s="38">
        <v>9.0</v>
      </c>
      <c r="C338" s="38" t="s">
        <v>36</v>
      </c>
      <c r="D338" s="58">
        <v>29.0</v>
      </c>
      <c r="E338" s="40">
        <f>IFERROR(__xludf.DUMMYFUNCTION("COUNT(IMPORTRANGE(""https://docs.google.com/spreadsheets/d/1VqqqRGfmmkT0JC4ILJva2p8P11jjV0FX-TSKAaqOigw/edit"",""13!d2:d31""))"),29.0)</f>
        <v>29</v>
      </c>
      <c r="F338" s="45">
        <f>IFERROR(__xludf.DUMMYFUNCTION("SUM(IMPORTRANGE(""https://docs.google.com/spreadsheets/d/1VqqqRGfmmkT0JC4ILJva2p8P11jjV0FX-TSKAaqOigw/edit"",""13!Q2:Q31""))"),5753.775999999998)</f>
        <v>5753.776</v>
      </c>
      <c r="G338" s="40">
        <f>IFERROR(__xludf.DUMMYFUNCTION("IMPORTRANGE(""https://docs.google.com/spreadsheets/d/1VqqqRGfmmkT0JC4ILJva2p8P11jjV0FX-TSKAaqOigw/edit"",""13!e38"")"),1690.0)</f>
        <v>1690</v>
      </c>
      <c r="H338" s="40">
        <f>IFERROR(__xludf.DUMMYFUNCTION("IMPORTRANGE(""https://docs.google.com/spreadsheets/d/1VqqqRGfmmkT0JC4ILJva2p8P11jjV0FX-TSKAaqOigw/edit"",""13!e39"")"),0.0)</f>
        <v>0</v>
      </c>
      <c r="I338" s="40">
        <f t="shared" si="915"/>
        <v>1690</v>
      </c>
      <c r="J338" s="40">
        <f>IFERROR(__xludf.DUMMYFUNCTION("IMPORTRANGE(""https://docs.google.com/spreadsheets/d/1VqqqRGfmmkT0JC4ILJva2p8P11jjV0FX-TSKAaqOigw/edit"",""13!e42"")"),2320.0)</f>
        <v>2320</v>
      </c>
      <c r="K338" s="40">
        <f>IFERROR(__xludf.DUMMYFUNCTION("IMPORTRANGE(""https://docs.google.com/spreadsheets/d/1VqqqRGfmmkT0JC4ILJva2p8P11jjV0FX-TSKAaqOigw/edit"",""13!e43"")"),0.0)</f>
        <v>0</v>
      </c>
      <c r="L338" s="40">
        <f t="shared" ref="L338:L347" si="945">SUM(J338:K338)</f>
        <v>2320</v>
      </c>
      <c r="M338" s="40">
        <f t="shared" si="917"/>
        <v>4010</v>
      </c>
      <c r="N338" s="41">
        <f t="shared" si="918"/>
        <v>198.406069</v>
      </c>
      <c r="O338" s="38">
        <v>4796.0</v>
      </c>
      <c r="P338" s="42">
        <f t="shared" si="919"/>
        <v>0.8361134279</v>
      </c>
      <c r="Q338" s="43">
        <v>1.5</v>
      </c>
      <c r="R338" s="42">
        <f t="shared" si="920"/>
        <v>0.4646224207</v>
      </c>
      <c r="S338" s="44">
        <f t="shared" si="921"/>
        <v>0.6969336311</v>
      </c>
      <c r="T338" s="43">
        <f>F338/37.414</f>
        <v>153.7867109</v>
      </c>
      <c r="U338" s="43">
        <f t="shared" si="922"/>
        <v>5.30299003</v>
      </c>
      <c r="V338" s="40">
        <f t="shared" si="923"/>
        <v>138.2758621</v>
      </c>
      <c r="X338" s="22">
        <v>3.0</v>
      </c>
      <c r="Y338" s="22" t="s">
        <v>34</v>
      </c>
      <c r="Z338" s="22">
        <f t="shared" ref="Z338:AI338" si="943">SUM(D334)</f>
        <v>40</v>
      </c>
      <c r="AA338" s="23">
        <f t="shared" si="943"/>
        <v>40</v>
      </c>
      <c r="AB338" s="24">
        <f t="shared" si="943"/>
        <v>7837.242</v>
      </c>
      <c r="AC338" s="23">
        <f t="shared" si="943"/>
        <v>2873</v>
      </c>
      <c r="AD338" s="23">
        <f t="shared" si="943"/>
        <v>0</v>
      </c>
      <c r="AE338" s="23">
        <f t="shared" si="943"/>
        <v>2873</v>
      </c>
      <c r="AF338" s="23">
        <f t="shared" si="943"/>
        <v>3149</v>
      </c>
      <c r="AG338" s="23">
        <f t="shared" si="943"/>
        <v>0</v>
      </c>
      <c r="AH338" s="23">
        <f t="shared" si="943"/>
        <v>3149</v>
      </c>
      <c r="AI338" s="23">
        <f t="shared" si="943"/>
        <v>6022</v>
      </c>
      <c r="AJ338" s="25">
        <f t="shared" si="935"/>
        <v>195.93105</v>
      </c>
      <c r="AK338" s="22">
        <f>SUM(O334)</f>
        <v>9354</v>
      </c>
      <c r="AL338" s="26">
        <f t="shared" si="937"/>
        <v>0.6437887535</v>
      </c>
      <c r="AM338" s="27">
        <f>SUM(Q334)</f>
        <v>1.5</v>
      </c>
      <c r="AN338" s="26">
        <f t="shared" si="939"/>
        <v>0.5122550339</v>
      </c>
      <c r="AO338" s="28">
        <f t="shared" si="940"/>
        <v>0.7683825509</v>
      </c>
      <c r="AP338" s="27">
        <f t="shared" ref="AP338:AQ338" si="944">SUM(T334)</f>
        <v>255.1767004</v>
      </c>
      <c r="AQ338" s="27">
        <f t="shared" si="944"/>
        <v>6.379417511</v>
      </c>
      <c r="AR338" s="23">
        <f t="shared" si="942"/>
        <v>150.55</v>
      </c>
    </row>
    <row r="339" ht="15.75" customHeight="1">
      <c r="A339" s="21"/>
      <c r="B339" s="38">
        <v>10.0</v>
      </c>
      <c r="C339" s="38" t="s">
        <v>37</v>
      </c>
      <c r="D339" s="39">
        <v>30.0</v>
      </c>
      <c r="E339" s="40">
        <f>IFERROR(__xludf.DUMMYFUNCTION("COUNT(IMPORTRANGE(""https://docs.google.com/spreadsheets/d/1IYeRjQd_D6MRqoBKNaky3aSEUloYCJc5XDnPAbdyetk/edit"",""13!d2:d31""))"),30.0)</f>
        <v>30</v>
      </c>
      <c r="F339" s="45">
        <f>IFERROR(__xludf.DUMMYFUNCTION("SUM(IMPORTRANGE(""https://docs.google.com/spreadsheets/d/1IYeRjQd_D6MRqoBKNaky3aSEUloYCJc5XDnPAbdyetk/edit"",""13!Q2:Q31""))"),5686.056)</f>
        <v>5686.056</v>
      </c>
      <c r="G339" s="40">
        <f>IFERROR(__xludf.DUMMYFUNCTION("(IMPORTRANGE(""https://docs.google.com/spreadsheets/d/1IYeRjQd_D6MRqoBKNaky3aSEUloYCJc5XDnPAbdyetk/edit"",""13!e38""))"),2085.0)</f>
        <v>2085</v>
      </c>
      <c r="H339" s="40">
        <f>IFERROR(__xludf.DUMMYFUNCTION("(IMPORTRANGE(""https://docs.google.com/spreadsheets/d/1IYeRjQd_D6MRqoBKNaky3aSEUloYCJc5XDnPAbdyetk/edit"",""13!e39""))"),0.0)</f>
        <v>0</v>
      </c>
      <c r="I339" s="40">
        <f t="shared" si="915"/>
        <v>2085</v>
      </c>
      <c r="J339" s="40">
        <f>IFERROR(__xludf.DUMMYFUNCTION("(IMPORTRANGE(""https://docs.google.com/spreadsheets/d/1IYeRjQd_D6MRqoBKNaky3aSEUloYCJc5XDnPAbdyetk/edit"",""13!e42""))"),2998.0)</f>
        <v>2998</v>
      </c>
      <c r="K339" s="40">
        <f>IFERROR(__xludf.DUMMYFUNCTION("(IMPORTRANGE(""https://docs.google.com/spreadsheets/d/1IYeRjQd_D6MRqoBKNaky3aSEUloYCJc5XDnPAbdyetk/edit"",""13!e43""))"),0.0)</f>
        <v>0</v>
      </c>
      <c r="L339" s="40">
        <f t="shared" si="945"/>
        <v>2998</v>
      </c>
      <c r="M339" s="40">
        <f t="shared" si="917"/>
        <v>5083</v>
      </c>
      <c r="N339" s="41">
        <f t="shared" si="918"/>
        <v>189.5352</v>
      </c>
      <c r="O339" s="38">
        <v>5887.0</v>
      </c>
      <c r="P339" s="42">
        <f t="shared" si="919"/>
        <v>0.863427892</v>
      </c>
      <c r="Q339" s="43">
        <v>1.5</v>
      </c>
      <c r="R339" s="42">
        <f t="shared" si="920"/>
        <v>0.5959608324</v>
      </c>
      <c r="S339" s="44">
        <f t="shared" si="921"/>
        <v>0.8939412486</v>
      </c>
      <c r="T339" s="43">
        <f>F339/24.792</f>
        <v>229.3504356</v>
      </c>
      <c r="U339" s="43">
        <f t="shared" si="922"/>
        <v>7.645014521</v>
      </c>
      <c r="V339" s="40">
        <f t="shared" si="923"/>
        <v>169.4333333</v>
      </c>
      <c r="X339" s="31">
        <v>4.0</v>
      </c>
      <c r="Y339" s="31" t="s">
        <v>38</v>
      </c>
      <c r="Z339" s="31">
        <f t="shared" ref="Z339:AI339" si="946">SUM(D342)</f>
        <v>30</v>
      </c>
      <c r="AA339" s="32">
        <f t="shared" si="946"/>
        <v>30</v>
      </c>
      <c r="AB339" s="33">
        <f t="shared" si="946"/>
        <v>6490.303</v>
      </c>
      <c r="AC339" s="32">
        <f t="shared" si="946"/>
        <v>2389</v>
      </c>
      <c r="AD339" s="32">
        <f t="shared" si="946"/>
        <v>26</v>
      </c>
      <c r="AE339" s="32">
        <f t="shared" si="946"/>
        <v>2415</v>
      </c>
      <c r="AF339" s="32">
        <f t="shared" si="946"/>
        <v>2408</v>
      </c>
      <c r="AG339" s="32">
        <f t="shared" si="946"/>
        <v>256</v>
      </c>
      <c r="AH339" s="32">
        <f t="shared" si="946"/>
        <v>2664</v>
      </c>
      <c r="AI339" s="32">
        <f t="shared" si="946"/>
        <v>5079</v>
      </c>
      <c r="AJ339" s="34">
        <f t="shared" si="935"/>
        <v>216.3434333</v>
      </c>
      <c r="AK339" s="31">
        <v>7324.0</v>
      </c>
      <c r="AL339" s="35">
        <f t="shared" si="937"/>
        <v>0.6934735117</v>
      </c>
      <c r="AM339" s="36">
        <f>SUM(Q342)</f>
        <v>1.5</v>
      </c>
      <c r="AN339" s="35">
        <f t="shared" si="939"/>
        <v>0.5217013751</v>
      </c>
      <c r="AO339" s="37">
        <f t="shared" si="940"/>
        <v>0.7825520627</v>
      </c>
      <c r="AP339" s="36">
        <f t="shared" ref="AP339:AQ339" si="947">SUM(T342)</f>
        <v>157.5125106</v>
      </c>
      <c r="AQ339" s="36">
        <f t="shared" si="947"/>
        <v>5.250417021</v>
      </c>
      <c r="AR339" s="32">
        <f t="shared" si="942"/>
        <v>169.3</v>
      </c>
    </row>
    <row r="340" ht="15.75" customHeight="1">
      <c r="A340" s="21"/>
      <c r="B340" s="38">
        <v>12.0</v>
      </c>
      <c r="C340" s="38" t="s">
        <v>39</v>
      </c>
      <c r="D340" s="39">
        <v>28.0</v>
      </c>
      <c r="E340" s="40">
        <f>IFERROR(__xludf.DUMMYFUNCTION("COUNT(IMPORTRANGE(""https://docs.google.com/spreadsheets/d/1TAY2D35yAzyl8a_p5CuZehQvmatfj0b0Q8ICl8GtJBY/edit"",""13!d2:d29""))"),26.0)</f>
        <v>26</v>
      </c>
      <c r="F340" s="45">
        <f>IFERROR(__xludf.DUMMYFUNCTION("SUM(IMPORTRANGE(""https://docs.google.com/spreadsheets/d/1TAY2D35yAzyl8a_p5CuZehQvmatfj0b0Q8ICl8GtJBY/edit"",""13!Q2:Q29""))"),4975.050999999999)</f>
        <v>4975.051</v>
      </c>
      <c r="G340" s="40">
        <f>IFERROR(__xludf.DUMMYFUNCTION("IMPORTRANGE(""https://docs.google.com/spreadsheets/d/1TAY2D35yAzyl8a_p5CuZehQvmatfj0b0Q8ICl8GtJBY/edit"",""13!e36"")"),1178.0)</f>
        <v>1178</v>
      </c>
      <c r="H340" s="40">
        <f>IFERROR(__xludf.DUMMYFUNCTION("(IMPORTRANGE(""https://docs.google.com/spreadsheets/d/1TAY2D35yAzyl8a_p5CuZehQvmatfj0b0Q8ICl8GtJBY/edit"",""13!e37""))"),0.0)</f>
        <v>0</v>
      </c>
      <c r="I340" s="40">
        <f t="shared" si="915"/>
        <v>1178</v>
      </c>
      <c r="J340" s="40">
        <f>IFERROR(__xludf.DUMMYFUNCTION("IMPORTRANGE(""https://docs.google.com/spreadsheets/d/1TAY2D35yAzyl8a_p5CuZehQvmatfj0b0Q8ICl8GtJBY/edit"",""13!e40"")"),1740.0)</f>
        <v>1740</v>
      </c>
      <c r="K340" s="40">
        <f>IFERROR(__xludf.DUMMYFUNCTION("IMPORTRANGE(""https://docs.google.com/spreadsheets/d/1TAY2D35yAzyl8a_p5CuZehQvmatfj0b0Q8ICl8GtJBY/edit"",""13!e41"")"),0.0)</f>
        <v>0</v>
      </c>
      <c r="L340" s="40">
        <f t="shared" si="945"/>
        <v>1740</v>
      </c>
      <c r="M340" s="40">
        <f t="shared" si="917"/>
        <v>2918</v>
      </c>
      <c r="N340" s="41">
        <f t="shared" si="918"/>
        <v>191.3481154</v>
      </c>
      <c r="O340" s="38">
        <v>3569.0</v>
      </c>
      <c r="P340" s="42">
        <f t="shared" si="919"/>
        <v>0.8175959653</v>
      </c>
      <c r="Q340" s="43">
        <v>1.5</v>
      </c>
      <c r="R340" s="42">
        <f t="shared" si="920"/>
        <v>0.3910177671</v>
      </c>
      <c r="S340" s="44">
        <f t="shared" si="921"/>
        <v>0.5865266507</v>
      </c>
      <c r="T340" s="43">
        <f>F340/21.463</f>
        <v>231.7966268</v>
      </c>
      <c r="U340" s="43">
        <f t="shared" si="922"/>
        <v>8.915254875</v>
      </c>
      <c r="V340" s="40">
        <f t="shared" si="923"/>
        <v>112.2307692</v>
      </c>
      <c r="X340" s="31">
        <v>5.0</v>
      </c>
      <c r="Y340" s="31" t="s">
        <v>40</v>
      </c>
      <c r="Z340" s="31">
        <f t="shared" ref="Z340:AI340" si="948">SUM(D344)</f>
        <v>30</v>
      </c>
      <c r="AA340" s="32">
        <f t="shared" si="948"/>
        <v>29</v>
      </c>
      <c r="AB340" s="33">
        <f t="shared" si="948"/>
        <v>5773.929</v>
      </c>
      <c r="AC340" s="32">
        <f t="shared" si="948"/>
        <v>3260</v>
      </c>
      <c r="AD340" s="32">
        <f t="shared" si="948"/>
        <v>0</v>
      </c>
      <c r="AE340" s="32">
        <f t="shared" si="948"/>
        <v>3260</v>
      </c>
      <c r="AF340" s="32">
        <f t="shared" si="948"/>
        <v>4114</v>
      </c>
      <c r="AG340" s="32">
        <f t="shared" si="948"/>
        <v>23</v>
      </c>
      <c r="AH340" s="32">
        <f t="shared" si="948"/>
        <v>4137</v>
      </c>
      <c r="AI340" s="32">
        <f t="shared" si="948"/>
        <v>7397</v>
      </c>
      <c r="AJ340" s="34">
        <f t="shared" si="935"/>
        <v>199.101</v>
      </c>
      <c r="AK340" s="31">
        <f t="shared" ref="AK340:AK341" si="951">SUM(O344)</f>
        <v>8239</v>
      </c>
      <c r="AL340" s="35">
        <f t="shared" si="937"/>
        <v>0.8978031314</v>
      </c>
      <c r="AM340" s="36">
        <f t="shared" ref="AM340:AM341" si="952">SUM(Q344)</f>
        <v>1.5</v>
      </c>
      <c r="AN340" s="35">
        <f t="shared" si="939"/>
        <v>0.8540689249</v>
      </c>
      <c r="AO340" s="37">
        <f t="shared" si="940"/>
        <v>1.281103387</v>
      </c>
      <c r="AP340" s="36">
        <f t="shared" ref="AP340:AQ340" si="949">SUM(T344)</f>
        <v>203</v>
      </c>
      <c r="AQ340" s="36">
        <f t="shared" si="949"/>
        <v>7</v>
      </c>
      <c r="AR340" s="32">
        <f t="shared" si="942"/>
        <v>255.0689655</v>
      </c>
    </row>
    <row r="341" ht="15.75" customHeight="1">
      <c r="A341" s="21"/>
      <c r="B341" s="38">
        <v>12.0</v>
      </c>
      <c r="C341" s="38" t="s">
        <v>41</v>
      </c>
      <c r="D341" s="39">
        <v>24.0</v>
      </c>
      <c r="E341" s="40">
        <f>IFERROR(__xludf.DUMMYFUNCTION("COUNT(IMPORTRANGE(""https://docs.google.com/spreadsheets/d/1VAsUtLQHi7oV9NsI9EIHPnO1bcPJHeRgSbMoxSvPBME/edit"",""13!d2:d25""))"),24.0)</f>
        <v>24</v>
      </c>
      <c r="F341" s="45">
        <f>IFERROR(__xludf.DUMMYFUNCTION("SUM(IMPORTRANGE(""https://docs.google.com/spreadsheets/d/1VAsUtLQHi7oV9NsI9EIHPnO1bcPJHeRgSbMoxSvPBME/edit"",""13!Q2:Q25""))"),4747.064000000001)</f>
        <v>4747.064</v>
      </c>
      <c r="G341" s="40">
        <f>IFERROR(__xludf.DUMMYFUNCTION("IMPORTRANGE(""https://docs.google.com/spreadsheets/d/1VAsUtLQHi7oV9NsI9EIHPnO1bcPJHeRgSbMoxSvPBME/edit"",""13!e32"")"),1368.0)</f>
        <v>1368</v>
      </c>
      <c r="H341" s="40">
        <f>IFERROR(__xludf.DUMMYFUNCTION("IMPORTRANGE(""https://docs.google.com/spreadsheets/d/1VAsUtLQHi7oV9NsI9EIHPnO1bcPJHeRgSbMoxSvPBME/edit"",""13!e33"")"),0.0)</f>
        <v>0</v>
      </c>
      <c r="I341" s="40">
        <f t="shared" si="915"/>
        <v>1368</v>
      </c>
      <c r="J341" s="40">
        <f>IFERROR(__xludf.DUMMYFUNCTION("IMPORTRANGE(""https://docs.google.com/spreadsheets/d/1VAsUtLQHi7oV9NsI9EIHPnO1bcPJHeRgSbMoxSvPBME/edit"",""13!e36"")"),1679.0)</f>
        <v>1679</v>
      </c>
      <c r="K341" s="40">
        <f>IFERROR(__xludf.DUMMYFUNCTION("IMPORTRANGE(""https://docs.google.com/spreadsheets/d/1VAsUtLQHi7oV9NsI9EIHPnO1bcPJHeRgSbMoxSvPBME/edit"",""13!e37"")"),46.0)</f>
        <v>46</v>
      </c>
      <c r="L341" s="40">
        <f t="shared" si="945"/>
        <v>1725</v>
      </c>
      <c r="M341" s="40">
        <f t="shared" si="917"/>
        <v>3093</v>
      </c>
      <c r="N341" s="41">
        <f t="shared" si="918"/>
        <v>197.7943333</v>
      </c>
      <c r="O341" s="38">
        <v>3801.0</v>
      </c>
      <c r="P341" s="42">
        <f t="shared" si="919"/>
        <v>0.8137332281</v>
      </c>
      <c r="Q341" s="43">
        <v>1.5</v>
      </c>
      <c r="R341" s="42">
        <f t="shared" si="920"/>
        <v>0.4343737519</v>
      </c>
      <c r="S341" s="44">
        <f t="shared" si="921"/>
        <v>0.6515606278</v>
      </c>
      <c r="T341" s="43">
        <f>F341/29.628</f>
        <v>160.2222222</v>
      </c>
      <c r="U341" s="43">
        <f t="shared" si="922"/>
        <v>6.675925926</v>
      </c>
      <c r="V341" s="40">
        <f t="shared" si="923"/>
        <v>128.875</v>
      </c>
      <c r="X341" s="22">
        <v>6.0</v>
      </c>
      <c r="Y341" s="22" t="s">
        <v>42</v>
      </c>
      <c r="Z341" s="22">
        <f t="shared" ref="Z341:AI341" si="950">SUM(D345)</f>
        <v>33</v>
      </c>
      <c r="AA341" s="23">
        <f t="shared" si="950"/>
        <v>33</v>
      </c>
      <c r="AB341" s="24">
        <f t="shared" si="950"/>
        <v>6380.282</v>
      </c>
      <c r="AC341" s="23">
        <f t="shared" si="950"/>
        <v>3536</v>
      </c>
      <c r="AD341" s="23">
        <f t="shared" si="950"/>
        <v>0</v>
      </c>
      <c r="AE341" s="23">
        <f t="shared" si="950"/>
        <v>3536</v>
      </c>
      <c r="AF341" s="23">
        <f t="shared" si="950"/>
        <v>4112</v>
      </c>
      <c r="AG341" s="23">
        <f t="shared" si="950"/>
        <v>0</v>
      </c>
      <c r="AH341" s="23">
        <f t="shared" si="950"/>
        <v>4112</v>
      </c>
      <c r="AI341" s="23">
        <f t="shared" si="950"/>
        <v>7648</v>
      </c>
      <c r="AJ341" s="25">
        <f t="shared" si="935"/>
        <v>193.3418788</v>
      </c>
      <c r="AK341" s="22">
        <f t="shared" si="951"/>
        <v>9877</v>
      </c>
      <c r="AL341" s="26">
        <f t="shared" si="937"/>
        <v>0.7743241875</v>
      </c>
      <c r="AM341" s="27">
        <f t="shared" si="952"/>
        <v>1.5</v>
      </c>
      <c r="AN341" s="26">
        <f t="shared" si="939"/>
        <v>0.7991287323</v>
      </c>
      <c r="AO341" s="28">
        <f t="shared" si="940"/>
        <v>1.198693099</v>
      </c>
      <c r="AP341" s="27">
        <f t="shared" ref="AP341:AQ341" si="953">SUM(T345)</f>
        <v>243.9411967</v>
      </c>
      <c r="AQ341" s="27">
        <f t="shared" si="953"/>
        <v>7.392157476</v>
      </c>
      <c r="AR341" s="23">
        <f t="shared" si="942"/>
        <v>231.7575758</v>
      </c>
    </row>
    <row r="342" ht="15.75" customHeight="1">
      <c r="A342" s="21"/>
      <c r="B342" s="38">
        <v>13.0</v>
      </c>
      <c r="C342" s="38" t="s">
        <v>43</v>
      </c>
      <c r="D342" s="39">
        <v>30.0</v>
      </c>
      <c r="E342" s="40">
        <f>IFERROR(__xludf.DUMMYFUNCTION("COUNT(IMPORTRANGE(""https://docs.google.com/spreadsheets/d/1p9Y_DGk7-TpRBFth-ljZceOIGCjQ0ylUeUq6xqnsZ-Q/edit"",""13!d2:d31""))"),30.0)</f>
        <v>30</v>
      </c>
      <c r="F342" s="45">
        <f>IFERROR(__xludf.DUMMYFUNCTION("SUM(IMPORTRANGE(""https://docs.google.com/spreadsheets/d/1p9Y_DGk7-TpRBFth-ljZceOIGCjQ0ylUeUq6xqnsZ-Q/edit"",""13!Q2:Q31""))"),6490.302999999998)</f>
        <v>6490.303</v>
      </c>
      <c r="G342" s="40">
        <f>IFERROR(__xludf.DUMMYFUNCTION("IMPORTRANGE(""https://docs.google.com/spreadsheets/d/1p9Y_DGk7-TpRBFth-ljZceOIGCjQ0ylUeUq6xqnsZ-Q/edit"",""13!e38"")"),2389.0)</f>
        <v>2389</v>
      </c>
      <c r="H342" s="40">
        <f>IFERROR(__xludf.DUMMYFUNCTION("IMPORTRANGE(""https://docs.google.com/spreadsheets/d/1p9Y_DGk7-TpRBFth-ljZceOIGCjQ0ylUeUq6xqnsZ-Q/edit"",""13!e39"")"),26.0)</f>
        <v>26</v>
      </c>
      <c r="I342" s="40">
        <f t="shared" si="915"/>
        <v>2415</v>
      </c>
      <c r="J342" s="40">
        <f>IFERROR(__xludf.DUMMYFUNCTION("IMPORTRANGE(""https://docs.google.com/spreadsheets/d/1p9Y_DGk7-TpRBFth-ljZceOIGCjQ0ylUeUq6xqnsZ-Q/edit"",""13!e42"")"),2408.0)</f>
        <v>2408</v>
      </c>
      <c r="K342" s="40">
        <f>IFERROR(__xludf.DUMMYFUNCTION("IMPORTRANGE(""https://docs.google.com/spreadsheets/d/1p9Y_DGk7-TpRBFth-ljZceOIGCjQ0ylUeUq6xqnsZ-Q/edit"",""13!e43"")"),256.0)</f>
        <v>256</v>
      </c>
      <c r="L342" s="40">
        <f t="shared" si="945"/>
        <v>2664</v>
      </c>
      <c r="M342" s="40">
        <f t="shared" si="917"/>
        <v>5079</v>
      </c>
      <c r="N342" s="41">
        <f t="shared" si="918"/>
        <v>216.3434333</v>
      </c>
      <c r="O342" s="38">
        <v>8345.0</v>
      </c>
      <c r="P342" s="42">
        <f t="shared" si="919"/>
        <v>0.6086279209</v>
      </c>
      <c r="Q342" s="43">
        <v>1.5</v>
      </c>
      <c r="R342" s="42">
        <f t="shared" si="920"/>
        <v>0.5217013751</v>
      </c>
      <c r="S342" s="44">
        <f t="shared" si="921"/>
        <v>0.7825520627</v>
      </c>
      <c r="T342" s="43">
        <f>F342/41.205</f>
        <v>157.5125106</v>
      </c>
      <c r="U342" s="43">
        <f t="shared" si="922"/>
        <v>5.250417021</v>
      </c>
      <c r="V342" s="40">
        <f t="shared" si="923"/>
        <v>169.3</v>
      </c>
      <c r="X342" s="46" t="s">
        <v>33</v>
      </c>
      <c r="Y342" s="46">
        <v>6.0</v>
      </c>
      <c r="Z342" s="46">
        <f t="shared" ref="Z342:AI342" si="954">SUM(Z336:Z341)</f>
        <v>226</v>
      </c>
      <c r="AA342" s="47">
        <f t="shared" si="954"/>
        <v>222</v>
      </c>
      <c r="AB342" s="49">
        <f t="shared" si="954"/>
        <v>43397.232</v>
      </c>
      <c r="AC342" s="47">
        <f t="shared" si="954"/>
        <v>18356</v>
      </c>
      <c r="AD342" s="47">
        <f t="shared" si="954"/>
        <v>145</v>
      </c>
      <c r="AE342" s="47">
        <f t="shared" si="954"/>
        <v>18501</v>
      </c>
      <c r="AF342" s="47">
        <f t="shared" si="954"/>
        <v>20996</v>
      </c>
      <c r="AG342" s="47">
        <f t="shared" si="954"/>
        <v>613</v>
      </c>
      <c r="AH342" s="47">
        <f t="shared" si="954"/>
        <v>21609</v>
      </c>
      <c r="AI342" s="47">
        <f t="shared" si="954"/>
        <v>40110</v>
      </c>
      <c r="AJ342" s="49">
        <f t="shared" si="935"/>
        <v>195.483027</v>
      </c>
      <c r="AK342" s="46">
        <f>SUM(AK336:AK341)</f>
        <v>53273</v>
      </c>
      <c r="AL342" s="50">
        <f t="shared" si="937"/>
        <v>0.7529142342</v>
      </c>
      <c r="AM342" s="51">
        <v>1.5</v>
      </c>
      <c r="AN342" s="50">
        <f t="shared" si="939"/>
        <v>0.6161683307</v>
      </c>
      <c r="AO342" s="52">
        <f t="shared" si="940"/>
        <v>0.9242524961</v>
      </c>
      <c r="AP342" s="51">
        <f>SUM(AP336:AP341)</f>
        <v>1421.828078</v>
      </c>
      <c r="AQ342" s="51">
        <f>AP342/AA342</f>
        <v>6.404630983</v>
      </c>
      <c r="AR342" s="47">
        <f t="shared" si="942"/>
        <v>180.6756757</v>
      </c>
    </row>
    <row r="343" ht="15.75" customHeight="1">
      <c r="A343" s="21"/>
      <c r="B343" s="38">
        <v>14.0</v>
      </c>
      <c r="C343" s="38" t="s">
        <v>27</v>
      </c>
      <c r="D343" s="39">
        <v>30.0</v>
      </c>
      <c r="E343" s="40">
        <f>IFERROR(__xludf.DUMMYFUNCTION("COUNT(IMPORTRANGE(""https://docs.google.com/spreadsheets/d/1zJUDEKztv_fercXA0LYNw155qdzS7TJGhWLhquaW5IY/edit"",""13!d2:d31""))"),28.0)</f>
        <v>28</v>
      </c>
      <c r="F343" s="45">
        <f>IFERROR(__xludf.DUMMYFUNCTION("SUM(IMPORTRANGE(""https://docs.google.com/spreadsheets/d/1zJUDEKztv_fercXA0LYNw155qdzS7TJGhWLhquaW5IY/edit"",""13!Q2:Q31""))"),4552.472999999999)</f>
        <v>4552.473</v>
      </c>
      <c r="G343" s="40">
        <f>IFERROR(__xludf.DUMMYFUNCTION("IMPORTRANGE(""https://docs.google.com/spreadsheets/d/1zJUDEKztv_fercXA0LYNw155qdzS7TJGhWLhquaW5IY/edit"",""13!e38"")"),2226.0)</f>
        <v>2226</v>
      </c>
      <c r="H343" s="40">
        <f>IFERROR(__xludf.DUMMYFUNCTION("IMPORTRANGE(""https://docs.google.com/spreadsheets/d/1zJUDEKztv_fercXA0LYNw155qdzS7TJGhWLhquaW5IY/edit"",""13!e39"")"),0.0)</f>
        <v>0</v>
      </c>
      <c r="I343" s="40">
        <f t="shared" si="915"/>
        <v>2226</v>
      </c>
      <c r="J343" s="40">
        <f>IFERROR(__xludf.DUMMYFUNCTION("IMPORTRANGE(""https://docs.google.com/spreadsheets/d/1zJUDEKztv_fercXA0LYNw155qdzS7TJGhWLhquaW5IY/edit"",""13!e42"")"),2800.0)</f>
        <v>2800</v>
      </c>
      <c r="K343" s="40">
        <f>IFERROR(__xludf.DUMMYFUNCTION("IMPORTRANGE(""https://docs.google.com/spreadsheets/d/1zJUDEKztv_fercXA0LYNw155qdzS7TJGhWLhquaW5IY/edit"",""13!e43"")"),0.0)</f>
        <v>0</v>
      </c>
      <c r="L343" s="40">
        <f t="shared" si="945"/>
        <v>2800</v>
      </c>
      <c r="M343" s="40">
        <f t="shared" si="917"/>
        <v>5026</v>
      </c>
      <c r="N343" s="41">
        <f t="shared" si="918"/>
        <v>162.5883214</v>
      </c>
      <c r="O343" s="38">
        <v>8101.0</v>
      </c>
      <c r="P343" s="42">
        <f t="shared" si="919"/>
        <v>0.6204172324</v>
      </c>
      <c r="Q343" s="43">
        <v>1.5</v>
      </c>
      <c r="R343" s="42">
        <f t="shared" si="920"/>
        <v>0.7360102227</v>
      </c>
      <c r="S343" s="44">
        <f t="shared" si="921"/>
        <v>1.104015334</v>
      </c>
      <c r="T343" s="43">
        <f>F343/19.985</f>
        <v>227.7944959</v>
      </c>
      <c r="U343" s="43">
        <f t="shared" si="922"/>
        <v>8.13551771</v>
      </c>
      <c r="V343" s="40">
        <f t="shared" si="923"/>
        <v>179.5</v>
      </c>
      <c r="X343" s="59" t="s">
        <v>44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6"/>
    </row>
    <row r="344" ht="15.75" customHeight="1">
      <c r="A344" s="21"/>
      <c r="B344" s="38">
        <v>15.0</v>
      </c>
      <c r="C344" s="38" t="s">
        <v>40</v>
      </c>
      <c r="D344" s="39">
        <v>30.0</v>
      </c>
      <c r="E344" s="40">
        <f>IFERROR(__xludf.DUMMYFUNCTION("COUNT(IMPORTRANGE(""https://docs.google.com/spreadsheets/d/15GJA66Ucb-8RQ5vWVpq5HYaWoZZFX82SCeHChBujbrI/edit"",""13!d2:d31""))"),29.0)</f>
        <v>29</v>
      </c>
      <c r="F344" s="45">
        <f>IFERROR(__xludf.DUMMYFUNCTION("SUM(IMPORTRANGE(""https://docs.google.com/spreadsheets/d/15GJA66Ucb-8RQ5vWVpq5HYaWoZZFX82SCeHChBujbrI/edit"",""13!Q2:Q31""))"),5773.928999999998)</f>
        <v>5773.929</v>
      </c>
      <c r="G344" s="40">
        <f>IFERROR(__xludf.DUMMYFUNCTION("IMPORTRANGE(""https://docs.google.com/spreadsheets/d/15GJA66Ucb-8RQ5vWVpq5HYaWoZZFX82SCeHChBujbrI/edit"",""13!e38"")"),3260.0)</f>
        <v>3260</v>
      </c>
      <c r="H344" s="40">
        <f>IFERROR(__xludf.DUMMYFUNCTION("IMPORTRANGE(""https://docs.google.com/spreadsheets/d/15GJA66Ucb-8RQ5vWVpq5HYaWoZZFX82SCeHChBujbrI/edit"",""13!e39"")"),0.0)</f>
        <v>0</v>
      </c>
      <c r="I344" s="40">
        <f t="shared" si="915"/>
        <v>3260</v>
      </c>
      <c r="J344" s="40">
        <f>IFERROR(__xludf.DUMMYFUNCTION("IMPORTRANGE(""https://docs.google.com/spreadsheets/d/15GJA66Ucb-8RQ5vWVpq5HYaWoZZFX82SCeHChBujbrI/edit"",""13!e42"")"),4114.0)</f>
        <v>4114</v>
      </c>
      <c r="K344" s="40">
        <f>IFERROR(__xludf.DUMMYFUNCTION("IMPORTRANGE(""https://docs.google.com/spreadsheets/d/15GJA66Ucb-8RQ5vWVpq5HYaWoZZFX82SCeHChBujbrI/edit"",""13!e43"")"),23.0)</f>
        <v>23</v>
      </c>
      <c r="L344" s="40">
        <f t="shared" si="945"/>
        <v>4137</v>
      </c>
      <c r="M344" s="40">
        <f t="shared" si="917"/>
        <v>7397</v>
      </c>
      <c r="N344" s="41">
        <f t="shared" si="918"/>
        <v>199.101</v>
      </c>
      <c r="O344" s="38">
        <v>8239.0</v>
      </c>
      <c r="P344" s="42">
        <f t="shared" si="919"/>
        <v>0.8978031314</v>
      </c>
      <c r="Q344" s="43">
        <v>1.5</v>
      </c>
      <c r="R344" s="42">
        <f t="shared" si="920"/>
        <v>0.8540689249</v>
      </c>
      <c r="S344" s="44">
        <f t="shared" si="921"/>
        <v>1.281103387</v>
      </c>
      <c r="T344" s="43">
        <f>F344/28.443</f>
        <v>203</v>
      </c>
      <c r="U344" s="43">
        <f t="shared" si="922"/>
        <v>7</v>
      </c>
      <c r="V344" s="40">
        <f t="shared" si="923"/>
        <v>255.0689655</v>
      </c>
      <c r="X344" s="14" t="s">
        <v>2</v>
      </c>
      <c r="Y344" s="14" t="s">
        <v>3</v>
      </c>
      <c r="Z344" s="14" t="s">
        <v>4</v>
      </c>
      <c r="AA344" s="14" t="s">
        <v>5</v>
      </c>
      <c r="AB344" s="15" t="s">
        <v>6</v>
      </c>
      <c r="AC344" s="14" t="s">
        <v>7</v>
      </c>
      <c r="AD344" s="14" t="s">
        <v>8</v>
      </c>
      <c r="AE344" s="14" t="s">
        <v>9</v>
      </c>
      <c r="AF344" s="14" t="s">
        <v>10</v>
      </c>
      <c r="AG344" s="14" t="s">
        <v>11</v>
      </c>
      <c r="AH344" s="14" t="s">
        <v>12</v>
      </c>
      <c r="AI344" s="14" t="s">
        <v>13</v>
      </c>
      <c r="AJ344" s="15" t="s">
        <v>14</v>
      </c>
      <c r="AK344" s="14" t="s">
        <v>15</v>
      </c>
      <c r="AL344" s="14" t="s">
        <v>16</v>
      </c>
      <c r="AM344" s="16" t="s">
        <v>17</v>
      </c>
      <c r="AN344" s="17" t="s">
        <v>18</v>
      </c>
      <c r="AO344" s="18" t="s">
        <v>19</v>
      </c>
      <c r="AP344" s="19" t="s">
        <v>20</v>
      </c>
      <c r="AQ344" s="19" t="s">
        <v>21</v>
      </c>
      <c r="AR344" s="20" t="s">
        <v>22</v>
      </c>
    </row>
    <row r="345" ht="15.75" customHeight="1">
      <c r="A345" s="21"/>
      <c r="B345" s="38">
        <v>16.0</v>
      </c>
      <c r="C345" s="38" t="s">
        <v>42</v>
      </c>
      <c r="D345" s="39">
        <v>33.0</v>
      </c>
      <c r="E345" s="40">
        <f>IFERROR(__xludf.DUMMYFUNCTION("COUNT(IMPORTRANGE(""https://docs.google.com/spreadsheets/d/14Tu_jFPEdrIQ6DHYu6vRvJKQsbXr-48NY1tKy4-8JKI/edit"",""13!d2:d34""))"),33.0)</f>
        <v>33</v>
      </c>
      <c r="F345" s="45">
        <f>IFERROR(__xludf.DUMMYFUNCTION("SUM(IMPORTRANGE(""https://docs.google.com/spreadsheets/d/14Tu_jFPEdrIQ6DHYu6vRvJKQsbXr-48NY1tKy4-8JKI/edit"",""13!Q2:Q34""))"),6380.281999999997)</f>
        <v>6380.282</v>
      </c>
      <c r="G345" s="40">
        <f>IFERROR(__xludf.DUMMYFUNCTION("IMPORTRANGE(""https://docs.google.com/spreadsheets/d/14Tu_jFPEdrIQ6DHYu6vRvJKQsbXr-48NY1tKy4-8JKI/edit"",""13!e41"")"),3536.0)</f>
        <v>3536</v>
      </c>
      <c r="H345" s="40">
        <f>IFERROR(__xludf.DUMMYFUNCTION("IMPORTRANGE(""https://docs.google.com/spreadsheets/d/14Tu_jFPEdrIQ6DHYu6vRvJKQsbXr-48NY1tKy4-8JKI/edit"",""13!e42"")"),0.0)</f>
        <v>0</v>
      </c>
      <c r="I345" s="40">
        <f t="shared" si="915"/>
        <v>3536</v>
      </c>
      <c r="J345" s="40">
        <f>IFERROR(__xludf.DUMMYFUNCTION("IMPORTRANGE(""https://docs.google.com/spreadsheets/d/14Tu_jFPEdrIQ6DHYu6vRvJKQsbXr-48NY1tKy4-8JKI/edit"",""13!e45"")"),4112.0)</f>
        <v>4112</v>
      </c>
      <c r="K345" s="40">
        <f>IFERROR(__xludf.DUMMYFUNCTION("IMPORTRANGE(""https://docs.google.com/spreadsheets/d/14Tu_jFPEdrIQ6DHYu6vRvJKQsbXr-48NY1tKy4-8JKI/edit"",""13!e46"")"),0.0)</f>
        <v>0</v>
      </c>
      <c r="L345" s="40">
        <f t="shared" si="945"/>
        <v>4112</v>
      </c>
      <c r="M345" s="40">
        <f t="shared" si="917"/>
        <v>7648</v>
      </c>
      <c r="N345" s="41">
        <f t="shared" si="918"/>
        <v>193.3418788</v>
      </c>
      <c r="O345" s="38">
        <v>9877.0</v>
      </c>
      <c r="P345" s="42">
        <f t="shared" si="919"/>
        <v>0.7743241875</v>
      </c>
      <c r="Q345" s="43">
        <v>1.5</v>
      </c>
      <c r="R345" s="42">
        <f t="shared" si="920"/>
        <v>0.7991287323</v>
      </c>
      <c r="S345" s="44">
        <f t="shared" si="921"/>
        <v>1.198693099</v>
      </c>
      <c r="T345" s="43">
        <f>F345/26.155</f>
        <v>243.9411967</v>
      </c>
      <c r="U345" s="43">
        <f t="shared" si="922"/>
        <v>7.392157476</v>
      </c>
      <c r="V345" s="40">
        <f t="shared" si="923"/>
        <v>231.7575758</v>
      </c>
      <c r="X345" s="31">
        <v>1.0</v>
      </c>
      <c r="Y345" s="31" t="s">
        <v>26</v>
      </c>
      <c r="Z345" s="31">
        <f t="shared" ref="Z345:AI345" si="955">SUM(D330)</f>
        <v>20</v>
      </c>
      <c r="AA345" s="32">
        <f t="shared" si="955"/>
        <v>20</v>
      </c>
      <c r="AB345" s="34">
        <f t="shared" si="955"/>
        <v>3662.022</v>
      </c>
      <c r="AC345" s="32">
        <f t="shared" si="955"/>
        <v>2150</v>
      </c>
      <c r="AD345" s="32">
        <f t="shared" si="955"/>
        <v>0</v>
      </c>
      <c r="AE345" s="32">
        <f t="shared" si="955"/>
        <v>2150</v>
      </c>
      <c r="AF345" s="32">
        <f t="shared" si="955"/>
        <v>2769</v>
      </c>
      <c r="AG345" s="32">
        <f t="shared" si="955"/>
        <v>0</v>
      </c>
      <c r="AH345" s="32">
        <f t="shared" si="955"/>
        <v>2769</v>
      </c>
      <c r="AI345" s="32">
        <f t="shared" si="955"/>
        <v>4919</v>
      </c>
      <c r="AJ345" s="34">
        <f t="shared" ref="AJ345:AJ351" si="958">AB345/AA345</f>
        <v>183.1011</v>
      </c>
      <c r="AK345" s="31">
        <f>SUM(O330)</f>
        <v>5161</v>
      </c>
      <c r="AL345" s="35">
        <f t="shared" ref="AL345:AL351" si="959">AI345/AK345</f>
        <v>0.9531098624</v>
      </c>
      <c r="AM345" s="36">
        <f>SUM(Q330)</f>
        <v>1.5</v>
      </c>
      <c r="AN345" s="35">
        <f t="shared" ref="AN345:AN351" si="960">AO345/AM345</f>
        <v>0.8954979881</v>
      </c>
      <c r="AO345" s="37">
        <f t="shared" ref="AO345:AO351" si="961">AI345/AB345</f>
        <v>1.343246982</v>
      </c>
      <c r="AP345" s="36">
        <f t="shared" ref="AP345:AQ345" si="956">SUM(T330)</f>
        <v>254.0424558</v>
      </c>
      <c r="AQ345" s="36">
        <f t="shared" si="956"/>
        <v>12.70212279</v>
      </c>
      <c r="AR345" s="32">
        <f t="shared" ref="AR345:AR351" si="963">AI345/AA345</f>
        <v>245.95</v>
      </c>
    </row>
    <row r="346" ht="15.75" customHeight="1">
      <c r="A346" s="21"/>
      <c r="B346" s="38">
        <v>17.0</v>
      </c>
      <c r="C346" s="38" t="s">
        <v>29</v>
      </c>
      <c r="D346" s="39">
        <v>30.0</v>
      </c>
      <c r="E346" s="40">
        <f>IFERROR(__xludf.DUMMYFUNCTION("COUNT(IMPORTRANGE(""https://docs.google.com/spreadsheets/d/1ja_RQYsP0p5wRrACHojay4CW1wLx0QdS5tSwp-vYQ-s/edit"",""13!d2:d31""))"),30.0)</f>
        <v>30</v>
      </c>
      <c r="F346" s="45">
        <f>IFERROR(__xludf.DUMMYFUNCTION("SUM(IMPORTRANGE(""https://docs.google.com/spreadsheets/d/1ja_RQYsP0p5wRrACHojay4CW1wLx0QdS5tSwp-vYQ-s/edit"",""13!Q2:Q31""))"),6092.929999999998)</f>
        <v>6092.93</v>
      </c>
      <c r="G346" s="40">
        <f>IFERROR(__xludf.DUMMYFUNCTION("IMPORTRANGE(""https://docs.google.com/spreadsheets/d/1ja_RQYsP0p5wRrACHojay4CW1wLx0QdS5tSwp-vYQ-s/edit"",""13!e38"")"),2821.0)</f>
        <v>2821</v>
      </c>
      <c r="H346" s="40">
        <f>IFERROR(__xludf.DUMMYFUNCTION("IMPORTRANGE(""https://docs.google.com/spreadsheets/d/1ja_RQYsP0p5wRrACHojay4CW1wLx0QdS5tSwp-vYQ-s/edit"",""13!e39"")"),0.0)</f>
        <v>0</v>
      </c>
      <c r="I346" s="40">
        <f t="shared" si="915"/>
        <v>2821</v>
      </c>
      <c r="J346" s="40">
        <f>IFERROR(__xludf.DUMMYFUNCTION("IMPORTRANGE(""https://docs.google.com/spreadsheets/d/1ja_RQYsP0p5wRrACHojay4CW1wLx0QdS5tSwp-vYQ-s/edit"",""13!e42"")"),4213.0)</f>
        <v>4213</v>
      </c>
      <c r="K346" s="40">
        <f>IFERROR(__xludf.DUMMYFUNCTION("IMPORTRANGE(""https://docs.google.com/spreadsheets/d/1ja_RQYsP0p5wRrACHojay4CW1wLx0QdS5tSwp-vYQ-s/edit"",""13!e43"")"),0.0)</f>
        <v>0</v>
      </c>
      <c r="L346" s="40">
        <f t="shared" si="945"/>
        <v>4213</v>
      </c>
      <c r="M346" s="40">
        <f t="shared" si="917"/>
        <v>7034</v>
      </c>
      <c r="N346" s="41">
        <f t="shared" si="918"/>
        <v>203.0976667</v>
      </c>
      <c r="O346" s="38">
        <v>9201.0</v>
      </c>
      <c r="P346" s="42">
        <f t="shared" si="919"/>
        <v>0.7644821215</v>
      </c>
      <c r="Q346" s="43">
        <v>1.5</v>
      </c>
      <c r="R346" s="42">
        <f t="shared" si="920"/>
        <v>0.7696351892</v>
      </c>
      <c r="S346" s="44">
        <f t="shared" si="921"/>
        <v>1.154452784</v>
      </c>
      <c r="T346" s="43">
        <f>F346/26.491</f>
        <v>230</v>
      </c>
      <c r="U346" s="43">
        <f t="shared" si="922"/>
        <v>7.666666667</v>
      </c>
      <c r="V346" s="40">
        <f t="shared" si="923"/>
        <v>234.4666667</v>
      </c>
      <c r="X346" s="31">
        <v>2.0</v>
      </c>
      <c r="Y346" s="31" t="s">
        <v>32</v>
      </c>
      <c r="Z346" s="31">
        <f t="shared" ref="Z346:AI346" si="957">SUM(D333)</f>
        <v>42</v>
      </c>
      <c r="AA346" s="32">
        <f t="shared" si="957"/>
        <v>41</v>
      </c>
      <c r="AB346" s="33">
        <f t="shared" si="957"/>
        <v>8028.48</v>
      </c>
      <c r="AC346" s="31">
        <f t="shared" si="957"/>
        <v>4560</v>
      </c>
      <c r="AD346" s="31">
        <f t="shared" si="957"/>
        <v>0</v>
      </c>
      <c r="AE346" s="32">
        <f t="shared" si="957"/>
        <v>4560</v>
      </c>
      <c r="AF346" s="31">
        <f t="shared" si="957"/>
        <v>5878</v>
      </c>
      <c r="AG346" s="31">
        <f t="shared" si="957"/>
        <v>0</v>
      </c>
      <c r="AH346" s="32">
        <f t="shared" si="957"/>
        <v>5878</v>
      </c>
      <c r="AI346" s="32">
        <f t="shared" si="957"/>
        <v>10438</v>
      </c>
      <c r="AJ346" s="34">
        <f t="shared" si="958"/>
        <v>195.8165854</v>
      </c>
      <c r="AK346" s="31">
        <f>SUM(O333)</f>
        <v>13817</v>
      </c>
      <c r="AL346" s="35">
        <f t="shared" si="959"/>
        <v>0.7554461895</v>
      </c>
      <c r="AM346" s="36">
        <f>SUM(Q333)</f>
        <v>1.5</v>
      </c>
      <c r="AN346" s="35">
        <f t="shared" si="960"/>
        <v>0.8667477115</v>
      </c>
      <c r="AO346" s="37">
        <f t="shared" si="961"/>
        <v>1.300121567</v>
      </c>
      <c r="AP346" s="36">
        <f t="shared" ref="AP346:AQ346" si="962">SUM(T333)</f>
        <v>320</v>
      </c>
      <c r="AQ346" s="36">
        <f t="shared" si="962"/>
        <v>7.804878049</v>
      </c>
      <c r="AR346" s="32">
        <f t="shared" si="963"/>
        <v>254.5853659</v>
      </c>
    </row>
    <row r="347" ht="15.75" customHeight="1">
      <c r="A347" s="21"/>
      <c r="B347" s="38">
        <v>18.0</v>
      </c>
      <c r="C347" s="38" t="s">
        <v>31</v>
      </c>
      <c r="D347" s="39">
        <v>15.0</v>
      </c>
      <c r="E347" s="40">
        <f>IFERROR(__xludf.DUMMYFUNCTION("COUNT(IMPORTRANGE(""https://docs.google.com/spreadsheets/d/1ObnK1oSznTOmyW9Zcd2kxExl7TOnO2MNq_0giEKc_mE/edit"",""13!d2:d16""))"),14.0)</f>
        <v>14</v>
      </c>
      <c r="F347" s="41">
        <f>IFERROR(__xludf.DUMMYFUNCTION("SUM(IMPORTRANGE(""https://docs.google.com/spreadsheets/d/1ObnK1oSznTOmyW9Zcd2kxExl7TOnO2MNq_0giEKc_mE/edit"",""13!Q2:Q16""))"),2540.9809999999993)</f>
        <v>2540.981</v>
      </c>
      <c r="G347" s="40">
        <f>IFERROR(__xludf.DUMMYFUNCTION("IMPORTRANGE(""https://docs.google.com/spreadsheets/d/1ObnK1oSznTOmyW9Zcd2kxExl7TOnO2MNq_0giEKc_mE/edit"",""13!e23"")"),1020.0)</f>
        <v>1020</v>
      </c>
      <c r="H347" s="40">
        <f>IFERROR(__xludf.DUMMYFUNCTION("IMPORTRANGE(""https://docs.google.com/spreadsheets/d/1ObnK1oSznTOmyW9Zcd2kxExl7TOnO2MNq_0giEKc_mE/edit"",""13!e24"")"),0.0)</f>
        <v>0</v>
      </c>
      <c r="I347" s="40">
        <f t="shared" si="915"/>
        <v>1020</v>
      </c>
      <c r="J347" s="40">
        <f>IFERROR(__xludf.DUMMYFUNCTION("IMPORTRANGE(""https://docs.google.com/spreadsheets/d/1ObnK1oSznTOmyW9Zcd2kxExl7TOnO2MNq_0giEKc_mE/edit"",""13!e27"")"),870.0)</f>
        <v>870</v>
      </c>
      <c r="K347" s="40">
        <f>IFERROR(__xludf.DUMMYFUNCTION("IMPORTRANGE(""https://docs.google.com/spreadsheets/d/1ObnK1oSznTOmyW9Zcd2kxExl7TOnO2MNq_0giEKc_mE/edit"",""13!e28"")"),0.0)</f>
        <v>0</v>
      </c>
      <c r="L347" s="40">
        <f t="shared" si="945"/>
        <v>870</v>
      </c>
      <c r="M347" s="40">
        <f t="shared" si="917"/>
        <v>1890</v>
      </c>
      <c r="N347" s="41">
        <f t="shared" si="918"/>
        <v>181.4986429</v>
      </c>
      <c r="O347" s="38">
        <v>2717.0</v>
      </c>
      <c r="P347" s="42">
        <f t="shared" si="919"/>
        <v>0.6956201693</v>
      </c>
      <c r="Q347" s="43">
        <v>1.5</v>
      </c>
      <c r="R347" s="42">
        <f t="shared" si="920"/>
        <v>0.4958714764</v>
      </c>
      <c r="S347" s="44">
        <f t="shared" si="921"/>
        <v>0.7438072146</v>
      </c>
      <c r="T347" s="43">
        <f>F347/43.465</f>
        <v>58.46039342</v>
      </c>
      <c r="U347" s="43">
        <f t="shared" si="922"/>
        <v>4.175742387</v>
      </c>
      <c r="V347" s="40">
        <f t="shared" si="923"/>
        <v>135</v>
      </c>
      <c r="X347" s="31">
        <v>3.0</v>
      </c>
      <c r="Y347" s="31" t="s">
        <v>36</v>
      </c>
      <c r="Z347" s="31">
        <f t="shared" ref="Z347:AI347" si="964">SUM(D338)</f>
        <v>29</v>
      </c>
      <c r="AA347" s="32">
        <f t="shared" si="964"/>
        <v>29</v>
      </c>
      <c r="AB347" s="33">
        <f t="shared" si="964"/>
        <v>5753.776</v>
      </c>
      <c r="AC347" s="32">
        <f t="shared" si="964"/>
        <v>1690</v>
      </c>
      <c r="AD347" s="32">
        <f t="shared" si="964"/>
        <v>0</v>
      </c>
      <c r="AE347" s="32">
        <f t="shared" si="964"/>
        <v>1690</v>
      </c>
      <c r="AF347" s="32">
        <f t="shared" si="964"/>
        <v>2320</v>
      </c>
      <c r="AG347" s="32">
        <f t="shared" si="964"/>
        <v>0</v>
      </c>
      <c r="AH347" s="32">
        <f t="shared" si="964"/>
        <v>2320</v>
      </c>
      <c r="AI347" s="32">
        <f t="shared" si="964"/>
        <v>4010</v>
      </c>
      <c r="AJ347" s="34">
        <f t="shared" si="958"/>
        <v>198.406069</v>
      </c>
      <c r="AK347" s="31">
        <f t="shared" ref="AK347:AK350" si="968">SUM(O338)</f>
        <v>4796</v>
      </c>
      <c r="AL347" s="35">
        <f t="shared" si="959"/>
        <v>0.8361134279</v>
      </c>
      <c r="AM347" s="36">
        <f t="shared" ref="AM347:AM350" si="969">SUM(Q338)</f>
        <v>1.5</v>
      </c>
      <c r="AN347" s="35">
        <f t="shared" si="960"/>
        <v>0.4646224207</v>
      </c>
      <c r="AO347" s="37">
        <f t="shared" si="961"/>
        <v>0.6969336311</v>
      </c>
      <c r="AP347" s="36">
        <f t="shared" ref="AP347:AQ347" si="965">SUM(T338)</f>
        <v>153.7867109</v>
      </c>
      <c r="AQ347" s="36">
        <f t="shared" si="965"/>
        <v>5.30299003</v>
      </c>
      <c r="AR347" s="32">
        <f t="shared" si="963"/>
        <v>138.2758621</v>
      </c>
    </row>
    <row r="348" ht="15.75" customHeight="1">
      <c r="A348" s="21"/>
      <c r="B348" s="60" t="s">
        <v>33</v>
      </c>
      <c r="C348" s="60">
        <v>18.0</v>
      </c>
      <c r="D348" s="60">
        <f t="shared" ref="D348:M348" si="966">SUM(D330:D347)</f>
        <v>585</v>
      </c>
      <c r="E348" s="61">
        <f t="shared" si="966"/>
        <v>573</v>
      </c>
      <c r="F348" s="62">
        <f t="shared" si="966"/>
        <v>109793.748</v>
      </c>
      <c r="G348" s="61">
        <f t="shared" si="966"/>
        <v>43460</v>
      </c>
      <c r="H348" s="61">
        <f t="shared" si="966"/>
        <v>504</v>
      </c>
      <c r="I348" s="61">
        <f t="shared" si="966"/>
        <v>43964</v>
      </c>
      <c r="J348" s="61">
        <f t="shared" si="966"/>
        <v>53427</v>
      </c>
      <c r="K348" s="61">
        <f t="shared" si="966"/>
        <v>1054</v>
      </c>
      <c r="L348" s="61">
        <f t="shared" si="966"/>
        <v>54481</v>
      </c>
      <c r="M348" s="61">
        <f t="shared" si="966"/>
        <v>98445</v>
      </c>
      <c r="N348" s="62">
        <f t="shared" si="918"/>
        <v>191.6121257</v>
      </c>
      <c r="O348" s="60">
        <f>SUM(O330:O347)</f>
        <v>126399</v>
      </c>
      <c r="P348" s="63">
        <f t="shared" si="919"/>
        <v>0.7788431871</v>
      </c>
      <c r="Q348" s="64">
        <v>1.5</v>
      </c>
      <c r="R348" s="63">
        <f t="shared" si="920"/>
        <v>0.5977571692</v>
      </c>
      <c r="S348" s="65">
        <f t="shared" si="921"/>
        <v>0.8966357538</v>
      </c>
      <c r="T348" s="64">
        <f>SUM(T330:T347)</f>
        <v>4024.967463</v>
      </c>
      <c r="U348" s="64">
        <f t="shared" si="922"/>
        <v>7.024376027</v>
      </c>
      <c r="V348" s="61">
        <f t="shared" si="923"/>
        <v>171.8062827</v>
      </c>
      <c r="X348" s="31">
        <v>4.0</v>
      </c>
      <c r="Y348" s="31" t="s">
        <v>37</v>
      </c>
      <c r="Z348" s="31">
        <f t="shared" ref="Z348:AI348" si="967">SUM(D339)</f>
        <v>30</v>
      </c>
      <c r="AA348" s="32">
        <f t="shared" si="967"/>
        <v>30</v>
      </c>
      <c r="AB348" s="33">
        <f t="shared" si="967"/>
        <v>5686.056</v>
      </c>
      <c r="AC348" s="32">
        <f t="shared" si="967"/>
        <v>2085</v>
      </c>
      <c r="AD348" s="32">
        <f t="shared" si="967"/>
        <v>0</v>
      </c>
      <c r="AE348" s="32">
        <f t="shared" si="967"/>
        <v>2085</v>
      </c>
      <c r="AF348" s="32">
        <f t="shared" si="967"/>
        <v>2998</v>
      </c>
      <c r="AG348" s="32">
        <f t="shared" si="967"/>
        <v>0</v>
      </c>
      <c r="AH348" s="32">
        <f t="shared" si="967"/>
        <v>2998</v>
      </c>
      <c r="AI348" s="32">
        <f t="shared" si="967"/>
        <v>5083</v>
      </c>
      <c r="AJ348" s="34">
        <f t="shared" si="958"/>
        <v>189.5352</v>
      </c>
      <c r="AK348" s="31">
        <f t="shared" si="968"/>
        <v>5887</v>
      </c>
      <c r="AL348" s="35">
        <f t="shared" si="959"/>
        <v>0.863427892</v>
      </c>
      <c r="AM348" s="36">
        <f t="shared" si="969"/>
        <v>1.5</v>
      </c>
      <c r="AN348" s="35">
        <f t="shared" si="960"/>
        <v>0.5959608324</v>
      </c>
      <c r="AO348" s="37">
        <f t="shared" si="961"/>
        <v>0.8939412486</v>
      </c>
      <c r="AP348" s="36">
        <f t="shared" ref="AP348:AQ348" si="970">SUM(T339)</f>
        <v>229.3504356</v>
      </c>
      <c r="AQ348" s="36">
        <f t="shared" si="970"/>
        <v>7.645014521</v>
      </c>
      <c r="AR348" s="32">
        <f t="shared" si="963"/>
        <v>169.4333333</v>
      </c>
    </row>
    <row r="349" ht="15.7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X349" s="31">
        <v>5.0</v>
      </c>
      <c r="Y349" s="31" t="s">
        <v>39</v>
      </c>
      <c r="Z349" s="31">
        <f t="shared" ref="Z349:AI349" si="971">SUM(D340)</f>
        <v>28</v>
      </c>
      <c r="AA349" s="32">
        <f t="shared" si="971"/>
        <v>26</v>
      </c>
      <c r="AB349" s="33">
        <f t="shared" si="971"/>
        <v>4975.051</v>
      </c>
      <c r="AC349" s="32">
        <f t="shared" si="971"/>
        <v>1178</v>
      </c>
      <c r="AD349" s="32">
        <f t="shared" si="971"/>
        <v>0</v>
      </c>
      <c r="AE349" s="32">
        <f t="shared" si="971"/>
        <v>1178</v>
      </c>
      <c r="AF349" s="32">
        <f t="shared" si="971"/>
        <v>1740</v>
      </c>
      <c r="AG349" s="32">
        <f t="shared" si="971"/>
        <v>0</v>
      </c>
      <c r="AH349" s="32">
        <f t="shared" si="971"/>
        <v>1740</v>
      </c>
      <c r="AI349" s="32">
        <f t="shared" si="971"/>
        <v>2918</v>
      </c>
      <c r="AJ349" s="34">
        <f t="shared" si="958"/>
        <v>191.3481154</v>
      </c>
      <c r="AK349" s="31">
        <f t="shared" si="968"/>
        <v>3569</v>
      </c>
      <c r="AL349" s="35">
        <f t="shared" si="959"/>
        <v>0.8175959653</v>
      </c>
      <c r="AM349" s="36">
        <f t="shared" si="969"/>
        <v>1.5</v>
      </c>
      <c r="AN349" s="35">
        <f t="shared" si="960"/>
        <v>0.3910177671</v>
      </c>
      <c r="AO349" s="37">
        <f t="shared" si="961"/>
        <v>0.5865266507</v>
      </c>
      <c r="AP349" s="36">
        <f t="shared" ref="AP349:AQ349" si="972">SUM(T340)</f>
        <v>231.7966268</v>
      </c>
      <c r="AQ349" s="36">
        <f t="shared" si="972"/>
        <v>8.915254875</v>
      </c>
      <c r="AR349" s="32">
        <f t="shared" si="963"/>
        <v>112.2307692</v>
      </c>
    </row>
    <row r="350" ht="15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X350" s="31">
        <v>6.0</v>
      </c>
      <c r="Y350" s="31" t="s">
        <v>41</v>
      </c>
      <c r="Z350" s="31">
        <f t="shared" ref="Z350:AI350" si="973">SUM(D341)</f>
        <v>24</v>
      </c>
      <c r="AA350" s="32">
        <f t="shared" si="973"/>
        <v>24</v>
      </c>
      <c r="AB350" s="33">
        <f t="shared" si="973"/>
        <v>4747.064</v>
      </c>
      <c r="AC350" s="32">
        <f t="shared" si="973"/>
        <v>1368</v>
      </c>
      <c r="AD350" s="32">
        <f t="shared" si="973"/>
        <v>0</v>
      </c>
      <c r="AE350" s="32">
        <f t="shared" si="973"/>
        <v>1368</v>
      </c>
      <c r="AF350" s="32">
        <f t="shared" si="973"/>
        <v>1679</v>
      </c>
      <c r="AG350" s="32">
        <f t="shared" si="973"/>
        <v>46</v>
      </c>
      <c r="AH350" s="32">
        <f t="shared" si="973"/>
        <v>1725</v>
      </c>
      <c r="AI350" s="32">
        <f t="shared" si="973"/>
        <v>3093</v>
      </c>
      <c r="AJ350" s="34">
        <f t="shared" si="958"/>
        <v>197.7943333</v>
      </c>
      <c r="AK350" s="31">
        <f t="shared" si="968"/>
        <v>3801</v>
      </c>
      <c r="AL350" s="35">
        <f t="shared" si="959"/>
        <v>0.8137332281</v>
      </c>
      <c r="AM350" s="36">
        <f t="shared" si="969"/>
        <v>1.5</v>
      </c>
      <c r="AN350" s="35">
        <f t="shared" si="960"/>
        <v>0.4343737519</v>
      </c>
      <c r="AO350" s="37">
        <f t="shared" si="961"/>
        <v>0.6515606278</v>
      </c>
      <c r="AP350" s="36">
        <f t="shared" ref="AP350:AQ350" si="974">SUM(T341)</f>
        <v>160.2222222</v>
      </c>
      <c r="AQ350" s="36">
        <f t="shared" si="974"/>
        <v>6.675925926</v>
      </c>
      <c r="AR350" s="32">
        <f t="shared" si="963"/>
        <v>128.875</v>
      </c>
    </row>
    <row r="351" ht="15.75" customHeight="1">
      <c r="A351" s="1" t="s">
        <v>45</v>
      </c>
      <c r="D351" s="2"/>
      <c r="X351" s="46" t="s">
        <v>33</v>
      </c>
      <c r="Y351" s="46">
        <v>6.0</v>
      </c>
      <c r="Z351" s="46">
        <f t="shared" ref="Z351:AI351" si="975">SUM(Z345:Z350)</f>
        <v>173</v>
      </c>
      <c r="AA351" s="47">
        <f t="shared" si="975"/>
        <v>170</v>
      </c>
      <c r="AB351" s="49">
        <f t="shared" si="975"/>
        <v>32852.449</v>
      </c>
      <c r="AC351" s="47">
        <f t="shared" si="975"/>
        <v>13031</v>
      </c>
      <c r="AD351" s="47">
        <f t="shared" si="975"/>
        <v>0</v>
      </c>
      <c r="AE351" s="47">
        <f t="shared" si="975"/>
        <v>13031</v>
      </c>
      <c r="AF351" s="47">
        <f t="shared" si="975"/>
        <v>17384</v>
      </c>
      <c r="AG351" s="47">
        <f t="shared" si="975"/>
        <v>46</v>
      </c>
      <c r="AH351" s="47">
        <f t="shared" si="975"/>
        <v>17430</v>
      </c>
      <c r="AI351" s="47">
        <f t="shared" si="975"/>
        <v>30461</v>
      </c>
      <c r="AJ351" s="49">
        <f t="shared" si="958"/>
        <v>193.2497</v>
      </c>
      <c r="AK351" s="46">
        <f>SUM(AK345:AK350)</f>
        <v>37031</v>
      </c>
      <c r="AL351" s="50">
        <f t="shared" si="959"/>
        <v>0.8225810807</v>
      </c>
      <c r="AM351" s="51">
        <v>1.5</v>
      </c>
      <c r="AN351" s="50">
        <f t="shared" si="960"/>
        <v>0.6181375803</v>
      </c>
      <c r="AO351" s="52">
        <f t="shared" si="961"/>
        <v>0.9272063705</v>
      </c>
      <c r="AP351" s="51">
        <f>SUM(AP345:AP350)</f>
        <v>1349.198451</v>
      </c>
      <c r="AQ351" s="51">
        <f>AP351/AA351</f>
        <v>7.936461478</v>
      </c>
      <c r="AR351" s="47">
        <f t="shared" si="963"/>
        <v>179.1823529</v>
      </c>
    </row>
    <row r="352" ht="15.75" customHeight="1">
      <c r="A352" s="1" t="s">
        <v>45</v>
      </c>
      <c r="D352" s="2"/>
      <c r="X352" s="66" t="s">
        <v>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6"/>
    </row>
    <row r="353" ht="15.75" customHeight="1">
      <c r="A353" s="7">
        <v>46248.0</v>
      </c>
      <c r="B353" s="8" t="s">
        <v>2</v>
      </c>
      <c r="C353" s="8" t="s">
        <v>3</v>
      </c>
      <c r="D353" s="8" t="s">
        <v>4</v>
      </c>
      <c r="E353" s="8" t="s">
        <v>5</v>
      </c>
      <c r="F353" s="9" t="s">
        <v>6</v>
      </c>
      <c r="G353" s="8" t="s">
        <v>7</v>
      </c>
      <c r="H353" s="8" t="s">
        <v>8</v>
      </c>
      <c r="I353" s="8" t="s">
        <v>9</v>
      </c>
      <c r="J353" s="8" t="s">
        <v>10</v>
      </c>
      <c r="K353" s="8" t="s">
        <v>11</v>
      </c>
      <c r="L353" s="8" t="s">
        <v>12</v>
      </c>
      <c r="M353" s="8" t="s">
        <v>13</v>
      </c>
      <c r="N353" s="9" t="s">
        <v>14</v>
      </c>
      <c r="O353" s="8" t="s">
        <v>15</v>
      </c>
      <c r="P353" s="8" t="s">
        <v>16</v>
      </c>
      <c r="Q353" s="8" t="s">
        <v>17</v>
      </c>
      <c r="R353" s="8" t="s">
        <v>18</v>
      </c>
      <c r="S353" s="11" t="s">
        <v>19</v>
      </c>
      <c r="T353" s="12" t="s">
        <v>20</v>
      </c>
      <c r="U353" s="12" t="s">
        <v>21</v>
      </c>
      <c r="V353" s="13" t="s">
        <v>22</v>
      </c>
      <c r="X353" s="14" t="s">
        <v>2</v>
      </c>
      <c r="Y353" s="14" t="s">
        <v>3</v>
      </c>
      <c r="Z353" s="14" t="s">
        <v>4</v>
      </c>
      <c r="AA353" s="14" t="s">
        <v>5</v>
      </c>
      <c r="AB353" s="15" t="s">
        <v>6</v>
      </c>
      <c r="AC353" s="14" t="s">
        <v>7</v>
      </c>
      <c r="AD353" s="14" t="s">
        <v>8</v>
      </c>
      <c r="AE353" s="14" t="s">
        <v>9</v>
      </c>
      <c r="AF353" s="14" t="s">
        <v>10</v>
      </c>
      <c r="AG353" s="14" t="s">
        <v>11</v>
      </c>
      <c r="AH353" s="14" t="s">
        <v>12</v>
      </c>
      <c r="AI353" s="14" t="s">
        <v>13</v>
      </c>
      <c r="AJ353" s="15" t="s">
        <v>14</v>
      </c>
      <c r="AK353" s="14" t="s">
        <v>15</v>
      </c>
      <c r="AL353" s="14" t="s">
        <v>16</v>
      </c>
      <c r="AM353" s="16" t="s">
        <v>17</v>
      </c>
      <c r="AN353" s="17" t="s">
        <v>18</v>
      </c>
      <c r="AO353" s="18" t="s">
        <v>19</v>
      </c>
      <c r="AP353" s="19" t="s">
        <v>20</v>
      </c>
      <c r="AQ353" s="19" t="s">
        <v>21</v>
      </c>
      <c r="AR353" s="20" t="s">
        <v>22</v>
      </c>
    </row>
    <row r="354" ht="15.7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X354" s="22">
        <v>1.0</v>
      </c>
      <c r="Y354" s="22" t="s">
        <v>23</v>
      </c>
      <c r="Z354" s="22">
        <f t="shared" ref="Z354:AI354" si="976">SUM(D362)</f>
        <v>35</v>
      </c>
      <c r="AA354" s="23">
        <f t="shared" si="976"/>
        <v>34</v>
      </c>
      <c r="AB354" s="24">
        <f t="shared" si="976"/>
        <v>6766.664</v>
      </c>
      <c r="AC354" s="23">
        <f t="shared" si="976"/>
        <v>3051</v>
      </c>
      <c r="AD354" s="23">
        <f t="shared" si="976"/>
        <v>0</v>
      </c>
      <c r="AE354" s="23">
        <f t="shared" si="976"/>
        <v>3051</v>
      </c>
      <c r="AF354" s="23">
        <f t="shared" si="976"/>
        <v>3017</v>
      </c>
      <c r="AG354" s="23">
        <f t="shared" si="976"/>
        <v>0</v>
      </c>
      <c r="AH354" s="23">
        <f t="shared" si="976"/>
        <v>3017</v>
      </c>
      <c r="AI354" s="23">
        <f t="shared" si="976"/>
        <v>6068</v>
      </c>
      <c r="AJ354" s="25">
        <f t="shared" ref="AJ354:AJ356" si="979">AB354/AA354</f>
        <v>199.0195294</v>
      </c>
      <c r="AK354" s="22">
        <f>SUM(O362)</f>
        <v>6853</v>
      </c>
      <c r="AL354" s="26">
        <f t="shared" ref="AL354:AL360" si="980">AI354/AK354</f>
        <v>0.885451627</v>
      </c>
      <c r="AM354" s="27">
        <f t="shared" ref="AM354:AM356" si="981">SUM(Q362)</f>
        <v>1.5</v>
      </c>
      <c r="AN354" s="26">
        <f t="shared" ref="AN354:AN360" si="982">AO354/AM354</f>
        <v>0.5978327479</v>
      </c>
      <c r="AO354" s="28">
        <f t="shared" ref="AO354:AO360" si="983">AI354/AB354</f>
        <v>0.8967491219</v>
      </c>
      <c r="AP354" s="27">
        <f t="shared" ref="AP354:AQ354" si="977">SUM(T362)</f>
        <v>200.5531713</v>
      </c>
      <c r="AQ354" s="27">
        <f t="shared" si="977"/>
        <v>5.898622686</v>
      </c>
      <c r="AR354" s="23">
        <f t="shared" ref="AR354:AR360" si="985">AI354/AA354</f>
        <v>178.4705882</v>
      </c>
    </row>
    <row r="355" ht="15.7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X355" s="22">
        <v>2.0</v>
      </c>
      <c r="Y355" s="22" t="s">
        <v>24</v>
      </c>
      <c r="Z355" s="22">
        <f t="shared" ref="Z355:AI355" si="978">SUM(D363)</f>
        <v>44</v>
      </c>
      <c r="AA355" s="23">
        <f t="shared" si="978"/>
        <v>43</v>
      </c>
      <c r="AB355" s="24">
        <f t="shared" si="978"/>
        <v>8391.035</v>
      </c>
      <c r="AC355" s="23">
        <f t="shared" si="978"/>
        <v>1131</v>
      </c>
      <c r="AD355" s="23">
        <f t="shared" si="978"/>
        <v>0</v>
      </c>
      <c r="AE355" s="23">
        <f t="shared" si="978"/>
        <v>1131</v>
      </c>
      <c r="AF355" s="23">
        <f t="shared" si="978"/>
        <v>1293</v>
      </c>
      <c r="AG355" s="23">
        <f t="shared" si="978"/>
        <v>0</v>
      </c>
      <c r="AH355" s="23">
        <f t="shared" si="978"/>
        <v>1293</v>
      </c>
      <c r="AI355" s="23">
        <f t="shared" si="978"/>
        <v>2424</v>
      </c>
      <c r="AJ355" s="25">
        <f t="shared" si="979"/>
        <v>195.1403488</v>
      </c>
      <c r="AK355" s="22">
        <v>1580.0</v>
      </c>
      <c r="AL355" s="29">
        <f t="shared" si="980"/>
        <v>1.534177215</v>
      </c>
      <c r="AM355" s="27">
        <f t="shared" si="981"/>
        <v>1.5</v>
      </c>
      <c r="AN355" s="26">
        <f t="shared" si="982"/>
        <v>0.1925864926</v>
      </c>
      <c r="AO355" s="28">
        <f t="shared" si="983"/>
        <v>0.2888797389</v>
      </c>
      <c r="AP355" s="27">
        <f t="shared" ref="AP355:AQ355" si="984">SUM(T363)</f>
        <v>313.0399179</v>
      </c>
      <c r="AQ355" s="27">
        <f t="shared" si="984"/>
        <v>7.279998091</v>
      </c>
      <c r="AR355" s="23">
        <f t="shared" si="985"/>
        <v>56.37209302</v>
      </c>
    </row>
    <row r="356" ht="15.75" customHeight="1">
      <c r="A356" s="21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X356" s="31">
        <v>3.0</v>
      </c>
      <c r="Y356" s="31" t="s">
        <v>25</v>
      </c>
      <c r="Z356" s="31">
        <f t="shared" ref="Z356:AI356" si="986">SUM(D364)</f>
        <v>32</v>
      </c>
      <c r="AA356" s="32">
        <f t="shared" si="986"/>
        <v>32</v>
      </c>
      <c r="AB356" s="33">
        <f t="shared" si="986"/>
        <v>5732.636</v>
      </c>
      <c r="AC356" s="32">
        <f t="shared" si="986"/>
        <v>2197</v>
      </c>
      <c r="AD356" s="32">
        <f t="shared" si="986"/>
        <v>317</v>
      </c>
      <c r="AE356" s="32">
        <f t="shared" si="986"/>
        <v>2514</v>
      </c>
      <c r="AF356" s="32">
        <f t="shared" si="986"/>
        <v>3349</v>
      </c>
      <c r="AG356" s="32">
        <f t="shared" si="986"/>
        <v>481</v>
      </c>
      <c r="AH356" s="32">
        <f t="shared" si="986"/>
        <v>3830</v>
      </c>
      <c r="AI356" s="32">
        <f t="shared" si="986"/>
        <v>6344</v>
      </c>
      <c r="AJ356" s="34">
        <f t="shared" si="979"/>
        <v>179.144875</v>
      </c>
      <c r="AK356" s="31">
        <f>SUM(O364)</f>
        <v>6622</v>
      </c>
      <c r="AL356" s="35">
        <f t="shared" si="980"/>
        <v>0.9580187255</v>
      </c>
      <c r="AM356" s="36">
        <f t="shared" si="981"/>
        <v>1.5</v>
      </c>
      <c r="AN356" s="35">
        <f t="shared" si="982"/>
        <v>0.7377641513</v>
      </c>
      <c r="AO356" s="37">
        <f t="shared" si="983"/>
        <v>1.106646227</v>
      </c>
      <c r="AP356" s="36">
        <f t="shared" ref="AP356:AQ356" si="987">SUM(T364)</f>
        <v>240.4629195</v>
      </c>
      <c r="AQ356" s="36">
        <f t="shared" si="987"/>
        <v>7.514466233</v>
      </c>
      <c r="AR356" s="32">
        <f t="shared" si="985"/>
        <v>198.25</v>
      </c>
    </row>
    <row r="357" ht="15.75" customHeight="1">
      <c r="A357" s="21"/>
      <c r="B357" s="38">
        <v>1.0</v>
      </c>
      <c r="C357" s="38" t="s">
        <v>26</v>
      </c>
      <c r="D357" s="39">
        <v>20.0</v>
      </c>
      <c r="E357" s="40">
        <f>IFERROR(__xludf.DUMMYFUNCTION("COUNT(IMPORTRANGE(""https://docs.google.com/spreadsheets/d/1iVFEBQOAONhqDIMRa2hQ7WkCQv0dJWSAmc0AzfvSCMg/edit"",""14!d2:d21""))"),20.0)</f>
        <v>20</v>
      </c>
      <c r="F357" s="41">
        <f>IFERROR(__xludf.DUMMYFUNCTION("SUM(IMPORTRANGE(""https://docs.google.com/spreadsheets/d/1iVFEBQOAONhqDIMRa2hQ7WkCQv0dJWSAmc0AzfvSCMg/edit"",""14!Q2:Q21""))"),3820.587)</f>
        <v>3820.587</v>
      </c>
      <c r="G357" s="40">
        <f>IFERROR(__xludf.DUMMYFUNCTION("IMPORTRANGE(""https://docs.google.com/spreadsheets/d/1iVFEBQOAONhqDIMRa2hQ7WkCQv0dJWSAmc0AzfvSCMg/edit"",""14!e28"")"),2440.0)</f>
        <v>2440</v>
      </c>
      <c r="H357" s="40">
        <f>IFERROR(__xludf.DUMMYFUNCTION("IMPORTRANGE(""https://docs.google.com/spreadsheets/d/1iVFEBQOAONhqDIMRa2hQ7WkCQv0dJWSAmc0AzfvSCMg/edit"",""14!e29"")"),70.0)</f>
        <v>70</v>
      </c>
      <c r="I357" s="40">
        <f t="shared" ref="I357:I374" si="990">SUM(G357:H357)</f>
        <v>2510</v>
      </c>
      <c r="J357" s="40">
        <f>IFERROR(__xludf.DUMMYFUNCTION("IMPORTRANGE(""https://docs.google.com/spreadsheets/d/1iVFEBQOAONhqDIMRa2hQ7WkCQv0dJWSAmc0AzfvSCMg/edit"",""14!e32"")"),2537.0)</f>
        <v>2537</v>
      </c>
      <c r="K357" s="40">
        <f>IFERROR(__xludf.DUMMYFUNCTION("IMPORTRANGE(""https://docs.google.com/spreadsheets/d/1iVFEBQOAONhqDIMRa2hQ7WkCQv0dJWSAmc0AzfvSCMg/edit"",""14!e33"")"),0.0)</f>
        <v>0</v>
      </c>
      <c r="L357" s="40">
        <f t="shared" ref="L357:L363" si="991">SUM(J357:K357)</f>
        <v>2537</v>
      </c>
      <c r="M357" s="40">
        <f t="shared" ref="M357:M374" si="992">SUM(I357+L357)</f>
        <v>5047</v>
      </c>
      <c r="N357" s="41">
        <f t="shared" ref="N357:N375" si="993">F357/E357</f>
        <v>191.02935</v>
      </c>
      <c r="O357" s="38">
        <v>5161.0</v>
      </c>
      <c r="P357" s="42">
        <f t="shared" ref="P357:P375" si="994">M357/O357</f>
        <v>0.9779112575</v>
      </c>
      <c r="Q357" s="43">
        <v>1.5</v>
      </c>
      <c r="R357" s="42">
        <f t="shared" ref="R357:R375" si="995">S357/Q357</f>
        <v>0.8806674646</v>
      </c>
      <c r="S357" s="44">
        <f t="shared" ref="S357:S375" si="996">M357/F357</f>
        <v>1.321001197</v>
      </c>
      <c r="T357" s="43">
        <f>F357/14.415</f>
        <v>265.0424558</v>
      </c>
      <c r="U357" s="43">
        <f t="shared" ref="U357:U375" si="997">T357/E357</f>
        <v>13.25212279</v>
      </c>
      <c r="V357" s="40">
        <f t="shared" ref="V357:V375" si="998">M357/E357</f>
        <v>252.35</v>
      </c>
      <c r="X357" s="22">
        <v>4.0</v>
      </c>
      <c r="Y357" s="22" t="s">
        <v>27</v>
      </c>
      <c r="Z357" s="22">
        <f t="shared" ref="Z357:AK357" si="988">SUM(D370)</f>
        <v>30</v>
      </c>
      <c r="AA357" s="23">
        <f t="shared" si="988"/>
        <v>29</v>
      </c>
      <c r="AB357" s="24">
        <f t="shared" si="988"/>
        <v>5245.925</v>
      </c>
      <c r="AC357" s="23">
        <f t="shared" si="988"/>
        <v>2443</v>
      </c>
      <c r="AD357" s="23">
        <f t="shared" si="988"/>
        <v>0</v>
      </c>
      <c r="AE357" s="23">
        <f t="shared" si="988"/>
        <v>2443</v>
      </c>
      <c r="AF357" s="23">
        <f t="shared" si="988"/>
        <v>2860</v>
      </c>
      <c r="AG357" s="23">
        <f t="shared" si="988"/>
        <v>0</v>
      </c>
      <c r="AH357" s="23">
        <f t="shared" si="988"/>
        <v>2860</v>
      </c>
      <c r="AI357" s="23">
        <f t="shared" si="988"/>
        <v>5303</v>
      </c>
      <c r="AJ357" s="25">
        <f t="shared" si="988"/>
        <v>180.8939655</v>
      </c>
      <c r="AK357" s="22">
        <f t="shared" si="988"/>
        <v>8101</v>
      </c>
      <c r="AL357" s="26">
        <f t="shared" si="980"/>
        <v>0.6546105419</v>
      </c>
      <c r="AM357" s="27">
        <f>SUM(Q370)</f>
        <v>1.5</v>
      </c>
      <c r="AN357" s="26">
        <f t="shared" si="982"/>
        <v>0.6739199156</v>
      </c>
      <c r="AO357" s="28">
        <f t="shared" si="983"/>
        <v>1.010879873</v>
      </c>
      <c r="AP357" s="27">
        <f t="shared" ref="AP357:AQ357" si="989">SUM(T370)</f>
        <v>262.4931198</v>
      </c>
      <c r="AQ357" s="27">
        <f t="shared" si="989"/>
        <v>9.051486891</v>
      </c>
      <c r="AR357" s="23">
        <f t="shared" si="985"/>
        <v>182.862069</v>
      </c>
    </row>
    <row r="358" ht="15.75" customHeight="1">
      <c r="A358" s="21"/>
      <c r="B358" s="38">
        <v>2.0</v>
      </c>
      <c r="C358" s="38" t="s">
        <v>28</v>
      </c>
      <c r="D358" s="39">
        <v>33.0</v>
      </c>
      <c r="E358" s="40">
        <f>IFERROR(__xludf.DUMMYFUNCTION("COUNT(IMPORTRANGE(""https://docs.google.com/spreadsheets/d/1tJCeYclgeJZ4Dc78t_SkhVjtacKW-5-VGim8X1rzUzk/edit"",""14!d2:d34""))"),33.0)</f>
        <v>33</v>
      </c>
      <c r="F358" s="41">
        <f>IFERROR(__xludf.DUMMYFUNCTION("SUM(IMPORTRANGE(""https://docs.google.com/spreadsheets/d/1tJCeYclgeJZ4Dc78t_SkhVjtacKW-5-VGim8X1rzUzk/edit"",""14!Q2:Q34""))"),6450.413999999999)</f>
        <v>6450.414</v>
      </c>
      <c r="G358" s="40">
        <f>IFERROR(__xludf.DUMMYFUNCTION("IMPORTRANGE(""https://docs.google.com/spreadsheets/d/1tJCeYclgeJZ4Dc78t_SkhVjtacKW-5-VGim8X1rzUzk/edit"",""14!e41"")"),2930.0)</f>
        <v>2930</v>
      </c>
      <c r="H358" s="40">
        <f>IFERROR(__xludf.DUMMYFUNCTION("IMPORTRANGE(""https://docs.google.com/spreadsheets/d/1tJCeYclgeJZ4Dc78t_SkhVjtacKW-5-VGim8X1rzUzk/edit"",""14!e42"")"),141.0)</f>
        <v>141</v>
      </c>
      <c r="I358" s="40">
        <f t="shared" si="990"/>
        <v>3071</v>
      </c>
      <c r="J358" s="40">
        <f>IFERROR(__xludf.DUMMYFUNCTION("IMPORTRANGE(""https://docs.google.com/spreadsheets/d/1tJCeYclgeJZ4Dc78t_SkhVjtacKW-5-VGim8X1rzUzk/edit"",""14!e45"")"),2728.0)</f>
        <v>2728</v>
      </c>
      <c r="K358" s="40">
        <f>IFERROR(__xludf.DUMMYFUNCTION("IMPORTRANGE(""https://docs.google.com/spreadsheets/d/1tJCeYclgeJZ4Dc78t_SkhVjtacKW-5-VGim8X1rzUzk/edit"",""14!e46"")"),216.0)</f>
        <v>216</v>
      </c>
      <c r="L358" s="40">
        <f t="shared" si="991"/>
        <v>2944</v>
      </c>
      <c r="M358" s="40">
        <f t="shared" si="992"/>
        <v>6015</v>
      </c>
      <c r="N358" s="41">
        <f t="shared" si="993"/>
        <v>195.4670909</v>
      </c>
      <c r="O358" s="38">
        <v>7315.0</v>
      </c>
      <c r="P358" s="42">
        <f t="shared" si="994"/>
        <v>0.8222829802</v>
      </c>
      <c r="Q358" s="43">
        <v>1.5</v>
      </c>
      <c r="R358" s="42">
        <f t="shared" si="995"/>
        <v>0.6216655241</v>
      </c>
      <c r="S358" s="44">
        <f t="shared" si="996"/>
        <v>0.9324982862</v>
      </c>
      <c r="T358" s="43">
        <f>F358/30.897</f>
        <v>208.7715312</v>
      </c>
      <c r="U358" s="43">
        <f t="shared" si="997"/>
        <v>6.326410037</v>
      </c>
      <c r="V358" s="40">
        <f t="shared" si="998"/>
        <v>182.2727273</v>
      </c>
      <c r="X358" s="22">
        <v>5.0</v>
      </c>
      <c r="Y358" s="22" t="s">
        <v>29</v>
      </c>
      <c r="Z358" s="22">
        <f t="shared" ref="Z358:AI358" si="999">SUM(D373)</f>
        <v>30</v>
      </c>
      <c r="AA358" s="23">
        <f t="shared" si="999"/>
        <v>30</v>
      </c>
      <c r="AB358" s="24">
        <f t="shared" si="999"/>
        <v>5975.911</v>
      </c>
      <c r="AC358" s="23">
        <f t="shared" si="999"/>
        <v>2834</v>
      </c>
      <c r="AD358" s="23">
        <f t="shared" si="999"/>
        <v>0</v>
      </c>
      <c r="AE358" s="23">
        <f t="shared" si="999"/>
        <v>2834</v>
      </c>
      <c r="AF358" s="23">
        <f t="shared" si="999"/>
        <v>3921</v>
      </c>
      <c r="AG358" s="23">
        <f t="shared" si="999"/>
        <v>0</v>
      </c>
      <c r="AH358" s="23">
        <f t="shared" si="999"/>
        <v>3921</v>
      </c>
      <c r="AI358" s="23">
        <f t="shared" si="999"/>
        <v>6755</v>
      </c>
      <c r="AJ358" s="25">
        <f t="shared" ref="AJ358:AJ360" si="1002">AB358/AA358</f>
        <v>199.1970333</v>
      </c>
      <c r="AK358" s="22">
        <f t="shared" ref="AK358:AK359" si="1003">SUM(O373)</f>
        <v>9201</v>
      </c>
      <c r="AL358" s="26">
        <f t="shared" si="980"/>
        <v>0.7341593305</v>
      </c>
      <c r="AM358" s="27">
        <f t="shared" ref="AM358:AM359" si="1004">SUM(Q373)</f>
        <v>1.5</v>
      </c>
      <c r="AN358" s="26">
        <f t="shared" si="982"/>
        <v>0.7535810579</v>
      </c>
      <c r="AO358" s="28">
        <f t="shared" si="983"/>
        <v>1.130371587</v>
      </c>
      <c r="AP358" s="27">
        <f t="shared" ref="AP358:AQ358" si="1000">SUM(T373)</f>
        <v>225.5826885</v>
      </c>
      <c r="AQ358" s="27">
        <f t="shared" si="1000"/>
        <v>7.519422949</v>
      </c>
      <c r="AR358" s="23">
        <f t="shared" si="985"/>
        <v>225.1666667</v>
      </c>
    </row>
    <row r="359" ht="15.75" customHeight="1">
      <c r="A359" s="21"/>
      <c r="B359" s="38">
        <v>3.0</v>
      </c>
      <c r="C359" s="38" t="s">
        <v>30</v>
      </c>
      <c r="D359" s="39">
        <v>60.0</v>
      </c>
      <c r="E359" s="40">
        <f>IFERROR(__xludf.DUMMYFUNCTION("COUNT(IMPORTRANGE(""https://docs.google.com/spreadsheets/d/130gLEONC13J8KkQ6dk06x3bLRy_jCrAw2hXatQf2W50/edit"",""14!d2:d61""))"),59.0)</f>
        <v>59</v>
      </c>
      <c r="F359" s="45">
        <f>IFERROR(__xludf.DUMMYFUNCTION("SUM(IMPORTRANGE(""https://docs.google.com/spreadsheets/d/130gLEONC13J8KkQ6dk06x3bLRy_jCrAw2hXatQf2W50/edit"",""14!Q2:Q61""))"),12048.420999999988)</f>
        <v>12048.421</v>
      </c>
      <c r="G359" s="40">
        <f>IFERROR(__xludf.DUMMYFUNCTION("IMPORTRANGE(""https://docs.google.com/spreadsheets/d/130gLEONC13J8KkQ6dk06x3bLRy_jCrAw2hXatQf2W50/edit"",""14!e68"")"),3687.0)</f>
        <v>3687</v>
      </c>
      <c r="H359" s="40">
        <f>IFERROR(__xludf.DUMMYFUNCTION("IMPORTRANGE(""https://docs.google.com/spreadsheets/d/130gLEONC13J8KkQ6dk06x3bLRy_jCrAw2hXatQf2W50/edit"",""14!e69"")"),0.0)</f>
        <v>0</v>
      </c>
      <c r="I359" s="40">
        <f t="shared" si="990"/>
        <v>3687</v>
      </c>
      <c r="J359" s="40">
        <f>IFERROR(__xludf.DUMMYFUNCTION("IMPORTRANGE(""https://docs.google.com/spreadsheets/d/130gLEONC13J8KkQ6dk06x3bLRy_jCrAw2hXatQf2W50/edit"",""14!e72"")"),5207.0)</f>
        <v>5207</v>
      </c>
      <c r="K359" s="40">
        <f>IFERROR(__xludf.DUMMYFUNCTION("IMPORTRANGE(""https://docs.google.com/spreadsheets/d/130gLEONC13J8KkQ6dk06x3bLRy_jCrAw2hXatQf2W50/edit"",""14!e73"")"),0.0)</f>
        <v>0</v>
      </c>
      <c r="L359" s="40">
        <f t="shared" si="991"/>
        <v>5207</v>
      </c>
      <c r="M359" s="40">
        <f t="shared" si="992"/>
        <v>8894</v>
      </c>
      <c r="N359" s="41">
        <f t="shared" si="993"/>
        <v>204.2105254</v>
      </c>
      <c r="O359" s="38">
        <v>11164.0</v>
      </c>
      <c r="P359" s="42">
        <f t="shared" si="994"/>
        <v>0.796667861</v>
      </c>
      <c r="Q359" s="43">
        <v>1.5</v>
      </c>
      <c r="R359" s="42">
        <f t="shared" si="995"/>
        <v>0.4921253443</v>
      </c>
      <c r="S359" s="44">
        <f t="shared" si="996"/>
        <v>0.7381880165</v>
      </c>
      <c r="T359" s="43">
        <f>F359/29.603</f>
        <v>407</v>
      </c>
      <c r="U359" s="43">
        <f t="shared" si="997"/>
        <v>6.898305085</v>
      </c>
      <c r="V359" s="40">
        <f t="shared" si="998"/>
        <v>150.7457627</v>
      </c>
      <c r="X359" s="22">
        <v>6.0</v>
      </c>
      <c r="Y359" s="22" t="s">
        <v>31</v>
      </c>
      <c r="Z359" s="22">
        <f t="shared" ref="Z359:AI359" si="1001">SUM(D374)</f>
        <v>15</v>
      </c>
      <c r="AA359" s="23">
        <f t="shared" si="1001"/>
        <v>14</v>
      </c>
      <c r="AB359" s="25">
        <f t="shared" si="1001"/>
        <v>2651.365</v>
      </c>
      <c r="AC359" s="23">
        <f t="shared" si="1001"/>
        <v>832</v>
      </c>
      <c r="AD359" s="23">
        <f t="shared" si="1001"/>
        <v>8</v>
      </c>
      <c r="AE359" s="23">
        <f t="shared" si="1001"/>
        <v>840</v>
      </c>
      <c r="AF359" s="23">
        <f t="shared" si="1001"/>
        <v>1144</v>
      </c>
      <c r="AG359" s="23">
        <f t="shared" si="1001"/>
        <v>0</v>
      </c>
      <c r="AH359" s="23">
        <f t="shared" si="1001"/>
        <v>1144</v>
      </c>
      <c r="AI359" s="23">
        <f t="shared" si="1001"/>
        <v>1984</v>
      </c>
      <c r="AJ359" s="25">
        <f t="shared" si="1002"/>
        <v>189.3832143</v>
      </c>
      <c r="AK359" s="22">
        <f t="shared" si="1003"/>
        <v>2717</v>
      </c>
      <c r="AL359" s="26">
        <f t="shared" si="980"/>
        <v>0.7302171513</v>
      </c>
      <c r="AM359" s="27">
        <f t="shared" si="1004"/>
        <v>1.5</v>
      </c>
      <c r="AN359" s="26">
        <f t="shared" si="982"/>
        <v>0.4988625356</v>
      </c>
      <c r="AO359" s="28">
        <f t="shared" si="983"/>
        <v>0.7482938034</v>
      </c>
      <c r="AP359" s="27">
        <f t="shared" ref="AP359:AQ359" si="1005">SUM(T374)</f>
        <v>61</v>
      </c>
      <c r="AQ359" s="27">
        <f t="shared" si="1005"/>
        <v>4.357142857</v>
      </c>
      <c r="AR359" s="23">
        <f t="shared" si="985"/>
        <v>141.7142857</v>
      </c>
    </row>
    <row r="360" ht="15.75" customHeight="1">
      <c r="A360" s="21"/>
      <c r="B360" s="38">
        <v>4.0</v>
      </c>
      <c r="C360" s="38" t="s">
        <v>32</v>
      </c>
      <c r="D360" s="39">
        <v>42.0</v>
      </c>
      <c r="E360" s="40">
        <f>IFERROR(__xludf.DUMMYFUNCTION("COUNT(IMPORTRANGE(""https://docs.google.com/spreadsheets/d/1gYHli7FuKQLm2Q-5LMR0UtkD-gRRA_p8s-phLPLDLgc/edit"",""14!d2:d43""))"),42.0)</f>
        <v>42</v>
      </c>
      <c r="F360" s="45">
        <f>IFERROR(__xludf.DUMMYFUNCTION("SUM(IMPORTRANGE(""https://docs.google.com/spreadsheets/d/1gYHli7FuKQLm2Q-5LMR0UtkD-gRRA_p8s-phLPLDLgc/edit"",""14!Q2:Q43""))"),8290.839999999991)</f>
        <v>8290.84</v>
      </c>
      <c r="G360" s="38">
        <f>IFERROR(__xludf.DUMMYFUNCTION("IMPORTRANGE(""https://docs.google.com/spreadsheets/d/1gYHli7FuKQLm2Q-5LMR0UtkD-gRRA_p8s-phLPLDLgc/edit"",""14!e50"")"),4600.0)</f>
        <v>4600</v>
      </c>
      <c r="H360" s="38">
        <f>IFERROR(__xludf.DUMMYFUNCTION("IMPORTRANGE(""https://docs.google.com/spreadsheets/d/1gYHli7FuKQLm2Q-5LMR0UtkD-gRRA_p8s-phLPLDLgc/edit"",""14!e51"")"),131.0)</f>
        <v>131</v>
      </c>
      <c r="I360" s="40">
        <f t="shared" si="990"/>
        <v>4731</v>
      </c>
      <c r="J360" s="38">
        <f>IFERROR(__xludf.DUMMYFUNCTION("IMPORTRANGE(""https://docs.google.com/spreadsheets/d/1gYHli7FuKQLm2Q-5LMR0UtkD-gRRA_p8s-phLPLDLgc/edit"",""14!e54"")"),5177.0)</f>
        <v>5177</v>
      </c>
      <c r="K360" s="38">
        <f>IFERROR(__xludf.DUMMYFUNCTION("IMPORTRANGE(""https://docs.google.com/spreadsheets/d/1gYHli7FuKQLm2Q-5LMR0UtkD-gRRA_p8s-phLPLDLgc/edit"",""14!e55"")"),143.0)</f>
        <v>143</v>
      </c>
      <c r="L360" s="40">
        <f t="shared" si="991"/>
        <v>5320</v>
      </c>
      <c r="M360" s="40">
        <f t="shared" si="992"/>
        <v>10051</v>
      </c>
      <c r="N360" s="41">
        <f t="shared" si="993"/>
        <v>197.4009524</v>
      </c>
      <c r="O360" s="38">
        <v>13817.0</v>
      </c>
      <c r="P360" s="42">
        <f t="shared" si="994"/>
        <v>0.727437215</v>
      </c>
      <c r="Q360" s="43">
        <v>1.5</v>
      </c>
      <c r="R360" s="42">
        <f t="shared" si="995"/>
        <v>0.8082011795</v>
      </c>
      <c r="S360" s="44">
        <f t="shared" si="996"/>
        <v>1.212301769</v>
      </c>
      <c r="T360" s="43">
        <f>F360/25.089</f>
        <v>330.4571725</v>
      </c>
      <c r="U360" s="43">
        <f t="shared" si="997"/>
        <v>7.868027916</v>
      </c>
      <c r="V360" s="40">
        <f t="shared" si="998"/>
        <v>239.3095238</v>
      </c>
      <c r="X360" s="46" t="s">
        <v>33</v>
      </c>
      <c r="Y360" s="46">
        <v>6.0</v>
      </c>
      <c r="Z360" s="46">
        <f t="shared" ref="Z360:AI360" si="1006">SUM(Z354:Z359)</f>
        <v>186</v>
      </c>
      <c r="AA360" s="47">
        <f t="shared" si="1006"/>
        <v>182</v>
      </c>
      <c r="AB360" s="48">
        <f t="shared" si="1006"/>
        <v>34763.536</v>
      </c>
      <c r="AC360" s="47">
        <f t="shared" si="1006"/>
        <v>12488</v>
      </c>
      <c r="AD360" s="47">
        <f t="shared" si="1006"/>
        <v>325</v>
      </c>
      <c r="AE360" s="47">
        <f t="shared" si="1006"/>
        <v>12813</v>
      </c>
      <c r="AF360" s="47">
        <f t="shared" si="1006"/>
        <v>15584</v>
      </c>
      <c r="AG360" s="47">
        <f t="shared" si="1006"/>
        <v>481</v>
      </c>
      <c r="AH360" s="47">
        <f t="shared" si="1006"/>
        <v>16065</v>
      </c>
      <c r="AI360" s="47">
        <f t="shared" si="1006"/>
        <v>28878</v>
      </c>
      <c r="AJ360" s="49">
        <f t="shared" si="1002"/>
        <v>191.0084396</v>
      </c>
      <c r="AK360" s="46">
        <f>SUM(AK354:AK359)</f>
        <v>35074</v>
      </c>
      <c r="AL360" s="50">
        <f t="shared" si="980"/>
        <v>0.8233449279</v>
      </c>
      <c r="AM360" s="51">
        <v>1.5</v>
      </c>
      <c r="AN360" s="50">
        <f t="shared" si="982"/>
        <v>0.55379867</v>
      </c>
      <c r="AO360" s="52">
        <f t="shared" si="983"/>
        <v>0.8306980049</v>
      </c>
      <c r="AP360" s="51">
        <f>SUM(AP354:AP359)</f>
        <v>1303.131817</v>
      </c>
      <c r="AQ360" s="51">
        <f>AP360/AA360</f>
        <v>7.160064929</v>
      </c>
      <c r="AR360" s="47">
        <f t="shared" si="985"/>
        <v>158.6703297</v>
      </c>
    </row>
    <row r="361" ht="15.75" customHeight="1">
      <c r="A361" s="21"/>
      <c r="B361" s="38">
        <v>5.0</v>
      </c>
      <c r="C361" s="38" t="s">
        <v>34</v>
      </c>
      <c r="D361" s="39">
        <v>40.0</v>
      </c>
      <c r="E361" s="40">
        <f>IFERROR(__xludf.DUMMYFUNCTION("COUNT(IMPORTRANGE(""https://docs.google.com/spreadsheets/d/1ptS0qWBCKWkc9h2aXWT_YgMhN7yIv5WgAHRbF8l9Zpo/edit"",""14!d2:d41""))"),40.0)</f>
        <v>40</v>
      </c>
      <c r="F361" s="45">
        <f>IFERROR(__xludf.DUMMYFUNCTION("SUM(IMPORTRANGE(""https://docs.google.com/spreadsheets/d/1ptS0qWBCKWkc9h2aXWT_YgMhN7yIv5WgAHRbF8l9Zpo/edit"",""14!Q2:Q41""))"),7922.283000000002)</f>
        <v>7922.283</v>
      </c>
      <c r="G361" s="40">
        <f>IFERROR(__xludf.DUMMYFUNCTION("IMPORTRANGE(""https://docs.google.com/spreadsheets/d/1ptS0qWBCKWkc9h2aXWT_YgMhN7yIv5WgAHRbF8l9Zpo/edit"",""14!e48"")"),2997.0)</f>
        <v>2997</v>
      </c>
      <c r="H361" s="40">
        <f>IFERROR(__xludf.DUMMYFUNCTION("IMPORTRANGE(""https://docs.google.com/spreadsheets/d/1ptS0qWBCKWkc9h2aXWT_YgMhN7yIv5WgAHRbF8l9Zpo/edit"",""14!e49"")"),0.0)</f>
        <v>0</v>
      </c>
      <c r="I361" s="40">
        <f t="shared" si="990"/>
        <v>2997</v>
      </c>
      <c r="J361" s="40">
        <f>IFERROR(__xludf.DUMMYFUNCTION("IMPORTRANGE(""https://docs.google.com/spreadsheets/d/1ptS0qWBCKWkc9h2aXWT_YgMhN7yIv5WgAHRbF8l9Zpo/edit"",""14!e52"")"),2905.0)</f>
        <v>2905</v>
      </c>
      <c r="K361" s="40">
        <f>IFERROR(__xludf.DUMMYFUNCTION("IMPORTRANGE(""https://docs.google.com/spreadsheets/d/1ptS0qWBCKWkc9h2aXWT_YgMhN7yIv5WgAHRbF8l9Zpo/edit"",""14!e53"")"),0.0)</f>
        <v>0</v>
      </c>
      <c r="L361" s="40">
        <f t="shared" si="991"/>
        <v>2905</v>
      </c>
      <c r="M361" s="40">
        <f t="shared" si="992"/>
        <v>5902</v>
      </c>
      <c r="N361" s="41">
        <f t="shared" si="993"/>
        <v>198.057075</v>
      </c>
      <c r="O361" s="38">
        <v>9354.0</v>
      </c>
      <c r="P361" s="42">
        <f t="shared" si="994"/>
        <v>0.6309600171</v>
      </c>
      <c r="Q361" s="43">
        <v>1.5</v>
      </c>
      <c r="R361" s="42">
        <f t="shared" si="995"/>
        <v>0.4966581813</v>
      </c>
      <c r="S361" s="44">
        <f t="shared" si="996"/>
        <v>0.744987272</v>
      </c>
      <c r="T361" s="43">
        <f>F361/30.713</f>
        <v>257.9455931</v>
      </c>
      <c r="U361" s="43">
        <f t="shared" si="997"/>
        <v>6.448639827</v>
      </c>
      <c r="V361" s="40">
        <f t="shared" si="998"/>
        <v>147.55</v>
      </c>
      <c r="X361" s="53" t="s">
        <v>35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6"/>
    </row>
    <row r="362" ht="15.75" customHeight="1">
      <c r="A362" s="21"/>
      <c r="B362" s="38">
        <v>6.0</v>
      </c>
      <c r="C362" s="38" t="s">
        <v>23</v>
      </c>
      <c r="D362" s="39">
        <v>35.0</v>
      </c>
      <c r="E362" s="40">
        <f>IFERROR(__xludf.DUMMYFUNCTION("COUNT(IMPORTRANGE(""https://docs.google.com/spreadsheets/d/1829CoYW82aTBBUgqkPnJa94KlBWI-DowAnP4ENQCmaQ/edit"",""14!d2:d36""))"),34.0)</f>
        <v>34</v>
      </c>
      <c r="F362" s="45">
        <f>IFERROR(__xludf.DUMMYFUNCTION("SUM(IMPORTRANGE(""https://docs.google.com/spreadsheets/d/1829CoYW82aTBBUgqkPnJa94KlBWI-DowAnP4ENQCmaQ/edit"",""14!Q2:Q36""))"),6766.663999999995)</f>
        <v>6766.664</v>
      </c>
      <c r="G362" s="40">
        <f>IFERROR(__xludf.DUMMYFUNCTION("IMPORTRANGE(""https://docs.google.com/spreadsheets/d/1829CoYW82aTBBUgqkPnJa94KlBWI-DowAnP4ENQCmaQ/edit"",""14!e43"")"),3051.0)</f>
        <v>3051</v>
      </c>
      <c r="H362" s="40">
        <f>IFERROR(__xludf.DUMMYFUNCTION("IMPORTRANGE(""https://docs.google.com/spreadsheets/d/1829CoYW82aTBBUgqkPnJa94KlBWI-DowAnP4ENQCmaQ/edit"",""14!e44"")"),0.0)</f>
        <v>0</v>
      </c>
      <c r="I362" s="40">
        <f t="shared" si="990"/>
        <v>3051</v>
      </c>
      <c r="J362" s="40">
        <f>IFERROR(__xludf.DUMMYFUNCTION("IMPORTRANGE(""https://docs.google.com/spreadsheets/d/1829CoYW82aTBBUgqkPnJa94KlBWI-DowAnP4ENQCmaQ/edit"",""14!e47"")"),3017.0)</f>
        <v>3017</v>
      </c>
      <c r="K362" s="40">
        <f>IFERROR(__xludf.DUMMYFUNCTION("IMPORTRANGE(""https://docs.google.com/spreadsheets/d/1829CoYW82aTBBUgqkPnJa94KlBWI-DowAnP4ENQCmaQ/edit"",""14!e48"")"),0.0)</f>
        <v>0</v>
      </c>
      <c r="L362" s="40">
        <f t="shared" si="991"/>
        <v>3017</v>
      </c>
      <c r="M362" s="40">
        <f t="shared" si="992"/>
        <v>6068</v>
      </c>
      <c r="N362" s="41">
        <f t="shared" si="993"/>
        <v>199.0195294</v>
      </c>
      <c r="O362" s="38">
        <v>6853.0</v>
      </c>
      <c r="P362" s="42">
        <f t="shared" si="994"/>
        <v>0.885451627</v>
      </c>
      <c r="Q362" s="43">
        <v>1.5</v>
      </c>
      <c r="R362" s="42">
        <f t="shared" si="995"/>
        <v>0.5978327479</v>
      </c>
      <c r="S362" s="44">
        <f t="shared" si="996"/>
        <v>0.8967491219</v>
      </c>
      <c r="T362" s="43">
        <f>F362/33.74</f>
        <v>200.5531713</v>
      </c>
      <c r="U362" s="43">
        <f t="shared" si="997"/>
        <v>5.898622686</v>
      </c>
      <c r="V362" s="40">
        <f t="shared" si="998"/>
        <v>178.4705882</v>
      </c>
      <c r="X362" s="14" t="s">
        <v>2</v>
      </c>
      <c r="Y362" s="14" t="s">
        <v>3</v>
      </c>
      <c r="Z362" s="14" t="s">
        <v>4</v>
      </c>
      <c r="AA362" s="14" t="s">
        <v>5</v>
      </c>
      <c r="AB362" s="15" t="s">
        <v>6</v>
      </c>
      <c r="AC362" s="14" t="s">
        <v>7</v>
      </c>
      <c r="AD362" s="14" t="s">
        <v>8</v>
      </c>
      <c r="AE362" s="14" t="s">
        <v>9</v>
      </c>
      <c r="AF362" s="14" t="s">
        <v>10</v>
      </c>
      <c r="AG362" s="14" t="s">
        <v>11</v>
      </c>
      <c r="AH362" s="14" t="s">
        <v>12</v>
      </c>
      <c r="AI362" s="14" t="s">
        <v>13</v>
      </c>
      <c r="AJ362" s="15" t="s">
        <v>14</v>
      </c>
      <c r="AK362" s="14" t="s">
        <v>15</v>
      </c>
      <c r="AL362" s="14" t="s">
        <v>16</v>
      </c>
      <c r="AM362" s="16" t="s">
        <v>17</v>
      </c>
      <c r="AN362" s="17" t="s">
        <v>18</v>
      </c>
      <c r="AO362" s="18" t="s">
        <v>19</v>
      </c>
      <c r="AP362" s="19" t="s">
        <v>20</v>
      </c>
      <c r="AQ362" s="19" t="s">
        <v>21</v>
      </c>
      <c r="AR362" s="20" t="s">
        <v>22</v>
      </c>
    </row>
    <row r="363" ht="15.75" customHeight="1">
      <c r="A363" s="21"/>
      <c r="B363" s="38">
        <v>7.0</v>
      </c>
      <c r="C363" s="38" t="s">
        <v>24</v>
      </c>
      <c r="D363" s="39">
        <v>44.0</v>
      </c>
      <c r="E363" s="54">
        <f>IFERROR(__xludf.DUMMYFUNCTION("COUNT(IMPORTRANGE(""https://docs.google.com/spreadsheets/d/1E2x4oDZxEIsuC5nl-5Z0--MoN8b1dt9SbpRcCfNP84Q/edit"",""14!d2:d45""))"),43.0)</f>
        <v>43</v>
      </c>
      <c r="F363" s="55">
        <f>IFERROR(__xludf.DUMMYFUNCTION("SUM(IMPORTRANGE(""https://docs.google.com/spreadsheets/d/1E2x4oDZxEIsuC5nl-5Z0--MoN8b1dt9SbpRcCfNP84Q/edit"",""14!Q2:Q45""))"),8391.034999999993)</f>
        <v>8391.035</v>
      </c>
      <c r="G363" s="54">
        <f>IFERROR(__xludf.DUMMYFUNCTION("IMPORTRANGE(""https://docs.google.com/spreadsheets/d/1E2x4oDZxEIsuC5nl-5Z0--MoN8b1dt9SbpRcCfNP84Q/edit"",""14!e53"")"),1131.0)</f>
        <v>1131</v>
      </c>
      <c r="H363" s="54">
        <f>IFERROR(__xludf.DUMMYFUNCTION("IMPORTRANGE(""https://docs.google.com/spreadsheets/d/1E2x4oDZxEIsuC5nl-5Z0--MoN8b1dt9SbpRcCfNP84Q/edit"",""14!e54"")"),0.0)</f>
        <v>0</v>
      </c>
      <c r="I363" s="54">
        <f t="shared" si="990"/>
        <v>1131</v>
      </c>
      <c r="J363" s="54">
        <f>IFERROR(__xludf.DUMMYFUNCTION("IMPORTRANGE(""https://docs.google.com/spreadsheets/d/1E2x4oDZxEIsuC5nl-5Z0--MoN8b1dt9SbpRcCfNP84Q/edit"",""14!e57"")"),1293.0)</f>
        <v>1293</v>
      </c>
      <c r="K363" s="54">
        <f>IFERROR(__xludf.DUMMYFUNCTION("IMPORTRANGE(""https://docs.google.com/spreadsheets/d/1E2x4oDZxEIsuC5nl-5Z0--MoN8b1dt9SbpRcCfNP84Q/edit"",""14!e58"")"),0.0)</f>
        <v>0</v>
      </c>
      <c r="L363" s="40">
        <f t="shared" si="991"/>
        <v>1293</v>
      </c>
      <c r="M363" s="40">
        <f t="shared" si="992"/>
        <v>2424</v>
      </c>
      <c r="N363" s="41">
        <f t="shared" si="993"/>
        <v>195.1403488</v>
      </c>
      <c r="O363" s="38">
        <v>1580.0</v>
      </c>
      <c r="P363" s="56">
        <f t="shared" si="994"/>
        <v>1.534177215</v>
      </c>
      <c r="Q363" s="43">
        <v>1.5</v>
      </c>
      <c r="R363" s="42">
        <f t="shared" si="995"/>
        <v>0.1925864926</v>
      </c>
      <c r="S363" s="44">
        <f t="shared" si="996"/>
        <v>0.2888797389</v>
      </c>
      <c r="T363" s="43">
        <f>F363/26.805</f>
        <v>313.0399179</v>
      </c>
      <c r="U363" s="43">
        <f t="shared" si="997"/>
        <v>7.279998091</v>
      </c>
      <c r="V363" s="40">
        <f t="shared" si="998"/>
        <v>56.37209302</v>
      </c>
      <c r="X363" s="22">
        <v>1.0</v>
      </c>
      <c r="Y363" s="22" t="s">
        <v>28</v>
      </c>
      <c r="Z363" s="22">
        <f t="shared" ref="Z363:AI363" si="1007">SUM(D358)</f>
        <v>33</v>
      </c>
      <c r="AA363" s="23">
        <f t="shared" si="1007"/>
        <v>33</v>
      </c>
      <c r="AB363" s="25">
        <f t="shared" si="1007"/>
        <v>6450.414</v>
      </c>
      <c r="AC363" s="23">
        <f t="shared" si="1007"/>
        <v>2930</v>
      </c>
      <c r="AD363" s="23">
        <f t="shared" si="1007"/>
        <v>141</v>
      </c>
      <c r="AE363" s="23">
        <f t="shared" si="1007"/>
        <v>3071</v>
      </c>
      <c r="AF363" s="23">
        <f t="shared" si="1007"/>
        <v>2728</v>
      </c>
      <c r="AG363" s="23">
        <f t="shared" si="1007"/>
        <v>216</v>
      </c>
      <c r="AH363" s="23">
        <f t="shared" si="1007"/>
        <v>2944</v>
      </c>
      <c r="AI363" s="23">
        <f t="shared" si="1007"/>
        <v>6015</v>
      </c>
      <c r="AJ363" s="25">
        <f t="shared" ref="AJ363:AJ369" si="1010">AB363/AA363</f>
        <v>195.4670909</v>
      </c>
      <c r="AK363" s="22">
        <f t="shared" ref="AK363:AK364" si="1011">SUM(O358)</f>
        <v>7315</v>
      </c>
      <c r="AL363" s="26">
        <f t="shared" ref="AL363:AL369" si="1012">AI363/AK363</f>
        <v>0.8222829802</v>
      </c>
      <c r="AM363" s="27">
        <f t="shared" ref="AM363:AM364" si="1013">SUM(Q358)</f>
        <v>1.5</v>
      </c>
      <c r="AN363" s="26">
        <f t="shared" ref="AN363:AN369" si="1014">AO363/AM363</f>
        <v>0.6216655241</v>
      </c>
      <c r="AO363" s="28">
        <f t="shared" ref="AO363:AO369" si="1015">AI363/AB363</f>
        <v>0.9324982862</v>
      </c>
      <c r="AP363" s="27">
        <f t="shared" ref="AP363:AQ363" si="1008">SUM(T358)</f>
        <v>208.7715312</v>
      </c>
      <c r="AQ363" s="27">
        <f t="shared" si="1008"/>
        <v>6.326410037</v>
      </c>
      <c r="AR363" s="23">
        <f t="shared" ref="AR363:AR369" si="1017">AI363/AA363</f>
        <v>182.2727273</v>
      </c>
    </row>
    <row r="364" ht="15.75" customHeight="1">
      <c r="A364" s="21"/>
      <c r="B364" s="38">
        <v>8.0</v>
      </c>
      <c r="C364" s="38" t="s">
        <v>25</v>
      </c>
      <c r="D364" s="57">
        <v>32.0</v>
      </c>
      <c r="E364" s="40">
        <f>IFERROR(__xludf.DUMMYFUNCTION("COUNT(IMPORTRANGE(""https://docs.google.com/spreadsheets/d/1KbRFOEYB0B44J_NSh1MwYQ1sLDlZXUHI-wuMLcZDn5k/edit"",""14!d2:D33""))"),32.0)</f>
        <v>32</v>
      </c>
      <c r="F364" s="45">
        <f>IFERROR(__xludf.DUMMYFUNCTION("SUM(IMPORTRANGE(""https://docs.google.com/spreadsheets/d/1KbRFOEYB0B44J_NSh1MwYQ1sLDlZXUHI-wuMLcZDn5k/edit"",""14!Q2:Q33""))"),5732.636)</f>
        <v>5732.636</v>
      </c>
      <c r="G364" s="40">
        <f>IFERROR(__xludf.DUMMYFUNCTION("IMPORTRANGE(""https://docs.google.com/spreadsheets/d/1KbRFOEYB0B44J_NSh1MwYQ1sLDlZXUHI-wuMLcZDn5k/edit"",""14!e40"")"),2197.0)</f>
        <v>2197</v>
      </c>
      <c r="H364" s="40">
        <f>IFERROR(__xludf.DUMMYFUNCTION("IMPORTRANGE(""https://docs.google.com/spreadsheets/d/1KbRFOEYB0B44J_NSh1MwYQ1sLDlZXUHI-wuMLcZDn5k/edit"",""14!e41"")"),317.0)</f>
        <v>317</v>
      </c>
      <c r="I364" s="40">
        <f t="shared" si="990"/>
        <v>2514</v>
      </c>
      <c r="J364" s="40">
        <f>IFERROR(__xludf.DUMMYFUNCTION("IMPORTRANGE(""https://docs.google.com/spreadsheets/d/1KbRFOEYB0B44J_NSh1MwYQ1sLDlZXUHI-wuMLcZDn5k/edit"",""14!e44"")"),3349.0)</f>
        <v>3349</v>
      </c>
      <c r="K364" s="40">
        <f>IFERROR(__xludf.DUMMYFUNCTION("IMPORTRANGE(""https://docs.google.com/spreadsheets/d/1KbRFOEYB0B44J_NSh1MwYQ1sLDlZXUHI-wuMLcZDn5k/edit"",""14!e45"")"),481.0)</f>
        <v>481</v>
      </c>
      <c r="L364" s="40">
        <f>J364+K364</f>
        <v>3830</v>
      </c>
      <c r="M364" s="40">
        <f t="shared" si="992"/>
        <v>6344</v>
      </c>
      <c r="N364" s="41">
        <f t="shared" si="993"/>
        <v>179.144875</v>
      </c>
      <c r="O364" s="38">
        <v>6622.0</v>
      </c>
      <c r="P364" s="42">
        <f t="shared" si="994"/>
        <v>0.9580187255</v>
      </c>
      <c r="Q364" s="43">
        <v>1.5</v>
      </c>
      <c r="R364" s="42">
        <f t="shared" si="995"/>
        <v>0.7377641513</v>
      </c>
      <c r="S364" s="44">
        <f t="shared" si="996"/>
        <v>1.106646227</v>
      </c>
      <c r="T364" s="43">
        <f>F364/23.84</f>
        <v>240.4629195</v>
      </c>
      <c r="U364" s="43">
        <f t="shared" si="997"/>
        <v>7.514466233</v>
      </c>
      <c r="V364" s="40">
        <f t="shared" si="998"/>
        <v>198.25</v>
      </c>
      <c r="X364" s="31">
        <v>2.0</v>
      </c>
      <c r="Y364" s="31" t="s">
        <v>30</v>
      </c>
      <c r="Z364" s="31">
        <f t="shared" ref="Z364:AI364" si="1009">SUM(D359)</f>
        <v>60</v>
      </c>
      <c r="AA364" s="32">
        <f t="shared" si="1009"/>
        <v>59</v>
      </c>
      <c r="AB364" s="33">
        <f t="shared" si="1009"/>
        <v>12048.421</v>
      </c>
      <c r="AC364" s="32">
        <f t="shared" si="1009"/>
        <v>3687</v>
      </c>
      <c r="AD364" s="32">
        <f t="shared" si="1009"/>
        <v>0</v>
      </c>
      <c r="AE364" s="32">
        <f t="shared" si="1009"/>
        <v>3687</v>
      </c>
      <c r="AF364" s="32">
        <f t="shared" si="1009"/>
        <v>5207</v>
      </c>
      <c r="AG364" s="32">
        <f t="shared" si="1009"/>
        <v>0</v>
      </c>
      <c r="AH364" s="32">
        <f t="shared" si="1009"/>
        <v>5207</v>
      </c>
      <c r="AI364" s="32">
        <f t="shared" si="1009"/>
        <v>8894</v>
      </c>
      <c r="AJ364" s="34">
        <f t="shared" si="1010"/>
        <v>204.2105254</v>
      </c>
      <c r="AK364" s="31">
        <f t="shared" si="1011"/>
        <v>11164</v>
      </c>
      <c r="AL364" s="35">
        <f t="shared" si="1012"/>
        <v>0.796667861</v>
      </c>
      <c r="AM364" s="36">
        <f t="shared" si="1013"/>
        <v>1.5</v>
      </c>
      <c r="AN364" s="35">
        <f t="shared" si="1014"/>
        <v>0.4921253443</v>
      </c>
      <c r="AO364" s="37">
        <f t="shared" si="1015"/>
        <v>0.7381880165</v>
      </c>
      <c r="AP364" s="36">
        <f t="shared" ref="AP364:AQ364" si="1016">SUM(T359)</f>
        <v>407</v>
      </c>
      <c r="AQ364" s="36">
        <f t="shared" si="1016"/>
        <v>6.898305085</v>
      </c>
      <c r="AR364" s="32">
        <f t="shared" si="1017"/>
        <v>150.7457627</v>
      </c>
    </row>
    <row r="365" ht="15.75" customHeight="1">
      <c r="A365" s="21"/>
      <c r="B365" s="38">
        <v>9.0</v>
      </c>
      <c r="C365" s="38" t="s">
        <v>36</v>
      </c>
      <c r="D365" s="58">
        <v>29.0</v>
      </c>
      <c r="E365" s="40">
        <f>IFERROR(__xludf.DUMMYFUNCTION("COUNT(IMPORTRANGE(""https://docs.google.com/spreadsheets/d/1VqqqRGfmmkT0JC4ILJva2p8P11jjV0FX-TSKAaqOigw/edit"",""14!d2:d31""))"),29.0)</f>
        <v>29</v>
      </c>
      <c r="F365" s="45">
        <f>IFERROR(__xludf.DUMMYFUNCTION("SUM(IMPORTRANGE(""https://docs.google.com/spreadsheets/d/1VqqqRGfmmkT0JC4ILJva2p8P11jjV0FX-TSKAaqOigw/edit"",""14!Q2:Q31""))"),5698.452999999998)</f>
        <v>5698.453</v>
      </c>
      <c r="G365" s="40">
        <f>IFERROR(__xludf.DUMMYFUNCTION("IMPORTRANGE(""https://docs.google.com/spreadsheets/d/1VqqqRGfmmkT0JC4ILJva2p8P11jjV0FX-TSKAaqOigw/edit"",""14!e38"")"),1625.0)</f>
        <v>1625</v>
      </c>
      <c r="H365" s="40">
        <f>IFERROR(__xludf.DUMMYFUNCTION("IMPORTRANGE(""https://docs.google.com/spreadsheets/d/1VqqqRGfmmkT0JC4ILJva2p8P11jjV0FX-TSKAaqOigw/edit"",""14!e39"")"),0.0)</f>
        <v>0</v>
      </c>
      <c r="I365" s="40">
        <f t="shared" si="990"/>
        <v>1625</v>
      </c>
      <c r="J365" s="40">
        <f>IFERROR(__xludf.DUMMYFUNCTION("IMPORTRANGE(""https://docs.google.com/spreadsheets/d/1VqqqRGfmmkT0JC4ILJva2p8P11jjV0FX-TSKAaqOigw/edit"",""14!e42"")"),2234.0)</f>
        <v>2234</v>
      </c>
      <c r="K365" s="40">
        <f>IFERROR(__xludf.DUMMYFUNCTION("IMPORTRANGE(""https://docs.google.com/spreadsheets/d/1VqqqRGfmmkT0JC4ILJva2p8P11jjV0FX-TSKAaqOigw/edit"",""14!e43"")"),0.0)</f>
        <v>0</v>
      </c>
      <c r="L365" s="40">
        <f t="shared" ref="L365:L374" si="1020">SUM(J365:K365)</f>
        <v>2234</v>
      </c>
      <c r="M365" s="40">
        <f t="shared" si="992"/>
        <v>3859</v>
      </c>
      <c r="N365" s="41">
        <f t="shared" si="993"/>
        <v>196.4983793</v>
      </c>
      <c r="O365" s="38">
        <v>4796.0</v>
      </c>
      <c r="P365" s="42">
        <f t="shared" si="994"/>
        <v>0.8046288574</v>
      </c>
      <c r="Q365" s="43">
        <v>1.5</v>
      </c>
      <c r="R365" s="42">
        <f t="shared" si="995"/>
        <v>0.4514675591</v>
      </c>
      <c r="S365" s="44">
        <f t="shared" si="996"/>
        <v>0.6772013387</v>
      </c>
      <c r="T365" s="43">
        <f>F365/37.414</f>
        <v>152.3080398</v>
      </c>
      <c r="U365" s="43">
        <f t="shared" si="997"/>
        <v>5.252001371</v>
      </c>
      <c r="V365" s="40">
        <f t="shared" si="998"/>
        <v>133.0689655</v>
      </c>
      <c r="X365" s="22">
        <v>3.0</v>
      </c>
      <c r="Y365" s="22" t="s">
        <v>34</v>
      </c>
      <c r="Z365" s="22">
        <f t="shared" ref="Z365:AI365" si="1018">SUM(D361)</f>
        <v>40</v>
      </c>
      <c r="AA365" s="23">
        <f t="shared" si="1018"/>
        <v>40</v>
      </c>
      <c r="AB365" s="24">
        <f t="shared" si="1018"/>
        <v>7922.283</v>
      </c>
      <c r="AC365" s="23">
        <f t="shared" si="1018"/>
        <v>2997</v>
      </c>
      <c r="AD365" s="23">
        <f t="shared" si="1018"/>
        <v>0</v>
      </c>
      <c r="AE365" s="23">
        <f t="shared" si="1018"/>
        <v>2997</v>
      </c>
      <c r="AF365" s="23">
        <f t="shared" si="1018"/>
        <v>2905</v>
      </c>
      <c r="AG365" s="23">
        <f t="shared" si="1018"/>
        <v>0</v>
      </c>
      <c r="AH365" s="23">
        <f t="shared" si="1018"/>
        <v>2905</v>
      </c>
      <c r="AI365" s="23">
        <f t="shared" si="1018"/>
        <v>5902</v>
      </c>
      <c r="AJ365" s="25">
        <f t="shared" si="1010"/>
        <v>198.057075</v>
      </c>
      <c r="AK365" s="22">
        <f>SUM(O361)</f>
        <v>9354</v>
      </c>
      <c r="AL365" s="26">
        <f t="shared" si="1012"/>
        <v>0.6309600171</v>
      </c>
      <c r="AM365" s="27">
        <f>SUM(Q361)</f>
        <v>1.5</v>
      </c>
      <c r="AN365" s="26">
        <f t="shared" si="1014"/>
        <v>0.4966581813</v>
      </c>
      <c r="AO365" s="28">
        <f t="shared" si="1015"/>
        <v>0.744987272</v>
      </c>
      <c r="AP365" s="27">
        <f t="shared" ref="AP365:AQ365" si="1019">SUM(T361)</f>
        <v>257.9455931</v>
      </c>
      <c r="AQ365" s="27">
        <f t="shared" si="1019"/>
        <v>6.448639827</v>
      </c>
      <c r="AR365" s="23">
        <f t="shared" si="1017"/>
        <v>147.55</v>
      </c>
    </row>
    <row r="366" ht="15.75" customHeight="1">
      <c r="A366" s="21"/>
      <c r="B366" s="38">
        <v>10.0</v>
      </c>
      <c r="C366" s="38" t="s">
        <v>37</v>
      </c>
      <c r="D366" s="39">
        <v>30.0</v>
      </c>
      <c r="E366" s="40">
        <f>IFERROR(__xludf.DUMMYFUNCTION("COUNT(IMPORTRANGE(""https://docs.google.com/spreadsheets/d/1IYeRjQd_D6MRqoBKNaky3aSEUloYCJc5XDnPAbdyetk/edit"",""14!d2:d31""))"),29.0)</f>
        <v>29</v>
      </c>
      <c r="F366" s="45">
        <f>IFERROR(__xludf.DUMMYFUNCTION("SUM(IMPORTRANGE(""https://docs.google.com/spreadsheets/d/1IYeRjQd_D6MRqoBKNaky3aSEUloYCJc5XDnPAbdyetk/edit"",""14!Q2:Q31""))"),5798.705999999999)</f>
        <v>5798.706</v>
      </c>
      <c r="G366" s="40">
        <f>IFERROR(__xludf.DUMMYFUNCTION("(IMPORTRANGE(""https://docs.google.com/spreadsheets/d/1IYeRjQd_D6MRqoBKNaky3aSEUloYCJc5XDnPAbdyetk/edit"",""14!e38""))"),2012.0)</f>
        <v>2012</v>
      </c>
      <c r="H366" s="40">
        <f>IFERROR(__xludf.DUMMYFUNCTION("(IMPORTRANGE(""https://docs.google.com/spreadsheets/d/1IYeRjQd_D6MRqoBKNaky3aSEUloYCJc5XDnPAbdyetk/edit"",""14!e39""))"),0.0)</f>
        <v>0</v>
      </c>
      <c r="I366" s="40">
        <f t="shared" si="990"/>
        <v>2012</v>
      </c>
      <c r="J366" s="40">
        <f>IFERROR(__xludf.DUMMYFUNCTION("(IMPORTRANGE(""https://docs.google.com/spreadsheets/d/1IYeRjQd_D6MRqoBKNaky3aSEUloYCJc5XDnPAbdyetk/edit"",""14!e42""))"),2900.0)</f>
        <v>2900</v>
      </c>
      <c r="K366" s="40">
        <f>IFERROR(__xludf.DUMMYFUNCTION("(IMPORTRANGE(""https://docs.google.com/spreadsheets/d/1IYeRjQd_D6MRqoBKNaky3aSEUloYCJc5XDnPAbdyetk/edit"",""14!e43""))"),0.0)</f>
        <v>0</v>
      </c>
      <c r="L366" s="40">
        <f t="shared" si="1020"/>
        <v>2900</v>
      </c>
      <c r="M366" s="40">
        <f t="shared" si="992"/>
        <v>4912</v>
      </c>
      <c r="N366" s="41">
        <f t="shared" si="993"/>
        <v>199.9553793</v>
      </c>
      <c r="O366" s="38">
        <v>5887.0</v>
      </c>
      <c r="P366" s="42">
        <f t="shared" si="994"/>
        <v>0.8343808391</v>
      </c>
      <c r="Q366" s="43">
        <v>1.5</v>
      </c>
      <c r="R366" s="42">
        <f t="shared" si="995"/>
        <v>0.564723693</v>
      </c>
      <c r="S366" s="44">
        <f t="shared" si="996"/>
        <v>0.8470855394</v>
      </c>
      <c r="T366" s="43">
        <f>F366/24.792</f>
        <v>233.8942401</v>
      </c>
      <c r="U366" s="43">
        <f t="shared" si="997"/>
        <v>8.065318623</v>
      </c>
      <c r="V366" s="40">
        <f t="shared" si="998"/>
        <v>169.3793103</v>
      </c>
      <c r="X366" s="31">
        <v>4.0</v>
      </c>
      <c r="Y366" s="31" t="s">
        <v>38</v>
      </c>
      <c r="Z366" s="31">
        <f t="shared" ref="Z366:AI366" si="1021">SUM(D369)</f>
        <v>30</v>
      </c>
      <c r="AA366" s="32">
        <f t="shared" si="1021"/>
        <v>30</v>
      </c>
      <c r="AB366" s="33">
        <f t="shared" si="1021"/>
        <v>6490.303</v>
      </c>
      <c r="AC366" s="32">
        <f t="shared" si="1021"/>
        <v>2306</v>
      </c>
      <c r="AD366" s="32">
        <f t="shared" si="1021"/>
        <v>116</v>
      </c>
      <c r="AE366" s="32">
        <f t="shared" si="1021"/>
        <v>2422</v>
      </c>
      <c r="AF366" s="32">
        <f t="shared" si="1021"/>
        <v>3049</v>
      </c>
      <c r="AG366" s="32">
        <f t="shared" si="1021"/>
        <v>0</v>
      </c>
      <c r="AH366" s="32">
        <f t="shared" si="1021"/>
        <v>3049</v>
      </c>
      <c r="AI366" s="32">
        <f t="shared" si="1021"/>
        <v>5471</v>
      </c>
      <c r="AJ366" s="34">
        <f t="shared" si="1010"/>
        <v>216.3434333</v>
      </c>
      <c r="AK366" s="31">
        <v>7324.0</v>
      </c>
      <c r="AL366" s="35">
        <f t="shared" si="1012"/>
        <v>0.746996177</v>
      </c>
      <c r="AM366" s="36">
        <f>SUM(Q369)</f>
        <v>1.5</v>
      </c>
      <c r="AN366" s="35">
        <f t="shared" si="1014"/>
        <v>0.5619665728</v>
      </c>
      <c r="AO366" s="37">
        <f t="shared" si="1015"/>
        <v>0.8429498592</v>
      </c>
      <c r="AP366" s="36">
        <f t="shared" ref="AP366:AQ366" si="1022">SUM(T369)</f>
        <v>157.5125106</v>
      </c>
      <c r="AQ366" s="36">
        <f t="shared" si="1022"/>
        <v>5.250417021</v>
      </c>
      <c r="AR366" s="32">
        <f t="shared" si="1017"/>
        <v>182.3666667</v>
      </c>
    </row>
    <row r="367" ht="15.75" customHeight="1">
      <c r="A367" s="21"/>
      <c r="B367" s="38">
        <v>12.0</v>
      </c>
      <c r="C367" s="38" t="s">
        <v>39</v>
      </c>
      <c r="D367" s="39">
        <v>28.0</v>
      </c>
      <c r="E367" s="40">
        <f>IFERROR(__xludf.DUMMYFUNCTION("COUNT(IMPORTRANGE(""https://docs.google.com/spreadsheets/d/1TAY2D35yAzyl8a_p5CuZehQvmatfj0b0Q8ICl8GtJBY/edit"",""14!d2:d29""))"),28.0)</f>
        <v>28</v>
      </c>
      <c r="F367" s="45">
        <f>IFERROR(__xludf.DUMMYFUNCTION("SUM(IMPORTRANGE(""https://docs.google.com/spreadsheets/d/1TAY2D35yAzyl8a_p5CuZehQvmatfj0b0Q8ICl8GtJBY/edit"",""14!Q2:Q29""))"),4996.513999999999)</f>
        <v>4996.514</v>
      </c>
      <c r="G367" s="40">
        <f>IFERROR(__xludf.DUMMYFUNCTION("IMPORTRANGE(""https://docs.google.com/spreadsheets/d/1TAY2D35yAzyl8a_p5CuZehQvmatfj0b0Q8ICl8GtJBY/edit"",""14!e36"")"),1151.0)</f>
        <v>1151</v>
      </c>
      <c r="H367" s="40">
        <f>IFERROR(__xludf.DUMMYFUNCTION("(IMPORTRANGE(""https://docs.google.com/spreadsheets/d/1TAY2D35yAzyl8a_p5CuZehQvmatfj0b0Q8ICl8GtJBY/edit"",""14!e37""))"),0.0)</f>
        <v>0</v>
      </c>
      <c r="I367" s="40">
        <f t="shared" si="990"/>
        <v>1151</v>
      </c>
      <c r="J367" s="40">
        <f>IFERROR(__xludf.DUMMYFUNCTION("IMPORTRANGE(""https://docs.google.com/spreadsheets/d/1TAY2D35yAzyl8a_p5CuZehQvmatfj0b0Q8ICl8GtJBY/edit"",""14!e40"")"),1768.0)</f>
        <v>1768</v>
      </c>
      <c r="K367" s="40">
        <f>IFERROR(__xludf.DUMMYFUNCTION("IMPORTRANGE(""https://docs.google.com/spreadsheets/d/1TAY2D35yAzyl8a_p5CuZehQvmatfj0b0Q8ICl8GtJBY/edit"",""14!e41"")"),125.0)</f>
        <v>125</v>
      </c>
      <c r="L367" s="40">
        <f t="shared" si="1020"/>
        <v>1893</v>
      </c>
      <c r="M367" s="40">
        <f t="shared" si="992"/>
        <v>3044</v>
      </c>
      <c r="N367" s="41">
        <f t="shared" si="993"/>
        <v>178.4469286</v>
      </c>
      <c r="O367" s="38">
        <v>3569.0</v>
      </c>
      <c r="P367" s="42">
        <f t="shared" si="994"/>
        <v>0.852899972</v>
      </c>
      <c r="Q367" s="43">
        <v>1.5</v>
      </c>
      <c r="R367" s="42">
        <f t="shared" si="995"/>
        <v>0.4061498343</v>
      </c>
      <c r="S367" s="44">
        <f t="shared" si="996"/>
        <v>0.6092247515</v>
      </c>
      <c r="T367" s="43">
        <f>F367/21.463</f>
        <v>232.7966268</v>
      </c>
      <c r="U367" s="43">
        <f t="shared" si="997"/>
        <v>8.314165241</v>
      </c>
      <c r="V367" s="40">
        <f t="shared" si="998"/>
        <v>108.7142857</v>
      </c>
      <c r="X367" s="31">
        <v>5.0</v>
      </c>
      <c r="Y367" s="31" t="s">
        <v>40</v>
      </c>
      <c r="Z367" s="31">
        <f t="shared" ref="Z367:AI367" si="1023">SUM(D371)</f>
        <v>30</v>
      </c>
      <c r="AA367" s="32">
        <f t="shared" si="1023"/>
        <v>30</v>
      </c>
      <c r="AB367" s="33">
        <f t="shared" si="1023"/>
        <v>5958.142</v>
      </c>
      <c r="AC367" s="32">
        <f t="shared" si="1023"/>
        <v>3605</v>
      </c>
      <c r="AD367" s="32">
        <f t="shared" si="1023"/>
        <v>0</v>
      </c>
      <c r="AE367" s="32">
        <f t="shared" si="1023"/>
        <v>3605</v>
      </c>
      <c r="AF367" s="32">
        <f t="shared" si="1023"/>
        <v>3965</v>
      </c>
      <c r="AG367" s="32">
        <f t="shared" si="1023"/>
        <v>0</v>
      </c>
      <c r="AH367" s="32">
        <f t="shared" si="1023"/>
        <v>3965</v>
      </c>
      <c r="AI367" s="32">
        <f t="shared" si="1023"/>
        <v>7570</v>
      </c>
      <c r="AJ367" s="34">
        <f t="shared" si="1010"/>
        <v>198.6047333</v>
      </c>
      <c r="AK367" s="31">
        <f t="shared" ref="AK367:AK368" si="1026">SUM(O371)</f>
        <v>8239</v>
      </c>
      <c r="AL367" s="35">
        <f t="shared" si="1012"/>
        <v>0.9188008253</v>
      </c>
      <c r="AM367" s="36">
        <f t="shared" ref="AM367:AM368" si="1027">SUM(Q371)</f>
        <v>1.5</v>
      </c>
      <c r="AN367" s="35">
        <f t="shared" si="1014"/>
        <v>0.8470202064</v>
      </c>
      <c r="AO367" s="37">
        <f t="shared" si="1015"/>
        <v>1.27053031</v>
      </c>
      <c r="AP367" s="36">
        <f t="shared" ref="AP367:AQ367" si="1024">SUM(T371)</f>
        <v>209.4765672</v>
      </c>
      <c r="AQ367" s="36">
        <f t="shared" si="1024"/>
        <v>6.982552239</v>
      </c>
      <c r="AR367" s="32">
        <f t="shared" si="1017"/>
        <v>252.3333333</v>
      </c>
    </row>
    <row r="368" ht="15.75" customHeight="1">
      <c r="A368" s="21"/>
      <c r="B368" s="38">
        <v>12.0</v>
      </c>
      <c r="C368" s="38" t="s">
        <v>41</v>
      </c>
      <c r="D368" s="39">
        <v>24.0</v>
      </c>
      <c r="E368" s="40">
        <f>IFERROR(__xludf.DUMMYFUNCTION("COUNT(IMPORTRANGE(""https://docs.google.com/spreadsheets/d/1VAsUtLQHi7oV9NsI9EIHPnO1bcPJHeRgSbMoxSvPBME/edit"",""14!d2:d25""))"),24.0)</f>
        <v>24</v>
      </c>
      <c r="F368" s="45">
        <f>IFERROR(__xludf.DUMMYFUNCTION("SUM(IMPORTRANGE(""https://docs.google.com/spreadsheets/d/1VAsUtLQHi7oV9NsI9EIHPnO1bcPJHeRgSbMoxSvPBME/edit"",""14!Q2:Q25""))"),4628.5520000000015)</f>
        <v>4628.552</v>
      </c>
      <c r="G368" s="40">
        <f>IFERROR(__xludf.DUMMYFUNCTION("IMPORTRANGE(""https://docs.google.com/spreadsheets/d/1VAsUtLQHi7oV9NsI9EIHPnO1bcPJHeRgSbMoxSvPBME/edit"",""14!e32"")"),1224.0)</f>
        <v>1224</v>
      </c>
      <c r="H368" s="40">
        <f>IFERROR(__xludf.DUMMYFUNCTION("IMPORTRANGE(""https://docs.google.com/spreadsheets/d/1VAsUtLQHi7oV9NsI9EIHPnO1bcPJHeRgSbMoxSvPBME/edit"",""14!e33"")"),0.0)</f>
        <v>0</v>
      </c>
      <c r="I368" s="40">
        <f t="shared" si="990"/>
        <v>1224</v>
      </c>
      <c r="J368" s="40">
        <f>IFERROR(__xludf.DUMMYFUNCTION("IMPORTRANGE(""https://docs.google.com/spreadsheets/d/1VAsUtLQHi7oV9NsI9EIHPnO1bcPJHeRgSbMoxSvPBME/edit"",""14!e36"")"),1871.0)</f>
        <v>1871</v>
      </c>
      <c r="K368" s="40">
        <f>IFERROR(__xludf.DUMMYFUNCTION("IMPORTRANGE(""https://docs.google.com/spreadsheets/d/1VAsUtLQHi7oV9NsI9EIHPnO1bcPJHeRgSbMoxSvPBME/edit"",""14!e37"")"),0.0)</f>
        <v>0</v>
      </c>
      <c r="L368" s="40">
        <f t="shared" si="1020"/>
        <v>1871</v>
      </c>
      <c r="M368" s="40">
        <f t="shared" si="992"/>
        <v>3095</v>
      </c>
      <c r="N368" s="41">
        <f t="shared" si="993"/>
        <v>192.8563333</v>
      </c>
      <c r="O368" s="38">
        <v>3801.0</v>
      </c>
      <c r="P368" s="42">
        <f t="shared" si="994"/>
        <v>0.8142594054</v>
      </c>
      <c r="Q368" s="43">
        <v>1.5</v>
      </c>
      <c r="R368" s="42">
        <f t="shared" si="995"/>
        <v>0.4457837642</v>
      </c>
      <c r="S368" s="44">
        <f t="shared" si="996"/>
        <v>0.6686756463</v>
      </c>
      <c r="T368" s="43">
        <f>F368/29.628</f>
        <v>156.2222222</v>
      </c>
      <c r="U368" s="43">
        <f t="shared" si="997"/>
        <v>6.509259259</v>
      </c>
      <c r="V368" s="40">
        <f t="shared" si="998"/>
        <v>128.9583333</v>
      </c>
      <c r="X368" s="22">
        <v>6.0</v>
      </c>
      <c r="Y368" s="22" t="s">
        <v>42</v>
      </c>
      <c r="Z368" s="22">
        <f t="shared" ref="Z368:AI368" si="1025">SUM(D372)</f>
        <v>33</v>
      </c>
      <c r="AA368" s="23">
        <f t="shared" si="1025"/>
        <v>33</v>
      </c>
      <c r="AB368" s="24">
        <f t="shared" si="1025"/>
        <v>6143.349</v>
      </c>
      <c r="AC368" s="23">
        <f t="shared" si="1025"/>
        <v>3307</v>
      </c>
      <c r="AD368" s="23">
        <f t="shared" si="1025"/>
        <v>0</v>
      </c>
      <c r="AE368" s="23">
        <f t="shared" si="1025"/>
        <v>3307</v>
      </c>
      <c r="AF368" s="23">
        <f t="shared" si="1025"/>
        <v>4200</v>
      </c>
      <c r="AG368" s="23">
        <f t="shared" si="1025"/>
        <v>0</v>
      </c>
      <c r="AH368" s="23">
        <f t="shared" si="1025"/>
        <v>4200</v>
      </c>
      <c r="AI368" s="23">
        <f t="shared" si="1025"/>
        <v>7507</v>
      </c>
      <c r="AJ368" s="25">
        <f t="shared" si="1010"/>
        <v>186.1620909</v>
      </c>
      <c r="AK368" s="22">
        <f t="shared" si="1026"/>
        <v>9877</v>
      </c>
      <c r="AL368" s="26">
        <f t="shared" si="1012"/>
        <v>0.7600485978</v>
      </c>
      <c r="AM368" s="27">
        <f t="shared" si="1027"/>
        <v>1.5</v>
      </c>
      <c r="AN368" s="26">
        <f t="shared" si="1014"/>
        <v>0.8146479496</v>
      </c>
      <c r="AO368" s="28">
        <f t="shared" si="1015"/>
        <v>1.221971924</v>
      </c>
      <c r="AP368" s="27">
        <f t="shared" ref="AP368:AQ368" si="1028">SUM(T372)</f>
        <v>234.8823934</v>
      </c>
      <c r="AQ368" s="27">
        <f t="shared" si="1028"/>
        <v>7.117648286</v>
      </c>
      <c r="AR368" s="23">
        <f t="shared" si="1017"/>
        <v>227.4848485</v>
      </c>
    </row>
    <row r="369" ht="15.75" customHeight="1">
      <c r="A369" s="21"/>
      <c r="B369" s="38">
        <v>13.0</v>
      </c>
      <c r="C369" s="38" t="s">
        <v>43</v>
      </c>
      <c r="D369" s="39">
        <v>30.0</v>
      </c>
      <c r="E369" s="40">
        <f>IFERROR(__xludf.DUMMYFUNCTION("COUNT(IMPORTRANGE(""https://docs.google.com/spreadsheets/d/1p9Y_DGk7-TpRBFth-ljZceOIGCjQ0ylUeUq6xqnsZ-Q/edit"",""14!d2:d31""))"),30.0)</f>
        <v>30</v>
      </c>
      <c r="F369" s="45">
        <f>IFERROR(__xludf.DUMMYFUNCTION("SUM(IMPORTRANGE(""https://docs.google.com/spreadsheets/d/1p9Y_DGk7-TpRBFth-ljZceOIGCjQ0ylUeUq6xqnsZ-Q/edit"",""14!Q2:Q31""))"),6490.302999999998)</f>
        <v>6490.303</v>
      </c>
      <c r="G369" s="40">
        <f>IFERROR(__xludf.DUMMYFUNCTION("IMPORTRANGE(""https://docs.google.com/spreadsheets/d/1p9Y_DGk7-TpRBFth-ljZceOIGCjQ0ylUeUq6xqnsZ-Q/edit"",""14!e38"")"),2306.0)</f>
        <v>2306</v>
      </c>
      <c r="H369" s="40">
        <f>IFERROR(__xludf.DUMMYFUNCTION("IMPORTRANGE(""https://docs.google.com/spreadsheets/d/1p9Y_DGk7-TpRBFth-ljZceOIGCjQ0ylUeUq6xqnsZ-Q/edit"",""14!e39"")"),116.0)</f>
        <v>116</v>
      </c>
      <c r="I369" s="40">
        <f t="shared" si="990"/>
        <v>2422</v>
      </c>
      <c r="J369" s="40">
        <f>IFERROR(__xludf.DUMMYFUNCTION("IMPORTRANGE(""https://docs.google.com/spreadsheets/d/1p9Y_DGk7-TpRBFth-ljZceOIGCjQ0ylUeUq6xqnsZ-Q/edit"",""14!e42"")"),3049.0)</f>
        <v>3049</v>
      </c>
      <c r="K369" s="40">
        <f>IFERROR(__xludf.DUMMYFUNCTION("IMPORTRANGE(""https://docs.google.com/spreadsheets/d/1p9Y_DGk7-TpRBFth-ljZceOIGCjQ0ylUeUq6xqnsZ-Q/edit"",""14!e43"")"),0.0)</f>
        <v>0</v>
      </c>
      <c r="L369" s="40">
        <f t="shared" si="1020"/>
        <v>3049</v>
      </c>
      <c r="M369" s="40">
        <f t="shared" si="992"/>
        <v>5471</v>
      </c>
      <c r="N369" s="41">
        <f t="shared" si="993"/>
        <v>216.3434333</v>
      </c>
      <c r="O369" s="38">
        <v>8345.0</v>
      </c>
      <c r="P369" s="42">
        <f t="shared" si="994"/>
        <v>0.655602157</v>
      </c>
      <c r="Q369" s="43">
        <v>1.5</v>
      </c>
      <c r="R369" s="42">
        <f t="shared" si="995"/>
        <v>0.5619665728</v>
      </c>
      <c r="S369" s="44">
        <f t="shared" si="996"/>
        <v>0.8429498592</v>
      </c>
      <c r="T369" s="43">
        <f>F369/41.205</f>
        <v>157.5125106</v>
      </c>
      <c r="U369" s="43">
        <f t="shared" si="997"/>
        <v>5.250417021</v>
      </c>
      <c r="V369" s="40">
        <f t="shared" si="998"/>
        <v>182.3666667</v>
      </c>
      <c r="X369" s="46" t="s">
        <v>33</v>
      </c>
      <c r="Y369" s="46">
        <v>6.0</v>
      </c>
      <c r="Z369" s="46">
        <f t="shared" ref="Z369:AI369" si="1029">SUM(Z363:Z368)</f>
        <v>226</v>
      </c>
      <c r="AA369" s="47">
        <f t="shared" si="1029"/>
        <v>225</v>
      </c>
      <c r="AB369" s="49">
        <f t="shared" si="1029"/>
        <v>45012.912</v>
      </c>
      <c r="AC369" s="47">
        <f t="shared" si="1029"/>
        <v>18832</v>
      </c>
      <c r="AD369" s="47">
        <f t="shared" si="1029"/>
        <v>257</v>
      </c>
      <c r="AE369" s="47">
        <f t="shared" si="1029"/>
        <v>19089</v>
      </c>
      <c r="AF369" s="47">
        <f t="shared" si="1029"/>
        <v>22054</v>
      </c>
      <c r="AG369" s="47">
        <f t="shared" si="1029"/>
        <v>216</v>
      </c>
      <c r="AH369" s="47">
        <f t="shared" si="1029"/>
        <v>22270</v>
      </c>
      <c r="AI369" s="47">
        <f t="shared" si="1029"/>
        <v>41359</v>
      </c>
      <c r="AJ369" s="49">
        <f t="shared" si="1010"/>
        <v>200.0573867</v>
      </c>
      <c r="AK369" s="46">
        <f>SUM(AK363:AK368)</f>
        <v>53273</v>
      </c>
      <c r="AL369" s="50">
        <f t="shared" si="1012"/>
        <v>0.7763595067</v>
      </c>
      <c r="AM369" s="51">
        <v>1.5</v>
      </c>
      <c r="AN369" s="50">
        <f t="shared" si="1014"/>
        <v>0.6125501649</v>
      </c>
      <c r="AO369" s="52">
        <f t="shared" si="1015"/>
        <v>0.9188252473</v>
      </c>
      <c r="AP369" s="51">
        <f>SUM(AP363:AP368)</f>
        <v>1475.588595</v>
      </c>
      <c r="AQ369" s="51">
        <f>AP369/AA369</f>
        <v>6.558171536</v>
      </c>
      <c r="AR369" s="47">
        <f t="shared" si="1017"/>
        <v>183.8177778</v>
      </c>
    </row>
    <row r="370" ht="15.75" customHeight="1">
      <c r="A370" s="21"/>
      <c r="B370" s="38">
        <v>14.0</v>
      </c>
      <c r="C370" s="38" t="s">
        <v>27</v>
      </c>
      <c r="D370" s="39">
        <v>30.0</v>
      </c>
      <c r="E370" s="40">
        <f>IFERROR(__xludf.DUMMYFUNCTION("COUNT(IMPORTRANGE(""https://docs.google.com/spreadsheets/d/1zJUDEKztv_fercXA0LYNw155qdzS7TJGhWLhquaW5IY/edit"",""14!d2:d31""))"),29.0)</f>
        <v>29</v>
      </c>
      <c r="F370" s="45">
        <f>IFERROR(__xludf.DUMMYFUNCTION("SUM(IMPORTRANGE(""https://docs.google.com/spreadsheets/d/1zJUDEKztv_fercXA0LYNw155qdzS7TJGhWLhquaW5IY/edit"",""14!Q2:Q31""))"),5245.924999999999)</f>
        <v>5245.925</v>
      </c>
      <c r="G370" s="40">
        <f>IFERROR(__xludf.DUMMYFUNCTION("IMPORTRANGE(""https://docs.google.com/spreadsheets/d/1zJUDEKztv_fercXA0LYNw155qdzS7TJGhWLhquaW5IY/edit"",""14!e38"")"),2443.0)</f>
        <v>2443</v>
      </c>
      <c r="H370" s="40">
        <f>IFERROR(__xludf.DUMMYFUNCTION("IMPORTRANGE(""https://docs.google.com/spreadsheets/d/1zJUDEKztv_fercXA0LYNw155qdzS7TJGhWLhquaW5IY/edit"",""14!e39"")"),0.0)</f>
        <v>0</v>
      </c>
      <c r="I370" s="40">
        <f t="shared" si="990"/>
        <v>2443</v>
      </c>
      <c r="J370" s="40">
        <f>IFERROR(__xludf.DUMMYFUNCTION("IMPORTRANGE(""https://docs.google.com/spreadsheets/d/1zJUDEKztv_fercXA0LYNw155qdzS7TJGhWLhquaW5IY/edit"",""14!e42"")"),2860.0)</f>
        <v>2860</v>
      </c>
      <c r="K370" s="40">
        <f>IFERROR(__xludf.DUMMYFUNCTION("IMPORTRANGE(""https://docs.google.com/spreadsheets/d/1zJUDEKztv_fercXA0LYNw155qdzS7TJGhWLhquaW5IY/edit"",""14!e43"")"),0.0)</f>
        <v>0</v>
      </c>
      <c r="L370" s="40">
        <f t="shared" si="1020"/>
        <v>2860</v>
      </c>
      <c r="M370" s="40">
        <f t="shared" si="992"/>
        <v>5303</v>
      </c>
      <c r="N370" s="41">
        <f t="shared" si="993"/>
        <v>180.8939655</v>
      </c>
      <c r="O370" s="38">
        <v>8101.0</v>
      </c>
      <c r="P370" s="42">
        <f t="shared" si="994"/>
        <v>0.6546105419</v>
      </c>
      <c r="Q370" s="43">
        <v>1.5</v>
      </c>
      <c r="R370" s="42">
        <f t="shared" si="995"/>
        <v>0.6739199156</v>
      </c>
      <c r="S370" s="44">
        <f t="shared" si="996"/>
        <v>1.010879873</v>
      </c>
      <c r="T370" s="43">
        <f>F370/19.985</f>
        <v>262.4931198</v>
      </c>
      <c r="U370" s="43">
        <f t="shared" si="997"/>
        <v>9.051486891</v>
      </c>
      <c r="V370" s="40">
        <f t="shared" si="998"/>
        <v>182.862069</v>
      </c>
      <c r="X370" s="59" t="s">
        <v>44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6"/>
    </row>
    <row r="371" ht="15.75" customHeight="1">
      <c r="A371" s="21"/>
      <c r="B371" s="38">
        <v>15.0</v>
      </c>
      <c r="C371" s="38" t="s">
        <v>40</v>
      </c>
      <c r="D371" s="39">
        <v>30.0</v>
      </c>
      <c r="E371" s="40">
        <f>IFERROR(__xludf.DUMMYFUNCTION("COUNT(IMPORTRANGE(""https://docs.google.com/spreadsheets/d/15GJA66Ucb-8RQ5vWVpq5HYaWoZZFX82SCeHChBujbrI/edit"",""14!d2:d31""))"),30.0)</f>
        <v>30</v>
      </c>
      <c r="F371" s="45">
        <f>IFERROR(__xludf.DUMMYFUNCTION("SUM(IMPORTRANGE(""https://docs.google.com/spreadsheets/d/15GJA66Ucb-8RQ5vWVpq5HYaWoZZFX82SCeHChBujbrI/edit"",""14!Q2:Q31""))"),5958.141999999998)</f>
        <v>5958.142</v>
      </c>
      <c r="G371" s="40">
        <f>IFERROR(__xludf.DUMMYFUNCTION("IMPORTRANGE(""https://docs.google.com/spreadsheets/d/15GJA66Ucb-8RQ5vWVpq5HYaWoZZFX82SCeHChBujbrI/edit"",""14!e38"")"),3605.0)</f>
        <v>3605</v>
      </c>
      <c r="H371" s="40">
        <f>IFERROR(__xludf.DUMMYFUNCTION("IMPORTRANGE(""https://docs.google.com/spreadsheets/d/15GJA66Ucb-8RQ5vWVpq5HYaWoZZFX82SCeHChBujbrI/edit"",""14!e39"")"),0.0)</f>
        <v>0</v>
      </c>
      <c r="I371" s="40">
        <f t="shared" si="990"/>
        <v>3605</v>
      </c>
      <c r="J371" s="40">
        <f>IFERROR(__xludf.DUMMYFUNCTION("IMPORTRANGE(""https://docs.google.com/spreadsheets/d/15GJA66Ucb-8RQ5vWVpq5HYaWoZZFX82SCeHChBujbrI/edit"",""14!e42"")"),3965.0)</f>
        <v>3965</v>
      </c>
      <c r="K371" s="40">
        <f>IFERROR(__xludf.DUMMYFUNCTION("IMPORTRANGE(""https://docs.google.com/spreadsheets/d/15GJA66Ucb-8RQ5vWVpq5HYaWoZZFX82SCeHChBujbrI/edit"",""14!e43"")"),0.0)</f>
        <v>0</v>
      </c>
      <c r="L371" s="40">
        <f t="shared" si="1020"/>
        <v>3965</v>
      </c>
      <c r="M371" s="40">
        <f t="shared" si="992"/>
        <v>7570</v>
      </c>
      <c r="N371" s="41">
        <f t="shared" si="993"/>
        <v>198.6047333</v>
      </c>
      <c r="O371" s="38">
        <v>8239.0</v>
      </c>
      <c r="P371" s="42">
        <f t="shared" si="994"/>
        <v>0.9188008253</v>
      </c>
      <c r="Q371" s="43">
        <v>1.5</v>
      </c>
      <c r="R371" s="42">
        <f t="shared" si="995"/>
        <v>0.8470202064</v>
      </c>
      <c r="S371" s="44">
        <f t="shared" si="996"/>
        <v>1.27053031</v>
      </c>
      <c r="T371" s="43">
        <f>F371/28.443</f>
        <v>209.4765672</v>
      </c>
      <c r="U371" s="43">
        <f t="shared" si="997"/>
        <v>6.982552239</v>
      </c>
      <c r="V371" s="40">
        <f t="shared" si="998"/>
        <v>252.3333333</v>
      </c>
      <c r="X371" s="14" t="s">
        <v>2</v>
      </c>
      <c r="Y371" s="14" t="s">
        <v>3</v>
      </c>
      <c r="Z371" s="14" t="s">
        <v>4</v>
      </c>
      <c r="AA371" s="14" t="s">
        <v>5</v>
      </c>
      <c r="AB371" s="15" t="s">
        <v>6</v>
      </c>
      <c r="AC371" s="14" t="s">
        <v>7</v>
      </c>
      <c r="AD371" s="14" t="s">
        <v>8</v>
      </c>
      <c r="AE371" s="14" t="s">
        <v>9</v>
      </c>
      <c r="AF371" s="14" t="s">
        <v>10</v>
      </c>
      <c r="AG371" s="14" t="s">
        <v>11</v>
      </c>
      <c r="AH371" s="14" t="s">
        <v>12</v>
      </c>
      <c r="AI371" s="14" t="s">
        <v>13</v>
      </c>
      <c r="AJ371" s="15" t="s">
        <v>14</v>
      </c>
      <c r="AK371" s="14" t="s">
        <v>15</v>
      </c>
      <c r="AL371" s="14" t="s">
        <v>16</v>
      </c>
      <c r="AM371" s="16" t="s">
        <v>17</v>
      </c>
      <c r="AN371" s="17" t="s">
        <v>18</v>
      </c>
      <c r="AO371" s="18" t="s">
        <v>19</v>
      </c>
      <c r="AP371" s="19" t="s">
        <v>20</v>
      </c>
      <c r="AQ371" s="19" t="s">
        <v>21</v>
      </c>
      <c r="AR371" s="20" t="s">
        <v>22</v>
      </c>
    </row>
    <row r="372" ht="15.75" customHeight="1">
      <c r="A372" s="21"/>
      <c r="B372" s="38">
        <v>16.0</v>
      </c>
      <c r="C372" s="38" t="s">
        <v>42</v>
      </c>
      <c r="D372" s="39">
        <v>33.0</v>
      </c>
      <c r="E372" s="40">
        <f>IFERROR(__xludf.DUMMYFUNCTION("COUNT(IMPORTRANGE(""https://docs.google.com/spreadsheets/d/14Tu_jFPEdrIQ6DHYu6vRvJKQsbXr-48NY1tKy4-8JKI/edit"",""14!d2:d34""))"),33.0)</f>
        <v>33</v>
      </c>
      <c r="F372" s="45">
        <f>IFERROR(__xludf.DUMMYFUNCTION("SUM(IMPORTRANGE(""https://docs.google.com/spreadsheets/d/14Tu_jFPEdrIQ6DHYu6vRvJKQsbXr-48NY1tKy4-8JKI/edit"",""14!Q2:Q34""))"),6143.349)</f>
        <v>6143.349</v>
      </c>
      <c r="G372" s="40">
        <f>IFERROR(__xludf.DUMMYFUNCTION("IMPORTRANGE(""https://docs.google.com/spreadsheets/d/14Tu_jFPEdrIQ6DHYu6vRvJKQsbXr-48NY1tKy4-8JKI/edit"",""14!e41"")"),3307.0)</f>
        <v>3307</v>
      </c>
      <c r="H372" s="40">
        <f>IFERROR(__xludf.DUMMYFUNCTION("IMPORTRANGE(""https://docs.google.com/spreadsheets/d/14Tu_jFPEdrIQ6DHYu6vRvJKQsbXr-48NY1tKy4-8JKI/edit"",""14!e42"")"),0.0)</f>
        <v>0</v>
      </c>
      <c r="I372" s="40">
        <f t="shared" si="990"/>
        <v>3307</v>
      </c>
      <c r="J372" s="40">
        <f>IFERROR(__xludf.DUMMYFUNCTION("IMPORTRANGE(""https://docs.google.com/spreadsheets/d/14Tu_jFPEdrIQ6DHYu6vRvJKQsbXr-48NY1tKy4-8JKI/edit"",""14!e45"")"),4200.0)</f>
        <v>4200</v>
      </c>
      <c r="K372" s="40">
        <f>IFERROR(__xludf.DUMMYFUNCTION("IMPORTRANGE(""https://docs.google.com/spreadsheets/d/14Tu_jFPEdrIQ6DHYu6vRvJKQsbXr-48NY1tKy4-8JKI/edit"",""14!e46"")"),0.0)</f>
        <v>0</v>
      </c>
      <c r="L372" s="40">
        <f t="shared" si="1020"/>
        <v>4200</v>
      </c>
      <c r="M372" s="40">
        <f t="shared" si="992"/>
        <v>7507</v>
      </c>
      <c r="N372" s="41">
        <f t="shared" si="993"/>
        <v>186.1620909</v>
      </c>
      <c r="O372" s="38">
        <v>9877.0</v>
      </c>
      <c r="P372" s="42">
        <f t="shared" si="994"/>
        <v>0.7600485978</v>
      </c>
      <c r="Q372" s="43">
        <v>1.5</v>
      </c>
      <c r="R372" s="42">
        <f t="shared" si="995"/>
        <v>0.8146479496</v>
      </c>
      <c r="S372" s="44">
        <f t="shared" si="996"/>
        <v>1.221971924</v>
      </c>
      <c r="T372" s="43">
        <f>F372/26.155</f>
        <v>234.8823934</v>
      </c>
      <c r="U372" s="43">
        <f t="shared" si="997"/>
        <v>7.117648286</v>
      </c>
      <c r="V372" s="40">
        <f t="shared" si="998"/>
        <v>227.4848485</v>
      </c>
      <c r="X372" s="31">
        <v>1.0</v>
      </c>
      <c r="Y372" s="31" t="s">
        <v>26</v>
      </c>
      <c r="Z372" s="31">
        <f t="shared" ref="Z372:AI372" si="1030">SUM(D357)</f>
        <v>20</v>
      </c>
      <c r="AA372" s="32">
        <f t="shared" si="1030"/>
        <v>20</v>
      </c>
      <c r="AB372" s="34">
        <f t="shared" si="1030"/>
        <v>3820.587</v>
      </c>
      <c r="AC372" s="32">
        <f t="shared" si="1030"/>
        <v>2440</v>
      </c>
      <c r="AD372" s="32">
        <f t="shared" si="1030"/>
        <v>70</v>
      </c>
      <c r="AE372" s="32">
        <f t="shared" si="1030"/>
        <v>2510</v>
      </c>
      <c r="AF372" s="32">
        <f t="shared" si="1030"/>
        <v>2537</v>
      </c>
      <c r="AG372" s="32">
        <f t="shared" si="1030"/>
        <v>0</v>
      </c>
      <c r="AH372" s="32">
        <f t="shared" si="1030"/>
        <v>2537</v>
      </c>
      <c r="AI372" s="32">
        <f t="shared" si="1030"/>
        <v>5047</v>
      </c>
      <c r="AJ372" s="34">
        <f t="shared" ref="AJ372:AJ378" si="1033">AB372/AA372</f>
        <v>191.02935</v>
      </c>
      <c r="AK372" s="31">
        <f>SUM(O357)</f>
        <v>5161</v>
      </c>
      <c r="AL372" s="35">
        <f t="shared" ref="AL372:AL378" si="1034">AI372/AK372</f>
        <v>0.9779112575</v>
      </c>
      <c r="AM372" s="36">
        <f>SUM(Q357)</f>
        <v>1.5</v>
      </c>
      <c r="AN372" s="35">
        <f t="shared" ref="AN372:AN378" si="1035">AO372/AM372</f>
        <v>0.8806674646</v>
      </c>
      <c r="AO372" s="37">
        <f t="shared" ref="AO372:AO378" si="1036">AI372/AB372</f>
        <v>1.321001197</v>
      </c>
      <c r="AP372" s="36">
        <f t="shared" ref="AP372:AQ372" si="1031">SUM(T357)</f>
        <v>265.0424558</v>
      </c>
      <c r="AQ372" s="36">
        <f t="shared" si="1031"/>
        <v>13.25212279</v>
      </c>
      <c r="AR372" s="32">
        <f t="shared" ref="AR372:AR378" si="1038">AI372/AA372</f>
        <v>252.35</v>
      </c>
    </row>
    <row r="373" ht="15.75" customHeight="1">
      <c r="A373" s="21"/>
      <c r="B373" s="38">
        <v>17.0</v>
      </c>
      <c r="C373" s="38" t="s">
        <v>29</v>
      </c>
      <c r="D373" s="39">
        <v>30.0</v>
      </c>
      <c r="E373" s="40">
        <f>IFERROR(__xludf.DUMMYFUNCTION("COUNT(IMPORTRANGE(""https://docs.google.com/spreadsheets/d/1ja_RQYsP0p5wRrACHojay4CW1wLx0QdS5tSwp-vYQ-s/edit"",""14!d2:d31""))"),30.0)</f>
        <v>30</v>
      </c>
      <c r="F373" s="45">
        <f>IFERROR(__xludf.DUMMYFUNCTION("SUM(IMPORTRANGE(""https://docs.google.com/spreadsheets/d/1ja_RQYsP0p5wRrACHojay4CW1wLx0QdS5tSwp-vYQ-s/edit"",""14!Q2:Q31""))"),5975.910999999997)</f>
        <v>5975.911</v>
      </c>
      <c r="G373" s="40">
        <f>IFERROR(__xludf.DUMMYFUNCTION("IMPORTRANGE(""https://docs.google.com/spreadsheets/d/1ja_RQYsP0p5wRrACHojay4CW1wLx0QdS5tSwp-vYQ-s/edit"",""14!e38"")"),2834.0)</f>
        <v>2834</v>
      </c>
      <c r="H373" s="40">
        <f>IFERROR(__xludf.DUMMYFUNCTION("IMPORTRANGE(""https://docs.google.com/spreadsheets/d/1ja_RQYsP0p5wRrACHojay4CW1wLx0QdS5tSwp-vYQ-s/edit"",""14!e39"")"),0.0)</f>
        <v>0</v>
      </c>
      <c r="I373" s="40">
        <f t="shared" si="990"/>
        <v>2834</v>
      </c>
      <c r="J373" s="40">
        <f>IFERROR(__xludf.DUMMYFUNCTION("IMPORTRANGE(""https://docs.google.com/spreadsheets/d/1ja_RQYsP0p5wRrACHojay4CW1wLx0QdS5tSwp-vYQ-s/edit"",""14!e42"")"),3921.0)</f>
        <v>3921</v>
      </c>
      <c r="K373" s="40">
        <f>IFERROR(__xludf.DUMMYFUNCTION("IMPORTRANGE(""https://docs.google.com/spreadsheets/d/1ja_RQYsP0p5wRrACHojay4CW1wLx0QdS5tSwp-vYQ-s/edit"",""14!e43"")"),0.0)</f>
        <v>0</v>
      </c>
      <c r="L373" s="40">
        <f t="shared" si="1020"/>
        <v>3921</v>
      </c>
      <c r="M373" s="40">
        <f t="shared" si="992"/>
        <v>6755</v>
      </c>
      <c r="N373" s="41">
        <f t="shared" si="993"/>
        <v>199.1970333</v>
      </c>
      <c r="O373" s="38">
        <v>9201.0</v>
      </c>
      <c r="P373" s="42">
        <f t="shared" si="994"/>
        <v>0.7341593305</v>
      </c>
      <c r="Q373" s="43">
        <v>1.5</v>
      </c>
      <c r="R373" s="42">
        <f t="shared" si="995"/>
        <v>0.7535810579</v>
      </c>
      <c r="S373" s="44">
        <f t="shared" si="996"/>
        <v>1.130371587</v>
      </c>
      <c r="T373" s="43">
        <f>F373/26.491</f>
        <v>225.5826885</v>
      </c>
      <c r="U373" s="43">
        <f t="shared" si="997"/>
        <v>7.519422949</v>
      </c>
      <c r="V373" s="40">
        <f t="shared" si="998"/>
        <v>225.1666667</v>
      </c>
      <c r="X373" s="31">
        <v>2.0</v>
      </c>
      <c r="Y373" s="31" t="s">
        <v>32</v>
      </c>
      <c r="Z373" s="31">
        <f t="shared" ref="Z373:AI373" si="1032">SUM(D360)</f>
        <v>42</v>
      </c>
      <c r="AA373" s="32">
        <f t="shared" si="1032"/>
        <v>42</v>
      </c>
      <c r="AB373" s="33">
        <f t="shared" si="1032"/>
        <v>8290.84</v>
      </c>
      <c r="AC373" s="31">
        <f t="shared" si="1032"/>
        <v>4600</v>
      </c>
      <c r="AD373" s="31">
        <f t="shared" si="1032"/>
        <v>131</v>
      </c>
      <c r="AE373" s="32">
        <f t="shared" si="1032"/>
        <v>4731</v>
      </c>
      <c r="AF373" s="31">
        <f t="shared" si="1032"/>
        <v>5177</v>
      </c>
      <c r="AG373" s="31">
        <f t="shared" si="1032"/>
        <v>143</v>
      </c>
      <c r="AH373" s="32">
        <f t="shared" si="1032"/>
        <v>5320</v>
      </c>
      <c r="AI373" s="32">
        <f t="shared" si="1032"/>
        <v>10051</v>
      </c>
      <c r="AJ373" s="34">
        <f t="shared" si="1033"/>
        <v>197.4009524</v>
      </c>
      <c r="AK373" s="31">
        <f>SUM(O360)</f>
        <v>13817</v>
      </c>
      <c r="AL373" s="35">
        <f t="shared" si="1034"/>
        <v>0.727437215</v>
      </c>
      <c r="AM373" s="36">
        <f>SUM(Q360)</f>
        <v>1.5</v>
      </c>
      <c r="AN373" s="35">
        <f t="shared" si="1035"/>
        <v>0.8082011795</v>
      </c>
      <c r="AO373" s="37">
        <f t="shared" si="1036"/>
        <v>1.212301769</v>
      </c>
      <c r="AP373" s="36">
        <f t="shared" ref="AP373:AQ373" si="1037">SUM(T360)</f>
        <v>330.4571725</v>
      </c>
      <c r="AQ373" s="36">
        <f t="shared" si="1037"/>
        <v>7.868027916</v>
      </c>
      <c r="AR373" s="32">
        <f t="shared" si="1038"/>
        <v>239.3095238</v>
      </c>
    </row>
    <row r="374" ht="15.75" customHeight="1">
      <c r="A374" s="21"/>
      <c r="B374" s="38">
        <v>18.0</v>
      </c>
      <c r="C374" s="38" t="s">
        <v>31</v>
      </c>
      <c r="D374" s="39">
        <v>15.0</v>
      </c>
      <c r="E374" s="40">
        <f>IFERROR(__xludf.DUMMYFUNCTION("COUNT(IMPORTRANGE(""https://docs.google.com/spreadsheets/d/1ObnK1oSznTOmyW9Zcd2kxExl7TOnO2MNq_0giEKc_mE/edit"",""14!d2:d16""))"),14.0)</f>
        <v>14</v>
      </c>
      <c r="F374" s="41">
        <f>IFERROR(__xludf.DUMMYFUNCTION("SUM(IMPORTRANGE(""https://docs.google.com/spreadsheets/d/1ObnK1oSznTOmyW9Zcd2kxExl7TOnO2MNq_0giEKc_mE/edit"",""14!Q2:Q16""))"),2651.365)</f>
        <v>2651.365</v>
      </c>
      <c r="G374" s="40">
        <f>IFERROR(__xludf.DUMMYFUNCTION("IMPORTRANGE(""https://docs.google.com/spreadsheets/d/1ObnK1oSznTOmyW9Zcd2kxExl7TOnO2MNq_0giEKc_mE/edit"",""14!e23"")"),832.0)</f>
        <v>832</v>
      </c>
      <c r="H374" s="40">
        <f>IFERROR(__xludf.DUMMYFUNCTION("IMPORTRANGE(""https://docs.google.com/spreadsheets/d/1ObnK1oSznTOmyW9Zcd2kxExl7TOnO2MNq_0giEKc_mE/edit"",""14!e24"")"),8.0)</f>
        <v>8</v>
      </c>
      <c r="I374" s="40">
        <f t="shared" si="990"/>
        <v>840</v>
      </c>
      <c r="J374" s="40">
        <f>IFERROR(__xludf.DUMMYFUNCTION("IMPORTRANGE(""https://docs.google.com/spreadsheets/d/1ObnK1oSznTOmyW9Zcd2kxExl7TOnO2MNq_0giEKc_mE/edit"",""14!e27"")"),1144.0)</f>
        <v>1144</v>
      </c>
      <c r="K374" s="40">
        <f>IFERROR(__xludf.DUMMYFUNCTION("IMPORTRANGE(""https://docs.google.com/spreadsheets/d/1ObnK1oSznTOmyW9Zcd2kxExl7TOnO2MNq_0giEKc_mE/edit"",""14!e28"")"),0.0)</f>
        <v>0</v>
      </c>
      <c r="L374" s="40">
        <f t="shared" si="1020"/>
        <v>1144</v>
      </c>
      <c r="M374" s="40">
        <f t="shared" si="992"/>
        <v>1984</v>
      </c>
      <c r="N374" s="41">
        <f t="shared" si="993"/>
        <v>189.3832143</v>
      </c>
      <c r="O374" s="38">
        <v>2717.0</v>
      </c>
      <c r="P374" s="42">
        <f t="shared" si="994"/>
        <v>0.7302171513</v>
      </c>
      <c r="Q374" s="43">
        <v>1.5</v>
      </c>
      <c r="R374" s="42">
        <f t="shared" si="995"/>
        <v>0.4988625356</v>
      </c>
      <c r="S374" s="44">
        <f t="shared" si="996"/>
        <v>0.7482938034</v>
      </c>
      <c r="T374" s="43">
        <f>F374/43.465</f>
        <v>61</v>
      </c>
      <c r="U374" s="43">
        <f t="shared" si="997"/>
        <v>4.357142857</v>
      </c>
      <c r="V374" s="40">
        <f t="shared" si="998"/>
        <v>141.7142857</v>
      </c>
      <c r="X374" s="31">
        <v>3.0</v>
      </c>
      <c r="Y374" s="31" t="s">
        <v>36</v>
      </c>
      <c r="Z374" s="31">
        <f t="shared" ref="Z374:AI374" si="1039">SUM(D365)</f>
        <v>29</v>
      </c>
      <c r="AA374" s="32">
        <f t="shared" si="1039"/>
        <v>29</v>
      </c>
      <c r="AB374" s="33">
        <f t="shared" si="1039"/>
        <v>5698.453</v>
      </c>
      <c r="AC374" s="32">
        <f t="shared" si="1039"/>
        <v>1625</v>
      </c>
      <c r="AD374" s="32">
        <f t="shared" si="1039"/>
        <v>0</v>
      </c>
      <c r="AE374" s="32">
        <f t="shared" si="1039"/>
        <v>1625</v>
      </c>
      <c r="AF374" s="32">
        <f t="shared" si="1039"/>
        <v>2234</v>
      </c>
      <c r="AG374" s="32">
        <f t="shared" si="1039"/>
        <v>0</v>
      </c>
      <c r="AH374" s="32">
        <f t="shared" si="1039"/>
        <v>2234</v>
      </c>
      <c r="AI374" s="32">
        <f t="shared" si="1039"/>
        <v>3859</v>
      </c>
      <c r="AJ374" s="34">
        <f t="shared" si="1033"/>
        <v>196.4983793</v>
      </c>
      <c r="AK374" s="31">
        <f t="shared" ref="AK374:AK377" si="1043">SUM(O365)</f>
        <v>4796</v>
      </c>
      <c r="AL374" s="35">
        <f t="shared" si="1034"/>
        <v>0.8046288574</v>
      </c>
      <c r="AM374" s="36">
        <f t="shared" ref="AM374:AM377" si="1044">SUM(Q365)</f>
        <v>1.5</v>
      </c>
      <c r="AN374" s="35">
        <f t="shared" si="1035"/>
        <v>0.4514675591</v>
      </c>
      <c r="AO374" s="37">
        <f t="shared" si="1036"/>
        <v>0.6772013387</v>
      </c>
      <c r="AP374" s="36">
        <f t="shared" ref="AP374:AQ374" si="1040">SUM(T365)</f>
        <v>152.3080398</v>
      </c>
      <c r="AQ374" s="36">
        <f t="shared" si="1040"/>
        <v>5.252001371</v>
      </c>
      <c r="AR374" s="32">
        <f t="shared" si="1038"/>
        <v>133.0689655</v>
      </c>
    </row>
    <row r="375" ht="15.75" customHeight="1">
      <c r="A375" s="21"/>
      <c r="B375" s="60" t="s">
        <v>33</v>
      </c>
      <c r="C375" s="60">
        <v>18.0</v>
      </c>
      <c r="D375" s="60">
        <f t="shared" ref="D375:M375" si="1041">SUM(D357:D374)</f>
        <v>585</v>
      </c>
      <c r="E375" s="61">
        <f t="shared" si="1041"/>
        <v>579</v>
      </c>
      <c r="F375" s="62">
        <f t="shared" si="1041"/>
        <v>113010.1</v>
      </c>
      <c r="G375" s="61">
        <f t="shared" si="1041"/>
        <v>44372</v>
      </c>
      <c r="H375" s="61">
        <f t="shared" si="1041"/>
        <v>783</v>
      </c>
      <c r="I375" s="61">
        <f t="shared" si="1041"/>
        <v>45155</v>
      </c>
      <c r="J375" s="61">
        <f t="shared" si="1041"/>
        <v>54125</v>
      </c>
      <c r="K375" s="61">
        <f t="shared" si="1041"/>
        <v>965</v>
      </c>
      <c r="L375" s="61">
        <f t="shared" si="1041"/>
        <v>55090</v>
      </c>
      <c r="M375" s="61">
        <f t="shared" si="1041"/>
        <v>100245</v>
      </c>
      <c r="N375" s="62">
        <f t="shared" si="993"/>
        <v>195.1815199</v>
      </c>
      <c r="O375" s="60">
        <f>SUM(O357:O374)</f>
        <v>126399</v>
      </c>
      <c r="P375" s="63">
        <f t="shared" si="994"/>
        <v>0.793083806</v>
      </c>
      <c r="Q375" s="64">
        <v>1.5</v>
      </c>
      <c r="R375" s="63">
        <f t="shared" si="995"/>
        <v>0.5913630729</v>
      </c>
      <c r="S375" s="65">
        <f t="shared" si="996"/>
        <v>0.8870446093</v>
      </c>
      <c r="T375" s="64">
        <f>SUM(T357:T374)</f>
        <v>4149.44117</v>
      </c>
      <c r="U375" s="64">
        <f t="shared" si="997"/>
        <v>7.16656506</v>
      </c>
      <c r="V375" s="61">
        <f t="shared" si="998"/>
        <v>173.134715</v>
      </c>
      <c r="X375" s="31">
        <v>4.0</v>
      </c>
      <c r="Y375" s="31" t="s">
        <v>37</v>
      </c>
      <c r="Z375" s="31">
        <f t="shared" ref="Z375:AI375" si="1042">SUM(D366)</f>
        <v>30</v>
      </c>
      <c r="AA375" s="32">
        <f t="shared" si="1042"/>
        <v>29</v>
      </c>
      <c r="AB375" s="33">
        <f t="shared" si="1042"/>
        <v>5798.706</v>
      </c>
      <c r="AC375" s="32">
        <f t="shared" si="1042"/>
        <v>2012</v>
      </c>
      <c r="AD375" s="32">
        <f t="shared" si="1042"/>
        <v>0</v>
      </c>
      <c r="AE375" s="32">
        <f t="shared" si="1042"/>
        <v>2012</v>
      </c>
      <c r="AF375" s="32">
        <f t="shared" si="1042"/>
        <v>2900</v>
      </c>
      <c r="AG375" s="32">
        <f t="shared" si="1042"/>
        <v>0</v>
      </c>
      <c r="AH375" s="32">
        <f t="shared" si="1042"/>
        <v>2900</v>
      </c>
      <c r="AI375" s="32">
        <f t="shared" si="1042"/>
        <v>4912</v>
      </c>
      <c r="AJ375" s="34">
        <f t="shared" si="1033"/>
        <v>199.9553793</v>
      </c>
      <c r="AK375" s="31">
        <f t="shared" si="1043"/>
        <v>5887</v>
      </c>
      <c r="AL375" s="35">
        <f t="shared" si="1034"/>
        <v>0.8343808391</v>
      </c>
      <c r="AM375" s="36">
        <f t="shared" si="1044"/>
        <v>1.5</v>
      </c>
      <c r="AN375" s="35">
        <f t="shared" si="1035"/>
        <v>0.564723693</v>
      </c>
      <c r="AO375" s="37">
        <f t="shared" si="1036"/>
        <v>0.8470855394</v>
      </c>
      <c r="AP375" s="36">
        <f t="shared" ref="AP375:AQ375" si="1045">SUM(T366)</f>
        <v>233.8942401</v>
      </c>
      <c r="AQ375" s="36">
        <f t="shared" si="1045"/>
        <v>8.065318623</v>
      </c>
      <c r="AR375" s="32">
        <f t="shared" si="1038"/>
        <v>169.3793103</v>
      </c>
    </row>
    <row r="376" ht="15.7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X376" s="31">
        <v>5.0</v>
      </c>
      <c r="Y376" s="31" t="s">
        <v>39</v>
      </c>
      <c r="Z376" s="31">
        <f t="shared" ref="Z376:AI376" si="1046">SUM(D367)</f>
        <v>28</v>
      </c>
      <c r="AA376" s="32">
        <f t="shared" si="1046"/>
        <v>28</v>
      </c>
      <c r="AB376" s="33">
        <f t="shared" si="1046"/>
        <v>4996.514</v>
      </c>
      <c r="AC376" s="32">
        <f t="shared" si="1046"/>
        <v>1151</v>
      </c>
      <c r="AD376" s="32">
        <f t="shared" si="1046"/>
        <v>0</v>
      </c>
      <c r="AE376" s="32">
        <f t="shared" si="1046"/>
        <v>1151</v>
      </c>
      <c r="AF376" s="32">
        <f t="shared" si="1046"/>
        <v>1768</v>
      </c>
      <c r="AG376" s="32">
        <f t="shared" si="1046"/>
        <v>125</v>
      </c>
      <c r="AH376" s="32">
        <f t="shared" si="1046"/>
        <v>1893</v>
      </c>
      <c r="AI376" s="32">
        <f t="shared" si="1046"/>
        <v>3044</v>
      </c>
      <c r="AJ376" s="34">
        <f t="shared" si="1033"/>
        <v>178.4469286</v>
      </c>
      <c r="AK376" s="31">
        <f t="shared" si="1043"/>
        <v>3569</v>
      </c>
      <c r="AL376" s="35">
        <f t="shared" si="1034"/>
        <v>0.852899972</v>
      </c>
      <c r="AM376" s="36">
        <f t="shared" si="1044"/>
        <v>1.5</v>
      </c>
      <c r="AN376" s="35">
        <f t="shared" si="1035"/>
        <v>0.4061498343</v>
      </c>
      <c r="AO376" s="37">
        <f t="shared" si="1036"/>
        <v>0.6092247515</v>
      </c>
      <c r="AP376" s="36">
        <f t="shared" ref="AP376:AQ376" si="1047">SUM(T367)</f>
        <v>232.7966268</v>
      </c>
      <c r="AQ376" s="36">
        <f t="shared" si="1047"/>
        <v>8.314165241</v>
      </c>
      <c r="AR376" s="32">
        <f t="shared" si="1038"/>
        <v>108.7142857</v>
      </c>
    </row>
    <row r="377" ht="15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X377" s="31">
        <v>6.0</v>
      </c>
      <c r="Y377" s="31" t="s">
        <v>41</v>
      </c>
      <c r="Z377" s="31">
        <f t="shared" ref="Z377:AI377" si="1048">SUM(D368)</f>
        <v>24</v>
      </c>
      <c r="AA377" s="32">
        <f t="shared" si="1048"/>
        <v>24</v>
      </c>
      <c r="AB377" s="33">
        <f t="shared" si="1048"/>
        <v>4628.552</v>
      </c>
      <c r="AC377" s="32">
        <f t="shared" si="1048"/>
        <v>1224</v>
      </c>
      <c r="AD377" s="32">
        <f t="shared" si="1048"/>
        <v>0</v>
      </c>
      <c r="AE377" s="32">
        <f t="shared" si="1048"/>
        <v>1224</v>
      </c>
      <c r="AF377" s="32">
        <f t="shared" si="1048"/>
        <v>1871</v>
      </c>
      <c r="AG377" s="32">
        <f t="shared" si="1048"/>
        <v>0</v>
      </c>
      <c r="AH377" s="32">
        <f t="shared" si="1048"/>
        <v>1871</v>
      </c>
      <c r="AI377" s="32">
        <f t="shared" si="1048"/>
        <v>3095</v>
      </c>
      <c r="AJ377" s="34">
        <f t="shared" si="1033"/>
        <v>192.8563333</v>
      </c>
      <c r="AK377" s="31">
        <f t="shared" si="1043"/>
        <v>3801</v>
      </c>
      <c r="AL377" s="35">
        <f t="shared" si="1034"/>
        <v>0.8142594054</v>
      </c>
      <c r="AM377" s="36">
        <f t="shared" si="1044"/>
        <v>1.5</v>
      </c>
      <c r="AN377" s="35">
        <f t="shared" si="1035"/>
        <v>0.4457837642</v>
      </c>
      <c r="AO377" s="37">
        <f t="shared" si="1036"/>
        <v>0.6686756463</v>
      </c>
      <c r="AP377" s="36">
        <f t="shared" ref="AP377:AQ377" si="1049">SUM(T368)</f>
        <v>156.2222222</v>
      </c>
      <c r="AQ377" s="36">
        <f t="shared" si="1049"/>
        <v>6.509259259</v>
      </c>
      <c r="AR377" s="32">
        <f t="shared" si="1038"/>
        <v>128.9583333</v>
      </c>
    </row>
    <row r="378" ht="15.75" customHeight="1">
      <c r="A378" s="1" t="s">
        <v>45</v>
      </c>
      <c r="D378" s="2"/>
      <c r="X378" s="46" t="s">
        <v>33</v>
      </c>
      <c r="Y378" s="46">
        <v>6.0</v>
      </c>
      <c r="Z378" s="46">
        <f t="shared" ref="Z378:AI378" si="1050">SUM(Z372:Z377)</f>
        <v>173</v>
      </c>
      <c r="AA378" s="47">
        <f t="shared" si="1050"/>
        <v>172</v>
      </c>
      <c r="AB378" s="49">
        <f t="shared" si="1050"/>
        <v>33233.652</v>
      </c>
      <c r="AC378" s="47">
        <f t="shared" si="1050"/>
        <v>13052</v>
      </c>
      <c r="AD378" s="47">
        <f t="shared" si="1050"/>
        <v>201</v>
      </c>
      <c r="AE378" s="47">
        <f t="shared" si="1050"/>
        <v>13253</v>
      </c>
      <c r="AF378" s="47">
        <f t="shared" si="1050"/>
        <v>16487</v>
      </c>
      <c r="AG378" s="47">
        <f t="shared" si="1050"/>
        <v>268</v>
      </c>
      <c r="AH378" s="47">
        <f t="shared" si="1050"/>
        <v>16755</v>
      </c>
      <c r="AI378" s="47">
        <f t="shared" si="1050"/>
        <v>30008</v>
      </c>
      <c r="AJ378" s="49">
        <f t="shared" si="1033"/>
        <v>193.218907</v>
      </c>
      <c r="AK378" s="46">
        <f>SUM(AK372:AK377)</f>
        <v>37031</v>
      </c>
      <c r="AL378" s="50">
        <f t="shared" si="1034"/>
        <v>0.8103480867</v>
      </c>
      <c r="AM378" s="51">
        <v>1.5</v>
      </c>
      <c r="AN378" s="50">
        <f t="shared" si="1035"/>
        <v>0.6019601256</v>
      </c>
      <c r="AO378" s="52">
        <f t="shared" si="1036"/>
        <v>0.9029401885</v>
      </c>
      <c r="AP378" s="51">
        <f>SUM(AP372:AP377)</f>
        <v>1370.720757</v>
      </c>
      <c r="AQ378" s="51">
        <f>AP378/AA378</f>
        <v>7.969306727</v>
      </c>
      <c r="AR378" s="47">
        <f t="shared" si="1038"/>
        <v>174.4651163</v>
      </c>
    </row>
    <row r="379" ht="15.75" customHeight="1">
      <c r="A379" s="1" t="s">
        <v>45</v>
      </c>
      <c r="D379" s="2"/>
      <c r="X379" s="66" t="s">
        <v>1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6"/>
    </row>
    <row r="380" ht="15.75" customHeight="1">
      <c r="A380" s="10">
        <v>46249.0</v>
      </c>
      <c r="B380" s="8" t="s">
        <v>2</v>
      </c>
      <c r="C380" s="8" t="s">
        <v>3</v>
      </c>
      <c r="D380" s="8" t="s">
        <v>4</v>
      </c>
      <c r="E380" s="8" t="s">
        <v>5</v>
      </c>
      <c r="F380" s="9" t="s">
        <v>6</v>
      </c>
      <c r="G380" s="8" t="s">
        <v>7</v>
      </c>
      <c r="H380" s="8" t="s">
        <v>8</v>
      </c>
      <c r="I380" s="8" t="s">
        <v>9</v>
      </c>
      <c r="J380" s="8" t="s">
        <v>10</v>
      </c>
      <c r="K380" s="8" t="s">
        <v>11</v>
      </c>
      <c r="L380" s="8" t="s">
        <v>12</v>
      </c>
      <c r="M380" s="8" t="s">
        <v>13</v>
      </c>
      <c r="N380" s="9" t="s">
        <v>14</v>
      </c>
      <c r="O380" s="8" t="s">
        <v>15</v>
      </c>
      <c r="P380" s="8" t="s">
        <v>16</v>
      </c>
      <c r="Q380" s="8" t="s">
        <v>17</v>
      </c>
      <c r="R380" s="8" t="s">
        <v>18</v>
      </c>
      <c r="S380" s="11" t="s">
        <v>19</v>
      </c>
      <c r="T380" s="12" t="s">
        <v>20</v>
      </c>
      <c r="U380" s="12" t="s">
        <v>21</v>
      </c>
      <c r="V380" s="13" t="s">
        <v>22</v>
      </c>
      <c r="X380" s="14" t="s">
        <v>2</v>
      </c>
      <c r="Y380" s="14" t="s">
        <v>3</v>
      </c>
      <c r="Z380" s="14" t="s">
        <v>4</v>
      </c>
      <c r="AA380" s="14" t="s">
        <v>5</v>
      </c>
      <c r="AB380" s="15" t="s">
        <v>6</v>
      </c>
      <c r="AC380" s="14" t="s">
        <v>7</v>
      </c>
      <c r="AD380" s="14" t="s">
        <v>8</v>
      </c>
      <c r="AE380" s="14" t="s">
        <v>9</v>
      </c>
      <c r="AF380" s="14" t="s">
        <v>10</v>
      </c>
      <c r="AG380" s="14" t="s">
        <v>11</v>
      </c>
      <c r="AH380" s="14" t="s">
        <v>12</v>
      </c>
      <c r="AI380" s="14" t="s">
        <v>13</v>
      </c>
      <c r="AJ380" s="15" t="s">
        <v>14</v>
      </c>
      <c r="AK380" s="14" t="s">
        <v>15</v>
      </c>
      <c r="AL380" s="14" t="s">
        <v>16</v>
      </c>
      <c r="AM380" s="16" t="s">
        <v>17</v>
      </c>
      <c r="AN380" s="17" t="s">
        <v>18</v>
      </c>
      <c r="AO380" s="18" t="s">
        <v>19</v>
      </c>
      <c r="AP380" s="19" t="s">
        <v>20</v>
      </c>
      <c r="AQ380" s="19" t="s">
        <v>21</v>
      </c>
      <c r="AR380" s="20" t="s">
        <v>22</v>
      </c>
    </row>
    <row r="381" ht="15.7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X381" s="22">
        <v>1.0</v>
      </c>
      <c r="Y381" s="22" t="s">
        <v>23</v>
      </c>
      <c r="Z381" s="22">
        <f t="shared" ref="Z381:AI381" si="1051">SUM(D389)</f>
        <v>28</v>
      </c>
      <c r="AA381" s="23">
        <f t="shared" si="1051"/>
        <v>27</v>
      </c>
      <c r="AB381" s="24">
        <f t="shared" si="1051"/>
        <v>5297.18</v>
      </c>
      <c r="AC381" s="23">
        <f t="shared" si="1051"/>
        <v>1481</v>
      </c>
      <c r="AD381" s="23">
        <f t="shared" si="1051"/>
        <v>0</v>
      </c>
      <c r="AE381" s="23">
        <f t="shared" si="1051"/>
        <v>1481</v>
      </c>
      <c r="AF381" s="23">
        <f t="shared" si="1051"/>
        <v>2066</v>
      </c>
      <c r="AG381" s="23">
        <f t="shared" si="1051"/>
        <v>0</v>
      </c>
      <c r="AH381" s="23">
        <f t="shared" si="1051"/>
        <v>2066</v>
      </c>
      <c r="AI381" s="23">
        <f t="shared" si="1051"/>
        <v>3547</v>
      </c>
      <c r="AJ381" s="25">
        <f t="shared" ref="AJ381:AJ383" si="1054">AB381/AA381</f>
        <v>196.1918519</v>
      </c>
      <c r="AK381" s="22">
        <f>SUM(O389)</f>
        <v>6853</v>
      </c>
      <c r="AL381" s="26">
        <f t="shared" ref="AL381:AL387" si="1055">AI381/AK381</f>
        <v>0.5175835401</v>
      </c>
      <c r="AM381" s="27">
        <f t="shared" ref="AM381:AM383" si="1056">SUM(Q389)</f>
        <v>1.5</v>
      </c>
      <c r="AN381" s="26">
        <f t="shared" ref="AN381:AN387" si="1057">AO381/AM381</f>
        <v>0.4464010411</v>
      </c>
      <c r="AO381" s="28">
        <f t="shared" ref="AO381:AO387" si="1058">AI381/AB381</f>
        <v>0.6696015616</v>
      </c>
      <c r="AP381" s="27">
        <f t="shared" ref="AP381:AQ381" si="1052">SUM(T389)</f>
        <v>157</v>
      </c>
      <c r="AQ381" s="27">
        <f t="shared" si="1052"/>
        <v>5.814814815</v>
      </c>
      <c r="AR381" s="23">
        <f t="shared" ref="AR381:AR387" si="1060">AI381/AA381</f>
        <v>131.3703704</v>
      </c>
    </row>
    <row r="382" ht="15.7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X382" s="22">
        <v>2.0</v>
      </c>
      <c r="Y382" s="22" t="s">
        <v>24</v>
      </c>
      <c r="Z382" s="22">
        <f t="shared" ref="Z382:AI382" si="1053">SUM(D390)</f>
        <v>37</v>
      </c>
      <c r="AA382" s="23">
        <f t="shared" si="1053"/>
        <v>36</v>
      </c>
      <c r="AB382" s="24">
        <f t="shared" si="1053"/>
        <v>6902.347</v>
      </c>
      <c r="AC382" s="23">
        <f t="shared" si="1053"/>
        <v>833</v>
      </c>
      <c r="AD382" s="23">
        <f t="shared" si="1053"/>
        <v>8</v>
      </c>
      <c r="AE382" s="23">
        <f t="shared" si="1053"/>
        <v>841</v>
      </c>
      <c r="AF382" s="23">
        <f t="shared" si="1053"/>
        <v>1153</v>
      </c>
      <c r="AG382" s="23">
        <f t="shared" si="1053"/>
        <v>14</v>
      </c>
      <c r="AH382" s="23">
        <f t="shared" si="1053"/>
        <v>1167</v>
      </c>
      <c r="AI382" s="23">
        <f t="shared" si="1053"/>
        <v>2008</v>
      </c>
      <c r="AJ382" s="25">
        <f t="shared" si="1054"/>
        <v>191.7318611</v>
      </c>
      <c r="AK382" s="22">
        <v>1580.0</v>
      </c>
      <c r="AL382" s="29">
        <f t="shared" si="1055"/>
        <v>1.270886076</v>
      </c>
      <c r="AM382" s="27">
        <f t="shared" si="1056"/>
        <v>1.5</v>
      </c>
      <c r="AN382" s="26">
        <f t="shared" si="1057"/>
        <v>0.1939436929</v>
      </c>
      <c r="AO382" s="28">
        <f t="shared" si="1058"/>
        <v>0.2909155393</v>
      </c>
      <c r="AP382" s="27">
        <f t="shared" ref="AP382:AQ382" si="1059">SUM(T390)</f>
        <v>257.5022197</v>
      </c>
      <c r="AQ382" s="27">
        <f t="shared" si="1059"/>
        <v>7.152839437</v>
      </c>
      <c r="AR382" s="23">
        <f t="shared" si="1060"/>
        <v>55.77777778</v>
      </c>
    </row>
    <row r="383" ht="15.75" customHeight="1">
      <c r="A383" s="21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X383" s="31">
        <v>3.0</v>
      </c>
      <c r="Y383" s="31" t="s">
        <v>25</v>
      </c>
      <c r="Z383" s="31">
        <f t="shared" ref="Z383:AI383" si="1061">SUM(D391)</f>
        <v>27</v>
      </c>
      <c r="AA383" s="32">
        <f t="shared" si="1061"/>
        <v>27</v>
      </c>
      <c r="AB383" s="33">
        <f t="shared" si="1061"/>
        <v>5125.6</v>
      </c>
      <c r="AC383" s="32">
        <f t="shared" si="1061"/>
        <v>1497</v>
      </c>
      <c r="AD383" s="32">
        <f t="shared" si="1061"/>
        <v>73</v>
      </c>
      <c r="AE383" s="32">
        <f t="shared" si="1061"/>
        <v>1570</v>
      </c>
      <c r="AF383" s="32">
        <f t="shared" si="1061"/>
        <v>3042</v>
      </c>
      <c r="AG383" s="32">
        <f t="shared" si="1061"/>
        <v>327</v>
      </c>
      <c r="AH383" s="32">
        <f t="shared" si="1061"/>
        <v>3369</v>
      </c>
      <c r="AI383" s="32">
        <f t="shared" si="1061"/>
        <v>4939</v>
      </c>
      <c r="AJ383" s="34">
        <f t="shared" si="1054"/>
        <v>189.837037</v>
      </c>
      <c r="AK383" s="31">
        <f>SUM(O391)</f>
        <v>6622</v>
      </c>
      <c r="AL383" s="35">
        <f t="shared" si="1055"/>
        <v>0.7458471761</v>
      </c>
      <c r="AM383" s="36">
        <f t="shared" si="1056"/>
        <v>1.5</v>
      </c>
      <c r="AN383" s="35">
        <f t="shared" si="1057"/>
        <v>0.6423963373</v>
      </c>
      <c r="AO383" s="37">
        <f t="shared" si="1058"/>
        <v>0.963594506</v>
      </c>
      <c r="AP383" s="36">
        <f t="shared" ref="AP383:AQ383" si="1062">SUM(T391)</f>
        <v>215</v>
      </c>
      <c r="AQ383" s="36">
        <f t="shared" si="1062"/>
        <v>7.962962963</v>
      </c>
      <c r="AR383" s="32">
        <f t="shared" si="1060"/>
        <v>182.9259259</v>
      </c>
    </row>
    <row r="384" ht="15.75" customHeight="1">
      <c r="A384" s="21"/>
      <c r="B384" s="38">
        <v>1.0</v>
      </c>
      <c r="C384" s="38" t="s">
        <v>26</v>
      </c>
      <c r="D384" s="39">
        <v>16.0</v>
      </c>
      <c r="E384" s="40">
        <f>IFERROR(__xludf.DUMMYFUNCTION("COUNT(IMPORTRANGE(""https://docs.google.com/spreadsheets/d/1iVFEBQOAONhqDIMRa2hQ7WkCQv0dJWSAmc0AzfvSCMg/edit"",""15!d2:d21""))"),16.0)</f>
        <v>16</v>
      </c>
      <c r="F384" s="41">
        <f>IFERROR(__xludf.DUMMYFUNCTION("SUM(IMPORTRANGE(""https://docs.google.com/spreadsheets/d/1iVFEBQOAONhqDIMRa2hQ7WkCQv0dJWSAmc0AzfvSCMg/edit"",""15!Q2:Q21""))"),3121.3830000000003)</f>
        <v>3121.383</v>
      </c>
      <c r="G384" s="40">
        <f>IFERROR(__xludf.DUMMYFUNCTION("IMPORTRANGE(""https://docs.google.com/spreadsheets/d/1iVFEBQOAONhqDIMRa2hQ7WkCQv0dJWSAmc0AzfvSCMg/edit"",""15!e28"")"),1452.0)</f>
        <v>1452</v>
      </c>
      <c r="H384" s="40">
        <f>IFERROR(__xludf.DUMMYFUNCTION("IMPORTRANGE(""https://docs.google.com/spreadsheets/d/1iVFEBQOAONhqDIMRa2hQ7WkCQv0dJWSAmc0AzfvSCMg/edit"",""15!e29"")"),0.0)</f>
        <v>0</v>
      </c>
      <c r="I384" s="40">
        <f t="shared" ref="I384:I401" si="1065">SUM(G384:H384)</f>
        <v>1452</v>
      </c>
      <c r="J384" s="40">
        <f>IFERROR(__xludf.DUMMYFUNCTION("IMPORTRANGE(""https://docs.google.com/spreadsheets/d/1iVFEBQOAONhqDIMRa2hQ7WkCQv0dJWSAmc0AzfvSCMg/edit"",""15!e32"")"),2219.0)</f>
        <v>2219</v>
      </c>
      <c r="K384" s="40">
        <f>IFERROR(__xludf.DUMMYFUNCTION("IMPORTRANGE(""https://docs.google.com/spreadsheets/d/1iVFEBQOAONhqDIMRa2hQ7WkCQv0dJWSAmc0AzfvSCMg/edit"",""15!e33"")"),0.0)</f>
        <v>0</v>
      </c>
      <c r="L384" s="40">
        <f t="shared" ref="L384:L390" si="1066">SUM(J384:K384)</f>
        <v>2219</v>
      </c>
      <c r="M384" s="40">
        <f t="shared" ref="M384:M401" si="1067">SUM(I384+L384)</f>
        <v>3671</v>
      </c>
      <c r="N384" s="41">
        <f t="shared" ref="N384:N402" si="1068">F384/E384</f>
        <v>195.0864375</v>
      </c>
      <c r="O384" s="38">
        <v>5161.0</v>
      </c>
      <c r="P384" s="42">
        <f t="shared" ref="P384:P402" si="1069">M384/O384</f>
        <v>0.7112962604</v>
      </c>
      <c r="Q384" s="43">
        <v>1.5</v>
      </c>
      <c r="R384" s="42">
        <f t="shared" ref="R384:R402" si="1070">S384/Q384</f>
        <v>0.7840541623</v>
      </c>
      <c r="S384" s="44">
        <f t="shared" ref="S384:S402" si="1071">M384/F384</f>
        <v>1.176081243</v>
      </c>
      <c r="T384" s="43">
        <f>F384/14.415</f>
        <v>216.5371488</v>
      </c>
      <c r="U384" s="43">
        <f t="shared" ref="U384:U402" si="1072">T384/E384</f>
        <v>13.5335718</v>
      </c>
      <c r="V384" s="40">
        <f t="shared" ref="V384:V402" si="1073">M384/E384</f>
        <v>229.4375</v>
      </c>
      <c r="X384" s="22">
        <v>4.0</v>
      </c>
      <c r="Y384" s="22" t="s">
        <v>27</v>
      </c>
      <c r="Z384" s="22">
        <f t="shared" ref="Z384:AK384" si="1063">SUM(D397)</f>
        <v>24</v>
      </c>
      <c r="AA384" s="23">
        <f t="shared" si="1063"/>
        <v>23</v>
      </c>
      <c r="AB384" s="24">
        <f t="shared" si="1063"/>
        <v>4318.676</v>
      </c>
      <c r="AC384" s="23">
        <f t="shared" si="1063"/>
        <v>1980</v>
      </c>
      <c r="AD384" s="23">
        <f t="shared" si="1063"/>
        <v>0</v>
      </c>
      <c r="AE384" s="23">
        <f t="shared" si="1063"/>
        <v>1980</v>
      </c>
      <c r="AF384" s="23">
        <f t="shared" si="1063"/>
        <v>2205</v>
      </c>
      <c r="AG384" s="23">
        <f t="shared" si="1063"/>
        <v>0</v>
      </c>
      <c r="AH384" s="23">
        <f t="shared" si="1063"/>
        <v>2205</v>
      </c>
      <c r="AI384" s="23">
        <f t="shared" si="1063"/>
        <v>4185</v>
      </c>
      <c r="AJ384" s="25">
        <f t="shared" si="1063"/>
        <v>187.7685217</v>
      </c>
      <c r="AK384" s="22">
        <f t="shared" si="1063"/>
        <v>8101</v>
      </c>
      <c r="AL384" s="26">
        <f t="shared" si="1055"/>
        <v>0.5166028885</v>
      </c>
      <c r="AM384" s="27">
        <f>SUM(Q397)</f>
        <v>1.5</v>
      </c>
      <c r="AN384" s="26">
        <f t="shared" si="1057"/>
        <v>0.64603133</v>
      </c>
      <c r="AO384" s="28">
        <f t="shared" si="1058"/>
        <v>0.969046995</v>
      </c>
      <c r="AP384" s="27">
        <f t="shared" ref="AP384:AQ384" si="1064">SUM(T397)</f>
        <v>216.0958719</v>
      </c>
      <c r="AQ384" s="27">
        <f t="shared" si="1064"/>
        <v>9.395472691</v>
      </c>
      <c r="AR384" s="23">
        <f t="shared" si="1060"/>
        <v>181.9565217</v>
      </c>
    </row>
    <row r="385" ht="15.75" customHeight="1">
      <c r="A385" s="21"/>
      <c r="B385" s="38">
        <v>2.0</v>
      </c>
      <c r="C385" s="38" t="s">
        <v>28</v>
      </c>
      <c r="D385" s="39">
        <v>26.0</v>
      </c>
      <c r="E385" s="40">
        <f>IFERROR(__xludf.DUMMYFUNCTION("COUNT(IMPORTRANGE(""https://docs.google.com/spreadsheets/d/1tJCeYclgeJZ4Dc78t_SkhVjtacKW-5-VGim8X1rzUzk/edit"",""15!d2:d34""))"),25.0)</f>
        <v>25</v>
      </c>
      <c r="F385" s="41">
        <f>IFERROR(__xludf.DUMMYFUNCTION("SUM(IMPORTRANGE(""https://docs.google.com/spreadsheets/d/1tJCeYclgeJZ4Dc78t_SkhVjtacKW-5-VGim8X1rzUzk/edit"",""15!Q2:Q34""))"),4846.123000000001)</f>
        <v>4846.123</v>
      </c>
      <c r="G385" s="40">
        <f>IFERROR(__xludf.DUMMYFUNCTION("IMPORTRANGE(""https://docs.google.com/spreadsheets/d/1tJCeYclgeJZ4Dc78t_SkhVjtacKW-5-VGim8X1rzUzk/edit"",""15!e41"")"),1700.0)</f>
        <v>1700</v>
      </c>
      <c r="H385" s="40">
        <f>IFERROR(__xludf.DUMMYFUNCTION("IMPORTRANGE(""https://docs.google.com/spreadsheets/d/1tJCeYclgeJZ4Dc78t_SkhVjtacKW-5-VGim8X1rzUzk/edit"",""15!e42"")"),89.0)</f>
        <v>89</v>
      </c>
      <c r="I385" s="40">
        <f t="shared" si="1065"/>
        <v>1789</v>
      </c>
      <c r="J385" s="40">
        <f>IFERROR(__xludf.DUMMYFUNCTION("IMPORTRANGE(""https://docs.google.com/spreadsheets/d/1tJCeYclgeJZ4Dc78t_SkhVjtacKW-5-VGim8X1rzUzk/edit"",""15!e45"")"),2160.0)</f>
        <v>2160</v>
      </c>
      <c r="K385" s="40">
        <f>IFERROR(__xludf.DUMMYFUNCTION("IMPORTRANGE(""https://docs.google.com/spreadsheets/d/1tJCeYclgeJZ4Dc78t_SkhVjtacKW-5-VGim8X1rzUzk/edit"",""15!e46"")"),149.0)</f>
        <v>149</v>
      </c>
      <c r="L385" s="40">
        <f t="shared" si="1066"/>
        <v>2309</v>
      </c>
      <c r="M385" s="40">
        <f t="shared" si="1067"/>
        <v>4098</v>
      </c>
      <c r="N385" s="41">
        <f t="shared" si="1068"/>
        <v>193.84492</v>
      </c>
      <c r="O385" s="38">
        <v>7315.0</v>
      </c>
      <c r="P385" s="42">
        <f t="shared" si="1069"/>
        <v>0.5602187286</v>
      </c>
      <c r="Q385" s="43">
        <v>1.5</v>
      </c>
      <c r="R385" s="42">
        <f t="shared" si="1070"/>
        <v>0.5637496201</v>
      </c>
      <c r="S385" s="44">
        <f t="shared" si="1071"/>
        <v>0.8456244301</v>
      </c>
      <c r="T385" s="43">
        <f>F385/30.897</f>
        <v>156.8476875</v>
      </c>
      <c r="U385" s="43">
        <f t="shared" si="1072"/>
        <v>6.273907499</v>
      </c>
      <c r="V385" s="40">
        <f t="shared" si="1073"/>
        <v>163.92</v>
      </c>
      <c r="X385" s="22">
        <v>5.0</v>
      </c>
      <c r="Y385" s="22" t="s">
        <v>29</v>
      </c>
      <c r="Z385" s="22">
        <f t="shared" ref="Z385:AI385" si="1074">SUM(D400)</f>
        <v>24</v>
      </c>
      <c r="AA385" s="23">
        <f t="shared" si="1074"/>
        <v>23</v>
      </c>
      <c r="AB385" s="24">
        <f t="shared" si="1074"/>
        <v>4609.434</v>
      </c>
      <c r="AC385" s="23">
        <f t="shared" si="1074"/>
        <v>2062</v>
      </c>
      <c r="AD385" s="23">
        <f t="shared" si="1074"/>
        <v>0</v>
      </c>
      <c r="AE385" s="23">
        <f t="shared" si="1074"/>
        <v>2062</v>
      </c>
      <c r="AF385" s="23">
        <f t="shared" si="1074"/>
        <v>3028</v>
      </c>
      <c r="AG385" s="23">
        <f t="shared" si="1074"/>
        <v>0</v>
      </c>
      <c r="AH385" s="23">
        <f t="shared" si="1074"/>
        <v>3028</v>
      </c>
      <c r="AI385" s="23">
        <f t="shared" si="1074"/>
        <v>5090</v>
      </c>
      <c r="AJ385" s="25">
        <f t="shared" ref="AJ385:AJ387" si="1077">AB385/AA385</f>
        <v>200.4101739</v>
      </c>
      <c r="AK385" s="22">
        <f t="shared" ref="AK385:AK386" si="1078">SUM(O400)</f>
        <v>9201</v>
      </c>
      <c r="AL385" s="26">
        <f t="shared" si="1055"/>
        <v>0.5532007391</v>
      </c>
      <c r="AM385" s="27">
        <f t="shared" ref="AM385:AM386" si="1079">SUM(Q400)</f>
        <v>1.5</v>
      </c>
      <c r="AN385" s="26">
        <f t="shared" si="1057"/>
        <v>0.736171368</v>
      </c>
      <c r="AO385" s="28">
        <f t="shared" si="1058"/>
        <v>1.104257052</v>
      </c>
      <c r="AP385" s="27">
        <f t="shared" ref="AP385:AQ385" si="1075">SUM(T400)</f>
        <v>174</v>
      </c>
      <c r="AQ385" s="27">
        <f t="shared" si="1075"/>
        <v>7.565217391</v>
      </c>
      <c r="AR385" s="23">
        <f t="shared" si="1060"/>
        <v>221.3043478</v>
      </c>
    </row>
    <row r="386" ht="15.75" customHeight="1">
      <c r="A386" s="21"/>
      <c r="B386" s="38">
        <v>3.0</v>
      </c>
      <c r="C386" s="38" t="s">
        <v>30</v>
      </c>
      <c r="D386" s="39">
        <v>48.0</v>
      </c>
      <c r="E386" s="40">
        <f>IFERROR(__xludf.DUMMYFUNCTION("COUNT(IMPORTRANGE(""https://docs.google.com/spreadsheets/d/130gLEONC13J8KkQ6dk06x3bLRy_jCrAw2hXatQf2W50/edit"",""15!d2:d61""))"),46.0)</f>
        <v>46</v>
      </c>
      <c r="F386" s="45">
        <f>IFERROR(__xludf.DUMMYFUNCTION("SUM(IMPORTRANGE(""https://docs.google.com/spreadsheets/d/130gLEONC13J8KkQ6dk06x3bLRy_jCrAw2hXatQf2W50/edit"",""15!Q2:Q61""))"),8770.897999999997)</f>
        <v>8770.898</v>
      </c>
      <c r="G386" s="40">
        <f>IFERROR(__xludf.DUMMYFUNCTION("IMPORTRANGE(""https://docs.google.com/spreadsheets/d/130gLEONC13J8KkQ6dk06x3bLRy_jCrAw2hXatQf2W50/edit"",""15!e68"")"),2448.0)</f>
        <v>2448</v>
      </c>
      <c r="H386" s="40">
        <f>IFERROR(__xludf.DUMMYFUNCTION("IMPORTRANGE(""https://docs.google.com/spreadsheets/d/130gLEONC13J8KkQ6dk06x3bLRy_jCrAw2hXatQf2W50/edit"",""15!e69"")"),0.0)</f>
        <v>0</v>
      </c>
      <c r="I386" s="40">
        <f t="shared" si="1065"/>
        <v>2448</v>
      </c>
      <c r="J386" s="40">
        <f>IFERROR(__xludf.DUMMYFUNCTION("IMPORTRANGE(""https://docs.google.com/spreadsheets/d/130gLEONC13J8KkQ6dk06x3bLRy_jCrAw2hXatQf2W50/edit"",""15!e72"")"),4264.0)</f>
        <v>4264</v>
      </c>
      <c r="K386" s="40">
        <f>IFERROR(__xludf.DUMMYFUNCTION("IMPORTRANGE(""https://docs.google.com/spreadsheets/d/130gLEONC13J8KkQ6dk06x3bLRy_jCrAw2hXatQf2W50/edit"",""15!e73"")"),64.0)</f>
        <v>64</v>
      </c>
      <c r="L386" s="40">
        <f t="shared" si="1066"/>
        <v>4328</v>
      </c>
      <c r="M386" s="40">
        <f t="shared" si="1067"/>
        <v>6776</v>
      </c>
      <c r="N386" s="41">
        <f t="shared" si="1068"/>
        <v>190.6716957</v>
      </c>
      <c r="O386" s="38">
        <v>11164.0</v>
      </c>
      <c r="P386" s="42">
        <f t="shared" si="1069"/>
        <v>0.6069509137</v>
      </c>
      <c r="Q386" s="43">
        <v>1.5</v>
      </c>
      <c r="R386" s="42">
        <f t="shared" si="1070"/>
        <v>0.5150365827</v>
      </c>
      <c r="S386" s="44">
        <f t="shared" si="1071"/>
        <v>0.7725548741</v>
      </c>
      <c r="T386" s="43">
        <f>F386/29.603</f>
        <v>296.2840928</v>
      </c>
      <c r="U386" s="43">
        <f t="shared" si="1072"/>
        <v>6.44095854</v>
      </c>
      <c r="V386" s="40">
        <f t="shared" si="1073"/>
        <v>147.3043478</v>
      </c>
      <c r="X386" s="22">
        <v>6.0</v>
      </c>
      <c r="Y386" s="22" t="s">
        <v>31</v>
      </c>
      <c r="Z386" s="22">
        <f t="shared" ref="Z386:AI386" si="1076">SUM(D401)</f>
        <v>12</v>
      </c>
      <c r="AA386" s="23">
        <f t="shared" si="1076"/>
        <v>11</v>
      </c>
      <c r="AB386" s="25">
        <f t="shared" si="1076"/>
        <v>1999.39</v>
      </c>
      <c r="AC386" s="23">
        <f t="shared" si="1076"/>
        <v>566</v>
      </c>
      <c r="AD386" s="23">
        <f t="shared" si="1076"/>
        <v>15</v>
      </c>
      <c r="AE386" s="23">
        <f t="shared" si="1076"/>
        <v>581</v>
      </c>
      <c r="AF386" s="23">
        <f t="shared" si="1076"/>
        <v>731</v>
      </c>
      <c r="AG386" s="23">
        <f t="shared" si="1076"/>
        <v>0</v>
      </c>
      <c r="AH386" s="23">
        <f t="shared" si="1076"/>
        <v>731</v>
      </c>
      <c r="AI386" s="23">
        <f t="shared" si="1076"/>
        <v>1312</v>
      </c>
      <c r="AJ386" s="25">
        <f t="shared" si="1077"/>
        <v>181.7627273</v>
      </c>
      <c r="AK386" s="22">
        <f t="shared" si="1078"/>
        <v>2717</v>
      </c>
      <c r="AL386" s="26">
        <f t="shared" si="1055"/>
        <v>0.4828855355</v>
      </c>
      <c r="AM386" s="27">
        <f t="shared" si="1079"/>
        <v>1.5</v>
      </c>
      <c r="AN386" s="26">
        <f t="shared" si="1057"/>
        <v>0.4374667607</v>
      </c>
      <c r="AO386" s="28">
        <f t="shared" si="1058"/>
        <v>0.656200141</v>
      </c>
      <c r="AP386" s="27">
        <f t="shared" ref="AP386:AQ386" si="1080">SUM(T401)</f>
        <v>46</v>
      </c>
      <c r="AQ386" s="27">
        <f t="shared" si="1080"/>
        <v>4.181818182</v>
      </c>
      <c r="AR386" s="23">
        <f t="shared" si="1060"/>
        <v>119.2727273</v>
      </c>
    </row>
    <row r="387" ht="15.75" customHeight="1">
      <c r="A387" s="21"/>
      <c r="B387" s="38">
        <v>4.0</v>
      </c>
      <c r="C387" s="38" t="s">
        <v>32</v>
      </c>
      <c r="D387" s="39">
        <v>33.0</v>
      </c>
      <c r="E387" s="40">
        <f>IFERROR(__xludf.DUMMYFUNCTION("COUNT(IMPORTRANGE(""https://docs.google.com/spreadsheets/d/1gYHli7FuKQLm2Q-5LMR0UtkD-gRRA_p8s-phLPLDLgc/edit"",""15!d2:d43""))"),33.0)</f>
        <v>33</v>
      </c>
      <c r="F387" s="45">
        <f>IFERROR(__xludf.DUMMYFUNCTION("SUM(IMPORTRANGE(""https://docs.google.com/spreadsheets/d/1gYHli7FuKQLm2Q-5LMR0UtkD-gRRA_p8s-phLPLDLgc/edit"",""15!Q2:Q43""))"),6372.605999999994)</f>
        <v>6372.606</v>
      </c>
      <c r="G387" s="38">
        <f>IFERROR(__xludf.DUMMYFUNCTION("IMPORTRANGE(""https://docs.google.com/spreadsheets/d/1gYHli7FuKQLm2Q-5LMR0UtkD-gRRA_p8s-phLPLDLgc/edit"",""15!e50"")"),3720.0)</f>
        <v>3720</v>
      </c>
      <c r="H387" s="38">
        <f>IFERROR(__xludf.DUMMYFUNCTION("IMPORTRANGE(""https://docs.google.com/spreadsheets/d/1gYHli7FuKQLm2Q-5LMR0UtkD-gRRA_p8s-phLPLDLgc/edit"",""15!e51"")"),0.0)</f>
        <v>0</v>
      </c>
      <c r="I387" s="40">
        <f t="shared" si="1065"/>
        <v>3720</v>
      </c>
      <c r="J387" s="38">
        <f>IFERROR(__xludf.DUMMYFUNCTION("IMPORTRANGE(""https://docs.google.com/spreadsheets/d/1gYHli7FuKQLm2Q-5LMR0UtkD-gRRA_p8s-phLPLDLgc/edit"",""15!e54"")"),4156.0)</f>
        <v>4156</v>
      </c>
      <c r="K387" s="38">
        <f>IFERROR(__xludf.DUMMYFUNCTION("IMPORTRANGE(""https://docs.google.com/spreadsheets/d/1gYHli7FuKQLm2Q-5LMR0UtkD-gRRA_p8s-phLPLDLgc/edit"",""15!e55"")"),0.0)</f>
        <v>0</v>
      </c>
      <c r="L387" s="40">
        <f t="shared" si="1066"/>
        <v>4156</v>
      </c>
      <c r="M387" s="40">
        <f t="shared" si="1067"/>
        <v>7876</v>
      </c>
      <c r="N387" s="41">
        <f t="shared" si="1068"/>
        <v>193.1092727</v>
      </c>
      <c r="O387" s="38">
        <v>13817.0</v>
      </c>
      <c r="P387" s="42">
        <f t="shared" si="1069"/>
        <v>0.5700224361</v>
      </c>
      <c r="Q387" s="43">
        <v>1.5</v>
      </c>
      <c r="R387" s="42">
        <f t="shared" si="1070"/>
        <v>0.8239434019</v>
      </c>
      <c r="S387" s="44">
        <f t="shared" si="1071"/>
        <v>1.235915103</v>
      </c>
      <c r="T387" s="43">
        <f>F387/25.089</f>
        <v>254</v>
      </c>
      <c r="U387" s="43">
        <f t="shared" si="1072"/>
        <v>7.696969697</v>
      </c>
      <c r="V387" s="40">
        <f t="shared" si="1073"/>
        <v>238.6666667</v>
      </c>
      <c r="X387" s="46" t="s">
        <v>33</v>
      </c>
      <c r="Y387" s="46">
        <v>6.0</v>
      </c>
      <c r="Z387" s="46">
        <f t="shared" ref="Z387:AI387" si="1081">SUM(Z381:Z386)</f>
        <v>152</v>
      </c>
      <c r="AA387" s="47">
        <f t="shared" si="1081"/>
        <v>147</v>
      </c>
      <c r="AB387" s="48">
        <f t="shared" si="1081"/>
        <v>28252.627</v>
      </c>
      <c r="AC387" s="47">
        <f t="shared" si="1081"/>
        <v>8419</v>
      </c>
      <c r="AD387" s="47">
        <f t="shared" si="1081"/>
        <v>96</v>
      </c>
      <c r="AE387" s="47">
        <f t="shared" si="1081"/>
        <v>8515</v>
      </c>
      <c r="AF387" s="47">
        <f t="shared" si="1081"/>
        <v>12225</v>
      </c>
      <c r="AG387" s="47">
        <f t="shared" si="1081"/>
        <v>341</v>
      </c>
      <c r="AH387" s="47">
        <f t="shared" si="1081"/>
        <v>12566</v>
      </c>
      <c r="AI387" s="47">
        <f t="shared" si="1081"/>
        <v>21081</v>
      </c>
      <c r="AJ387" s="49">
        <f t="shared" si="1077"/>
        <v>192.1947415</v>
      </c>
      <c r="AK387" s="46">
        <f>SUM(AK381:AK386)</f>
        <v>35074</v>
      </c>
      <c r="AL387" s="50">
        <f t="shared" si="1055"/>
        <v>0.601043508</v>
      </c>
      <c r="AM387" s="51">
        <v>1.5</v>
      </c>
      <c r="AN387" s="50">
        <f t="shared" si="1057"/>
        <v>0.4974404681</v>
      </c>
      <c r="AO387" s="52">
        <f t="shared" si="1058"/>
        <v>0.7461607022</v>
      </c>
      <c r="AP387" s="51">
        <f>SUM(AP381:AP386)</f>
        <v>1065.598092</v>
      </c>
      <c r="AQ387" s="51">
        <f>AP387/AA387</f>
        <v>7.24896661</v>
      </c>
      <c r="AR387" s="47">
        <f t="shared" si="1060"/>
        <v>143.4081633</v>
      </c>
    </row>
    <row r="388" ht="15.75" customHeight="1">
      <c r="A388" s="21"/>
      <c r="B388" s="38">
        <v>5.0</v>
      </c>
      <c r="C388" s="38" t="s">
        <v>34</v>
      </c>
      <c r="D388" s="39">
        <v>32.0</v>
      </c>
      <c r="E388" s="40">
        <f>IFERROR(__xludf.DUMMYFUNCTION("COUNT(IMPORTRANGE(""https://docs.google.com/spreadsheets/d/1ptS0qWBCKWkc9h2aXWT_YgMhN7yIv5WgAHRbF8l9Zpo/edit"",""15!d2:d41""))"),31.0)</f>
        <v>31</v>
      </c>
      <c r="F388" s="45">
        <f>IFERROR(__xludf.DUMMYFUNCTION("SUM(IMPORTRANGE(""https://docs.google.com/spreadsheets/d/1ptS0qWBCKWkc9h2aXWT_YgMhN7yIv5WgAHRbF8l9Zpo/edit"",""15!Q2:Q41""))"),6051.381000000001)</f>
        <v>6051.381</v>
      </c>
      <c r="G388" s="40">
        <f>IFERROR(__xludf.DUMMYFUNCTION("IMPORTRANGE(""https://docs.google.com/spreadsheets/d/1ptS0qWBCKWkc9h2aXWT_YgMhN7yIv5WgAHRbF8l9Zpo/edit"",""15!e48"")"),1948.0)</f>
        <v>1948</v>
      </c>
      <c r="H388" s="40">
        <f>IFERROR(__xludf.DUMMYFUNCTION("IMPORTRANGE(""https://docs.google.com/spreadsheets/d/1ptS0qWBCKWkc9h2aXWT_YgMhN7yIv5WgAHRbF8l9Zpo/edit"",""15!e49"")"),0.0)</f>
        <v>0</v>
      </c>
      <c r="I388" s="40">
        <f t="shared" si="1065"/>
        <v>1948</v>
      </c>
      <c r="J388" s="40">
        <f>IFERROR(__xludf.DUMMYFUNCTION("IMPORTRANGE(""https://docs.google.com/spreadsheets/d/1ptS0qWBCKWkc9h2aXWT_YgMhN7yIv5WgAHRbF8l9Zpo/edit"",""15!e52"")"),2608.0)</f>
        <v>2608</v>
      </c>
      <c r="K388" s="40">
        <f>IFERROR(__xludf.DUMMYFUNCTION("IMPORTRANGE(""https://docs.google.com/spreadsheets/d/1ptS0qWBCKWkc9h2aXWT_YgMhN7yIv5WgAHRbF8l9Zpo/edit"",""15!e53"")"),0.0)</f>
        <v>0</v>
      </c>
      <c r="L388" s="40">
        <f t="shared" si="1066"/>
        <v>2608</v>
      </c>
      <c r="M388" s="40">
        <f t="shared" si="1067"/>
        <v>4556</v>
      </c>
      <c r="N388" s="41">
        <f t="shared" si="1068"/>
        <v>195.2058387</v>
      </c>
      <c r="O388" s="38">
        <v>9354.0</v>
      </c>
      <c r="P388" s="42">
        <f t="shared" si="1069"/>
        <v>0.4870643575</v>
      </c>
      <c r="Q388" s="43">
        <v>1.5</v>
      </c>
      <c r="R388" s="42">
        <f t="shared" si="1070"/>
        <v>0.5019239961</v>
      </c>
      <c r="S388" s="44">
        <f t="shared" si="1071"/>
        <v>0.7528859941</v>
      </c>
      <c r="T388" s="43">
        <f>F388/30.713</f>
        <v>197.0299547</v>
      </c>
      <c r="U388" s="43">
        <f t="shared" si="1072"/>
        <v>6.355804992</v>
      </c>
      <c r="V388" s="40">
        <f t="shared" si="1073"/>
        <v>146.9677419</v>
      </c>
      <c r="X388" s="53" t="s">
        <v>35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6"/>
    </row>
    <row r="389" ht="15.75" customHeight="1">
      <c r="A389" s="21"/>
      <c r="B389" s="38">
        <v>6.0</v>
      </c>
      <c r="C389" s="38" t="s">
        <v>23</v>
      </c>
      <c r="D389" s="39">
        <v>28.0</v>
      </c>
      <c r="E389" s="40">
        <f>IFERROR(__xludf.DUMMYFUNCTION("COUNT(IMPORTRANGE(""https://docs.google.com/spreadsheets/d/1829CoYW82aTBBUgqkPnJa94KlBWI-DowAnP4ENQCmaQ/edit"",""15!d2:d36""))"),27.0)</f>
        <v>27</v>
      </c>
      <c r="F389" s="45">
        <f>IFERROR(__xludf.DUMMYFUNCTION("SUM(IMPORTRANGE(""https://docs.google.com/spreadsheets/d/1829CoYW82aTBBUgqkPnJa94KlBWI-DowAnP4ENQCmaQ/edit"",""15!Q2:Q36""))"),5297.1799999999985)</f>
        <v>5297.18</v>
      </c>
      <c r="G389" s="40">
        <f>IFERROR(__xludf.DUMMYFUNCTION("IMPORTRANGE(""https://docs.google.com/spreadsheets/d/1829CoYW82aTBBUgqkPnJa94KlBWI-DowAnP4ENQCmaQ/edit"",""15!e43"")"),1481.0)</f>
        <v>1481</v>
      </c>
      <c r="H389" s="40">
        <f>IFERROR(__xludf.DUMMYFUNCTION("IMPORTRANGE(""https://docs.google.com/spreadsheets/d/1829CoYW82aTBBUgqkPnJa94KlBWI-DowAnP4ENQCmaQ/edit"",""15!e44"")"),0.0)</f>
        <v>0</v>
      </c>
      <c r="I389" s="40">
        <f t="shared" si="1065"/>
        <v>1481</v>
      </c>
      <c r="J389" s="40">
        <f>IFERROR(__xludf.DUMMYFUNCTION("IMPORTRANGE(""https://docs.google.com/spreadsheets/d/1829CoYW82aTBBUgqkPnJa94KlBWI-DowAnP4ENQCmaQ/edit"",""15!e47"")"),2066.0)</f>
        <v>2066</v>
      </c>
      <c r="K389" s="40">
        <f>IFERROR(__xludf.DUMMYFUNCTION("IMPORTRANGE(""https://docs.google.com/spreadsheets/d/1829CoYW82aTBBUgqkPnJa94KlBWI-DowAnP4ENQCmaQ/edit"",""15!e48"")"),0.0)</f>
        <v>0</v>
      </c>
      <c r="L389" s="40">
        <f t="shared" si="1066"/>
        <v>2066</v>
      </c>
      <c r="M389" s="40">
        <f t="shared" si="1067"/>
        <v>3547</v>
      </c>
      <c r="N389" s="41">
        <f t="shared" si="1068"/>
        <v>196.1918519</v>
      </c>
      <c r="O389" s="38">
        <v>6853.0</v>
      </c>
      <c r="P389" s="42">
        <f t="shared" si="1069"/>
        <v>0.5175835401</v>
      </c>
      <c r="Q389" s="43">
        <v>1.5</v>
      </c>
      <c r="R389" s="42">
        <f t="shared" si="1070"/>
        <v>0.4464010411</v>
      </c>
      <c r="S389" s="44">
        <f t="shared" si="1071"/>
        <v>0.6696015616</v>
      </c>
      <c r="T389" s="43">
        <f>F389/33.74</f>
        <v>157</v>
      </c>
      <c r="U389" s="43">
        <f t="shared" si="1072"/>
        <v>5.814814815</v>
      </c>
      <c r="V389" s="40">
        <f t="shared" si="1073"/>
        <v>131.3703704</v>
      </c>
      <c r="X389" s="14" t="s">
        <v>2</v>
      </c>
      <c r="Y389" s="14" t="s">
        <v>3</v>
      </c>
      <c r="Z389" s="14" t="s">
        <v>4</v>
      </c>
      <c r="AA389" s="14" t="s">
        <v>5</v>
      </c>
      <c r="AB389" s="15" t="s">
        <v>6</v>
      </c>
      <c r="AC389" s="14" t="s">
        <v>7</v>
      </c>
      <c r="AD389" s="14" t="s">
        <v>8</v>
      </c>
      <c r="AE389" s="14" t="s">
        <v>9</v>
      </c>
      <c r="AF389" s="14" t="s">
        <v>10</v>
      </c>
      <c r="AG389" s="14" t="s">
        <v>11</v>
      </c>
      <c r="AH389" s="14" t="s">
        <v>12</v>
      </c>
      <c r="AI389" s="14" t="s">
        <v>13</v>
      </c>
      <c r="AJ389" s="15" t="s">
        <v>14</v>
      </c>
      <c r="AK389" s="14" t="s">
        <v>15</v>
      </c>
      <c r="AL389" s="14" t="s">
        <v>16</v>
      </c>
      <c r="AM389" s="16" t="s">
        <v>17</v>
      </c>
      <c r="AN389" s="17" t="s">
        <v>18</v>
      </c>
      <c r="AO389" s="18" t="s">
        <v>19</v>
      </c>
      <c r="AP389" s="19" t="s">
        <v>20</v>
      </c>
      <c r="AQ389" s="19" t="s">
        <v>21</v>
      </c>
      <c r="AR389" s="20" t="s">
        <v>22</v>
      </c>
    </row>
    <row r="390" ht="15.75" customHeight="1">
      <c r="A390" s="21"/>
      <c r="B390" s="38">
        <v>7.0</v>
      </c>
      <c r="C390" s="38" t="s">
        <v>24</v>
      </c>
      <c r="D390" s="39">
        <v>37.0</v>
      </c>
      <c r="E390" s="54">
        <f>IFERROR(__xludf.DUMMYFUNCTION("COUNT(IMPORTRANGE(""https://docs.google.com/spreadsheets/d/1E2x4oDZxEIsuC5nl-5Z0--MoN8b1dt9SbpRcCfNP84Q/edit"",""15!d2:d45""))"),36.0)</f>
        <v>36</v>
      </c>
      <c r="F390" s="55">
        <f>IFERROR(__xludf.DUMMYFUNCTION("SUM(IMPORTRANGE(""https://docs.google.com/spreadsheets/d/1E2x4oDZxEIsuC5nl-5Z0--MoN8b1dt9SbpRcCfNP84Q/edit"",""15!Q2:Q45""))"),6902.346999999995)</f>
        <v>6902.347</v>
      </c>
      <c r="G390" s="54">
        <f>IFERROR(__xludf.DUMMYFUNCTION("IMPORTRANGE(""https://docs.google.com/spreadsheets/d/1E2x4oDZxEIsuC5nl-5Z0--MoN8b1dt9SbpRcCfNP84Q/edit"",""15!e53"")"),833.0)</f>
        <v>833</v>
      </c>
      <c r="H390" s="54">
        <f>IFERROR(__xludf.DUMMYFUNCTION("IMPORTRANGE(""https://docs.google.com/spreadsheets/d/1E2x4oDZxEIsuC5nl-5Z0--MoN8b1dt9SbpRcCfNP84Q/edit"",""15!e54"")"),8.0)</f>
        <v>8</v>
      </c>
      <c r="I390" s="54">
        <f t="shared" si="1065"/>
        <v>841</v>
      </c>
      <c r="J390" s="54">
        <f>IFERROR(__xludf.DUMMYFUNCTION("IMPORTRANGE(""https://docs.google.com/spreadsheets/d/1E2x4oDZxEIsuC5nl-5Z0--MoN8b1dt9SbpRcCfNP84Q/edit"",""15!e57"")"),1153.0)</f>
        <v>1153</v>
      </c>
      <c r="K390" s="54">
        <f>IFERROR(__xludf.DUMMYFUNCTION("IMPORTRANGE(""https://docs.google.com/spreadsheets/d/1E2x4oDZxEIsuC5nl-5Z0--MoN8b1dt9SbpRcCfNP84Q/edit"",""15!e58"")"),14.0)</f>
        <v>14</v>
      </c>
      <c r="L390" s="40">
        <f t="shared" si="1066"/>
        <v>1167</v>
      </c>
      <c r="M390" s="40">
        <f t="shared" si="1067"/>
        <v>2008</v>
      </c>
      <c r="N390" s="41">
        <f t="shared" si="1068"/>
        <v>191.7318611</v>
      </c>
      <c r="O390" s="38">
        <v>1580.0</v>
      </c>
      <c r="P390" s="56">
        <f t="shared" si="1069"/>
        <v>1.270886076</v>
      </c>
      <c r="Q390" s="43">
        <v>1.5</v>
      </c>
      <c r="R390" s="42">
        <f t="shared" si="1070"/>
        <v>0.1939436929</v>
      </c>
      <c r="S390" s="44">
        <f t="shared" si="1071"/>
        <v>0.2909155393</v>
      </c>
      <c r="T390" s="43">
        <f>F390/26.805</f>
        <v>257.5022197</v>
      </c>
      <c r="U390" s="43">
        <f t="shared" si="1072"/>
        <v>7.152839437</v>
      </c>
      <c r="V390" s="40">
        <f t="shared" si="1073"/>
        <v>55.77777778</v>
      </c>
      <c r="X390" s="22">
        <v>1.0</v>
      </c>
      <c r="Y390" s="22" t="s">
        <v>28</v>
      </c>
      <c r="Z390" s="22">
        <f t="shared" ref="Z390:AI390" si="1082">SUM(D385)</f>
        <v>26</v>
      </c>
      <c r="AA390" s="23">
        <f t="shared" si="1082"/>
        <v>25</v>
      </c>
      <c r="AB390" s="25">
        <f t="shared" si="1082"/>
        <v>4846.123</v>
      </c>
      <c r="AC390" s="23">
        <f t="shared" si="1082"/>
        <v>1700</v>
      </c>
      <c r="AD390" s="23">
        <f t="shared" si="1082"/>
        <v>89</v>
      </c>
      <c r="AE390" s="23">
        <f t="shared" si="1082"/>
        <v>1789</v>
      </c>
      <c r="AF390" s="23">
        <f t="shared" si="1082"/>
        <v>2160</v>
      </c>
      <c r="AG390" s="23">
        <f t="shared" si="1082"/>
        <v>149</v>
      </c>
      <c r="AH390" s="23">
        <f t="shared" si="1082"/>
        <v>2309</v>
      </c>
      <c r="AI390" s="23">
        <f t="shared" si="1082"/>
        <v>4098</v>
      </c>
      <c r="AJ390" s="25">
        <f t="shared" ref="AJ390:AJ396" si="1085">AB390/AA390</f>
        <v>193.84492</v>
      </c>
      <c r="AK390" s="22">
        <f t="shared" ref="AK390:AK391" si="1086">SUM(O385)</f>
        <v>7315</v>
      </c>
      <c r="AL390" s="26">
        <f t="shared" ref="AL390:AL396" si="1087">AI390/AK390</f>
        <v>0.5602187286</v>
      </c>
      <c r="AM390" s="27">
        <f t="shared" ref="AM390:AM391" si="1088">SUM(Q385)</f>
        <v>1.5</v>
      </c>
      <c r="AN390" s="26">
        <f t="shared" ref="AN390:AN396" si="1089">AO390/AM390</f>
        <v>0.5637496201</v>
      </c>
      <c r="AO390" s="28">
        <f t="shared" ref="AO390:AO396" si="1090">AI390/AB390</f>
        <v>0.8456244301</v>
      </c>
      <c r="AP390" s="27">
        <f t="shared" ref="AP390:AQ390" si="1083">SUM(T385)</f>
        <v>156.8476875</v>
      </c>
      <c r="AQ390" s="27">
        <f t="shared" si="1083"/>
        <v>6.273907499</v>
      </c>
      <c r="AR390" s="23">
        <f t="shared" ref="AR390:AR396" si="1092">AI390/AA390</f>
        <v>163.92</v>
      </c>
    </row>
    <row r="391" ht="15.75" customHeight="1">
      <c r="A391" s="21"/>
      <c r="B391" s="38">
        <v>8.0</v>
      </c>
      <c r="C391" s="38" t="s">
        <v>25</v>
      </c>
      <c r="D391" s="57">
        <v>27.0</v>
      </c>
      <c r="E391" s="40">
        <f>IFERROR(__xludf.DUMMYFUNCTION("COUNT(IMPORTRANGE(""https://docs.google.com/spreadsheets/d/1KbRFOEYB0B44J_NSh1MwYQ1sLDlZXUHI-wuMLcZDn5k/edit"",""15!d2:D33""))"),27.0)</f>
        <v>27</v>
      </c>
      <c r="F391" s="45">
        <f>IFERROR(__xludf.DUMMYFUNCTION("SUM(IMPORTRANGE(""https://docs.google.com/spreadsheets/d/1KbRFOEYB0B44J_NSh1MwYQ1sLDlZXUHI-wuMLcZDn5k/edit"",""15!Q2:Q33""))"),5125.6)</f>
        <v>5125.6</v>
      </c>
      <c r="G391" s="40">
        <f>IFERROR(__xludf.DUMMYFUNCTION("IMPORTRANGE(""https://docs.google.com/spreadsheets/d/1KbRFOEYB0B44J_NSh1MwYQ1sLDlZXUHI-wuMLcZDn5k/edit"",""15!e40"")"),1497.0)</f>
        <v>1497</v>
      </c>
      <c r="H391" s="40">
        <f>IFERROR(__xludf.DUMMYFUNCTION("IMPORTRANGE(""https://docs.google.com/spreadsheets/d/1KbRFOEYB0B44J_NSh1MwYQ1sLDlZXUHI-wuMLcZDn5k/edit"",""15!e41"")"),73.0)</f>
        <v>73</v>
      </c>
      <c r="I391" s="40">
        <f t="shared" si="1065"/>
        <v>1570</v>
      </c>
      <c r="J391" s="40">
        <f>IFERROR(__xludf.DUMMYFUNCTION("IMPORTRANGE(""https://docs.google.com/spreadsheets/d/1KbRFOEYB0B44J_NSh1MwYQ1sLDlZXUHI-wuMLcZDn5k/edit"",""15!e44"")"),3042.0)</f>
        <v>3042</v>
      </c>
      <c r="K391" s="40">
        <f>IFERROR(__xludf.DUMMYFUNCTION("IMPORTRANGE(""https://docs.google.com/spreadsheets/d/1KbRFOEYB0B44J_NSh1MwYQ1sLDlZXUHI-wuMLcZDn5k/edit"",""15!e45"")"),327.0)</f>
        <v>327</v>
      </c>
      <c r="L391" s="40">
        <f>J391+K391</f>
        <v>3369</v>
      </c>
      <c r="M391" s="40">
        <f t="shared" si="1067"/>
        <v>4939</v>
      </c>
      <c r="N391" s="41">
        <f t="shared" si="1068"/>
        <v>189.837037</v>
      </c>
      <c r="O391" s="38">
        <v>6622.0</v>
      </c>
      <c r="P391" s="42">
        <f t="shared" si="1069"/>
        <v>0.7458471761</v>
      </c>
      <c r="Q391" s="43">
        <v>1.5</v>
      </c>
      <c r="R391" s="42">
        <f t="shared" si="1070"/>
        <v>0.6423963373</v>
      </c>
      <c r="S391" s="44">
        <f t="shared" si="1071"/>
        <v>0.963594506</v>
      </c>
      <c r="T391" s="43">
        <f>F391/23.84</f>
        <v>215</v>
      </c>
      <c r="U391" s="43">
        <f t="shared" si="1072"/>
        <v>7.962962963</v>
      </c>
      <c r="V391" s="40">
        <f t="shared" si="1073"/>
        <v>182.9259259</v>
      </c>
      <c r="X391" s="31">
        <v>2.0</v>
      </c>
      <c r="Y391" s="31" t="s">
        <v>30</v>
      </c>
      <c r="Z391" s="31">
        <f t="shared" ref="Z391:AI391" si="1084">SUM(D386)</f>
        <v>48</v>
      </c>
      <c r="AA391" s="32">
        <f t="shared" si="1084"/>
        <v>46</v>
      </c>
      <c r="AB391" s="33">
        <f t="shared" si="1084"/>
        <v>8770.898</v>
      </c>
      <c r="AC391" s="32">
        <f t="shared" si="1084"/>
        <v>2448</v>
      </c>
      <c r="AD391" s="32">
        <f t="shared" si="1084"/>
        <v>0</v>
      </c>
      <c r="AE391" s="32">
        <f t="shared" si="1084"/>
        <v>2448</v>
      </c>
      <c r="AF391" s="32">
        <f t="shared" si="1084"/>
        <v>4264</v>
      </c>
      <c r="AG391" s="32">
        <f t="shared" si="1084"/>
        <v>64</v>
      </c>
      <c r="AH391" s="32">
        <f t="shared" si="1084"/>
        <v>4328</v>
      </c>
      <c r="AI391" s="32">
        <f t="shared" si="1084"/>
        <v>6776</v>
      </c>
      <c r="AJ391" s="34">
        <f t="shared" si="1085"/>
        <v>190.6716957</v>
      </c>
      <c r="AK391" s="31">
        <f t="shared" si="1086"/>
        <v>11164</v>
      </c>
      <c r="AL391" s="35">
        <f t="shared" si="1087"/>
        <v>0.6069509137</v>
      </c>
      <c r="AM391" s="36">
        <f t="shared" si="1088"/>
        <v>1.5</v>
      </c>
      <c r="AN391" s="35">
        <f t="shared" si="1089"/>
        <v>0.5150365827</v>
      </c>
      <c r="AO391" s="37">
        <f t="shared" si="1090"/>
        <v>0.7725548741</v>
      </c>
      <c r="AP391" s="36">
        <f t="shared" ref="AP391:AQ391" si="1091">SUM(T386)</f>
        <v>296.2840928</v>
      </c>
      <c r="AQ391" s="36">
        <f t="shared" si="1091"/>
        <v>6.44095854</v>
      </c>
      <c r="AR391" s="32">
        <f t="shared" si="1092"/>
        <v>147.3043478</v>
      </c>
    </row>
    <row r="392" ht="15.75" customHeight="1">
      <c r="A392" s="21"/>
      <c r="B392" s="38">
        <v>9.0</v>
      </c>
      <c r="C392" s="38" t="s">
        <v>36</v>
      </c>
      <c r="D392" s="58">
        <v>23.0</v>
      </c>
      <c r="E392" s="40">
        <f>IFERROR(__xludf.DUMMYFUNCTION("COUNT(IMPORTRANGE(""https://docs.google.com/spreadsheets/d/1VqqqRGfmmkT0JC4ILJva2p8P11jjV0FX-TSKAaqOigw/edit"",""15!d2:d31""))"),23.0)</f>
        <v>23</v>
      </c>
      <c r="F392" s="45">
        <f>IFERROR(__xludf.DUMMYFUNCTION("SUM(IMPORTRANGE(""https://docs.google.com/spreadsheets/d/1VqqqRGfmmkT0JC4ILJva2p8P11jjV0FX-TSKAaqOigw/edit"",""15!Q2:Q31""))"),4520.710000000001)</f>
        <v>4520.71</v>
      </c>
      <c r="G392" s="40">
        <f>IFERROR(__xludf.DUMMYFUNCTION("IMPORTRANGE(""https://docs.google.com/spreadsheets/d/1VqqqRGfmmkT0JC4ILJva2p8P11jjV0FX-TSKAaqOigw/edit"",""15!e38"")"),1063.0)</f>
        <v>1063</v>
      </c>
      <c r="H392" s="40">
        <f>IFERROR(__xludf.DUMMYFUNCTION("IMPORTRANGE(""https://docs.google.com/spreadsheets/d/1VqqqRGfmmkT0JC4ILJva2p8P11jjV0FX-TSKAaqOigw/edit"",""15!e39"")"),0.0)</f>
        <v>0</v>
      </c>
      <c r="I392" s="40">
        <f t="shared" si="1065"/>
        <v>1063</v>
      </c>
      <c r="J392" s="40">
        <f>IFERROR(__xludf.DUMMYFUNCTION("IMPORTRANGE(""https://docs.google.com/spreadsheets/d/1VqqqRGfmmkT0JC4ILJva2p8P11jjV0FX-TSKAaqOigw/edit"",""15!e42"")"),2162.0)</f>
        <v>2162</v>
      </c>
      <c r="K392" s="40">
        <f>IFERROR(__xludf.DUMMYFUNCTION("IMPORTRANGE(""https://docs.google.com/spreadsheets/d/1VqqqRGfmmkT0JC4ILJva2p8P11jjV0FX-TSKAaqOigw/edit"",""15!e43"")"),0.0)</f>
        <v>0</v>
      </c>
      <c r="L392" s="40">
        <f t="shared" ref="L392:L401" si="1095">SUM(J392:K392)</f>
        <v>2162</v>
      </c>
      <c r="M392" s="40">
        <f t="shared" si="1067"/>
        <v>3225</v>
      </c>
      <c r="N392" s="41">
        <f t="shared" si="1068"/>
        <v>196.5526087</v>
      </c>
      <c r="O392" s="38">
        <v>4796.0</v>
      </c>
      <c r="P392" s="42">
        <f t="shared" si="1069"/>
        <v>0.6724353628</v>
      </c>
      <c r="Q392" s="43">
        <v>1.5</v>
      </c>
      <c r="R392" s="42">
        <f t="shared" si="1070"/>
        <v>0.4755890115</v>
      </c>
      <c r="S392" s="44">
        <f t="shared" si="1071"/>
        <v>0.7133835172</v>
      </c>
      <c r="T392" s="43">
        <f>F392/37.414</f>
        <v>120.8293687</v>
      </c>
      <c r="U392" s="43">
        <f t="shared" si="1072"/>
        <v>5.253450812</v>
      </c>
      <c r="V392" s="40">
        <f t="shared" si="1073"/>
        <v>140.2173913</v>
      </c>
      <c r="X392" s="22">
        <v>3.0</v>
      </c>
      <c r="Y392" s="22" t="s">
        <v>34</v>
      </c>
      <c r="Z392" s="22">
        <f t="shared" ref="Z392:AI392" si="1093">SUM(D388)</f>
        <v>32</v>
      </c>
      <c r="AA392" s="23">
        <f t="shared" si="1093"/>
        <v>31</v>
      </c>
      <c r="AB392" s="24">
        <f t="shared" si="1093"/>
        <v>6051.381</v>
      </c>
      <c r="AC392" s="23">
        <f t="shared" si="1093"/>
        <v>1948</v>
      </c>
      <c r="AD392" s="23">
        <f t="shared" si="1093"/>
        <v>0</v>
      </c>
      <c r="AE392" s="23">
        <f t="shared" si="1093"/>
        <v>1948</v>
      </c>
      <c r="AF392" s="23">
        <f t="shared" si="1093"/>
        <v>2608</v>
      </c>
      <c r="AG392" s="23">
        <f t="shared" si="1093"/>
        <v>0</v>
      </c>
      <c r="AH392" s="23">
        <f t="shared" si="1093"/>
        <v>2608</v>
      </c>
      <c r="AI392" s="23">
        <f t="shared" si="1093"/>
        <v>4556</v>
      </c>
      <c r="AJ392" s="25">
        <f t="shared" si="1085"/>
        <v>195.2058387</v>
      </c>
      <c r="AK392" s="22">
        <f>SUM(O388)</f>
        <v>9354</v>
      </c>
      <c r="AL392" s="26">
        <f t="shared" si="1087"/>
        <v>0.4870643575</v>
      </c>
      <c r="AM392" s="27">
        <f>SUM(Q388)</f>
        <v>1.5</v>
      </c>
      <c r="AN392" s="26">
        <f t="shared" si="1089"/>
        <v>0.5019239961</v>
      </c>
      <c r="AO392" s="28">
        <f t="shared" si="1090"/>
        <v>0.7528859941</v>
      </c>
      <c r="AP392" s="27">
        <f t="shared" ref="AP392:AQ392" si="1094">SUM(T388)</f>
        <v>197.0299547</v>
      </c>
      <c r="AQ392" s="27">
        <f t="shared" si="1094"/>
        <v>6.355804992</v>
      </c>
      <c r="AR392" s="23">
        <f t="shared" si="1092"/>
        <v>146.9677419</v>
      </c>
    </row>
    <row r="393" ht="15.75" customHeight="1">
      <c r="A393" s="21"/>
      <c r="B393" s="38">
        <v>10.0</v>
      </c>
      <c r="C393" s="38" t="s">
        <v>37</v>
      </c>
      <c r="D393" s="39">
        <v>24.0</v>
      </c>
      <c r="E393" s="40">
        <f>IFERROR(__xludf.DUMMYFUNCTION("COUNT(IMPORTRANGE(""https://docs.google.com/spreadsheets/d/1IYeRjQd_D6MRqoBKNaky3aSEUloYCJc5XDnPAbdyetk/edit"",""15!d2:d31""))"),24.0)</f>
        <v>24</v>
      </c>
      <c r="F393" s="45">
        <f>IFERROR(__xludf.DUMMYFUNCTION("SUM(IMPORTRANGE(""https://docs.google.com/spreadsheets/d/1IYeRjQd_D6MRqoBKNaky3aSEUloYCJc5XDnPAbdyetk/edit"",""15!Q2:Q31""))"),4795.7159999999985)</f>
        <v>4795.716</v>
      </c>
      <c r="G393" s="40">
        <f>IFERROR(__xludf.DUMMYFUNCTION("(IMPORTRANGE(""https://docs.google.com/spreadsheets/d/1IYeRjQd_D6MRqoBKNaky3aSEUloYCJc5XDnPAbdyetk/edit"",""15!e38""))"),1429.0)</f>
        <v>1429</v>
      </c>
      <c r="H393" s="40">
        <f>IFERROR(__xludf.DUMMYFUNCTION("(IMPORTRANGE(""https://docs.google.com/spreadsheets/d/1IYeRjQd_D6MRqoBKNaky3aSEUloYCJc5XDnPAbdyetk/edit"",""15!e39""))"),0.0)</f>
        <v>0</v>
      </c>
      <c r="I393" s="40">
        <f t="shared" si="1065"/>
        <v>1429</v>
      </c>
      <c r="J393" s="40">
        <f>IFERROR(__xludf.DUMMYFUNCTION("(IMPORTRANGE(""https://docs.google.com/spreadsheets/d/1IYeRjQd_D6MRqoBKNaky3aSEUloYCJc5XDnPAbdyetk/edit"",""15!e42""))"),2385.0)</f>
        <v>2385</v>
      </c>
      <c r="K393" s="40">
        <f>IFERROR(__xludf.DUMMYFUNCTION("(IMPORTRANGE(""https://docs.google.com/spreadsheets/d/1IYeRjQd_D6MRqoBKNaky3aSEUloYCJc5XDnPAbdyetk/edit"",""15!e43""))"),0.0)</f>
        <v>0</v>
      </c>
      <c r="L393" s="40">
        <f t="shared" si="1095"/>
        <v>2385</v>
      </c>
      <c r="M393" s="40">
        <f t="shared" si="1067"/>
        <v>3814</v>
      </c>
      <c r="N393" s="41">
        <f t="shared" si="1068"/>
        <v>199.8215</v>
      </c>
      <c r="O393" s="38">
        <v>5887.0</v>
      </c>
      <c r="P393" s="42">
        <f t="shared" si="1069"/>
        <v>0.6478681841</v>
      </c>
      <c r="Q393" s="43">
        <v>1.5</v>
      </c>
      <c r="R393" s="42">
        <f t="shared" si="1070"/>
        <v>0.5301954216</v>
      </c>
      <c r="S393" s="44">
        <f t="shared" si="1071"/>
        <v>0.7952931325</v>
      </c>
      <c r="T393" s="43">
        <f>F393/24.792</f>
        <v>193.4380445</v>
      </c>
      <c r="U393" s="43">
        <f t="shared" si="1072"/>
        <v>8.059918522</v>
      </c>
      <c r="V393" s="40">
        <f t="shared" si="1073"/>
        <v>158.9166667</v>
      </c>
      <c r="X393" s="31">
        <v>4.0</v>
      </c>
      <c r="Y393" s="31" t="s">
        <v>38</v>
      </c>
      <c r="Z393" s="31">
        <f t="shared" ref="Z393:AI393" si="1096">SUM(D396)</f>
        <v>24</v>
      </c>
      <c r="AA393" s="32">
        <f t="shared" si="1096"/>
        <v>24</v>
      </c>
      <c r="AB393" s="33">
        <f t="shared" si="1096"/>
        <v>4656.165</v>
      </c>
      <c r="AC393" s="32">
        <f t="shared" si="1096"/>
        <v>1454</v>
      </c>
      <c r="AD393" s="32">
        <f t="shared" si="1096"/>
        <v>0</v>
      </c>
      <c r="AE393" s="32">
        <f t="shared" si="1096"/>
        <v>1454</v>
      </c>
      <c r="AF393" s="32">
        <f t="shared" si="1096"/>
        <v>1776</v>
      </c>
      <c r="AG393" s="32">
        <f t="shared" si="1096"/>
        <v>164</v>
      </c>
      <c r="AH393" s="32">
        <f t="shared" si="1096"/>
        <v>1940</v>
      </c>
      <c r="AI393" s="32">
        <f t="shared" si="1096"/>
        <v>3394</v>
      </c>
      <c r="AJ393" s="34">
        <f t="shared" si="1085"/>
        <v>194.006875</v>
      </c>
      <c r="AK393" s="31">
        <v>7324.0</v>
      </c>
      <c r="AL393" s="35">
        <f t="shared" si="1087"/>
        <v>0.4634079738</v>
      </c>
      <c r="AM393" s="36">
        <f>SUM(Q396)</f>
        <v>1.5</v>
      </c>
      <c r="AN393" s="35">
        <f t="shared" si="1089"/>
        <v>0.4859507055</v>
      </c>
      <c r="AO393" s="37">
        <f t="shared" si="1090"/>
        <v>0.7289260582</v>
      </c>
      <c r="AP393" s="36">
        <f t="shared" ref="AP393:AQ393" si="1097">SUM(T396)</f>
        <v>113</v>
      </c>
      <c r="AQ393" s="36">
        <f t="shared" si="1097"/>
        <v>4.708333333</v>
      </c>
      <c r="AR393" s="32">
        <f t="shared" si="1092"/>
        <v>141.4166667</v>
      </c>
    </row>
    <row r="394" ht="15.75" customHeight="1">
      <c r="A394" s="21"/>
      <c r="B394" s="38">
        <v>12.0</v>
      </c>
      <c r="C394" s="38" t="s">
        <v>39</v>
      </c>
      <c r="D394" s="39">
        <v>22.0</v>
      </c>
      <c r="E394" s="40">
        <f>IFERROR(__xludf.DUMMYFUNCTION("COUNT(IMPORTRANGE(""https://docs.google.com/spreadsheets/d/1TAY2D35yAzyl8a_p5CuZehQvmatfj0b0Q8ICl8GtJBY/edit"",""15!d2:d29""))"),21.0)</f>
        <v>21</v>
      </c>
      <c r="F394" s="45">
        <f>IFERROR(__xludf.DUMMYFUNCTION("SUM(IMPORTRANGE(""https://docs.google.com/spreadsheets/d/1TAY2D35yAzyl8a_p5CuZehQvmatfj0b0Q8ICl8GtJBY/edit"",""15!Q2:Q29""))"),4190.741999999998)</f>
        <v>4190.742</v>
      </c>
      <c r="G394" s="40">
        <f>IFERROR(__xludf.DUMMYFUNCTION("IMPORTRANGE(""https://docs.google.com/spreadsheets/d/1TAY2D35yAzyl8a_p5CuZehQvmatfj0b0Q8ICl8GtJBY/edit"",""15!e36"")"),1025.0)</f>
        <v>1025</v>
      </c>
      <c r="H394" s="40">
        <f>IFERROR(__xludf.DUMMYFUNCTION("(IMPORTRANGE(""https://docs.google.com/spreadsheets/d/1TAY2D35yAzyl8a_p5CuZehQvmatfj0b0Q8ICl8GtJBY/edit"",""15!e37""))"),0.0)</f>
        <v>0</v>
      </c>
      <c r="I394" s="40">
        <f t="shared" si="1065"/>
        <v>1025</v>
      </c>
      <c r="J394" s="40">
        <f>IFERROR(__xludf.DUMMYFUNCTION("IMPORTRANGE(""https://docs.google.com/spreadsheets/d/1TAY2D35yAzyl8a_p5CuZehQvmatfj0b0Q8ICl8GtJBY/edit"",""15!e40"")"),1698.0)</f>
        <v>1698</v>
      </c>
      <c r="K394" s="40">
        <f>IFERROR(__xludf.DUMMYFUNCTION("IMPORTRANGE(""https://docs.google.com/spreadsheets/d/1TAY2D35yAzyl8a_p5CuZehQvmatfj0b0Q8ICl8GtJBY/edit"",""15!e41"")"),0.0)</f>
        <v>0</v>
      </c>
      <c r="L394" s="40">
        <f t="shared" si="1095"/>
        <v>1698</v>
      </c>
      <c r="M394" s="40">
        <f t="shared" si="1067"/>
        <v>2723</v>
      </c>
      <c r="N394" s="41">
        <f t="shared" si="1068"/>
        <v>199.5591429</v>
      </c>
      <c r="O394" s="38">
        <v>3569.0</v>
      </c>
      <c r="P394" s="42">
        <f t="shared" si="1069"/>
        <v>0.762958812</v>
      </c>
      <c r="Q394" s="43">
        <v>1.5</v>
      </c>
      <c r="R394" s="42">
        <f t="shared" si="1070"/>
        <v>0.4331770682</v>
      </c>
      <c r="S394" s="44">
        <f t="shared" si="1071"/>
        <v>0.6497656024</v>
      </c>
      <c r="T394" s="43">
        <f>F394/21.463</f>
        <v>195.2542515</v>
      </c>
      <c r="U394" s="43">
        <f t="shared" si="1072"/>
        <v>9.2978215</v>
      </c>
      <c r="V394" s="40">
        <f t="shared" si="1073"/>
        <v>129.6666667</v>
      </c>
      <c r="X394" s="31">
        <v>5.0</v>
      </c>
      <c r="Y394" s="31" t="s">
        <v>40</v>
      </c>
      <c r="Z394" s="31">
        <f t="shared" ref="Z394:AI394" si="1098">SUM(D398)</f>
        <v>24</v>
      </c>
      <c r="AA394" s="32">
        <f t="shared" si="1098"/>
        <v>24</v>
      </c>
      <c r="AB394" s="33">
        <f t="shared" si="1098"/>
        <v>4778.424</v>
      </c>
      <c r="AC394" s="32">
        <f t="shared" si="1098"/>
        <v>2574</v>
      </c>
      <c r="AD394" s="32">
        <f t="shared" si="1098"/>
        <v>13</v>
      </c>
      <c r="AE394" s="32">
        <f t="shared" si="1098"/>
        <v>2587</v>
      </c>
      <c r="AF394" s="32">
        <f t="shared" si="1098"/>
        <v>3248</v>
      </c>
      <c r="AG394" s="32">
        <f t="shared" si="1098"/>
        <v>0</v>
      </c>
      <c r="AH394" s="32">
        <f t="shared" si="1098"/>
        <v>3248</v>
      </c>
      <c r="AI394" s="32">
        <f t="shared" si="1098"/>
        <v>5835</v>
      </c>
      <c r="AJ394" s="34">
        <f t="shared" si="1085"/>
        <v>199.101</v>
      </c>
      <c r="AK394" s="31">
        <f t="shared" ref="AK394:AK395" si="1101">SUM(O398)</f>
        <v>8239</v>
      </c>
      <c r="AL394" s="35">
        <f t="shared" si="1087"/>
        <v>0.7082170166</v>
      </c>
      <c r="AM394" s="36">
        <f t="shared" ref="AM394:AM395" si="1102">SUM(Q398)</f>
        <v>1.5</v>
      </c>
      <c r="AN394" s="35">
        <f t="shared" si="1089"/>
        <v>0.814075938</v>
      </c>
      <c r="AO394" s="37">
        <f t="shared" si="1090"/>
        <v>1.221113907</v>
      </c>
      <c r="AP394" s="36">
        <f t="shared" ref="AP394:AQ394" si="1099">SUM(T398)</f>
        <v>168</v>
      </c>
      <c r="AQ394" s="36">
        <f t="shared" si="1099"/>
        <v>7</v>
      </c>
      <c r="AR394" s="32">
        <f t="shared" si="1092"/>
        <v>243.125</v>
      </c>
    </row>
    <row r="395" ht="15.75" customHeight="1">
      <c r="A395" s="21"/>
      <c r="B395" s="38">
        <v>12.0</v>
      </c>
      <c r="C395" s="38" t="s">
        <v>41</v>
      </c>
      <c r="D395" s="39">
        <v>20.0</v>
      </c>
      <c r="E395" s="40">
        <f>IFERROR(__xludf.DUMMYFUNCTION("COUNT(IMPORTRANGE(""https://docs.google.com/spreadsheets/d/1VAsUtLQHi7oV9NsI9EIHPnO1bcPJHeRgSbMoxSvPBME/edit"",""15!d2:d25""))"),20.0)</f>
        <v>20</v>
      </c>
      <c r="F395" s="45">
        <f>IFERROR(__xludf.DUMMYFUNCTION("SUM(IMPORTRANGE(""https://docs.google.com/spreadsheets/d/1VAsUtLQHi7oV9NsI9EIHPnO1bcPJHeRgSbMoxSvPBME/edit"",""15!Q2:Q25""))"),3887.852000000001)</f>
        <v>3887.852</v>
      </c>
      <c r="G395" s="40">
        <f>IFERROR(__xludf.DUMMYFUNCTION("IMPORTRANGE(""https://docs.google.com/spreadsheets/d/1VAsUtLQHi7oV9NsI9EIHPnO1bcPJHeRgSbMoxSvPBME/edit"",""15!e32"")"),986.0)</f>
        <v>986</v>
      </c>
      <c r="H395" s="40">
        <f>IFERROR(__xludf.DUMMYFUNCTION("IMPORTRANGE(""https://docs.google.com/spreadsheets/d/1VAsUtLQHi7oV9NsI9EIHPnO1bcPJHeRgSbMoxSvPBME/edit"",""15!e33"")"),0.0)</f>
        <v>0</v>
      </c>
      <c r="I395" s="40">
        <f t="shared" si="1065"/>
        <v>986</v>
      </c>
      <c r="J395" s="40">
        <f>IFERROR(__xludf.DUMMYFUNCTION("IMPORTRANGE(""https://docs.google.com/spreadsheets/d/1VAsUtLQHi7oV9NsI9EIHPnO1bcPJHeRgSbMoxSvPBME/edit"",""15!e36"")"),1238.0)</f>
        <v>1238</v>
      </c>
      <c r="K395" s="40">
        <f>IFERROR(__xludf.DUMMYFUNCTION("IMPORTRANGE(""https://docs.google.com/spreadsheets/d/1VAsUtLQHi7oV9NsI9EIHPnO1bcPJHeRgSbMoxSvPBME/edit"",""15!e37"")"),0.0)</f>
        <v>0</v>
      </c>
      <c r="L395" s="40">
        <f t="shared" si="1095"/>
        <v>1238</v>
      </c>
      <c r="M395" s="40">
        <f t="shared" si="1067"/>
        <v>2224</v>
      </c>
      <c r="N395" s="41">
        <f t="shared" si="1068"/>
        <v>194.3926</v>
      </c>
      <c r="O395" s="38">
        <v>3801.0</v>
      </c>
      <c r="P395" s="42">
        <f t="shared" si="1069"/>
        <v>0.5851091818</v>
      </c>
      <c r="Q395" s="43">
        <v>1.5</v>
      </c>
      <c r="R395" s="42">
        <f t="shared" si="1070"/>
        <v>0.381358824</v>
      </c>
      <c r="S395" s="44">
        <f t="shared" si="1071"/>
        <v>0.572038236</v>
      </c>
      <c r="T395" s="43">
        <f>F395/29.628</f>
        <v>131.2222222</v>
      </c>
      <c r="U395" s="43">
        <f t="shared" si="1072"/>
        <v>6.561111111</v>
      </c>
      <c r="V395" s="40">
        <f t="shared" si="1073"/>
        <v>111.2</v>
      </c>
      <c r="X395" s="22">
        <v>6.0</v>
      </c>
      <c r="Y395" s="22" t="s">
        <v>42</v>
      </c>
      <c r="Z395" s="22">
        <f t="shared" ref="Z395:AI395" si="1100">SUM(D399)</f>
        <v>26</v>
      </c>
      <c r="AA395" s="23">
        <f t="shared" si="1100"/>
        <v>25</v>
      </c>
      <c r="AB395" s="24">
        <f t="shared" si="1100"/>
        <v>4767.903</v>
      </c>
      <c r="AC395" s="23">
        <f t="shared" si="1100"/>
        <v>2538</v>
      </c>
      <c r="AD395" s="23">
        <f t="shared" si="1100"/>
        <v>0</v>
      </c>
      <c r="AE395" s="23">
        <f t="shared" si="1100"/>
        <v>2538</v>
      </c>
      <c r="AF395" s="23">
        <f t="shared" si="1100"/>
        <v>3087</v>
      </c>
      <c r="AG395" s="23">
        <f t="shared" si="1100"/>
        <v>0</v>
      </c>
      <c r="AH395" s="23">
        <f t="shared" si="1100"/>
        <v>3087</v>
      </c>
      <c r="AI395" s="23">
        <f t="shared" si="1100"/>
        <v>5625</v>
      </c>
      <c r="AJ395" s="25">
        <f t="shared" si="1085"/>
        <v>190.71612</v>
      </c>
      <c r="AK395" s="22">
        <f t="shared" si="1101"/>
        <v>9877</v>
      </c>
      <c r="AL395" s="26">
        <f t="shared" si="1087"/>
        <v>0.5695049104</v>
      </c>
      <c r="AM395" s="27">
        <f t="shared" si="1102"/>
        <v>1.5</v>
      </c>
      <c r="AN395" s="26">
        <f t="shared" si="1089"/>
        <v>0.7865092893</v>
      </c>
      <c r="AO395" s="28">
        <f t="shared" si="1090"/>
        <v>1.179763934</v>
      </c>
      <c r="AP395" s="27">
        <f t="shared" ref="AP395:AQ395" si="1103">SUM(T399)</f>
        <v>182.2941311</v>
      </c>
      <c r="AQ395" s="27">
        <f t="shared" si="1103"/>
        <v>7.291765246</v>
      </c>
      <c r="AR395" s="23">
        <f t="shared" si="1092"/>
        <v>225</v>
      </c>
    </row>
    <row r="396" ht="15.75" customHeight="1">
      <c r="A396" s="21"/>
      <c r="B396" s="38">
        <v>13.0</v>
      </c>
      <c r="C396" s="38" t="s">
        <v>43</v>
      </c>
      <c r="D396" s="39">
        <v>24.0</v>
      </c>
      <c r="E396" s="40">
        <f>IFERROR(__xludf.DUMMYFUNCTION("COUNT(IMPORTRANGE(""https://docs.google.com/spreadsheets/d/1p9Y_DGk7-TpRBFth-ljZceOIGCjQ0ylUeUq6xqnsZ-Q/edit"",""15!d2:d31""))"),24.0)</f>
        <v>24</v>
      </c>
      <c r="F396" s="45">
        <f>IFERROR(__xludf.DUMMYFUNCTION("SUM(IMPORTRANGE(""https://docs.google.com/spreadsheets/d/1p9Y_DGk7-TpRBFth-ljZceOIGCjQ0ylUeUq6xqnsZ-Q/edit"",""15!Q2:Q31""))"),4656.165)</f>
        <v>4656.165</v>
      </c>
      <c r="G396" s="40">
        <f>IFERROR(__xludf.DUMMYFUNCTION("IMPORTRANGE(""https://docs.google.com/spreadsheets/d/1p9Y_DGk7-TpRBFth-ljZceOIGCjQ0ylUeUq6xqnsZ-Q/edit"",""15!e38"")"),1454.0)</f>
        <v>1454</v>
      </c>
      <c r="H396" s="40">
        <f>IFERROR(__xludf.DUMMYFUNCTION("IMPORTRANGE(""https://docs.google.com/spreadsheets/d/1p9Y_DGk7-TpRBFth-ljZceOIGCjQ0ylUeUq6xqnsZ-Q/edit"",""15!e39"")"),0.0)</f>
        <v>0</v>
      </c>
      <c r="I396" s="40">
        <f t="shared" si="1065"/>
        <v>1454</v>
      </c>
      <c r="J396" s="40">
        <f>IFERROR(__xludf.DUMMYFUNCTION("IMPORTRANGE(""https://docs.google.com/spreadsheets/d/1p9Y_DGk7-TpRBFth-ljZceOIGCjQ0ylUeUq6xqnsZ-Q/edit"",""15!e42"")"),1776.0)</f>
        <v>1776</v>
      </c>
      <c r="K396" s="40">
        <f>IFERROR(__xludf.DUMMYFUNCTION("IMPORTRANGE(""https://docs.google.com/spreadsheets/d/1p9Y_DGk7-TpRBFth-ljZceOIGCjQ0ylUeUq6xqnsZ-Q/edit"",""15!e43"")"),164.0)</f>
        <v>164</v>
      </c>
      <c r="L396" s="40">
        <f t="shared" si="1095"/>
        <v>1940</v>
      </c>
      <c r="M396" s="40">
        <f t="shared" si="1067"/>
        <v>3394</v>
      </c>
      <c r="N396" s="41">
        <f t="shared" si="1068"/>
        <v>194.006875</v>
      </c>
      <c r="O396" s="38">
        <v>8345.0</v>
      </c>
      <c r="P396" s="42">
        <f t="shared" si="1069"/>
        <v>0.4067106052</v>
      </c>
      <c r="Q396" s="43">
        <v>1.5</v>
      </c>
      <c r="R396" s="42">
        <f t="shared" si="1070"/>
        <v>0.4859507055</v>
      </c>
      <c r="S396" s="44">
        <f t="shared" si="1071"/>
        <v>0.7289260582</v>
      </c>
      <c r="T396" s="43">
        <f>F396/41.205</f>
        <v>113</v>
      </c>
      <c r="U396" s="43">
        <f t="shared" si="1072"/>
        <v>4.708333333</v>
      </c>
      <c r="V396" s="40">
        <f t="shared" si="1073"/>
        <v>141.4166667</v>
      </c>
      <c r="X396" s="46" t="s">
        <v>33</v>
      </c>
      <c r="Y396" s="46">
        <v>6.0</v>
      </c>
      <c r="Z396" s="46">
        <f t="shared" ref="Z396:AI396" si="1104">SUM(Z390:Z395)</f>
        <v>180</v>
      </c>
      <c r="AA396" s="47">
        <f t="shared" si="1104"/>
        <v>175</v>
      </c>
      <c r="AB396" s="49">
        <f t="shared" si="1104"/>
        <v>33870.894</v>
      </c>
      <c r="AC396" s="47">
        <f t="shared" si="1104"/>
        <v>12662</v>
      </c>
      <c r="AD396" s="47">
        <f t="shared" si="1104"/>
        <v>102</v>
      </c>
      <c r="AE396" s="47">
        <f t="shared" si="1104"/>
        <v>12764</v>
      </c>
      <c r="AF396" s="47">
        <f t="shared" si="1104"/>
        <v>17143</v>
      </c>
      <c r="AG396" s="47">
        <f t="shared" si="1104"/>
        <v>377</v>
      </c>
      <c r="AH396" s="47">
        <f t="shared" si="1104"/>
        <v>17520</v>
      </c>
      <c r="AI396" s="47">
        <f t="shared" si="1104"/>
        <v>30284</v>
      </c>
      <c r="AJ396" s="49">
        <f t="shared" si="1085"/>
        <v>193.5479657</v>
      </c>
      <c r="AK396" s="46">
        <f>SUM(AK390:AK395)</f>
        <v>53273</v>
      </c>
      <c r="AL396" s="50">
        <f t="shared" si="1087"/>
        <v>0.5684680795</v>
      </c>
      <c r="AM396" s="51">
        <v>1.5</v>
      </c>
      <c r="AN396" s="50">
        <f t="shared" si="1089"/>
        <v>0.5960673295</v>
      </c>
      <c r="AO396" s="52">
        <f t="shared" si="1090"/>
        <v>0.8941009942</v>
      </c>
      <c r="AP396" s="51">
        <f>SUM(AP390:AP395)</f>
        <v>1113.455866</v>
      </c>
      <c r="AQ396" s="51">
        <f>AP396/AA396</f>
        <v>6.36260495</v>
      </c>
      <c r="AR396" s="47">
        <f t="shared" si="1092"/>
        <v>173.0514286</v>
      </c>
    </row>
    <row r="397" ht="15.75" customHeight="1">
      <c r="A397" s="21"/>
      <c r="B397" s="38">
        <v>14.0</v>
      </c>
      <c r="C397" s="38" t="s">
        <v>27</v>
      </c>
      <c r="D397" s="39">
        <v>24.0</v>
      </c>
      <c r="E397" s="40">
        <f>IFERROR(__xludf.DUMMYFUNCTION("COUNT(IMPORTRANGE(""https://docs.google.com/spreadsheets/d/1zJUDEKztv_fercXA0LYNw155qdzS7TJGhWLhquaW5IY/edit"",""15!d2:d31""))"),23.0)</f>
        <v>23</v>
      </c>
      <c r="F397" s="45">
        <f>IFERROR(__xludf.DUMMYFUNCTION("SUM(IMPORTRANGE(""https://docs.google.com/spreadsheets/d/1zJUDEKztv_fercXA0LYNw155qdzS7TJGhWLhquaW5IY/edit"",""15!Q2:Q31""))"),4318.6759999999995)</f>
        <v>4318.676</v>
      </c>
      <c r="G397" s="40">
        <f>IFERROR(__xludf.DUMMYFUNCTION("IMPORTRANGE(""https://docs.google.com/spreadsheets/d/1zJUDEKztv_fercXA0LYNw155qdzS7TJGhWLhquaW5IY/edit"",""15!e38"")"),1980.0)</f>
        <v>1980</v>
      </c>
      <c r="H397" s="40">
        <f>IFERROR(__xludf.DUMMYFUNCTION("IMPORTRANGE(""https://docs.google.com/spreadsheets/d/1zJUDEKztv_fercXA0LYNw155qdzS7TJGhWLhquaW5IY/edit"",""15!e39"")"),0.0)</f>
        <v>0</v>
      </c>
      <c r="I397" s="40">
        <f t="shared" si="1065"/>
        <v>1980</v>
      </c>
      <c r="J397" s="40">
        <f>IFERROR(__xludf.DUMMYFUNCTION("IMPORTRANGE(""https://docs.google.com/spreadsheets/d/1zJUDEKztv_fercXA0LYNw155qdzS7TJGhWLhquaW5IY/edit"",""15!e42"")"),2205.0)</f>
        <v>2205</v>
      </c>
      <c r="K397" s="40">
        <f>IFERROR(__xludf.DUMMYFUNCTION("IMPORTRANGE(""https://docs.google.com/spreadsheets/d/1zJUDEKztv_fercXA0LYNw155qdzS7TJGhWLhquaW5IY/edit"",""15!e43"")"),0.0)</f>
        <v>0</v>
      </c>
      <c r="L397" s="40">
        <f t="shared" si="1095"/>
        <v>2205</v>
      </c>
      <c r="M397" s="40">
        <f t="shared" si="1067"/>
        <v>4185</v>
      </c>
      <c r="N397" s="41">
        <f t="shared" si="1068"/>
        <v>187.7685217</v>
      </c>
      <c r="O397" s="38">
        <v>8101.0</v>
      </c>
      <c r="P397" s="42">
        <f t="shared" si="1069"/>
        <v>0.5166028885</v>
      </c>
      <c r="Q397" s="43">
        <v>1.5</v>
      </c>
      <c r="R397" s="42">
        <f t="shared" si="1070"/>
        <v>0.64603133</v>
      </c>
      <c r="S397" s="44">
        <f t="shared" si="1071"/>
        <v>0.969046995</v>
      </c>
      <c r="T397" s="43">
        <f>F397/19.985</f>
        <v>216.0958719</v>
      </c>
      <c r="U397" s="43">
        <f t="shared" si="1072"/>
        <v>9.395472691</v>
      </c>
      <c r="V397" s="40">
        <f t="shared" si="1073"/>
        <v>181.9565217</v>
      </c>
      <c r="X397" s="59" t="s">
        <v>44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6"/>
    </row>
    <row r="398" ht="15.75" customHeight="1">
      <c r="A398" s="21"/>
      <c r="B398" s="38">
        <v>15.0</v>
      </c>
      <c r="C398" s="38" t="s">
        <v>40</v>
      </c>
      <c r="D398" s="39">
        <v>24.0</v>
      </c>
      <c r="E398" s="40">
        <f>IFERROR(__xludf.DUMMYFUNCTION("COUNT(IMPORTRANGE(""https://docs.google.com/spreadsheets/d/15GJA66Ucb-8RQ5vWVpq5HYaWoZZFX82SCeHChBujbrI/edit"",""15!d2:d31""))"),24.0)</f>
        <v>24</v>
      </c>
      <c r="F398" s="45">
        <f>IFERROR(__xludf.DUMMYFUNCTION("SUM(IMPORTRANGE(""https://docs.google.com/spreadsheets/d/15GJA66Ucb-8RQ5vWVpq5HYaWoZZFX82SCeHChBujbrI/edit"",""15!Q2:Q31""))"),4778.424)</f>
        <v>4778.424</v>
      </c>
      <c r="G398" s="40">
        <f>IFERROR(__xludf.DUMMYFUNCTION("IMPORTRANGE(""https://docs.google.com/spreadsheets/d/15GJA66Ucb-8RQ5vWVpq5HYaWoZZFX82SCeHChBujbrI/edit"",""15!e38"")"),2574.0)</f>
        <v>2574</v>
      </c>
      <c r="H398" s="40">
        <f>IFERROR(__xludf.DUMMYFUNCTION("IMPORTRANGE(""https://docs.google.com/spreadsheets/d/15GJA66Ucb-8RQ5vWVpq5HYaWoZZFX82SCeHChBujbrI/edit"",""15!e39"")"),13.0)</f>
        <v>13</v>
      </c>
      <c r="I398" s="40">
        <f t="shared" si="1065"/>
        <v>2587</v>
      </c>
      <c r="J398" s="40">
        <f>IFERROR(__xludf.DUMMYFUNCTION("IMPORTRANGE(""https://docs.google.com/spreadsheets/d/15GJA66Ucb-8RQ5vWVpq5HYaWoZZFX82SCeHChBujbrI/edit"",""15!e42"")"),3248.0)</f>
        <v>3248</v>
      </c>
      <c r="K398" s="40">
        <f>IFERROR(__xludf.DUMMYFUNCTION("IMPORTRANGE(""https://docs.google.com/spreadsheets/d/15GJA66Ucb-8RQ5vWVpq5HYaWoZZFX82SCeHChBujbrI/edit"",""15!e43"")"),0.0)</f>
        <v>0</v>
      </c>
      <c r="L398" s="40">
        <f t="shared" si="1095"/>
        <v>3248</v>
      </c>
      <c r="M398" s="40">
        <f t="shared" si="1067"/>
        <v>5835</v>
      </c>
      <c r="N398" s="41">
        <f t="shared" si="1068"/>
        <v>199.101</v>
      </c>
      <c r="O398" s="38">
        <v>8239.0</v>
      </c>
      <c r="P398" s="42">
        <f t="shared" si="1069"/>
        <v>0.7082170166</v>
      </c>
      <c r="Q398" s="43">
        <v>1.5</v>
      </c>
      <c r="R398" s="42">
        <f t="shared" si="1070"/>
        <v>0.814075938</v>
      </c>
      <c r="S398" s="44">
        <f t="shared" si="1071"/>
        <v>1.221113907</v>
      </c>
      <c r="T398" s="43">
        <f>F398/28.443</f>
        <v>168</v>
      </c>
      <c r="U398" s="43">
        <f t="shared" si="1072"/>
        <v>7</v>
      </c>
      <c r="V398" s="40">
        <f t="shared" si="1073"/>
        <v>243.125</v>
      </c>
      <c r="X398" s="14" t="s">
        <v>2</v>
      </c>
      <c r="Y398" s="14" t="s">
        <v>3</v>
      </c>
      <c r="Z398" s="14" t="s">
        <v>4</v>
      </c>
      <c r="AA398" s="14" t="s">
        <v>5</v>
      </c>
      <c r="AB398" s="15" t="s">
        <v>6</v>
      </c>
      <c r="AC398" s="14" t="s">
        <v>7</v>
      </c>
      <c r="AD398" s="14" t="s">
        <v>8</v>
      </c>
      <c r="AE398" s="14" t="s">
        <v>9</v>
      </c>
      <c r="AF398" s="14" t="s">
        <v>10</v>
      </c>
      <c r="AG398" s="14" t="s">
        <v>11</v>
      </c>
      <c r="AH398" s="14" t="s">
        <v>12</v>
      </c>
      <c r="AI398" s="14" t="s">
        <v>13</v>
      </c>
      <c r="AJ398" s="15" t="s">
        <v>14</v>
      </c>
      <c r="AK398" s="14" t="s">
        <v>15</v>
      </c>
      <c r="AL398" s="14" t="s">
        <v>16</v>
      </c>
      <c r="AM398" s="16" t="s">
        <v>17</v>
      </c>
      <c r="AN398" s="17" t="s">
        <v>18</v>
      </c>
      <c r="AO398" s="18" t="s">
        <v>19</v>
      </c>
      <c r="AP398" s="19" t="s">
        <v>20</v>
      </c>
      <c r="AQ398" s="19" t="s">
        <v>21</v>
      </c>
      <c r="AR398" s="20" t="s">
        <v>22</v>
      </c>
    </row>
    <row r="399" ht="15.75" customHeight="1">
      <c r="A399" s="21"/>
      <c r="B399" s="38">
        <v>16.0</v>
      </c>
      <c r="C399" s="38" t="s">
        <v>42</v>
      </c>
      <c r="D399" s="39">
        <v>26.0</v>
      </c>
      <c r="E399" s="40">
        <f>IFERROR(__xludf.DUMMYFUNCTION("COUNT(IMPORTRANGE(""https://docs.google.com/spreadsheets/d/14Tu_jFPEdrIQ6DHYu6vRvJKQsbXr-48NY1tKy4-8JKI/edit"",""15!d2:d34""))"),25.0)</f>
        <v>25</v>
      </c>
      <c r="F399" s="45">
        <f>IFERROR(__xludf.DUMMYFUNCTION("SUM(IMPORTRANGE(""https://docs.google.com/spreadsheets/d/14Tu_jFPEdrIQ6DHYu6vRvJKQsbXr-48NY1tKy4-8JKI/edit"",""15!Q2:Q34""))"),4767.902999999999)</f>
        <v>4767.903</v>
      </c>
      <c r="G399" s="40">
        <f>IFERROR(__xludf.DUMMYFUNCTION("IMPORTRANGE(""https://docs.google.com/spreadsheets/d/14Tu_jFPEdrIQ6DHYu6vRvJKQsbXr-48NY1tKy4-8JKI/edit"",""15!e41"")"),2538.0)</f>
        <v>2538</v>
      </c>
      <c r="H399" s="40">
        <f>IFERROR(__xludf.DUMMYFUNCTION("IMPORTRANGE(""https://docs.google.com/spreadsheets/d/14Tu_jFPEdrIQ6DHYu6vRvJKQsbXr-48NY1tKy4-8JKI/edit"",""15!e42"")"),0.0)</f>
        <v>0</v>
      </c>
      <c r="I399" s="40">
        <f t="shared" si="1065"/>
        <v>2538</v>
      </c>
      <c r="J399" s="40">
        <f>IFERROR(__xludf.DUMMYFUNCTION("IMPORTRANGE(""https://docs.google.com/spreadsheets/d/14Tu_jFPEdrIQ6DHYu6vRvJKQsbXr-48NY1tKy4-8JKI/edit"",""15!e45"")"),3087.0)</f>
        <v>3087</v>
      </c>
      <c r="K399" s="40">
        <f>IFERROR(__xludf.DUMMYFUNCTION("IMPORTRANGE(""https://docs.google.com/spreadsheets/d/14Tu_jFPEdrIQ6DHYu6vRvJKQsbXr-48NY1tKy4-8JKI/edit"",""15!e46"")"),0.0)</f>
        <v>0</v>
      </c>
      <c r="L399" s="40">
        <f t="shared" si="1095"/>
        <v>3087</v>
      </c>
      <c r="M399" s="40">
        <f t="shared" si="1067"/>
        <v>5625</v>
      </c>
      <c r="N399" s="41">
        <f t="shared" si="1068"/>
        <v>190.71612</v>
      </c>
      <c r="O399" s="38">
        <v>9877.0</v>
      </c>
      <c r="P399" s="42">
        <f t="shared" si="1069"/>
        <v>0.5695049104</v>
      </c>
      <c r="Q399" s="43">
        <v>1.5</v>
      </c>
      <c r="R399" s="42">
        <f t="shared" si="1070"/>
        <v>0.7865092893</v>
      </c>
      <c r="S399" s="44">
        <f t="shared" si="1071"/>
        <v>1.179763934</v>
      </c>
      <c r="T399" s="43">
        <f>F399/26.155</f>
        <v>182.2941311</v>
      </c>
      <c r="U399" s="43">
        <f t="shared" si="1072"/>
        <v>7.291765246</v>
      </c>
      <c r="V399" s="40">
        <f t="shared" si="1073"/>
        <v>225</v>
      </c>
      <c r="X399" s="31">
        <v>1.0</v>
      </c>
      <c r="Y399" s="31" t="s">
        <v>26</v>
      </c>
      <c r="Z399" s="31">
        <f t="shared" ref="Z399:AI399" si="1105">SUM(D384)</f>
        <v>16</v>
      </c>
      <c r="AA399" s="32">
        <f t="shared" si="1105"/>
        <v>16</v>
      </c>
      <c r="AB399" s="34">
        <f t="shared" si="1105"/>
        <v>3121.383</v>
      </c>
      <c r="AC399" s="32">
        <f t="shared" si="1105"/>
        <v>1452</v>
      </c>
      <c r="AD399" s="32">
        <f t="shared" si="1105"/>
        <v>0</v>
      </c>
      <c r="AE399" s="32">
        <f t="shared" si="1105"/>
        <v>1452</v>
      </c>
      <c r="AF399" s="32">
        <f t="shared" si="1105"/>
        <v>2219</v>
      </c>
      <c r="AG399" s="32">
        <f t="shared" si="1105"/>
        <v>0</v>
      </c>
      <c r="AH399" s="32">
        <f t="shared" si="1105"/>
        <v>2219</v>
      </c>
      <c r="AI399" s="32">
        <f t="shared" si="1105"/>
        <v>3671</v>
      </c>
      <c r="AJ399" s="34">
        <f t="shared" ref="AJ399:AJ405" si="1108">AB399/AA399</f>
        <v>195.0864375</v>
      </c>
      <c r="AK399" s="31">
        <f>SUM(O384)</f>
        <v>5161</v>
      </c>
      <c r="AL399" s="35">
        <f t="shared" ref="AL399:AL405" si="1109">AI399/AK399</f>
        <v>0.7112962604</v>
      </c>
      <c r="AM399" s="36">
        <f>SUM(Q384)</f>
        <v>1.5</v>
      </c>
      <c r="AN399" s="35">
        <f t="shared" ref="AN399:AN405" si="1110">AO399/AM399</f>
        <v>0.7840541623</v>
      </c>
      <c r="AO399" s="37">
        <f t="shared" ref="AO399:AO405" si="1111">AI399/AB399</f>
        <v>1.176081243</v>
      </c>
      <c r="AP399" s="36">
        <f t="shared" ref="AP399:AQ399" si="1106">SUM(T384)</f>
        <v>216.5371488</v>
      </c>
      <c r="AQ399" s="36">
        <f t="shared" si="1106"/>
        <v>13.5335718</v>
      </c>
      <c r="AR399" s="32">
        <f t="shared" ref="AR399:AR405" si="1113">AI399/AA399</f>
        <v>229.4375</v>
      </c>
    </row>
    <row r="400" ht="15.75" customHeight="1">
      <c r="A400" s="21"/>
      <c r="B400" s="38">
        <v>17.0</v>
      </c>
      <c r="C400" s="38" t="s">
        <v>29</v>
      </c>
      <c r="D400" s="39">
        <v>24.0</v>
      </c>
      <c r="E400" s="40">
        <f>IFERROR(__xludf.DUMMYFUNCTION("COUNT(IMPORTRANGE(""https://docs.google.com/spreadsheets/d/1ja_RQYsP0p5wRrACHojay4CW1wLx0QdS5tSwp-vYQ-s/edit"",""15!d2:d31""))"),23.0)</f>
        <v>23</v>
      </c>
      <c r="F400" s="45">
        <f>IFERROR(__xludf.DUMMYFUNCTION("SUM(IMPORTRANGE(""https://docs.google.com/spreadsheets/d/1ja_RQYsP0p5wRrACHojay4CW1wLx0QdS5tSwp-vYQ-s/edit"",""15!Q2:Q31""))"),4609.433999999998)</f>
        <v>4609.434</v>
      </c>
      <c r="G400" s="40">
        <f>IFERROR(__xludf.DUMMYFUNCTION("IMPORTRANGE(""https://docs.google.com/spreadsheets/d/1ja_RQYsP0p5wRrACHojay4CW1wLx0QdS5tSwp-vYQ-s/edit"",""15!e38"")"),2062.0)</f>
        <v>2062</v>
      </c>
      <c r="H400" s="40">
        <f>IFERROR(__xludf.DUMMYFUNCTION("IMPORTRANGE(""https://docs.google.com/spreadsheets/d/1ja_RQYsP0p5wRrACHojay4CW1wLx0QdS5tSwp-vYQ-s/edit"",""15!e39"")"),0.0)</f>
        <v>0</v>
      </c>
      <c r="I400" s="40">
        <f t="shared" si="1065"/>
        <v>2062</v>
      </c>
      <c r="J400" s="40">
        <f>IFERROR(__xludf.DUMMYFUNCTION("IMPORTRANGE(""https://docs.google.com/spreadsheets/d/1ja_RQYsP0p5wRrACHojay4CW1wLx0QdS5tSwp-vYQ-s/edit"",""15!e42"")"),3028.0)</f>
        <v>3028</v>
      </c>
      <c r="K400" s="40">
        <f>IFERROR(__xludf.DUMMYFUNCTION("IMPORTRANGE(""https://docs.google.com/spreadsheets/d/1ja_RQYsP0p5wRrACHojay4CW1wLx0QdS5tSwp-vYQ-s/edit"",""15!e43"")"),0.0)</f>
        <v>0</v>
      </c>
      <c r="L400" s="40">
        <f t="shared" si="1095"/>
        <v>3028</v>
      </c>
      <c r="M400" s="40">
        <f t="shared" si="1067"/>
        <v>5090</v>
      </c>
      <c r="N400" s="41">
        <f t="shared" si="1068"/>
        <v>200.4101739</v>
      </c>
      <c r="O400" s="38">
        <v>9201.0</v>
      </c>
      <c r="P400" s="42">
        <f t="shared" si="1069"/>
        <v>0.5532007391</v>
      </c>
      <c r="Q400" s="43">
        <v>1.5</v>
      </c>
      <c r="R400" s="42">
        <f t="shared" si="1070"/>
        <v>0.736171368</v>
      </c>
      <c r="S400" s="44">
        <f t="shared" si="1071"/>
        <v>1.104257052</v>
      </c>
      <c r="T400" s="43">
        <f>F400/26.491</f>
        <v>174</v>
      </c>
      <c r="U400" s="43">
        <f t="shared" si="1072"/>
        <v>7.565217391</v>
      </c>
      <c r="V400" s="40">
        <f t="shared" si="1073"/>
        <v>221.3043478</v>
      </c>
      <c r="X400" s="31">
        <v>2.0</v>
      </c>
      <c r="Y400" s="31" t="s">
        <v>32</v>
      </c>
      <c r="Z400" s="31">
        <f t="shared" ref="Z400:AI400" si="1107">SUM(D387)</f>
        <v>33</v>
      </c>
      <c r="AA400" s="32">
        <f t="shared" si="1107"/>
        <v>33</v>
      </c>
      <c r="AB400" s="33">
        <f t="shared" si="1107"/>
        <v>6372.606</v>
      </c>
      <c r="AC400" s="31">
        <f t="shared" si="1107"/>
        <v>3720</v>
      </c>
      <c r="AD400" s="31">
        <f t="shared" si="1107"/>
        <v>0</v>
      </c>
      <c r="AE400" s="32">
        <f t="shared" si="1107"/>
        <v>3720</v>
      </c>
      <c r="AF400" s="31">
        <f t="shared" si="1107"/>
        <v>4156</v>
      </c>
      <c r="AG400" s="31">
        <f t="shared" si="1107"/>
        <v>0</v>
      </c>
      <c r="AH400" s="32">
        <f t="shared" si="1107"/>
        <v>4156</v>
      </c>
      <c r="AI400" s="32">
        <f t="shared" si="1107"/>
        <v>7876</v>
      </c>
      <c r="AJ400" s="34">
        <f t="shared" si="1108"/>
        <v>193.1092727</v>
      </c>
      <c r="AK400" s="31">
        <f>SUM(O387)</f>
        <v>13817</v>
      </c>
      <c r="AL400" s="35">
        <f t="shared" si="1109"/>
        <v>0.5700224361</v>
      </c>
      <c r="AM400" s="36">
        <f>SUM(Q387)</f>
        <v>1.5</v>
      </c>
      <c r="AN400" s="35">
        <f t="shared" si="1110"/>
        <v>0.8239434019</v>
      </c>
      <c r="AO400" s="37">
        <f t="shared" si="1111"/>
        <v>1.235915103</v>
      </c>
      <c r="AP400" s="36">
        <f t="shared" ref="AP400:AQ400" si="1112">SUM(T387)</f>
        <v>254</v>
      </c>
      <c r="AQ400" s="36">
        <f t="shared" si="1112"/>
        <v>7.696969697</v>
      </c>
      <c r="AR400" s="32">
        <f t="shared" si="1113"/>
        <v>238.6666667</v>
      </c>
    </row>
    <row r="401" ht="15.75" customHeight="1">
      <c r="A401" s="21"/>
      <c r="B401" s="38">
        <v>18.0</v>
      </c>
      <c r="C401" s="38" t="s">
        <v>31</v>
      </c>
      <c r="D401" s="39">
        <v>12.0</v>
      </c>
      <c r="E401" s="40">
        <f>IFERROR(__xludf.DUMMYFUNCTION("COUNT(IMPORTRANGE(""https://docs.google.com/spreadsheets/d/1ObnK1oSznTOmyW9Zcd2kxExl7TOnO2MNq_0giEKc_mE/edit"",""15!d2:d16""))"),11.0)</f>
        <v>11</v>
      </c>
      <c r="F401" s="41">
        <f>IFERROR(__xludf.DUMMYFUNCTION("SUM(IMPORTRANGE(""https://docs.google.com/spreadsheets/d/1ObnK1oSznTOmyW9Zcd2kxExl7TOnO2MNq_0giEKc_mE/edit"",""15!Q2:Q16""))"),1999.3899999999999)</f>
        <v>1999.39</v>
      </c>
      <c r="G401" s="40">
        <f>IFERROR(__xludf.DUMMYFUNCTION("IMPORTRANGE(""https://docs.google.com/spreadsheets/d/1ObnK1oSznTOmyW9Zcd2kxExl7TOnO2MNq_0giEKc_mE/edit"",""15!e23"")"),566.0)</f>
        <v>566</v>
      </c>
      <c r="H401" s="40">
        <f>IFERROR(__xludf.DUMMYFUNCTION("IMPORTRANGE(""https://docs.google.com/spreadsheets/d/1ObnK1oSznTOmyW9Zcd2kxExl7TOnO2MNq_0giEKc_mE/edit"",""15!e24"")"),15.0)</f>
        <v>15</v>
      </c>
      <c r="I401" s="40">
        <f t="shared" si="1065"/>
        <v>581</v>
      </c>
      <c r="J401" s="40">
        <f>IFERROR(__xludf.DUMMYFUNCTION("IMPORTRANGE(""https://docs.google.com/spreadsheets/d/1ObnK1oSznTOmyW9Zcd2kxExl7TOnO2MNq_0giEKc_mE/edit"",""15!e27"")"),731.0)</f>
        <v>731</v>
      </c>
      <c r="K401" s="40">
        <f>IFERROR(__xludf.DUMMYFUNCTION("IMPORTRANGE(""https://docs.google.com/spreadsheets/d/1ObnK1oSznTOmyW9Zcd2kxExl7TOnO2MNq_0giEKc_mE/edit"",""15!e28"")"),0.0)</f>
        <v>0</v>
      </c>
      <c r="L401" s="40">
        <f t="shared" si="1095"/>
        <v>731</v>
      </c>
      <c r="M401" s="40">
        <f t="shared" si="1067"/>
        <v>1312</v>
      </c>
      <c r="N401" s="41">
        <f t="shared" si="1068"/>
        <v>181.7627273</v>
      </c>
      <c r="O401" s="38">
        <v>2717.0</v>
      </c>
      <c r="P401" s="42">
        <f t="shared" si="1069"/>
        <v>0.4828855355</v>
      </c>
      <c r="Q401" s="43">
        <v>1.5</v>
      </c>
      <c r="R401" s="42">
        <f t="shared" si="1070"/>
        <v>0.4374667607</v>
      </c>
      <c r="S401" s="44">
        <f t="shared" si="1071"/>
        <v>0.656200141</v>
      </c>
      <c r="T401" s="43">
        <f>F401/43.465</f>
        <v>46</v>
      </c>
      <c r="U401" s="43">
        <f t="shared" si="1072"/>
        <v>4.181818182</v>
      </c>
      <c r="V401" s="40">
        <f t="shared" si="1073"/>
        <v>119.2727273</v>
      </c>
      <c r="X401" s="31">
        <v>3.0</v>
      </c>
      <c r="Y401" s="31" t="s">
        <v>36</v>
      </c>
      <c r="Z401" s="31">
        <f t="shared" ref="Z401:AI401" si="1114">SUM(D392)</f>
        <v>23</v>
      </c>
      <c r="AA401" s="32">
        <f t="shared" si="1114"/>
        <v>23</v>
      </c>
      <c r="AB401" s="33">
        <f t="shared" si="1114"/>
        <v>4520.71</v>
      </c>
      <c r="AC401" s="32">
        <f t="shared" si="1114"/>
        <v>1063</v>
      </c>
      <c r="AD401" s="32">
        <f t="shared" si="1114"/>
        <v>0</v>
      </c>
      <c r="AE401" s="32">
        <f t="shared" si="1114"/>
        <v>1063</v>
      </c>
      <c r="AF401" s="32">
        <f t="shared" si="1114"/>
        <v>2162</v>
      </c>
      <c r="AG401" s="32">
        <f t="shared" si="1114"/>
        <v>0</v>
      </c>
      <c r="AH401" s="32">
        <f t="shared" si="1114"/>
        <v>2162</v>
      </c>
      <c r="AI401" s="32">
        <f t="shared" si="1114"/>
        <v>3225</v>
      </c>
      <c r="AJ401" s="34">
        <f t="shared" si="1108"/>
        <v>196.5526087</v>
      </c>
      <c r="AK401" s="31">
        <f t="shared" ref="AK401:AK404" si="1118">SUM(O392)</f>
        <v>4796</v>
      </c>
      <c r="AL401" s="35">
        <f t="shared" si="1109"/>
        <v>0.6724353628</v>
      </c>
      <c r="AM401" s="36">
        <f t="shared" ref="AM401:AM404" si="1119">SUM(Q392)</f>
        <v>1.5</v>
      </c>
      <c r="AN401" s="35">
        <f t="shared" si="1110"/>
        <v>0.4755890115</v>
      </c>
      <c r="AO401" s="37">
        <f t="shared" si="1111"/>
        <v>0.7133835172</v>
      </c>
      <c r="AP401" s="36">
        <f t="shared" ref="AP401:AQ401" si="1115">SUM(T392)</f>
        <v>120.8293687</v>
      </c>
      <c r="AQ401" s="36">
        <f t="shared" si="1115"/>
        <v>5.253450812</v>
      </c>
      <c r="AR401" s="32">
        <f t="shared" si="1113"/>
        <v>140.2173913</v>
      </c>
    </row>
    <row r="402" ht="15.75" customHeight="1">
      <c r="A402" s="21"/>
      <c r="B402" s="60" t="s">
        <v>33</v>
      </c>
      <c r="C402" s="60">
        <v>18.0</v>
      </c>
      <c r="D402" s="60">
        <f t="shared" ref="D402:M402" si="1116">SUM(D384:D401)</f>
        <v>470</v>
      </c>
      <c r="E402" s="61">
        <f t="shared" si="1116"/>
        <v>459</v>
      </c>
      <c r="F402" s="62">
        <f t="shared" si="1116"/>
        <v>89012.53</v>
      </c>
      <c r="G402" s="61">
        <f t="shared" si="1116"/>
        <v>30756</v>
      </c>
      <c r="H402" s="61">
        <f t="shared" si="1116"/>
        <v>198</v>
      </c>
      <c r="I402" s="61">
        <f t="shared" si="1116"/>
        <v>30954</v>
      </c>
      <c r="J402" s="61">
        <f t="shared" si="1116"/>
        <v>43226</v>
      </c>
      <c r="K402" s="61">
        <f t="shared" si="1116"/>
        <v>718</v>
      </c>
      <c r="L402" s="61">
        <f t="shared" si="1116"/>
        <v>43944</v>
      </c>
      <c r="M402" s="61">
        <f t="shared" si="1116"/>
        <v>74898</v>
      </c>
      <c r="N402" s="62">
        <f t="shared" si="1068"/>
        <v>193.9270806</v>
      </c>
      <c r="O402" s="60">
        <f>SUM(O384:O401)</f>
        <v>126399</v>
      </c>
      <c r="P402" s="63">
        <f t="shared" si="1069"/>
        <v>0.5925521563</v>
      </c>
      <c r="Q402" s="64">
        <v>1.5</v>
      </c>
      <c r="R402" s="63">
        <f t="shared" si="1070"/>
        <v>0.560954733</v>
      </c>
      <c r="S402" s="65">
        <f t="shared" si="1071"/>
        <v>0.8414320995</v>
      </c>
      <c r="T402" s="64">
        <f>SUM(T384:T401)</f>
        <v>3290.334994</v>
      </c>
      <c r="U402" s="64">
        <f t="shared" si="1072"/>
        <v>7.168485825</v>
      </c>
      <c r="V402" s="61">
        <f t="shared" si="1073"/>
        <v>163.1764706</v>
      </c>
      <c r="X402" s="31">
        <v>4.0</v>
      </c>
      <c r="Y402" s="31" t="s">
        <v>37</v>
      </c>
      <c r="Z402" s="31">
        <f t="shared" ref="Z402:AI402" si="1117">SUM(D393)</f>
        <v>24</v>
      </c>
      <c r="AA402" s="32">
        <f t="shared" si="1117"/>
        <v>24</v>
      </c>
      <c r="AB402" s="33">
        <f t="shared" si="1117"/>
        <v>4795.716</v>
      </c>
      <c r="AC402" s="32">
        <f t="shared" si="1117"/>
        <v>1429</v>
      </c>
      <c r="AD402" s="32">
        <f t="shared" si="1117"/>
        <v>0</v>
      </c>
      <c r="AE402" s="32">
        <f t="shared" si="1117"/>
        <v>1429</v>
      </c>
      <c r="AF402" s="32">
        <f t="shared" si="1117"/>
        <v>2385</v>
      </c>
      <c r="AG402" s="32">
        <f t="shared" si="1117"/>
        <v>0</v>
      </c>
      <c r="AH402" s="32">
        <f t="shared" si="1117"/>
        <v>2385</v>
      </c>
      <c r="AI402" s="32">
        <f t="shared" si="1117"/>
        <v>3814</v>
      </c>
      <c r="AJ402" s="34">
        <f t="shared" si="1108"/>
        <v>199.8215</v>
      </c>
      <c r="AK402" s="31">
        <f t="shared" si="1118"/>
        <v>5887</v>
      </c>
      <c r="AL402" s="35">
        <f t="shared" si="1109"/>
        <v>0.6478681841</v>
      </c>
      <c r="AM402" s="36">
        <f t="shared" si="1119"/>
        <v>1.5</v>
      </c>
      <c r="AN402" s="35">
        <f t="shared" si="1110"/>
        <v>0.5301954216</v>
      </c>
      <c r="AO402" s="37">
        <f t="shared" si="1111"/>
        <v>0.7952931325</v>
      </c>
      <c r="AP402" s="36">
        <f t="shared" ref="AP402:AQ402" si="1120">SUM(T393)</f>
        <v>193.4380445</v>
      </c>
      <c r="AQ402" s="36">
        <f t="shared" si="1120"/>
        <v>8.059918522</v>
      </c>
      <c r="AR402" s="32">
        <f t="shared" si="1113"/>
        <v>158.9166667</v>
      </c>
    </row>
    <row r="403" ht="15.7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X403" s="31">
        <v>5.0</v>
      </c>
      <c r="Y403" s="31" t="s">
        <v>39</v>
      </c>
      <c r="Z403" s="31">
        <f t="shared" ref="Z403:AI403" si="1121">SUM(D394)</f>
        <v>22</v>
      </c>
      <c r="AA403" s="32">
        <f t="shared" si="1121"/>
        <v>21</v>
      </c>
      <c r="AB403" s="33">
        <f t="shared" si="1121"/>
        <v>4190.742</v>
      </c>
      <c r="AC403" s="32">
        <f t="shared" si="1121"/>
        <v>1025</v>
      </c>
      <c r="AD403" s="32">
        <f t="shared" si="1121"/>
        <v>0</v>
      </c>
      <c r="AE403" s="32">
        <f t="shared" si="1121"/>
        <v>1025</v>
      </c>
      <c r="AF403" s="32">
        <f t="shared" si="1121"/>
        <v>1698</v>
      </c>
      <c r="AG403" s="32">
        <f t="shared" si="1121"/>
        <v>0</v>
      </c>
      <c r="AH403" s="32">
        <f t="shared" si="1121"/>
        <v>1698</v>
      </c>
      <c r="AI403" s="32">
        <f t="shared" si="1121"/>
        <v>2723</v>
      </c>
      <c r="AJ403" s="34">
        <f t="shared" si="1108"/>
        <v>199.5591429</v>
      </c>
      <c r="AK403" s="31">
        <f t="shared" si="1118"/>
        <v>3569</v>
      </c>
      <c r="AL403" s="35">
        <f t="shared" si="1109"/>
        <v>0.762958812</v>
      </c>
      <c r="AM403" s="36">
        <f t="shared" si="1119"/>
        <v>1.5</v>
      </c>
      <c r="AN403" s="35">
        <f t="shared" si="1110"/>
        <v>0.4331770682</v>
      </c>
      <c r="AO403" s="37">
        <f t="shared" si="1111"/>
        <v>0.6497656024</v>
      </c>
      <c r="AP403" s="36">
        <f t="shared" ref="AP403:AQ403" si="1122">SUM(T394)</f>
        <v>195.2542515</v>
      </c>
      <c r="AQ403" s="36">
        <f t="shared" si="1122"/>
        <v>9.2978215</v>
      </c>
      <c r="AR403" s="32">
        <f t="shared" si="1113"/>
        <v>129.6666667</v>
      </c>
    </row>
    <row r="404" ht="15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X404" s="31">
        <v>6.0</v>
      </c>
      <c r="Y404" s="31" t="s">
        <v>41</v>
      </c>
      <c r="Z404" s="31">
        <f t="shared" ref="Z404:AI404" si="1123">SUM(D395)</f>
        <v>20</v>
      </c>
      <c r="AA404" s="32">
        <f t="shared" si="1123"/>
        <v>20</v>
      </c>
      <c r="AB404" s="33">
        <f t="shared" si="1123"/>
        <v>3887.852</v>
      </c>
      <c r="AC404" s="32">
        <f t="shared" si="1123"/>
        <v>986</v>
      </c>
      <c r="AD404" s="32">
        <f t="shared" si="1123"/>
        <v>0</v>
      </c>
      <c r="AE404" s="32">
        <f t="shared" si="1123"/>
        <v>986</v>
      </c>
      <c r="AF404" s="32">
        <f t="shared" si="1123"/>
        <v>1238</v>
      </c>
      <c r="AG404" s="32">
        <f t="shared" si="1123"/>
        <v>0</v>
      </c>
      <c r="AH404" s="32">
        <f t="shared" si="1123"/>
        <v>1238</v>
      </c>
      <c r="AI404" s="32">
        <f t="shared" si="1123"/>
        <v>2224</v>
      </c>
      <c r="AJ404" s="34">
        <f t="shared" si="1108"/>
        <v>194.3926</v>
      </c>
      <c r="AK404" s="31">
        <f t="shared" si="1118"/>
        <v>3801</v>
      </c>
      <c r="AL404" s="35">
        <f t="shared" si="1109"/>
        <v>0.5851091818</v>
      </c>
      <c r="AM404" s="36">
        <f t="shared" si="1119"/>
        <v>1.5</v>
      </c>
      <c r="AN404" s="35">
        <f t="shared" si="1110"/>
        <v>0.381358824</v>
      </c>
      <c r="AO404" s="37">
        <f t="shared" si="1111"/>
        <v>0.572038236</v>
      </c>
      <c r="AP404" s="36">
        <f t="shared" ref="AP404:AQ404" si="1124">SUM(T395)</f>
        <v>131.2222222</v>
      </c>
      <c r="AQ404" s="36">
        <f t="shared" si="1124"/>
        <v>6.561111111</v>
      </c>
      <c r="AR404" s="32">
        <f t="shared" si="1113"/>
        <v>111.2</v>
      </c>
    </row>
    <row r="405" ht="15.75" customHeight="1">
      <c r="A405" s="1" t="s">
        <v>45</v>
      </c>
      <c r="D405" s="2"/>
      <c r="X405" s="46" t="s">
        <v>33</v>
      </c>
      <c r="Y405" s="46">
        <v>6.0</v>
      </c>
      <c r="Z405" s="46">
        <f t="shared" ref="Z405:AI405" si="1125">SUM(Z399:Z404)</f>
        <v>138</v>
      </c>
      <c r="AA405" s="47">
        <f t="shared" si="1125"/>
        <v>137</v>
      </c>
      <c r="AB405" s="49">
        <f t="shared" si="1125"/>
        <v>26889.009</v>
      </c>
      <c r="AC405" s="47">
        <f t="shared" si="1125"/>
        <v>9675</v>
      </c>
      <c r="AD405" s="47">
        <f t="shared" si="1125"/>
        <v>0</v>
      </c>
      <c r="AE405" s="47">
        <f t="shared" si="1125"/>
        <v>9675</v>
      </c>
      <c r="AF405" s="47">
        <f t="shared" si="1125"/>
        <v>13858</v>
      </c>
      <c r="AG405" s="47">
        <f t="shared" si="1125"/>
        <v>0</v>
      </c>
      <c r="AH405" s="47">
        <f t="shared" si="1125"/>
        <v>13858</v>
      </c>
      <c r="AI405" s="47">
        <f t="shared" si="1125"/>
        <v>23533</v>
      </c>
      <c r="AJ405" s="49">
        <f t="shared" si="1108"/>
        <v>196.2701387</v>
      </c>
      <c r="AK405" s="46">
        <f>SUM(AK399:AK404)</f>
        <v>37031</v>
      </c>
      <c r="AL405" s="50">
        <f t="shared" si="1109"/>
        <v>0.6354945856</v>
      </c>
      <c r="AM405" s="51">
        <v>1.5</v>
      </c>
      <c r="AN405" s="50">
        <f t="shared" si="1110"/>
        <v>0.5834602036</v>
      </c>
      <c r="AO405" s="52">
        <f t="shared" si="1111"/>
        <v>0.8751903055</v>
      </c>
      <c r="AP405" s="51">
        <f>SUM(AP399:AP404)</f>
        <v>1111.281036</v>
      </c>
      <c r="AQ405" s="51">
        <f>AP405/AA405</f>
        <v>8.111540407</v>
      </c>
      <c r="AR405" s="47">
        <f t="shared" si="1113"/>
        <v>171.7737226</v>
      </c>
    </row>
    <row r="406" ht="15.75" customHeight="1">
      <c r="A406" s="1" t="s">
        <v>45</v>
      </c>
      <c r="D406" s="2"/>
      <c r="X406" s="66" t="s">
        <v>1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6"/>
    </row>
    <row r="407" ht="15.75" customHeight="1">
      <c r="A407" s="10">
        <v>46250.0</v>
      </c>
      <c r="B407" s="8" t="s">
        <v>2</v>
      </c>
      <c r="C407" s="8" t="s">
        <v>3</v>
      </c>
      <c r="D407" s="8" t="s">
        <v>4</v>
      </c>
      <c r="E407" s="8" t="s">
        <v>5</v>
      </c>
      <c r="F407" s="9" t="s">
        <v>6</v>
      </c>
      <c r="G407" s="8" t="s">
        <v>7</v>
      </c>
      <c r="H407" s="8" t="s">
        <v>8</v>
      </c>
      <c r="I407" s="8" t="s">
        <v>9</v>
      </c>
      <c r="J407" s="8" t="s">
        <v>10</v>
      </c>
      <c r="K407" s="8" t="s">
        <v>11</v>
      </c>
      <c r="L407" s="8" t="s">
        <v>12</v>
      </c>
      <c r="M407" s="8" t="s">
        <v>13</v>
      </c>
      <c r="N407" s="9" t="s">
        <v>14</v>
      </c>
      <c r="O407" s="8" t="s">
        <v>15</v>
      </c>
      <c r="P407" s="8" t="s">
        <v>16</v>
      </c>
      <c r="Q407" s="8" t="s">
        <v>17</v>
      </c>
      <c r="R407" s="8" t="s">
        <v>18</v>
      </c>
      <c r="S407" s="11" t="s">
        <v>19</v>
      </c>
      <c r="T407" s="12" t="s">
        <v>20</v>
      </c>
      <c r="U407" s="12" t="s">
        <v>21</v>
      </c>
      <c r="V407" s="13" t="s">
        <v>22</v>
      </c>
      <c r="X407" s="14" t="s">
        <v>2</v>
      </c>
      <c r="Y407" s="14" t="s">
        <v>3</v>
      </c>
      <c r="Z407" s="14" t="s">
        <v>4</v>
      </c>
      <c r="AA407" s="14" t="s">
        <v>5</v>
      </c>
      <c r="AB407" s="15" t="s">
        <v>6</v>
      </c>
      <c r="AC407" s="14" t="s">
        <v>7</v>
      </c>
      <c r="AD407" s="14" t="s">
        <v>8</v>
      </c>
      <c r="AE407" s="14" t="s">
        <v>9</v>
      </c>
      <c r="AF407" s="14" t="s">
        <v>10</v>
      </c>
      <c r="AG407" s="14" t="s">
        <v>11</v>
      </c>
      <c r="AH407" s="14" t="s">
        <v>12</v>
      </c>
      <c r="AI407" s="14" t="s">
        <v>13</v>
      </c>
      <c r="AJ407" s="15" t="s">
        <v>14</v>
      </c>
      <c r="AK407" s="14" t="s">
        <v>15</v>
      </c>
      <c r="AL407" s="14" t="s">
        <v>16</v>
      </c>
      <c r="AM407" s="16" t="s">
        <v>17</v>
      </c>
      <c r="AN407" s="17" t="s">
        <v>18</v>
      </c>
      <c r="AO407" s="18" t="s">
        <v>19</v>
      </c>
      <c r="AP407" s="19" t="s">
        <v>20</v>
      </c>
      <c r="AQ407" s="19" t="s">
        <v>21</v>
      </c>
      <c r="AR407" s="20" t="s">
        <v>22</v>
      </c>
    </row>
    <row r="408" ht="15.7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X408" s="22">
        <v>1.0</v>
      </c>
      <c r="Y408" s="22" t="s">
        <v>23</v>
      </c>
      <c r="Z408" s="22">
        <f t="shared" ref="Z408:AI408" si="1126">SUM(D416)</f>
        <v>26</v>
      </c>
      <c r="AA408" s="23">
        <f t="shared" si="1126"/>
        <v>25</v>
      </c>
      <c r="AB408" s="24">
        <f t="shared" si="1126"/>
        <v>4993.52</v>
      </c>
      <c r="AC408" s="23">
        <f t="shared" si="1126"/>
        <v>1036</v>
      </c>
      <c r="AD408" s="23">
        <f t="shared" si="1126"/>
        <v>0</v>
      </c>
      <c r="AE408" s="23">
        <f t="shared" si="1126"/>
        <v>1036</v>
      </c>
      <c r="AF408" s="23">
        <f t="shared" si="1126"/>
        <v>1985</v>
      </c>
      <c r="AG408" s="23">
        <f t="shared" si="1126"/>
        <v>0</v>
      </c>
      <c r="AH408" s="23">
        <f t="shared" si="1126"/>
        <v>1985</v>
      </c>
      <c r="AI408" s="23">
        <f t="shared" si="1126"/>
        <v>3021</v>
      </c>
      <c r="AJ408" s="25">
        <f t="shared" ref="AJ408:AJ410" si="1129">AB408/AA408</f>
        <v>199.7408</v>
      </c>
      <c r="AK408" s="22">
        <f>SUM(O416)</f>
        <v>6853</v>
      </c>
      <c r="AL408" s="26">
        <f t="shared" ref="AL408:AL414" si="1130">AI408/AK408</f>
        <v>0.4408288341</v>
      </c>
      <c r="AM408" s="27">
        <f t="shared" ref="AM408:AM410" si="1131">SUM(Q416)</f>
        <v>1.5</v>
      </c>
      <c r="AN408" s="26">
        <f t="shared" ref="AN408:AN414" si="1132">AO408/AM408</f>
        <v>0.4033227062</v>
      </c>
      <c r="AO408" s="28">
        <f t="shared" ref="AO408:AO414" si="1133">AI408/AB408</f>
        <v>0.6049840593</v>
      </c>
      <c r="AP408" s="27">
        <f t="shared" ref="AP408:AQ408" si="1127">SUM(T416)</f>
        <v>148</v>
      </c>
      <c r="AQ408" s="27">
        <f t="shared" si="1127"/>
        <v>5.92</v>
      </c>
      <c r="AR408" s="23">
        <f t="shared" ref="AR408:AR414" si="1135">AI408/AA408</f>
        <v>120.84</v>
      </c>
    </row>
    <row r="409" ht="15.7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X409" s="22">
        <v>2.0</v>
      </c>
      <c r="Y409" s="22" t="s">
        <v>24</v>
      </c>
      <c r="Z409" s="22">
        <f t="shared" ref="Z409:AI409" si="1128">SUM(D417)</f>
        <v>35</v>
      </c>
      <c r="AA409" s="23">
        <f t="shared" si="1128"/>
        <v>35</v>
      </c>
      <c r="AB409" s="24">
        <f t="shared" si="1128"/>
        <v>6613.574</v>
      </c>
      <c r="AC409" s="23">
        <f t="shared" si="1128"/>
        <v>621</v>
      </c>
      <c r="AD409" s="23">
        <f t="shared" si="1128"/>
        <v>30</v>
      </c>
      <c r="AE409" s="23">
        <f t="shared" si="1128"/>
        <v>651</v>
      </c>
      <c r="AF409" s="23">
        <f t="shared" si="1128"/>
        <v>722</v>
      </c>
      <c r="AG409" s="23">
        <f t="shared" si="1128"/>
        <v>28</v>
      </c>
      <c r="AH409" s="23">
        <f t="shared" si="1128"/>
        <v>750</v>
      </c>
      <c r="AI409" s="23">
        <f t="shared" si="1128"/>
        <v>1401</v>
      </c>
      <c r="AJ409" s="25">
        <f t="shared" si="1129"/>
        <v>188.9592571</v>
      </c>
      <c r="AK409" s="22">
        <v>1580.0</v>
      </c>
      <c r="AL409" s="26">
        <f t="shared" si="1130"/>
        <v>0.8867088608</v>
      </c>
      <c r="AM409" s="27">
        <f t="shared" si="1131"/>
        <v>1.5</v>
      </c>
      <c r="AN409" s="26">
        <f t="shared" si="1132"/>
        <v>0.1412246994</v>
      </c>
      <c r="AO409" s="28">
        <f t="shared" si="1133"/>
        <v>0.2118370491</v>
      </c>
      <c r="AP409" s="27">
        <f t="shared" ref="AP409:AQ409" si="1134">SUM(T417)</f>
        <v>246.7291177</v>
      </c>
      <c r="AQ409" s="27">
        <f t="shared" si="1134"/>
        <v>7.049403363</v>
      </c>
      <c r="AR409" s="23">
        <f t="shared" si="1135"/>
        <v>40.02857143</v>
      </c>
    </row>
    <row r="410" ht="15.75" customHeight="1">
      <c r="A410" s="21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X410" s="31">
        <v>3.0</v>
      </c>
      <c r="Y410" s="31" t="s">
        <v>25</v>
      </c>
      <c r="Z410" s="31">
        <f t="shared" ref="Z410:AI410" si="1136">SUM(D418)</f>
        <v>26</v>
      </c>
      <c r="AA410" s="32">
        <f t="shared" si="1136"/>
        <v>21</v>
      </c>
      <c r="AB410" s="33">
        <f t="shared" si="1136"/>
        <v>3137.612</v>
      </c>
      <c r="AC410" s="32">
        <f t="shared" si="1136"/>
        <v>1058</v>
      </c>
      <c r="AD410" s="32">
        <f t="shared" si="1136"/>
        <v>87</v>
      </c>
      <c r="AE410" s="32">
        <f t="shared" si="1136"/>
        <v>1145</v>
      </c>
      <c r="AF410" s="32">
        <f t="shared" si="1136"/>
        <v>1577</v>
      </c>
      <c r="AG410" s="32">
        <f t="shared" si="1136"/>
        <v>27</v>
      </c>
      <c r="AH410" s="32">
        <f t="shared" si="1136"/>
        <v>1604</v>
      </c>
      <c r="AI410" s="32">
        <f t="shared" si="1136"/>
        <v>2749</v>
      </c>
      <c r="AJ410" s="34">
        <f t="shared" si="1129"/>
        <v>149.4100952</v>
      </c>
      <c r="AK410" s="31">
        <f>SUM(O418)</f>
        <v>6622</v>
      </c>
      <c r="AL410" s="35">
        <f t="shared" si="1130"/>
        <v>0.4151313802</v>
      </c>
      <c r="AM410" s="36">
        <f t="shared" si="1131"/>
        <v>1.5</v>
      </c>
      <c r="AN410" s="35">
        <f t="shared" si="1132"/>
        <v>0.5840960153</v>
      </c>
      <c r="AO410" s="37">
        <f t="shared" si="1133"/>
        <v>0.8761440229</v>
      </c>
      <c r="AP410" s="36">
        <f t="shared" ref="AP410:AQ410" si="1137">SUM(T418)</f>
        <v>131.6112416</v>
      </c>
      <c r="AQ410" s="36">
        <f t="shared" si="1137"/>
        <v>6.267201981</v>
      </c>
      <c r="AR410" s="32">
        <f t="shared" si="1135"/>
        <v>130.9047619</v>
      </c>
    </row>
    <row r="411" ht="15.75" customHeight="1">
      <c r="A411" s="21"/>
      <c r="B411" s="38">
        <v>1.0</v>
      </c>
      <c r="C411" s="38" t="s">
        <v>26</v>
      </c>
      <c r="D411" s="39">
        <v>15.0</v>
      </c>
      <c r="E411" s="40">
        <f>IFERROR(__xludf.DUMMYFUNCTION("COUNT(IMPORTRANGE(""https://docs.google.com/spreadsheets/d/1iVFEBQOAONhqDIMRa2hQ7WkCQv0dJWSAmc0AzfvSCMg/edit"",""16!d2:d21""))"),15.0)</f>
        <v>15</v>
      </c>
      <c r="F411" s="41">
        <f>IFERROR(__xludf.DUMMYFUNCTION("SUM(IMPORTRANGE(""https://docs.google.com/spreadsheets/d/1iVFEBQOAONhqDIMRa2hQ7WkCQv0dJWSAmc0AzfvSCMg/edit"",""16!Q2:Q21""))"),2832.93)</f>
        <v>2832.93</v>
      </c>
      <c r="G411" s="40">
        <f>IFERROR(__xludf.DUMMYFUNCTION("IMPORTRANGE(""https://docs.google.com/spreadsheets/d/1iVFEBQOAONhqDIMRa2hQ7WkCQv0dJWSAmc0AzfvSCMg/edit"",""16!e28"")"),1168.0)</f>
        <v>1168</v>
      </c>
      <c r="H411" s="40">
        <f>IFERROR(__xludf.DUMMYFUNCTION("IMPORTRANGE(""https://docs.google.com/spreadsheets/d/1iVFEBQOAONhqDIMRa2hQ7WkCQv0dJWSAmc0AzfvSCMg/edit"",""16!e29"")"),115.0)</f>
        <v>115</v>
      </c>
      <c r="I411" s="40">
        <f t="shared" ref="I411:I428" si="1140">SUM(G411:H411)</f>
        <v>1283</v>
      </c>
      <c r="J411" s="40">
        <f>IFERROR(__xludf.DUMMYFUNCTION("IMPORTRANGE(""https://docs.google.com/spreadsheets/d/1iVFEBQOAONhqDIMRa2hQ7WkCQv0dJWSAmc0AzfvSCMg/edit"",""16!e32"")"),1715.0)</f>
        <v>1715</v>
      </c>
      <c r="K411" s="40">
        <f>IFERROR(__xludf.DUMMYFUNCTION("IMPORTRANGE(""https://docs.google.com/spreadsheets/d/1iVFEBQOAONhqDIMRa2hQ7WkCQv0dJWSAmc0AzfvSCMg/edit"",""16!e33"")"),0.0)</f>
        <v>0</v>
      </c>
      <c r="L411" s="40">
        <f t="shared" ref="L411:L417" si="1141">SUM(J411:K411)</f>
        <v>1715</v>
      </c>
      <c r="M411" s="40">
        <f t="shared" ref="M411:M428" si="1142">SUM(I411+L411)</f>
        <v>2998</v>
      </c>
      <c r="N411" s="41">
        <f t="shared" ref="N411:N429" si="1143">F411/E411</f>
        <v>188.862</v>
      </c>
      <c r="O411" s="38">
        <v>5161.0</v>
      </c>
      <c r="P411" s="42">
        <f t="shared" ref="P411:P429" si="1144">M411/O411</f>
        <v>0.5808951754</v>
      </c>
      <c r="Q411" s="43">
        <v>1.5</v>
      </c>
      <c r="R411" s="42">
        <f t="shared" ref="R411:R429" si="1145">S411/Q411</f>
        <v>0.7055121964</v>
      </c>
      <c r="S411" s="44">
        <f t="shared" ref="S411:S429" si="1146">M411/F411</f>
        <v>1.058268295</v>
      </c>
      <c r="T411" s="43">
        <f>F411/14.415</f>
        <v>196.5265349</v>
      </c>
      <c r="U411" s="43">
        <f t="shared" ref="U411:U429" si="1147">T411/E411</f>
        <v>13.10176899</v>
      </c>
      <c r="V411" s="40">
        <f t="shared" ref="V411:V429" si="1148">M411/E411</f>
        <v>199.8666667</v>
      </c>
      <c r="X411" s="22">
        <v>4.0</v>
      </c>
      <c r="Y411" s="22" t="s">
        <v>27</v>
      </c>
      <c r="Z411" s="22">
        <f t="shared" ref="Z411:AK411" si="1138">SUM(D424)</f>
        <v>23</v>
      </c>
      <c r="AA411" s="23">
        <f t="shared" si="1138"/>
        <v>30</v>
      </c>
      <c r="AB411" s="24">
        <f t="shared" si="1138"/>
        <v>4386.57</v>
      </c>
      <c r="AC411" s="23">
        <f t="shared" si="1138"/>
        <v>1422</v>
      </c>
      <c r="AD411" s="23">
        <f t="shared" si="1138"/>
        <v>0</v>
      </c>
      <c r="AE411" s="23">
        <f t="shared" si="1138"/>
        <v>1422</v>
      </c>
      <c r="AF411" s="23">
        <f t="shared" si="1138"/>
        <v>1712</v>
      </c>
      <c r="AG411" s="23">
        <f t="shared" si="1138"/>
        <v>0</v>
      </c>
      <c r="AH411" s="23">
        <f t="shared" si="1138"/>
        <v>1712</v>
      </c>
      <c r="AI411" s="23">
        <f t="shared" si="1138"/>
        <v>3134</v>
      </c>
      <c r="AJ411" s="25">
        <f t="shared" si="1138"/>
        <v>146.219</v>
      </c>
      <c r="AK411" s="22">
        <f t="shared" si="1138"/>
        <v>8101</v>
      </c>
      <c r="AL411" s="26">
        <f t="shared" si="1130"/>
        <v>0.386865819</v>
      </c>
      <c r="AM411" s="27">
        <f>SUM(Q424)</f>
        <v>1.5</v>
      </c>
      <c r="AN411" s="26">
        <f t="shared" si="1132"/>
        <v>0.4763022893</v>
      </c>
      <c r="AO411" s="28">
        <f t="shared" si="1133"/>
        <v>0.714453434</v>
      </c>
      <c r="AP411" s="27">
        <f t="shared" ref="AP411:AQ411" si="1139">SUM(T424)</f>
        <v>219.4931198</v>
      </c>
      <c r="AQ411" s="27">
        <f t="shared" si="1139"/>
        <v>7.316437328</v>
      </c>
      <c r="AR411" s="23">
        <f t="shared" si="1135"/>
        <v>104.4666667</v>
      </c>
    </row>
    <row r="412" ht="15.75" customHeight="1">
      <c r="A412" s="21"/>
      <c r="B412" s="38">
        <v>2.0</v>
      </c>
      <c r="C412" s="38" t="s">
        <v>28</v>
      </c>
      <c r="D412" s="39">
        <v>24.0</v>
      </c>
      <c r="E412" s="40">
        <f>IFERROR(__xludf.DUMMYFUNCTION("COUNT(IMPORTRANGE(""https://docs.google.com/spreadsheets/d/1tJCeYclgeJZ4Dc78t_SkhVjtacKW-5-VGim8X1rzUzk/edit"",""16!d2:d34""))"),23.0)</f>
        <v>23</v>
      </c>
      <c r="F412" s="41">
        <f>IFERROR(__xludf.DUMMYFUNCTION("SUM(IMPORTRANGE(""https://docs.google.com/spreadsheets/d/1tJCeYclgeJZ4Dc78t_SkhVjtacKW-5-VGim8X1rzUzk/edit"",""16!Q2:Q34""))"),4427.8369999999995)</f>
        <v>4427.837</v>
      </c>
      <c r="G412" s="40">
        <f>IFERROR(__xludf.DUMMYFUNCTION("IMPORTRANGE(""https://docs.google.com/spreadsheets/d/1tJCeYclgeJZ4Dc78t_SkhVjtacKW-5-VGim8X1rzUzk/edit"",""16!e41"")"),1469.0)</f>
        <v>1469</v>
      </c>
      <c r="H412" s="40">
        <f>IFERROR(__xludf.DUMMYFUNCTION("IMPORTRANGE(""https://docs.google.com/spreadsheets/d/1tJCeYclgeJZ4Dc78t_SkhVjtacKW-5-VGim8X1rzUzk/edit"",""16!e42"")"),100.0)</f>
        <v>100</v>
      </c>
      <c r="I412" s="40">
        <f t="shared" si="1140"/>
        <v>1569</v>
      </c>
      <c r="J412" s="40">
        <f>IFERROR(__xludf.DUMMYFUNCTION("IMPORTRANGE(""https://docs.google.com/spreadsheets/d/1tJCeYclgeJZ4Dc78t_SkhVjtacKW-5-VGim8X1rzUzk/edit"",""16!e45"")"),1447.0)</f>
        <v>1447</v>
      </c>
      <c r="K412" s="40">
        <f>IFERROR(__xludf.DUMMYFUNCTION("IMPORTRANGE(""https://docs.google.com/spreadsheets/d/1tJCeYclgeJZ4Dc78t_SkhVjtacKW-5-VGim8X1rzUzk/edit"",""16!e46"")"),184.0)</f>
        <v>184</v>
      </c>
      <c r="L412" s="40">
        <f t="shared" si="1141"/>
        <v>1631</v>
      </c>
      <c r="M412" s="40">
        <f t="shared" si="1142"/>
        <v>3200</v>
      </c>
      <c r="N412" s="41">
        <f t="shared" si="1143"/>
        <v>192.5146522</v>
      </c>
      <c r="O412" s="38">
        <v>7315.0</v>
      </c>
      <c r="P412" s="42">
        <f t="shared" si="1144"/>
        <v>0.4374572796</v>
      </c>
      <c r="Q412" s="43">
        <v>1.5</v>
      </c>
      <c r="R412" s="42">
        <f t="shared" si="1145"/>
        <v>0.4818003313</v>
      </c>
      <c r="S412" s="44">
        <f t="shared" si="1146"/>
        <v>0.7227004969</v>
      </c>
      <c r="T412" s="43">
        <f>F412/30.897</f>
        <v>143.3096093</v>
      </c>
      <c r="U412" s="43">
        <f t="shared" si="1147"/>
        <v>6.23085258</v>
      </c>
      <c r="V412" s="40">
        <f t="shared" si="1148"/>
        <v>139.1304348</v>
      </c>
      <c r="X412" s="22">
        <v>5.0</v>
      </c>
      <c r="Y412" s="22" t="s">
        <v>29</v>
      </c>
      <c r="Z412" s="22">
        <f t="shared" ref="Z412:AI412" si="1149">SUM(D427)</f>
        <v>23</v>
      </c>
      <c r="AA412" s="23">
        <f t="shared" si="1149"/>
        <v>23</v>
      </c>
      <c r="AB412" s="24">
        <f t="shared" si="1149"/>
        <v>4662.416</v>
      </c>
      <c r="AC412" s="23">
        <f t="shared" si="1149"/>
        <v>1705</v>
      </c>
      <c r="AD412" s="23">
        <f t="shared" si="1149"/>
        <v>0</v>
      </c>
      <c r="AE412" s="23">
        <f t="shared" si="1149"/>
        <v>1705</v>
      </c>
      <c r="AF412" s="23">
        <f t="shared" si="1149"/>
        <v>2425</v>
      </c>
      <c r="AG412" s="23">
        <f t="shared" si="1149"/>
        <v>0</v>
      </c>
      <c r="AH412" s="23">
        <f t="shared" si="1149"/>
        <v>2425</v>
      </c>
      <c r="AI412" s="23">
        <f t="shared" si="1149"/>
        <v>4130</v>
      </c>
      <c r="AJ412" s="25">
        <f t="shared" ref="AJ412:AJ414" si="1152">AB412/AA412</f>
        <v>202.7137391</v>
      </c>
      <c r="AK412" s="22">
        <f t="shared" ref="AK412:AK413" si="1153">SUM(O427)</f>
        <v>9201</v>
      </c>
      <c r="AL412" s="26">
        <f t="shared" si="1130"/>
        <v>0.4488642539</v>
      </c>
      <c r="AM412" s="27">
        <f t="shared" ref="AM412:AM413" si="1154">SUM(Q427)</f>
        <v>1.5</v>
      </c>
      <c r="AN412" s="26">
        <f t="shared" si="1132"/>
        <v>0.5905378957</v>
      </c>
      <c r="AO412" s="28">
        <f t="shared" si="1133"/>
        <v>0.8858068435</v>
      </c>
      <c r="AP412" s="27">
        <f t="shared" ref="AP412:AQ412" si="1150">SUM(T427)</f>
        <v>176</v>
      </c>
      <c r="AQ412" s="27">
        <f t="shared" si="1150"/>
        <v>7.652173913</v>
      </c>
      <c r="AR412" s="23">
        <f t="shared" si="1135"/>
        <v>179.5652174</v>
      </c>
    </row>
    <row r="413" ht="15.75" customHeight="1">
      <c r="A413" s="21"/>
      <c r="B413" s="38">
        <v>3.0</v>
      </c>
      <c r="C413" s="38" t="s">
        <v>30</v>
      </c>
      <c r="D413" s="39">
        <v>45.0</v>
      </c>
      <c r="E413" s="40">
        <f>IFERROR(__xludf.DUMMYFUNCTION("COUNT(IMPORTRANGE(""https://docs.google.com/spreadsheets/d/130gLEONC13J8KkQ6dk06x3bLRy_jCrAw2hXatQf2W50/edit"",""16!d2:d61""))"),44.0)</f>
        <v>44</v>
      </c>
      <c r="F413" s="45">
        <f>IFERROR(__xludf.DUMMYFUNCTION("SUM(IMPORTRANGE(""https://docs.google.com/spreadsheets/d/130gLEONC13J8KkQ6dk06x3bLRy_jCrAw2hXatQf2W50/edit"",""16!Q2:Q61""))"),8673.678999999993)</f>
        <v>8673.679</v>
      </c>
      <c r="G413" s="40">
        <f>IFERROR(__xludf.DUMMYFUNCTION("IMPORTRANGE(""https://docs.google.com/spreadsheets/d/130gLEONC13J8KkQ6dk06x3bLRy_jCrAw2hXatQf2W50/edit"",""16!e68"")"),2024.0)</f>
        <v>2024</v>
      </c>
      <c r="H413" s="40">
        <f>IFERROR(__xludf.DUMMYFUNCTION("IMPORTRANGE(""https://docs.google.com/spreadsheets/d/130gLEONC13J8KkQ6dk06x3bLRy_jCrAw2hXatQf2W50/edit"",""16!e69"")"),147.0)</f>
        <v>147</v>
      </c>
      <c r="I413" s="40">
        <f t="shared" si="1140"/>
        <v>2171</v>
      </c>
      <c r="J413" s="40">
        <f>IFERROR(__xludf.DUMMYFUNCTION("IMPORTRANGE(""https://docs.google.com/spreadsheets/d/130gLEONC13J8KkQ6dk06x3bLRy_jCrAw2hXatQf2W50/edit"",""16!e72"")"),3810.0)</f>
        <v>3810</v>
      </c>
      <c r="K413" s="40">
        <f>IFERROR(__xludf.DUMMYFUNCTION("IMPORTRANGE(""https://docs.google.com/spreadsheets/d/130gLEONC13J8KkQ6dk06x3bLRy_jCrAw2hXatQf2W50/edit"",""16!e73"")"),41.0)</f>
        <v>41</v>
      </c>
      <c r="L413" s="40">
        <f t="shared" si="1141"/>
        <v>3851</v>
      </c>
      <c r="M413" s="40">
        <f t="shared" si="1142"/>
        <v>6022</v>
      </c>
      <c r="N413" s="41">
        <f t="shared" si="1143"/>
        <v>197.1290682</v>
      </c>
      <c r="O413" s="38">
        <v>11164.0</v>
      </c>
      <c r="P413" s="42">
        <f t="shared" si="1144"/>
        <v>0.539412397</v>
      </c>
      <c r="Q413" s="43">
        <v>1.5</v>
      </c>
      <c r="R413" s="42">
        <f t="shared" si="1145"/>
        <v>0.4628562651</v>
      </c>
      <c r="S413" s="44">
        <f t="shared" si="1146"/>
        <v>0.6942843977</v>
      </c>
      <c r="T413" s="43">
        <f>F413/29.603</f>
        <v>293</v>
      </c>
      <c r="U413" s="43">
        <f t="shared" si="1147"/>
        <v>6.659090909</v>
      </c>
      <c r="V413" s="40">
        <f t="shared" si="1148"/>
        <v>136.8636364</v>
      </c>
      <c r="X413" s="22">
        <v>6.0</v>
      </c>
      <c r="Y413" s="22" t="s">
        <v>31</v>
      </c>
      <c r="Z413" s="22">
        <f t="shared" ref="Z413:AI413" si="1151">SUM(D428)</f>
        <v>11</v>
      </c>
      <c r="AA413" s="23">
        <f t="shared" si="1151"/>
        <v>10</v>
      </c>
      <c r="AB413" s="25">
        <f t="shared" si="1151"/>
        <v>1912.46</v>
      </c>
      <c r="AC413" s="23">
        <f t="shared" si="1151"/>
        <v>406</v>
      </c>
      <c r="AD413" s="23">
        <f t="shared" si="1151"/>
        <v>0</v>
      </c>
      <c r="AE413" s="23">
        <f t="shared" si="1151"/>
        <v>406</v>
      </c>
      <c r="AF413" s="23">
        <f t="shared" si="1151"/>
        <v>554</v>
      </c>
      <c r="AG413" s="23">
        <f t="shared" si="1151"/>
        <v>13</v>
      </c>
      <c r="AH413" s="23">
        <f t="shared" si="1151"/>
        <v>567</v>
      </c>
      <c r="AI413" s="23">
        <f t="shared" si="1151"/>
        <v>973</v>
      </c>
      <c r="AJ413" s="25">
        <f t="shared" si="1152"/>
        <v>191.246</v>
      </c>
      <c r="AK413" s="22">
        <f t="shared" si="1153"/>
        <v>2717</v>
      </c>
      <c r="AL413" s="26">
        <f t="shared" si="1130"/>
        <v>0.3581155686</v>
      </c>
      <c r="AM413" s="27">
        <f t="shared" si="1154"/>
        <v>1.5</v>
      </c>
      <c r="AN413" s="26">
        <f t="shared" si="1132"/>
        <v>0.3391792072</v>
      </c>
      <c r="AO413" s="28">
        <f t="shared" si="1133"/>
        <v>0.5087688109</v>
      </c>
      <c r="AP413" s="27">
        <f t="shared" ref="AP413:AQ413" si="1155">SUM(T428)</f>
        <v>44</v>
      </c>
      <c r="AQ413" s="27">
        <f t="shared" si="1155"/>
        <v>4.4</v>
      </c>
      <c r="AR413" s="23">
        <f t="shared" si="1135"/>
        <v>97.3</v>
      </c>
    </row>
    <row r="414" ht="15.75" customHeight="1">
      <c r="A414" s="21"/>
      <c r="B414" s="38">
        <v>4.0</v>
      </c>
      <c r="C414" s="38" t="s">
        <v>32</v>
      </c>
      <c r="D414" s="39">
        <v>32.0</v>
      </c>
      <c r="E414" s="40">
        <f>IFERROR(__xludf.DUMMYFUNCTION("COUNT(IMPORTRANGE(""https://docs.google.com/spreadsheets/d/1gYHli7FuKQLm2Q-5LMR0UtkD-gRRA_p8s-phLPLDLgc/edit"",""16!d2:d43""))"),32.0)</f>
        <v>32</v>
      </c>
      <c r="F414" s="45">
        <f>IFERROR(__xludf.DUMMYFUNCTION("SUM(IMPORTRANGE(""https://docs.google.com/spreadsheets/d/1gYHli7FuKQLm2Q-5LMR0UtkD-gRRA_p8s-phLPLDLgc/edit"",""16!Q2:Q43""))"),6422.783999999994)</f>
        <v>6422.784</v>
      </c>
      <c r="G414" s="38">
        <f>IFERROR(__xludf.DUMMYFUNCTION("IMPORTRANGE(""https://docs.google.com/spreadsheets/d/1gYHli7FuKQLm2Q-5LMR0UtkD-gRRA_p8s-phLPLDLgc/edit"",""16!e50"")"),3004.0)</f>
        <v>3004</v>
      </c>
      <c r="H414" s="38">
        <f>IFERROR(__xludf.DUMMYFUNCTION("IMPORTRANGE(""https://docs.google.com/spreadsheets/d/1gYHli7FuKQLm2Q-5LMR0UtkD-gRRA_p8s-phLPLDLgc/edit"",""16!e51"")"),0.0)</f>
        <v>0</v>
      </c>
      <c r="I414" s="40">
        <f t="shared" si="1140"/>
        <v>3004</v>
      </c>
      <c r="J414" s="38">
        <f>IFERROR(__xludf.DUMMYFUNCTION("IMPORTRANGE(""https://docs.google.com/spreadsheets/d/1gYHli7FuKQLm2Q-5LMR0UtkD-gRRA_p8s-phLPLDLgc/edit"",""16!e54"")"),3454.0)</f>
        <v>3454</v>
      </c>
      <c r="K414" s="38">
        <f>IFERROR(__xludf.DUMMYFUNCTION("IMPORTRANGE(""https://docs.google.com/spreadsheets/d/1gYHli7FuKQLm2Q-5LMR0UtkD-gRRA_p8s-phLPLDLgc/edit"",""16!e55"")"),0.0)</f>
        <v>0</v>
      </c>
      <c r="L414" s="40">
        <f t="shared" si="1141"/>
        <v>3454</v>
      </c>
      <c r="M414" s="40">
        <f t="shared" si="1142"/>
        <v>6458</v>
      </c>
      <c r="N414" s="41">
        <f t="shared" si="1143"/>
        <v>200.712</v>
      </c>
      <c r="O414" s="38">
        <v>13817.0</v>
      </c>
      <c r="P414" s="42">
        <f t="shared" si="1144"/>
        <v>0.4673952378</v>
      </c>
      <c r="Q414" s="43">
        <v>1.5</v>
      </c>
      <c r="R414" s="42">
        <f t="shared" si="1145"/>
        <v>0.6703219871</v>
      </c>
      <c r="S414" s="44">
        <f t="shared" si="1146"/>
        <v>1.005482981</v>
      </c>
      <c r="T414" s="43">
        <f>F414/25.089</f>
        <v>256</v>
      </c>
      <c r="U414" s="43">
        <f t="shared" si="1147"/>
        <v>8</v>
      </c>
      <c r="V414" s="40">
        <f t="shared" si="1148"/>
        <v>201.8125</v>
      </c>
      <c r="X414" s="46" t="s">
        <v>33</v>
      </c>
      <c r="Y414" s="46">
        <v>6.0</v>
      </c>
      <c r="Z414" s="46">
        <f t="shared" ref="Z414:AI414" si="1156">SUM(Z408:Z413)</f>
        <v>144</v>
      </c>
      <c r="AA414" s="47">
        <f t="shared" si="1156"/>
        <v>144</v>
      </c>
      <c r="AB414" s="48">
        <f t="shared" si="1156"/>
        <v>25706.152</v>
      </c>
      <c r="AC414" s="47">
        <f t="shared" si="1156"/>
        <v>6248</v>
      </c>
      <c r="AD414" s="47">
        <f t="shared" si="1156"/>
        <v>117</v>
      </c>
      <c r="AE414" s="47">
        <f t="shared" si="1156"/>
        <v>6365</v>
      </c>
      <c r="AF414" s="47">
        <f t="shared" si="1156"/>
        <v>8975</v>
      </c>
      <c r="AG414" s="47">
        <f t="shared" si="1156"/>
        <v>68</v>
      </c>
      <c r="AH414" s="47">
        <f t="shared" si="1156"/>
        <v>9043</v>
      </c>
      <c r="AI414" s="47">
        <f t="shared" si="1156"/>
        <v>15408</v>
      </c>
      <c r="AJ414" s="49">
        <f t="shared" si="1152"/>
        <v>178.5149444</v>
      </c>
      <c r="AK414" s="46">
        <f>SUM(AK408:AK413)</f>
        <v>35074</v>
      </c>
      <c r="AL414" s="50">
        <f t="shared" si="1130"/>
        <v>0.4392997662</v>
      </c>
      <c r="AM414" s="51">
        <v>1.5</v>
      </c>
      <c r="AN414" s="50">
        <f t="shared" si="1132"/>
        <v>0.3995930624</v>
      </c>
      <c r="AO414" s="52">
        <f t="shared" si="1133"/>
        <v>0.5993895936</v>
      </c>
      <c r="AP414" s="51">
        <f>SUM(AP408:AP413)</f>
        <v>965.8334792</v>
      </c>
      <c r="AQ414" s="51">
        <f>AP414/AA414</f>
        <v>6.707176939</v>
      </c>
      <c r="AR414" s="47">
        <f t="shared" si="1135"/>
        <v>107</v>
      </c>
    </row>
    <row r="415" ht="15.75" customHeight="1">
      <c r="A415" s="21"/>
      <c r="B415" s="38">
        <v>5.0</v>
      </c>
      <c r="C415" s="38" t="s">
        <v>34</v>
      </c>
      <c r="D415" s="39">
        <v>30.0</v>
      </c>
      <c r="E415" s="40">
        <f>IFERROR(__xludf.DUMMYFUNCTION("COUNT(IMPORTRANGE(""https://docs.google.com/spreadsheets/d/1ptS0qWBCKWkc9h2aXWT_YgMhN7yIv5WgAHRbF8l9Zpo/edit"",""16!d2:d41""))"),30.0)</f>
        <v>30</v>
      </c>
      <c r="F415" s="45">
        <f>IFERROR(__xludf.DUMMYFUNCTION("SUM(IMPORTRANGE(""https://docs.google.com/spreadsheets/d/1ptS0qWBCKWkc9h2aXWT_YgMhN7yIv5WgAHRbF8l9Zpo/edit"",""16!Q2:Q41""))"),5924.523000000002)</f>
        <v>5924.523</v>
      </c>
      <c r="G415" s="40">
        <f>IFERROR(__xludf.DUMMYFUNCTION("IMPORTRANGE(""https://docs.google.com/spreadsheets/d/1ptS0qWBCKWkc9h2aXWT_YgMhN7yIv5WgAHRbF8l9Zpo/edit"",""16!e48"")"),1510.0)</f>
        <v>1510</v>
      </c>
      <c r="H415" s="40">
        <f>IFERROR(__xludf.DUMMYFUNCTION("IMPORTRANGE(""https://docs.google.com/spreadsheets/d/1ptS0qWBCKWkc9h2aXWT_YgMhN7yIv5WgAHRbF8l9Zpo/edit"",""16!e49"")"),0.0)</f>
        <v>0</v>
      </c>
      <c r="I415" s="40">
        <f t="shared" si="1140"/>
        <v>1510</v>
      </c>
      <c r="J415" s="40">
        <f>IFERROR(__xludf.DUMMYFUNCTION("IMPORTRANGE(""https://docs.google.com/spreadsheets/d/1ptS0qWBCKWkc9h2aXWT_YgMhN7yIv5WgAHRbF8l9Zpo/edit"",""16!e52"")"),2198.0)</f>
        <v>2198</v>
      </c>
      <c r="K415" s="40">
        <f>IFERROR(__xludf.DUMMYFUNCTION("IMPORTRANGE(""https://docs.google.com/spreadsheets/d/1ptS0qWBCKWkc9h2aXWT_YgMhN7yIv5WgAHRbF8l9Zpo/edit"",""16!e53"")"),112.0)</f>
        <v>112</v>
      </c>
      <c r="L415" s="40">
        <f t="shared" si="1141"/>
        <v>2310</v>
      </c>
      <c r="M415" s="40">
        <f t="shared" si="1142"/>
        <v>3820</v>
      </c>
      <c r="N415" s="41">
        <f t="shared" si="1143"/>
        <v>197.4841</v>
      </c>
      <c r="O415" s="38">
        <v>9354.0</v>
      </c>
      <c r="P415" s="42">
        <f t="shared" si="1144"/>
        <v>0.4083814411</v>
      </c>
      <c r="Q415" s="43">
        <v>1.5</v>
      </c>
      <c r="R415" s="42">
        <f t="shared" si="1145"/>
        <v>0.4298517647</v>
      </c>
      <c r="S415" s="44">
        <f t="shared" si="1146"/>
        <v>0.6447776471</v>
      </c>
      <c r="T415" s="43">
        <f>F415/30.713</f>
        <v>192.8995214</v>
      </c>
      <c r="U415" s="43">
        <f t="shared" si="1147"/>
        <v>6.429984046</v>
      </c>
      <c r="V415" s="40">
        <f t="shared" si="1148"/>
        <v>127.3333333</v>
      </c>
      <c r="X415" s="53" t="s">
        <v>35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6"/>
    </row>
    <row r="416" ht="15.75" customHeight="1">
      <c r="A416" s="21"/>
      <c r="B416" s="38">
        <v>6.0</v>
      </c>
      <c r="C416" s="38" t="s">
        <v>23</v>
      </c>
      <c r="D416" s="39">
        <v>26.0</v>
      </c>
      <c r="E416" s="40">
        <f>IFERROR(__xludf.DUMMYFUNCTION("COUNT(IMPORTRANGE(""https://docs.google.com/spreadsheets/d/1829CoYW82aTBBUgqkPnJa94KlBWI-DowAnP4ENQCmaQ/edit"",""16!d2:d36""))"),25.0)</f>
        <v>25</v>
      </c>
      <c r="F416" s="45">
        <f>IFERROR(__xludf.DUMMYFUNCTION("SUM(IMPORTRANGE(""https://docs.google.com/spreadsheets/d/1829CoYW82aTBBUgqkPnJa94KlBWI-DowAnP4ENQCmaQ/edit"",""16!Q2:Q36""))"),4993.519999999999)</f>
        <v>4993.52</v>
      </c>
      <c r="G416" s="40">
        <f>IFERROR(__xludf.DUMMYFUNCTION("IMPORTRANGE(""https://docs.google.com/spreadsheets/d/1829CoYW82aTBBUgqkPnJa94KlBWI-DowAnP4ENQCmaQ/edit"",""16!e43"")"),1036.0)</f>
        <v>1036</v>
      </c>
      <c r="H416" s="40">
        <f>IFERROR(__xludf.DUMMYFUNCTION("IMPORTRANGE(""https://docs.google.com/spreadsheets/d/1829CoYW82aTBBUgqkPnJa94KlBWI-DowAnP4ENQCmaQ/edit"",""16!e44"")"),0.0)</f>
        <v>0</v>
      </c>
      <c r="I416" s="40">
        <f t="shared" si="1140"/>
        <v>1036</v>
      </c>
      <c r="J416" s="40">
        <f>IFERROR(__xludf.DUMMYFUNCTION("IMPORTRANGE(""https://docs.google.com/spreadsheets/d/1829CoYW82aTBBUgqkPnJa94KlBWI-DowAnP4ENQCmaQ/edit"",""16!e47"")"),1985.0)</f>
        <v>1985</v>
      </c>
      <c r="K416" s="40">
        <f>IFERROR(__xludf.DUMMYFUNCTION("IMPORTRANGE(""https://docs.google.com/spreadsheets/d/1829CoYW82aTBBUgqkPnJa94KlBWI-DowAnP4ENQCmaQ/edit"",""16!e48"")"),0.0)</f>
        <v>0</v>
      </c>
      <c r="L416" s="40">
        <f t="shared" si="1141"/>
        <v>1985</v>
      </c>
      <c r="M416" s="40">
        <f t="shared" si="1142"/>
        <v>3021</v>
      </c>
      <c r="N416" s="41">
        <f t="shared" si="1143"/>
        <v>199.7408</v>
      </c>
      <c r="O416" s="38">
        <v>6853.0</v>
      </c>
      <c r="P416" s="42">
        <f t="shared" si="1144"/>
        <v>0.4408288341</v>
      </c>
      <c r="Q416" s="43">
        <v>1.5</v>
      </c>
      <c r="R416" s="42">
        <f t="shared" si="1145"/>
        <v>0.4033227062</v>
      </c>
      <c r="S416" s="44">
        <f t="shared" si="1146"/>
        <v>0.6049840593</v>
      </c>
      <c r="T416" s="43">
        <f>F416/33.74</f>
        <v>148</v>
      </c>
      <c r="U416" s="43">
        <f t="shared" si="1147"/>
        <v>5.92</v>
      </c>
      <c r="V416" s="40">
        <f t="shared" si="1148"/>
        <v>120.84</v>
      </c>
      <c r="X416" s="14" t="s">
        <v>2</v>
      </c>
      <c r="Y416" s="14" t="s">
        <v>3</v>
      </c>
      <c r="Z416" s="14" t="s">
        <v>4</v>
      </c>
      <c r="AA416" s="14" t="s">
        <v>5</v>
      </c>
      <c r="AB416" s="15" t="s">
        <v>6</v>
      </c>
      <c r="AC416" s="14" t="s">
        <v>7</v>
      </c>
      <c r="AD416" s="14" t="s">
        <v>8</v>
      </c>
      <c r="AE416" s="14" t="s">
        <v>9</v>
      </c>
      <c r="AF416" s="14" t="s">
        <v>10</v>
      </c>
      <c r="AG416" s="14" t="s">
        <v>11</v>
      </c>
      <c r="AH416" s="14" t="s">
        <v>12</v>
      </c>
      <c r="AI416" s="14" t="s">
        <v>13</v>
      </c>
      <c r="AJ416" s="15" t="s">
        <v>14</v>
      </c>
      <c r="AK416" s="14" t="s">
        <v>15</v>
      </c>
      <c r="AL416" s="14" t="s">
        <v>16</v>
      </c>
      <c r="AM416" s="16" t="s">
        <v>17</v>
      </c>
      <c r="AN416" s="17" t="s">
        <v>18</v>
      </c>
      <c r="AO416" s="18" t="s">
        <v>19</v>
      </c>
      <c r="AP416" s="19" t="s">
        <v>20</v>
      </c>
      <c r="AQ416" s="19" t="s">
        <v>21</v>
      </c>
      <c r="AR416" s="20" t="s">
        <v>22</v>
      </c>
    </row>
    <row r="417" ht="15.75" customHeight="1">
      <c r="A417" s="21"/>
      <c r="B417" s="38">
        <v>7.0</v>
      </c>
      <c r="C417" s="38" t="s">
        <v>24</v>
      </c>
      <c r="D417" s="39">
        <v>35.0</v>
      </c>
      <c r="E417" s="54">
        <f>IFERROR(__xludf.DUMMYFUNCTION("COUNT(IMPORTRANGE(""https://docs.google.com/spreadsheets/d/1E2x4oDZxEIsuC5nl-5Z0--MoN8b1dt9SbpRcCfNP84Q/edit"",""16!d2:d45""))"),35.0)</f>
        <v>35</v>
      </c>
      <c r="F417" s="55">
        <f>IFERROR(__xludf.DUMMYFUNCTION("SUM(IMPORTRANGE(""https://docs.google.com/spreadsheets/d/1E2x4oDZxEIsuC5nl-5Z0--MoN8b1dt9SbpRcCfNP84Q/edit"",""16!Q2:Q45""))"),6613.573999999996)</f>
        <v>6613.574</v>
      </c>
      <c r="G417" s="54">
        <f>IFERROR(__xludf.DUMMYFUNCTION("IMPORTRANGE(""https://docs.google.com/spreadsheets/d/1E2x4oDZxEIsuC5nl-5Z0--MoN8b1dt9SbpRcCfNP84Q/edit"",""16!e53"")"),621.0)</f>
        <v>621</v>
      </c>
      <c r="H417" s="54">
        <f>IFERROR(__xludf.DUMMYFUNCTION("IMPORTRANGE(""https://docs.google.com/spreadsheets/d/1E2x4oDZxEIsuC5nl-5Z0--MoN8b1dt9SbpRcCfNP84Q/edit"",""16!e54"")"),30.0)</f>
        <v>30</v>
      </c>
      <c r="I417" s="54">
        <f t="shared" si="1140"/>
        <v>651</v>
      </c>
      <c r="J417" s="54">
        <f>IFERROR(__xludf.DUMMYFUNCTION("IMPORTRANGE(""https://docs.google.com/spreadsheets/d/1E2x4oDZxEIsuC5nl-5Z0--MoN8b1dt9SbpRcCfNP84Q/edit"",""16!e57"")"),722.0)</f>
        <v>722</v>
      </c>
      <c r="K417" s="54">
        <f>IFERROR(__xludf.DUMMYFUNCTION("IMPORTRANGE(""https://docs.google.com/spreadsheets/d/1E2x4oDZxEIsuC5nl-5Z0--MoN8b1dt9SbpRcCfNP84Q/edit"",""16!e58"")"),28.0)</f>
        <v>28</v>
      </c>
      <c r="L417" s="40">
        <f t="shared" si="1141"/>
        <v>750</v>
      </c>
      <c r="M417" s="40">
        <f t="shared" si="1142"/>
        <v>1401</v>
      </c>
      <c r="N417" s="41">
        <f t="shared" si="1143"/>
        <v>188.9592571</v>
      </c>
      <c r="O417" s="38">
        <v>1580.0</v>
      </c>
      <c r="P417" s="42">
        <f t="shared" si="1144"/>
        <v>0.8867088608</v>
      </c>
      <c r="Q417" s="43">
        <v>1.5</v>
      </c>
      <c r="R417" s="42">
        <f t="shared" si="1145"/>
        <v>0.1412246994</v>
      </c>
      <c r="S417" s="44">
        <f t="shared" si="1146"/>
        <v>0.2118370491</v>
      </c>
      <c r="T417" s="43">
        <f>F417/26.805</f>
        <v>246.7291177</v>
      </c>
      <c r="U417" s="43">
        <f t="shared" si="1147"/>
        <v>7.049403363</v>
      </c>
      <c r="V417" s="40">
        <f t="shared" si="1148"/>
        <v>40.02857143</v>
      </c>
      <c r="X417" s="22">
        <v>1.0</v>
      </c>
      <c r="Y417" s="22" t="s">
        <v>28</v>
      </c>
      <c r="Z417" s="22">
        <f t="shared" ref="Z417:AI417" si="1157">SUM(D412)</f>
        <v>24</v>
      </c>
      <c r="AA417" s="23">
        <f t="shared" si="1157"/>
        <v>23</v>
      </c>
      <c r="AB417" s="25">
        <f t="shared" si="1157"/>
        <v>4427.837</v>
      </c>
      <c r="AC417" s="23">
        <f t="shared" si="1157"/>
        <v>1469</v>
      </c>
      <c r="AD417" s="23">
        <f t="shared" si="1157"/>
        <v>100</v>
      </c>
      <c r="AE417" s="23">
        <f t="shared" si="1157"/>
        <v>1569</v>
      </c>
      <c r="AF417" s="23">
        <f t="shared" si="1157"/>
        <v>1447</v>
      </c>
      <c r="AG417" s="23">
        <f t="shared" si="1157"/>
        <v>184</v>
      </c>
      <c r="AH417" s="23">
        <f t="shared" si="1157"/>
        <v>1631</v>
      </c>
      <c r="AI417" s="23">
        <f t="shared" si="1157"/>
        <v>3200</v>
      </c>
      <c r="AJ417" s="25">
        <f t="shared" ref="AJ417:AJ423" si="1160">AB417/AA417</f>
        <v>192.5146522</v>
      </c>
      <c r="AK417" s="22">
        <f t="shared" ref="AK417:AK418" si="1161">SUM(O412)</f>
        <v>7315</v>
      </c>
      <c r="AL417" s="26">
        <f t="shared" ref="AL417:AL423" si="1162">AI417/AK417</f>
        <v>0.4374572796</v>
      </c>
      <c r="AM417" s="27">
        <f t="shared" ref="AM417:AM418" si="1163">SUM(Q412)</f>
        <v>1.5</v>
      </c>
      <c r="AN417" s="26">
        <f t="shared" ref="AN417:AN423" si="1164">AO417/AM417</f>
        <v>0.4818003313</v>
      </c>
      <c r="AO417" s="28">
        <f t="shared" ref="AO417:AO423" si="1165">AI417/AB417</f>
        <v>0.7227004969</v>
      </c>
      <c r="AP417" s="27">
        <f t="shared" ref="AP417:AQ417" si="1158">SUM(T412)</f>
        <v>143.3096093</v>
      </c>
      <c r="AQ417" s="27">
        <f t="shared" si="1158"/>
        <v>6.23085258</v>
      </c>
      <c r="AR417" s="23">
        <f t="shared" ref="AR417:AR423" si="1167">AI417/AA417</f>
        <v>139.1304348</v>
      </c>
    </row>
    <row r="418" ht="15.75" customHeight="1">
      <c r="A418" s="21"/>
      <c r="B418" s="38">
        <v>8.0</v>
      </c>
      <c r="C418" s="38" t="s">
        <v>25</v>
      </c>
      <c r="D418" s="57">
        <v>26.0</v>
      </c>
      <c r="E418" s="40">
        <f>IFERROR(__xludf.DUMMYFUNCTION("COUNT(IMPORTRANGE(""https://docs.google.com/spreadsheets/d/1KbRFOEYB0B44J_NSh1MwYQ1sLDlZXUHI-wuMLcZDn5k/edit"",""16!d2:D33""))"),21.0)</f>
        <v>21</v>
      </c>
      <c r="F418" s="45">
        <f>IFERROR(__xludf.DUMMYFUNCTION("SUM(IMPORTRANGE(""https://docs.google.com/spreadsheets/d/1KbRFOEYB0B44J_NSh1MwYQ1sLDlZXUHI-wuMLcZDn5k/edit"",""16!Q2:Q33""))"),3137.6120000000005)</f>
        <v>3137.612</v>
      </c>
      <c r="G418" s="40">
        <f>IFERROR(__xludf.DUMMYFUNCTION("IMPORTRANGE(""https://docs.google.com/spreadsheets/d/1KbRFOEYB0B44J_NSh1MwYQ1sLDlZXUHI-wuMLcZDn5k/edit"",""16!e40"")"),1058.0)</f>
        <v>1058</v>
      </c>
      <c r="H418" s="40">
        <f>IFERROR(__xludf.DUMMYFUNCTION("IMPORTRANGE(""https://docs.google.com/spreadsheets/d/1KbRFOEYB0B44J_NSh1MwYQ1sLDlZXUHI-wuMLcZDn5k/edit"",""16!e41"")"),87.0)</f>
        <v>87</v>
      </c>
      <c r="I418" s="40">
        <f t="shared" si="1140"/>
        <v>1145</v>
      </c>
      <c r="J418" s="40">
        <f>IFERROR(__xludf.DUMMYFUNCTION("IMPORTRANGE(""https://docs.google.com/spreadsheets/d/1KbRFOEYB0B44J_NSh1MwYQ1sLDlZXUHI-wuMLcZDn5k/edit"",""16!e44"")"),1577.0)</f>
        <v>1577</v>
      </c>
      <c r="K418" s="40">
        <f>IFERROR(__xludf.DUMMYFUNCTION("IMPORTRANGE(""https://docs.google.com/spreadsheets/d/1KbRFOEYB0B44J_NSh1MwYQ1sLDlZXUHI-wuMLcZDn5k/edit"",""16!e45"")"),27.0)</f>
        <v>27</v>
      </c>
      <c r="L418" s="40">
        <f>J418+K418</f>
        <v>1604</v>
      </c>
      <c r="M418" s="40">
        <f t="shared" si="1142"/>
        <v>2749</v>
      </c>
      <c r="N418" s="41">
        <f t="shared" si="1143"/>
        <v>149.4100952</v>
      </c>
      <c r="O418" s="38">
        <v>6622.0</v>
      </c>
      <c r="P418" s="42">
        <f t="shared" si="1144"/>
        <v>0.4151313802</v>
      </c>
      <c r="Q418" s="43">
        <v>1.5</v>
      </c>
      <c r="R418" s="42">
        <f t="shared" si="1145"/>
        <v>0.5840960153</v>
      </c>
      <c r="S418" s="44">
        <f t="shared" si="1146"/>
        <v>0.8761440229</v>
      </c>
      <c r="T418" s="43">
        <f>F418/23.84</f>
        <v>131.6112416</v>
      </c>
      <c r="U418" s="43">
        <f t="shared" si="1147"/>
        <v>6.267201981</v>
      </c>
      <c r="V418" s="40">
        <f t="shared" si="1148"/>
        <v>130.9047619</v>
      </c>
      <c r="X418" s="31">
        <v>2.0</v>
      </c>
      <c r="Y418" s="31" t="s">
        <v>30</v>
      </c>
      <c r="Z418" s="31">
        <f t="shared" ref="Z418:AI418" si="1159">SUM(D413)</f>
        <v>45</v>
      </c>
      <c r="AA418" s="32">
        <f t="shared" si="1159"/>
        <v>44</v>
      </c>
      <c r="AB418" s="33">
        <f t="shared" si="1159"/>
        <v>8673.679</v>
      </c>
      <c r="AC418" s="32">
        <f t="shared" si="1159"/>
        <v>2024</v>
      </c>
      <c r="AD418" s="32">
        <f t="shared" si="1159"/>
        <v>147</v>
      </c>
      <c r="AE418" s="32">
        <f t="shared" si="1159"/>
        <v>2171</v>
      </c>
      <c r="AF418" s="32">
        <f t="shared" si="1159"/>
        <v>3810</v>
      </c>
      <c r="AG418" s="32">
        <f t="shared" si="1159"/>
        <v>41</v>
      </c>
      <c r="AH418" s="32">
        <f t="shared" si="1159"/>
        <v>3851</v>
      </c>
      <c r="AI418" s="32">
        <f t="shared" si="1159"/>
        <v>6022</v>
      </c>
      <c r="AJ418" s="34">
        <f t="shared" si="1160"/>
        <v>197.1290682</v>
      </c>
      <c r="AK418" s="31">
        <f t="shared" si="1161"/>
        <v>11164</v>
      </c>
      <c r="AL418" s="35">
        <f t="shared" si="1162"/>
        <v>0.539412397</v>
      </c>
      <c r="AM418" s="36">
        <f t="shared" si="1163"/>
        <v>1.5</v>
      </c>
      <c r="AN418" s="35">
        <f t="shared" si="1164"/>
        <v>0.4628562651</v>
      </c>
      <c r="AO418" s="37">
        <f t="shared" si="1165"/>
        <v>0.6942843977</v>
      </c>
      <c r="AP418" s="36">
        <f t="shared" ref="AP418:AQ418" si="1166">SUM(T413)</f>
        <v>293</v>
      </c>
      <c r="AQ418" s="36">
        <f t="shared" si="1166"/>
        <v>6.659090909</v>
      </c>
      <c r="AR418" s="32">
        <f t="shared" si="1167"/>
        <v>136.8636364</v>
      </c>
    </row>
    <row r="419" ht="15.75" customHeight="1">
      <c r="A419" s="21"/>
      <c r="B419" s="38">
        <v>9.0</v>
      </c>
      <c r="C419" s="38" t="s">
        <v>36</v>
      </c>
      <c r="D419" s="58">
        <v>22.0</v>
      </c>
      <c r="E419" s="40">
        <f>IFERROR(__xludf.DUMMYFUNCTION("COUNT(IMPORTRANGE(""https://docs.google.com/spreadsheets/d/1VqqqRGfmmkT0JC4ILJva2p8P11jjV0FX-TSKAaqOigw/edit"",""16!d2:d31""))"),22.0)</f>
        <v>22</v>
      </c>
      <c r="F419" s="45">
        <f>IFERROR(__xludf.DUMMYFUNCTION("SUM(IMPORTRANGE(""https://docs.google.com/spreadsheets/d/1VqqqRGfmmkT0JC4ILJva2p8P11jjV0FX-TSKAaqOigw/edit"",""16!Q2:Q31""))"),4335.236)</f>
        <v>4335.236</v>
      </c>
      <c r="G419" s="40">
        <f>IFERROR(__xludf.DUMMYFUNCTION("IMPORTRANGE(""https://docs.google.com/spreadsheets/d/1VqqqRGfmmkT0JC4ILJva2p8P11jjV0FX-TSKAaqOigw/edit"",""16!e38"")"),803.0)</f>
        <v>803</v>
      </c>
      <c r="H419" s="40">
        <f>IFERROR(__xludf.DUMMYFUNCTION("IMPORTRANGE(""https://docs.google.com/spreadsheets/d/1VqqqRGfmmkT0JC4ILJva2p8P11jjV0FX-TSKAaqOigw/edit"",""16!e39"")"),0.0)</f>
        <v>0</v>
      </c>
      <c r="I419" s="40">
        <f t="shared" si="1140"/>
        <v>803</v>
      </c>
      <c r="J419" s="40">
        <f>IFERROR(__xludf.DUMMYFUNCTION("IMPORTRANGE(""https://docs.google.com/spreadsheets/d/1VqqqRGfmmkT0JC4ILJva2p8P11jjV0FX-TSKAaqOigw/edit"",""16!e42"")"),1394.0)</f>
        <v>1394</v>
      </c>
      <c r="K419" s="40">
        <f>IFERROR(__xludf.DUMMYFUNCTION("IMPORTRANGE(""https://docs.google.com/spreadsheets/d/1VqqqRGfmmkT0JC4ILJva2p8P11jjV0FX-TSKAaqOigw/edit"",""16!e43"")"),0.0)</f>
        <v>0</v>
      </c>
      <c r="L419" s="40">
        <f t="shared" ref="L419:L428" si="1170">SUM(J419:K419)</f>
        <v>1394</v>
      </c>
      <c r="M419" s="40">
        <f t="shared" si="1142"/>
        <v>2197</v>
      </c>
      <c r="N419" s="41">
        <f t="shared" si="1143"/>
        <v>197.0561818</v>
      </c>
      <c r="O419" s="38">
        <v>4796.0</v>
      </c>
      <c r="P419" s="42">
        <f t="shared" si="1144"/>
        <v>0.4580900751</v>
      </c>
      <c r="Q419" s="43">
        <v>1.5</v>
      </c>
      <c r="R419" s="42">
        <f t="shared" si="1145"/>
        <v>0.3378516571</v>
      </c>
      <c r="S419" s="44">
        <f t="shared" si="1146"/>
        <v>0.5067774857</v>
      </c>
      <c r="T419" s="43">
        <f>F419/37.414</f>
        <v>115.8720265</v>
      </c>
      <c r="U419" s="43">
        <f t="shared" si="1147"/>
        <v>5.266910296</v>
      </c>
      <c r="V419" s="40">
        <f t="shared" si="1148"/>
        <v>99.86363636</v>
      </c>
      <c r="X419" s="22">
        <v>3.0</v>
      </c>
      <c r="Y419" s="22" t="s">
        <v>34</v>
      </c>
      <c r="Z419" s="22">
        <f t="shared" ref="Z419:AI419" si="1168">SUM(D415)</f>
        <v>30</v>
      </c>
      <c r="AA419" s="23">
        <f t="shared" si="1168"/>
        <v>30</v>
      </c>
      <c r="AB419" s="24">
        <f t="shared" si="1168"/>
        <v>5924.523</v>
      </c>
      <c r="AC419" s="23">
        <f t="shared" si="1168"/>
        <v>1510</v>
      </c>
      <c r="AD419" s="23">
        <f t="shared" si="1168"/>
        <v>0</v>
      </c>
      <c r="AE419" s="23">
        <f t="shared" si="1168"/>
        <v>1510</v>
      </c>
      <c r="AF419" s="23">
        <f t="shared" si="1168"/>
        <v>2198</v>
      </c>
      <c r="AG419" s="23">
        <f t="shared" si="1168"/>
        <v>112</v>
      </c>
      <c r="AH419" s="23">
        <f t="shared" si="1168"/>
        <v>2310</v>
      </c>
      <c r="AI419" s="23">
        <f t="shared" si="1168"/>
        <v>3820</v>
      </c>
      <c r="AJ419" s="25">
        <f t="shared" si="1160"/>
        <v>197.4841</v>
      </c>
      <c r="AK419" s="22">
        <f>SUM(O415)</f>
        <v>9354</v>
      </c>
      <c r="AL419" s="26">
        <f t="shared" si="1162"/>
        <v>0.4083814411</v>
      </c>
      <c r="AM419" s="27">
        <f>SUM(Q415)</f>
        <v>1.5</v>
      </c>
      <c r="AN419" s="26">
        <f t="shared" si="1164"/>
        <v>0.4298517647</v>
      </c>
      <c r="AO419" s="28">
        <f t="shared" si="1165"/>
        <v>0.6447776471</v>
      </c>
      <c r="AP419" s="27">
        <f t="shared" ref="AP419:AQ419" si="1169">SUM(T415)</f>
        <v>192.8995214</v>
      </c>
      <c r="AQ419" s="27">
        <f t="shared" si="1169"/>
        <v>6.429984046</v>
      </c>
      <c r="AR419" s="23">
        <f t="shared" si="1167"/>
        <v>127.3333333</v>
      </c>
    </row>
    <row r="420" ht="15.75" customHeight="1">
      <c r="A420" s="21"/>
      <c r="B420" s="38">
        <v>10.0</v>
      </c>
      <c r="C420" s="38" t="s">
        <v>37</v>
      </c>
      <c r="D420" s="39">
        <v>23.0</v>
      </c>
      <c r="E420" s="40">
        <f>IFERROR(__xludf.DUMMYFUNCTION("COUNT(IMPORTRANGE(""https://docs.google.com/spreadsheets/d/1IYeRjQd_D6MRqoBKNaky3aSEUloYCJc5XDnPAbdyetk/edit"",""16!d2:d31""))"),23.0)</f>
        <v>23</v>
      </c>
      <c r="F420" s="45">
        <f>IFERROR(__xludf.DUMMYFUNCTION("SUM(IMPORTRANGE(""https://docs.google.com/spreadsheets/d/1IYeRjQd_D6MRqoBKNaky3aSEUloYCJc5XDnPAbdyetk/edit"",""16!Q2:Q31""))"),4572.587999999999)</f>
        <v>4572.588</v>
      </c>
      <c r="G420" s="40">
        <f>IFERROR(__xludf.DUMMYFUNCTION("(IMPORTRANGE(""https://docs.google.com/spreadsheets/d/1IYeRjQd_D6MRqoBKNaky3aSEUloYCJc5XDnPAbdyetk/edit"",""16!e38""))"),917.0)</f>
        <v>917</v>
      </c>
      <c r="H420" s="40">
        <f>IFERROR(__xludf.DUMMYFUNCTION("(IMPORTRANGE(""https://docs.google.com/spreadsheets/d/1IYeRjQd_D6MRqoBKNaky3aSEUloYCJc5XDnPAbdyetk/edit"",""16!e39""))"),0.0)</f>
        <v>0</v>
      </c>
      <c r="I420" s="40">
        <f t="shared" si="1140"/>
        <v>917</v>
      </c>
      <c r="J420" s="40">
        <f>IFERROR(__xludf.DUMMYFUNCTION("(IMPORTRANGE(""https://docs.google.com/spreadsheets/d/1IYeRjQd_D6MRqoBKNaky3aSEUloYCJc5XDnPAbdyetk/edit"",""16!e42""))"),1593.0)</f>
        <v>1593</v>
      </c>
      <c r="K420" s="40">
        <f>IFERROR(__xludf.DUMMYFUNCTION("(IMPORTRANGE(""https://docs.google.com/spreadsheets/d/1IYeRjQd_D6MRqoBKNaky3aSEUloYCJc5XDnPAbdyetk/edit"",""16!e43""))"),0.0)</f>
        <v>0</v>
      </c>
      <c r="L420" s="40">
        <f t="shared" si="1170"/>
        <v>1593</v>
      </c>
      <c r="M420" s="40">
        <f t="shared" si="1142"/>
        <v>2510</v>
      </c>
      <c r="N420" s="41">
        <f t="shared" si="1143"/>
        <v>198.8081739</v>
      </c>
      <c r="O420" s="38">
        <v>5887.0</v>
      </c>
      <c r="P420" s="42">
        <f t="shared" si="1144"/>
        <v>0.4263631731</v>
      </c>
      <c r="Q420" s="43">
        <v>1.5</v>
      </c>
      <c r="R420" s="42">
        <f t="shared" si="1145"/>
        <v>0.3659488529</v>
      </c>
      <c r="S420" s="44">
        <f t="shared" si="1146"/>
        <v>0.5489232793</v>
      </c>
      <c r="T420" s="43">
        <f>F420/24.792</f>
        <v>184.4380445</v>
      </c>
      <c r="U420" s="43">
        <f t="shared" si="1147"/>
        <v>8.019045414</v>
      </c>
      <c r="V420" s="40">
        <f t="shared" si="1148"/>
        <v>109.1304348</v>
      </c>
      <c r="X420" s="31">
        <v>4.0</v>
      </c>
      <c r="Y420" s="31" t="s">
        <v>38</v>
      </c>
      <c r="Z420" s="31">
        <f t="shared" ref="Z420:AI420" si="1171">SUM(D423)</f>
        <v>23</v>
      </c>
      <c r="AA420" s="32">
        <f t="shared" si="1171"/>
        <v>22</v>
      </c>
      <c r="AB420" s="33">
        <f t="shared" si="1171"/>
        <v>4367.73</v>
      </c>
      <c r="AC420" s="32">
        <f t="shared" si="1171"/>
        <v>1146</v>
      </c>
      <c r="AD420" s="32">
        <f t="shared" si="1171"/>
        <v>0</v>
      </c>
      <c r="AE420" s="32">
        <f t="shared" si="1171"/>
        <v>1146</v>
      </c>
      <c r="AF420" s="32">
        <f t="shared" si="1171"/>
        <v>1762</v>
      </c>
      <c r="AG420" s="32">
        <f t="shared" si="1171"/>
        <v>0</v>
      </c>
      <c r="AH420" s="32">
        <f t="shared" si="1171"/>
        <v>1762</v>
      </c>
      <c r="AI420" s="32">
        <f t="shared" si="1171"/>
        <v>2908</v>
      </c>
      <c r="AJ420" s="34">
        <f t="shared" si="1160"/>
        <v>198.5331818</v>
      </c>
      <c r="AK420" s="31">
        <v>7324.0</v>
      </c>
      <c r="AL420" s="35">
        <f t="shared" si="1162"/>
        <v>0.3970507919</v>
      </c>
      <c r="AM420" s="36">
        <f>SUM(Q423)</f>
        <v>1.5</v>
      </c>
      <c r="AN420" s="35">
        <f t="shared" si="1164"/>
        <v>0.4438613803</v>
      </c>
      <c r="AO420" s="37">
        <f t="shared" si="1165"/>
        <v>0.6657920705</v>
      </c>
      <c r="AP420" s="36">
        <f t="shared" ref="AP420:AQ420" si="1172">SUM(T423)</f>
        <v>106</v>
      </c>
      <c r="AQ420" s="36">
        <f t="shared" si="1172"/>
        <v>4.818181818</v>
      </c>
      <c r="AR420" s="32">
        <f t="shared" si="1167"/>
        <v>132.1818182</v>
      </c>
    </row>
    <row r="421" ht="15.75" customHeight="1">
      <c r="A421" s="21"/>
      <c r="B421" s="38">
        <v>12.0</v>
      </c>
      <c r="C421" s="38" t="s">
        <v>39</v>
      </c>
      <c r="D421" s="39">
        <v>21.0</v>
      </c>
      <c r="E421" s="40">
        <f>IFERROR(__xludf.DUMMYFUNCTION("COUNT(IMPORTRANGE(""https://docs.google.com/spreadsheets/d/1TAY2D35yAzyl8a_p5CuZehQvmatfj0b0Q8ICl8GtJBY/edit"",""16!d2:d29""))"),21.0)</f>
        <v>21</v>
      </c>
      <c r="F421" s="45">
        <f>IFERROR(__xludf.DUMMYFUNCTION("SUM(IMPORTRANGE(""https://docs.google.com/spreadsheets/d/1TAY2D35yAzyl8a_p5CuZehQvmatfj0b0Q8ICl8GtJBY/edit"",""16!Q2:Q29""))"),4126.352999999999)</f>
        <v>4126.353</v>
      </c>
      <c r="G421" s="40">
        <f>IFERROR(__xludf.DUMMYFUNCTION("IMPORTRANGE(""https://docs.google.com/spreadsheets/d/1TAY2D35yAzyl8a_p5CuZehQvmatfj0b0Q8ICl8GtJBY/edit"",""16!e36"")"),726.0)</f>
        <v>726</v>
      </c>
      <c r="H421" s="40">
        <f>IFERROR(__xludf.DUMMYFUNCTION("(IMPORTRANGE(""https://docs.google.com/spreadsheets/d/1TAY2D35yAzyl8a_p5CuZehQvmatfj0b0Q8ICl8GtJBY/edit"",""16!e37""))"),0.0)</f>
        <v>0</v>
      </c>
      <c r="I421" s="40">
        <f t="shared" si="1140"/>
        <v>726</v>
      </c>
      <c r="J421" s="40">
        <f>IFERROR(__xludf.DUMMYFUNCTION("IMPORTRANGE(""https://docs.google.com/spreadsheets/d/1TAY2D35yAzyl8a_p5CuZehQvmatfj0b0Q8ICl8GtJBY/edit"",""16!e40"")"),1376.0)</f>
        <v>1376</v>
      </c>
      <c r="K421" s="40">
        <f>IFERROR(__xludf.DUMMYFUNCTION("IMPORTRANGE(""https://docs.google.com/spreadsheets/d/1TAY2D35yAzyl8a_p5CuZehQvmatfj0b0Q8ICl8GtJBY/edit"",""16!e41"")"),0.0)</f>
        <v>0</v>
      </c>
      <c r="L421" s="40">
        <f t="shared" si="1170"/>
        <v>1376</v>
      </c>
      <c r="M421" s="40">
        <f t="shared" si="1142"/>
        <v>2102</v>
      </c>
      <c r="N421" s="41">
        <f t="shared" si="1143"/>
        <v>196.493</v>
      </c>
      <c r="O421" s="38">
        <v>3569.0</v>
      </c>
      <c r="P421" s="42">
        <f t="shared" si="1144"/>
        <v>0.5889604931</v>
      </c>
      <c r="Q421" s="43">
        <v>1.5</v>
      </c>
      <c r="R421" s="42">
        <f t="shared" si="1145"/>
        <v>0.339605781</v>
      </c>
      <c r="S421" s="44">
        <f t="shared" si="1146"/>
        <v>0.5094086715</v>
      </c>
      <c r="T421" s="43">
        <f>F421/21.463</f>
        <v>192.2542515</v>
      </c>
      <c r="U421" s="43">
        <f t="shared" si="1147"/>
        <v>9.154964357</v>
      </c>
      <c r="V421" s="40">
        <f t="shared" si="1148"/>
        <v>100.0952381</v>
      </c>
      <c r="X421" s="31">
        <v>5.0</v>
      </c>
      <c r="Y421" s="31" t="s">
        <v>40</v>
      </c>
      <c r="Z421" s="31">
        <f t="shared" ref="Z421:AI421" si="1173">SUM(D425)</f>
        <v>23</v>
      </c>
      <c r="AA421" s="32">
        <f t="shared" si="1173"/>
        <v>23</v>
      </c>
      <c r="AB421" s="33">
        <f t="shared" si="1173"/>
        <v>4451.996</v>
      </c>
      <c r="AC421" s="32">
        <f t="shared" si="1173"/>
        <v>2040</v>
      </c>
      <c r="AD421" s="32">
        <f t="shared" si="1173"/>
        <v>33</v>
      </c>
      <c r="AE421" s="32">
        <f t="shared" si="1173"/>
        <v>2073</v>
      </c>
      <c r="AF421" s="32">
        <f t="shared" si="1173"/>
        <v>2575</v>
      </c>
      <c r="AG421" s="32">
        <f t="shared" si="1173"/>
        <v>0</v>
      </c>
      <c r="AH421" s="32">
        <f t="shared" si="1173"/>
        <v>2575</v>
      </c>
      <c r="AI421" s="32">
        <f t="shared" si="1173"/>
        <v>4648</v>
      </c>
      <c r="AJ421" s="34">
        <f t="shared" si="1160"/>
        <v>193.5650435</v>
      </c>
      <c r="AK421" s="31">
        <f t="shared" ref="AK421:AK422" si="1176">SUM(O425)</f>
        <v>8239</v>
      </c>
      <c r="AL421" s="35">
        <f t="shared" si="1162"/>
        <v>0.5641461342</v>
      </c>
      <c r="AM421" s="36">
        <f t="shared" ref="AM421:AM422" si="1177">SUM(Q425)</f>
        <v>1.5</v>
      </c>
      <c r="AN421" s="35">
        <f t="shared" si="1164"/>
        <v>0.6960173968</v>
      </c>
      <c r="AO421" s="37">
        <f t="shared" si="1165"/>
        <v>1.044026095</v>
      </c>
      <c r="AP421" s="36">
        <f t="shared" ref="AP421:AQ421" si="1174">SUM(T425)</f>
        <v>156.5234328</v>
      </c>
      <c r="AQ421" s="36">
        <f t="shared" si="1174"/>
        <v>6.805366645</v>
      </c>
      <c r="AR421" s="32">
        <f t="shared" si="1167"/>
        <v>202.0869565</v>
      </c>
    </row>
    <row r="422" ht="15.75" customHeight="1">
      <c r="A422" s="21"/>
      <c r="B422" s="38">
        <v>12.0</v>
      </c>
      <c r="C422" s="38" t="s">
        <v>41</v>
      </c>
      <c r="D422" s="39">
        <v>19.0</v>
      </c>
      <c r="E422" s="40">
        <f>IFERROR(__xludf.DUMMYFUNCTION("COUNT(IMPORTRANGE(""https://docs.google.com/spreadsheets/d/1VAsUtLQHi7oV9NsI9EIHPnO1bcPJHeRgSbMoxSvPBME/edit"",""16!d2:d25""))"),19.0)</f>
        <v>19</v>
      </c>
      <c r="F422" s="45">
        <f>IFERROR(__xludf.DUMMYFUNCTION("SUM(IMPORTRANGE(""https://docs.google.com/spreadsheets/d/1VAsUtLQHi7oV9NsI9EIHPnO1bcPJHeRgSbMoxSvPBME/edit"",""16!Q2:Q25""))"),3812.1360000000013)</f>
        <v>3812.136</v>
      </c>
      <c r="G422" s="40">
        <f>IFERROR(__xludf.DUMMYFUNCTION("IMPORTRANGE(""https://docs.google.com/spreadsheets/d/1VAsUtLQHi7oV9NsI9EIHPnO1bcPJHeRgSbMoxSvPBME/edit"",""16!e32"")"),735.0)</f>
        <v>735</v>
      </c>
      <c r="H422" s="40">
        <f>IFERROR(__xludf.DUMMYFUNCTION("IMPORTRANGE(""https://docs.google.com/spreadsheets/d/1VAsUtLQHi7oV9NsI9EIHPnO1bcPJHeRgSbMoxSvPBME/edit"",""16!e33"")"),0.0)</f>
        <v>0</v>
      </c>
      <c r="I422" s="40">
        <f t="shared" si="1140"/>
        <v>735</v>
      </c>
      <c r="J422" s="40">
        <f>IFERROR(__xludf.DUMMYFUNCTION("IMPORTRANGE(""https://docs.google.com/spreadsheets/d/1VAsUtLQHi7oV9NsI9EIHPnO1bcPJHeRgSbMoxSvPBME/edit"",""16!e36"")"),1004.0)</f>
        <v>1004</v>
      </c>
      <c r="K422" s="40">
        <f>IFERROR(__xludf.DUMMYFUNCTION("IMPORTRANGE(""https://docs.google.com/spreadsheets/d/1VAsUtLQHi7oV9NsI9EIHPnO1bcPJHeRgSbMoxSvPBME/edit"",""16!e37"")"),0.0)</f>
        <v>0</v>
      </c>
      <c r="L422" s="40">
        <f t="shared" si="1170"/>
        <v>1004</v>
      </c>
      <c r="M422" s="40">
        <f t="shared" si="1142"/>
        <v>1739</v>
      </c>
      <c r="N422" s="41">
        <f t="shared" si="1143"/>
        <v>200.6387368</v>
      </c>
      <c r="O422" s="38">
        <v>3801.0</v>
      </c>
      <c r="P422" s="42">
        <f t="shared" si="1144"/>
        <v>0.4575111813</v>
      </c>
      <c r="Q422" s="43">
        <v>1.5</v>
      </c>
      <c r="R422" s="42">
        <f t="shared" si="1145"/>
        <v>0.3041164673</v>
      </c>
      <c r="S422" s="44">
        <f t="shared" si="1146"/>
        <v>0.456174701</v>
      </c>
      <c r="T422" s="43">
        <f>F422/29.628</f>
        <v>128.6666667</v>
      </c>
      <c r="U422" s="43">
        <f t="shared" si="1147"/>
        <v>6.771929825</v>
      </c>
      <c r="V422" s="40">
        <f t="shared" si="1148"/>
        <v>91.52631579</v>
      </c>
      <c r="X422" s="22">
        <v>6.0</v>
      </c>
      <c r="Y422" s="22" t="s">
        <v>42</v>
      </c>
      <c r="Z422" s="22">
        <f t="shared" ref="Z422:AI422" si="1175">SUM(D426)</f>
        <v>24</v>
      </c>
      <c r="AA422" s="23">
        <f t="shared" si="1175"/>
        <v>23</v>
      </c>
      <c r="AB422" s="24">
        <f t="shared" si="1175"/>
        <v>4178.645</v>
      </c>
      <c r="AC422" s="23">
        <f t="shared" si="1175"/>
        <v>1962</v>
      </c>
      <c r="AD422" s="23">
        <f t="shared" si="1175"/>
        <v>103</v>
      </c>
      <c r="AE422" s="23">
        <f t="shared" si="1175"/>
        <v>2065</v>
      </c>
      <c r="AF422" s="23">
        <f t="shared" si="1175"/>
        <v>2176</v>
      </c>
      <c r="AG422" s="23">
        <f t="shared" si="1175"/>
        <v>100</v>
      </c>
      <c r="AH422" s="23">
        <f t="shared" si="1175"/>
        <v>2276</v>
      </c>
      <c r="AI422" s="23">
        <f t="shared" si="1175"/>
        <v>4341</v>
      </c>
      <c r="AJ422" s="25">
        <f t="shared" si="1160"/>
        <v>181.6802174</v>
      </c>
      <c r="AK422" s="22">
        <f t="shared" si="1176"/>
        <v>9877</v>
      </c>
      <c r="AL422" s="26">
        <f t="shared" si="1162"/>
        <v>0.4395059229</v>
      </c>
      <c r="AM422" s="27">
        <f t="shared" si="1177"/>
        <v>1.5</v>
      </c>
      <c r="AN422" s="26">
        <f t="shared" si="1164"/>
        <v>0.6925690026</v>
      </c>
      <c r="AO422" s="28">
        <f t="shared" si="1165"/>
        <v>1.038853504</v>
      </c>
      <c r="AP422" s="27">
        <f t="shared" ref="AP422:AQ422" si="1178">SUM(T426)</f>
        <v>159.7646721</v>
      </c>
      <c r="AQ422" s="27">
        <f t="shared" si="1178"/>
        <v>6.946290093</v>
      </c>
      <c r="AR422" s="23">
        <f t="shared" si="1167"/>
        <v>188.7391304</v>
      </c>
    </row>
    <row r="423" ht="15.75" customHeight="1">
      <c r="A423" s="21"/>
      <c r="B423" s="38">
        <v>13.0</v>
      </c>
      <c r="C423" s="38" t="s">
        <v>43</v>
      </c>
      <c r="D423" s="39">
        <v>23.0</v>
      </c>
      <c r="E423" s="40">
        <f>IFERROR(__xludf.DUMMYFUNCTION("COUNT(IMPORTRANGE(""https://docs.google.com/spreadsheets/d/1p9Y_DGk7-TpRBFth-ljZceOIGCjQ0ylUeUq6xqnsZ-Q/edit"",""16!d2:d31""))"),22.0)</f>
        <v>22</v>
      </c>
      <c r="F423" s="45">
        <f>IFERROR(__xludf.DUMMYFUNCTION("SUM(IMPORTRANGE(""https://docs.google.com/spreadsheets/d/1p9Y_DGk7-TpRBFth-ljZceOIGCjQ0ylUeUq6xqnsZ-Q/edit"",""16!Q2:Q31""))"),4367.7300000000005)</f>
        <v>4367.73</v>
      </c>
      <c r="G423" s="40">
        <f>IFERROR(__xludf.DUMMYFUNCTION("IMPORTRANGE(""https://docs.google.com/spreadsheets/d/1p9Y_DGk7-TpRBFth-ljZceOIGCjQ0ylUeUq6xqnsZ-Q/edit"",""16!e38"")"),1146.0)</f>
        <v>1146</v>
      </c>
      <c r="H423" s="40">
        <f>IFERROR(__xludf.DUMMYFUNCTION("IMPORTRANGE(""https://docs.google.com/spreadsheets/d/1p9Y_DGk7-TpRBFth-ljZceOIGCjQ0ylUeUq6xqnsZ-Q/edit"",""16!e39"")"),0.0)</f>
        <v>0</v>
      </c>
      <c r="I423" s="40">
        <f t="shared" si="1140"/>
        <v>1146</v>
      </c>
      <c r="J423" s="40">
        <f>IFERROR(__xludf.DUMMYFUNCTION("IMPORTRANGE(""https://docs.google.com/spreadsheets/d/1p9Y_DGk7-TpRBFth-ljZceOIGCjQ0ylUeUq6xqnsZ-Q/edit"",""16!e42"")"),1762.0)</f>
        <v>1762</v>
      </c>
      <c r="K423" s="40">
        <f>IFERROR(__xludf.DUMMYFUNCTION("IMPORTRANGE(""https://docs.google.com/spreadsheets/d/1p9Y_DGk7-TpRBFth-ljZceOIGCjQ0ylUeUq6xqnsZ-Q/edit"",""16!e43"")"),0.0)</f>
        <v>0</v>
      </c>
      <c r="L423" s="40">
        <f t="shared" si="1170"/>
        <v>1762</v>
      </c>
      <c r="M423" s="40">
        <f t="shared" si="1142"/>
        <v>2908</v>
      </c>
      <c r="N423" s="41">
        <f t="shared" si="1143"/>
        <v>198.5331818</v>
      </c>
      <c r="O423" s="38">
        <v>8345.0</v>
      </c>
      <c r="P423" s="42">
        <f t="shared" si="1144"/>
        <v>0.348472139</v>
      </c>
      <c r="Q423" s="43">
        <v>1.5</v>
      </c>
      <c r="R423" s="42">
        <f t="shared" si="1145"/>
        <v>0.4438613803</v>
      </c>
      <c r="S423" s="44">
        <f t="shared" si="1146"/>
        <v>0.6657920705</v>
      </c>
      <c r="T423" s="43">
        <f>F423/41.205</f>
        <v>106</v>
      </c>
      <c r="U423" s="43">
        <f t="shared" si="1147"/>
        <v>4.818181818</v>
      </c>
      <c r="V423" s="40">
        <f t="shared" si="1148"/>
        <v>132.1818182</v>
      </c>
      <c r="X423" s="46" t="s">
        <v>33</v>
      </c>
      <c r="Y423" s="46">
        <v>6.0</v>
      </c>
      <c r="Z423" s="46">
        <f t="shared" ref="Z423:AI423" si="1179">SUM(Z417:Z422)</f>
        <v>169</v>
      </c>
      <c r="AA423" s="47">
        <f t="shared" si="1179"/>
        <v>165</v>
      </c>
      <c r="AB423" s="49">
        <f t="shared" si="1179"/>
        <v>32024.41</v>
      </c>
      <c r="AC423" s="47">
        <f t="shared" si="1179"/>
        <v>10151</v>
      </c>
      <c r="AD423" s="47">
        <f t="shared" si="1179"/>
        <v>383</v>
      </c>
      <c r="AE423" s="47">
        <f t="shared" si="1179"/>
        <v>10534</v>
      </c>
      <c r="AF423" s="47">
        <f t="shared" si="1179"/>
        <v>13968</v>
      </c>
      <c r="AG423" s="47">
        <f t="shared" si="1179"/>
        <v>437</v>
      </c>
      <c r="AH423" s="47">
        <f t="shared" si="1179"/>
        <v>14405</v>
      </c>
      <c r="AI423" s="47">
        <f t="shared" si="1179"/>
        <v>24939</v>
      </c>
      <c r="AJ423" s="49">
        <f t="shared" si="1160"/>
        <v>194.0873333</v>
      </c>
      <c r="AK423" s="46">
        <f>SUM(AK417:AK422)</f>
        <v>53273</v>
      </c>
      <c r="AL423" s="50">
        <f t="shared" si="1162"/>
        <v>0.4681358287</v>
      </c>
      <c r="AM423" s="51">
        <v>1.5</v>
      </c>
      <c r="AN423" s="50">
        <f t="shared" si="1164"/>
        <v>0.5191664733</v>
      </c>
      <c r="AO423" s="52">
        <f t="shared" si="1165"/>
        <v>0.77874971</v>
      </c>
      <c r="AP423" s="51">
        <f>SUM(AP417:AP422)</f>
        <v>1051.497236</v>
      </c>
      <c r="AQ423" s="51">
        <f>AP423/AA423</f>
        <v>6.372710519</v>
      </c>
      <c r="AR423" s="47">
        <f t="shared" si="1167"/>
        <v>151.1454545</v>
      </c>
    </row>
    <row r="424" ht="15.75" customHeight="1">
      <c r="A424" s="21"/>
      <c r="B424" s="38">
        <v>14.0</v>
      </c>
      <c r="C424" s="38" t="s">
        <v>27</v>
      </c>
      <c r="D424" s="39">
        <v>23.0</v>
      </c>
      <c r="E424" s="40">
        <f>IFERROR(__xludf.DUMMYFUNCTION("COUNT(IMPORTRANGE(""https://docs.google.com/spreadsheets/d/1zJUDEKztv_fercXA0LYNw155qdzS7TJGhWLhquaW5IY/edit"",""16!d2:d31""))"),30.0)</f>
        <v>30</v>
      </c>
      <c r="F424" s="45">
        <f>IFERROR(__xludf.DUMMYFUNCTION("SUM(IMPORTRANGE(""https://docs.google.com/spreadsheets/d/1zJUDEKztv_fercXA0LYNw155qdzS7TJGhWLhquaW5IY/edit"",""16!Q2:Q31""))"),4386.57)</f>
        <v>4386.57</v>
      </c>
      <c r="G424" s="40">
        <f>IFERROR(__xludf.DUMMYFUNCTION("IMPORTRANGE(""https://docs.google.com/spreadsheets/d/1zJUDEKztv_fercXA0LYNw155qdzS7TJGhWLhquaW5IY/edit"",""16!e38"")"),1422.0)</f>
        <v>1422</v>
      </c>
      <c r="H424" s="40">
        <f>IFERROR(__xludf.DUMMYFUNCTION("IMPORTRANGE(""https://docs.google.com/spreadsheets/d/1zJUDEKztv_fercXA0LYNw155qdzS7TJGhWLhquaW5IY/edit"",""16!e39"")"),0.0)</f>
        <v>0</v>
      </c>
      <c r="I424" s="40">
        <f t="shared" si="1140"/>
        <v>1422</v>
      </c>
      <c r="J424" s="40">
        <f>IFERROR(__xludf.DUMMYFUNCTION("IMPORTRANGE(""https://docs.google.com/spreadsheets/d/1zJUDEKztv_fercXA0LYNw155qdzS7TJGhWLhquaW5IY/edit"",""16!e42"")"),1712.0)</f>
        <v>1712</v>
      </c>
      <c r="K424" s="40">
        <f>IFERROR(__xludf.DUMMYFUNCTION("IMPORTRANGE(""https://docs.google.com/spreadsheets/d/1zJUDEKztv_fercXA0LYNw155qdzS7TJGhWLhquaW5IY/edit"",""16!e43"")"),0.0)</f>
        <v>0</v>
      </c>
      <c r="L424" s="40">
        <f t="shared" si="1170"/>
        <v>1712</v>
      </c>
      <c r="M424" s="40">
        <f t="shared" si="1142"/>
        <v>3134</v>
      </c>
      <c r="N424" s="41">
        <f t="shared" si="1143"/>
        <v>146.219</v>
      </c>
      <c r="O424" s="38">
        <v>8101.0</v>
      </c>
      <c r="P424" s="42">
        <f t="shared" si="1144"/>
        <v>0.386865819</v>
      </c>
      <c r="Q424" s="43">
        <v>1.5</v>
      </c>
      <c r="R424" s="42">
        <f t="shared" si="1145"/>
        <v>0.4763022893</v>
      </c>
      <c r="S424" s="44">
        <f t="shared" si="1146"/>
        <v>0.714453434</v>
      </c>
      <c r="T424" s="43">
        <f>F424/19.985</f>
        <v>219.4931198</v>
      </c>
      <c r="U424" s="43">
        <f t="shared" si="1147"/>
        <v>7.316437328</v>
      </c>
      <c r="V424" s="40">
        <f t="shared" si="1148"/>
        <v>104.4666667</v>
      </c>
      <c r="X424" s="59" t="s">
        <v>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6"/>
    </row>
    <row r="425" ht="15.75" customHeight="1">
      <c r="A425" s="21"/>
      <c r="B425" s="38">
        <v>15.0</v>
      </c>
      <c r="C425" s="38" t="s">
        <v>40</v>
      </c>
      <c r="D425" s="39">
        <v>23.0</v>
      </c>
      <c r="E425" s="40">
        <f>IFERROR(__xludf.DUMMYFUNCTION("COUNT(IMPORTRANGE(""https://docs.google.com/spreadsheets/d/15GJA66Ucb-8RQ5vWVpq5HYaWoZZFX82SCeHChBujbrI/edit"",""16!d2:d31""))"),23.0)</f>
        <v>23</v>
      </c>
      <c r="F425" s="45">
        <f>IFERROR(__xludf.DUMMYFUNCTION("SUM(IMPORTRANGE(""https://docs.google.com/spreadsheets/d/15GJA66Ucb-8RQ5vWVpq5HYaWoZZFX82SCeHChBujbrI/edit"",""16!Q2:Q31""))"),4451.996000000001)</f>
        <v>4451.996</v>
      </c>
      <c r="G425" s="40">
        <f>IFERROR(__xludf.DUMMYFUNCTION("IMPORTRANGE(""https://docs.google.com/spreadsheets/d/15GJA66Ucb-8RQ5vWVpq5HYaWoZZFX82SCeHChBujbrI/edit"",""16!e38"")"),2040.0)</f>
        <v>2040</v>
      </c>
      <c r="H425" s="40">
        <f>IFERROR(__xludf.DUMMYFUNCTION("IMPORTRANGE(""https://docs.google.com/spreadsheets/d/15GJA66Ucb-8RQ5vWVpq5HYaWoZZFX82SCeHChBujbrI/edit"",""16!e39"")"),33.0)</f>
        <v>33</v>
      </c>
      <c r="I425" s="40">
        <f t="shared" si="1140"/>
        <v>2073</v>
      </c>
      <c r="J425" s="40">
        <f>IFERROR(__xludf.DUMMYFUNCTION("IMPORTRANGE(""https://docs.google.com/spreadsheets/d/15GJA66Ucb-8RQ5vWVpq5HYaWoZZFX82SCeHChBujbrI/edit"",""16!e42"")"),2575.0)</f>
        <v>2575</v>
      </c>
      <c r="K425" s="40">
        <f>IFERROR(__xludf.DUMMYFUNCTION("IMPORTRANGE(""https://docs.google.com/spreadsheets/d/15GJA66Ucb-8RQ5vWVpq5HYaWoZZFX82SCeHChBujbrI/edit"",""16!e43"")"),0.0)</f>
        <v>0</v>
      </c>
      <c r="L425" s="40">
        <f t="shared" si="1170"/>
        <v>2575</v>
      </c>
      <c r="M425" s="40">
        <f t="shared" si="1142"/>
        <v>4648</v>
      </c>
      <c r="N425" s="41">
        <f t="shared" si="1143"/>
        <v>193.5650435</v>
      </c>
      <c r="O425" s="38">
        <v>8239.0</v>
      </c>
      <c r="P425" s="42">
        <f t="shared" si="1144"/>
        <v>0.5641461342</v>
      </c>
      <c r="Q425" s="43">
        <v>1.5</v>
      </c>
      <c r="R425" s="42">
        <f t="shared" si="1145"/>
        <v>0.6960173968</v>
      </c>
      <c r="S425" s="44">
        <f t="shared" si="1146"/>
        <v>1.044026095</v>
      </c>
      <c r="T425" s="43">
        <f>F425/28.443</f>
        <v>156.5234328</v>
      </c>
      <c r="U425" s="43">
        <f t="shared" si="1147"/>
        <v>6.805366645</v>
      </c>
      <c r="V425" s="40">
        <f t="shared" si="1148"/>
        <v>202.0869565</v>
      </c>
      <c r="X425" s="14" t="s">
        <v>2</v>
      </c>
      <c r="Y425" s="14" t="s">
        <v>3</v>
      </c>
      <c r="Z425" s="14" t="s">
        <v>4</v>
      </c>
      <c r="AA425" s="14" t="s">
        <v>5</v>
      </c>
      <c r="AB425" s="15" t="s">
        <v>6</v>
      </c>
      <c r="AC425" s="14" t="s">
        <v>7</v>
      </c>
      <c r="AD425" s="14" t="s">
        <v>8</v>
      </c>
      <c r="AE425" s="14" t="s">
        <v>9</v>
      </c>
      <c r="AF425" s="14" t="s">
        <v>10</v>
      </c>
      <c r="AG425" s="14" t="s">
        <v>11</v>
      </c>
      <c r="AH425" s="14" t="s">
        <v>12</v>
      </c>
      <c r="AI425" s="14" t="s">
        <v>13</v>
      </c>
      <c r="AJ425" s="15" t="s">
        <v>14</v>
      </c>
      <c r="AK425" s="14" t="s">
        <v>15</v>
      </c>
      <c r="AL425" s="14" t="s">
        <v>16</v>
      </c>
      <c r="AM425" s="16" t="s">
        <v>17</v>
      </c>
      <c r="AN425" s="17" t="s">
        <v>18</v>
      </c>
      <c r="AO425" s="18" t="s">
        <v>19</v>
      </c>
      <c r="AP425" s="19" t="s">
        <v>20</v>
      </c>
      <c r="AQ425" s="19" t="s">
        <v>21</v>
      </c>
      <c r="AR425" s="20" t="s">
        <v>22</v>
      </c>
    </row>
    <row r="426" ht="15.75" customHeight="1">
      <c r="A426" s="21"/>
      <c r="B426" s="38">
        <v>16.0</v>
      </c>
      <c r="C426" s="38" t="s">
        <v>42</v>
      </c>
      <c r="D426" s="39">
        <v>24.0</v>
      </c>
      <c r="E426" s="40">
        <f>IFERROR(__xludf.DUMMYFUNCTION("COUNT(IMPORTRANGE(""https://docs.google.com/spreadsheets/d/14Tu_jFPEdrIQ6DHYu6vRvJKQsbXr-48NY1tKy4-8JKI/edit"",""16!d2:d34""))"),23.0)</f>
        <v>23</v>
      </c>
      <c r="F426" s="45">
        <f>IFERROR(__xludf.DUMMYFUNCTION("SUM(IMPORTRANGE(""https://docs.google.com/spreadsheets/d/14Tu_jFPEdrIQ6DHYu6vRvJKQsbXr-48NY1tKy4-8JKI/edit"",""16!Q2:Q34""))"),4178.645)</f>
        <v>4178.645</v>
      </c>
      <c r="G426" s="40">
        <f>IFERROR(__xludf.DUMMYFUNCTION("IMPORTRANGE(""https://docs.google.com/spreadsheets/d/14Tu_jFPEdrIQ6DHYu6vRvJKQsbXr-48NY1tKy4-8JKI/edit"",""16!e41"")"),1962.0)</f>
        <v>1962</v>
      </c>
      <c r="H426" s="40">
        <f>IFERROR(__xludf.DUMMYFUNCTION("IMPORTRANGE(""https://docs.google.com/spreadsheets/d/14Tu_jFPEdrIQ6DHYu6vRvJKQsbXr-48NY1tKy4-8JKI/edit"",""16!e42"")"),103.0)</f>
        <v>103</v>
      </c>
      <c r="I426" s="40">
        <f t="shared" si="1140"/>
        <v>2065</v>
      </c>
      <c r="J426" s="40">
        <f>IFERROR(__xludf.DUMMYFUNCTION("IMPORTRANGE(""https://docs.google.com/spreadsheets/d/14Tu_jFPEdrIQ6DHYu6vRvJKQsbXr-48NY1tKy4-8JKI/edit"",""16!e45"")"),2176.0)</f>
        <v>2176</v>
      </c>
      <c r="K426" s="40">
        <f>IFERROR(__xludf.DUMMYFUNCTION("IMPORTRANGE(""https://docs.google.com/spreadsheets/d/14Tu_jFPEdrIQ6DHYu6vRvJKQsbXr-48NY1tKy4-8JKI/edit"",""16!e46"")"),100.0)</f>
        <v>100</v>
      </c>
      <c r="L426" s="40">
        <f t="shared" si="1170"/>
        <v>2276</v>
      </c>
      <c r="M426" s="40">
        <f t="shared" si="1142"/>
        <v>4341</v>
      </c>
      <c r="N426" s="41">
        <f t="shared" si="1143"/>
        <v>181.6802174</v>
      </c>
      <c r="O426" s="38">
        <v>9877.0</v>
      </c>
      <c r="P426" s="42">
        <f t="shared" si="1144"/>
        <v>0.4395059229</v>
      </c>
      <c r="Q426" s="43">
        <v>1.5</v>
      </c>
      <c r="R426" s="42">
        <f t="shared" si="1145"/>
        <v>0.6925690026</v>
      </c>
      <c r="S426" s="44">
        <f t="shared" si="1146"/>
        <v>1.038853504</v>
      </c>
      <c r="T426" s="43">
        <f>F426/26.155</f>
        <v>159.7646721</v>
      </c>
      <c r="U426" s="43">
        <f t="shared" si="1147"/>
        <v>6.946290093</v>
      </c>
      <c r="V426" s="40">
        <f t="shared" si="1148"/>
        <v>188.7391304</v>
      </c>
      <c r="X426" s="31">
        <v>1.0</v>
      </c>
      <c r="Y426" s="31" t="s">
        <v>26</v>
      </c>
      <c r="Z426" s="31">
        <f t="shared" ref="Z426:AI426" si="1180">SUM(D411)</f>
        <v>15</v>
      </c>
      <c r="AA426" s="32">
        <f t="shared" si="1180"/>
        <v>15</v>
      </c>
      <c r="AB426" s="34">
        <f t="shared" si="1180"/>
        <v>2832.93</v>
      </c>
      <c r="AC426" s="32">
        <f t="shared" si="1180"/>
        <v>1168</v>
      </c>
      <c r="AD426" s="32">
        <f t="shared" si="1180"/>
        <v>115</v>
      </c>
      <c r="AE426" s="32">
        <f t="shared" si="1180"/>
        <v>1283</v>
      </c>
      <c r="AF426" s="32">
        <f t="shared" si="1180"/>
        <v>1715</v>
      </c>
      <c r="AG426" s="32">
        <f t="shared" si="1180"/>
        <v>0</v>
      </c>
      <c r="AH426" s="32">
        <f t="shared" si="1180"/>
        <v>1715</v>
      </c>
      <c r="AI426" s="32">
        <f t="shared" si="1180"/>
        <v>2998</v>
      </c>
      <c r="AJ426" s="34">
        <f t="shared" ref="AJ426:AJ432" si="1183">AB426/AA426</f>
        <v>188.862</v>
      </c>
      <c r="AK426" s="31">
        <f>SUM(O411)</f>
        <v>5161</v>
      </c>
      <c r="AL426" s="35">
        <f t="shared" ref="AL426:AL432" si="1184">AI426/AK426</f>
        <v>0.5808951754</v>
      </c>
      <c r="AM426" s="36">
        <f>SUM(Q411)</f>
        <v>1.5</v>
      </c>
      <c r="AN426" s="35">
        <f t="shared" ref="AN426:AN432" si="1185">AO426/AM426</f>
        <v>0.7055121964</v>
      </c>
      <c r="AO426" s="37">
        <f t="shared" ref="AO426:AO432" si="1186">AI426/AB426</f>
        <v>1.058268295</v>
      </c>
      <c r="AP426" s="36">
        <f t="shared" ref="AP426:AQ426" si="1181">SUM(T411)</f>
        <v>196.5265349</v>
      </c>
      <c r="AQ426" s="36">
        <f t="shared" si="1181"/>
        <v>13.10176899</v>
      </c>
      <c r="AR426" s="32">
        <f t="shared" ref="AR426:AR432" si="1188">AI426/AA426</f>
        <v>199.8666667</v>
      </c>
    </row>
    <row r="427" ht="15.75" customHeight="1">
      <c r="A427" s="21"/>
      <c r="B427" s="38">
        <v>17.0</v>
      </c>
      <c r="C427" s="38" t="s">
        <v>29</v>
      </c>
      <c r="D427" s="39">
        <v>23.0</v>
      </c>
      <c r="E427" s="40">
        <f>IFERROR(__xludf.DUMMYFUNCTION("COUNT(IMPORTRANGE(""https://docs.google.com/spreadsheets/d/1ja_RQYsP0p5wRrACHojay4CW1wLx0QdS5tSwp-vYQ-s/edit"",""16!d2:d31""))"),23.0)</f>
        <v>23</v>
      </c>
      <c r="F427" s="45">
        <f>IFERROR(__xludf.DUMMYFUNCTION("SUM(IMPORTRANGE(""https://docs.google.com/spreadsheets/d/1ja_RQYsP0p5wRrACHojay4CW1wLx0QdS5tSwp-vYQ-s/edit"",""16!Q2:Q31""))"),4662.415999999998)</f>
        <v>4662.416</v>
      </c>
      <c r="G427" s="40">
        <f>IFERROR(__xludf.DUMMYFUNCTION("IMPORTRANGE(""https://docs.google.com/spreadsheets/d/1ja_RQYsP0p5wRrACHojay4CW1wLx0QdS5tSwp-vYQ-s/edit"",""16!e38"")"),1705.0)</f>
        <v>1705</v>
      </c>
      <c r="H427" s="40">
        <f>IFERROR(__xludf.DUMMYFUNCTION("IMPORTRANGE(""https://docs.google.com/spreadsheets/d/1ja_RQYsP0p5wRrACHojay4CW1wLx0QdS5tSwp-vYQ-s/edit"",""16!e39"")"),0.0)</f>
        <v>0</v>
      </c>
      <c r="I427" s="40">
        <f t="shared" si="1140"/>
        <v>1705</v>
      </c>
      <c r="J427" s="40">
        <f>IFERROR(__xludf.DUMMYFUNCTION("IMPORTRANGE(""https://docs.google.com/spreadsheets/d/1ja_RQYsP0p5wRrACHojay4CW1wLx0QdS5tSwp-vYQ-s/edit"",""16!e42"")"),2425.0)</f>
        <v>2425</v>
      </c>
      <c r="K427" s="40">
        <f>IFERROR(__xludf.DUMMYFUNCTION("IMPORTRANGE(""https://docs.google.com/spreadsheets/d/1ja_RQYsP0p5wRrACHojay4CW1wLx0QdS5tSwp-vYQ-s/edit"",""16!e43"")"),0.0)</f>
        <v>0</v>
      </c>
      <c r="L427" s="40">
        <f t="shared" si="1170"/>
        <v>2425</v>
      </c>
      <c r="M427" s="40">
        <f t="shared" si="1142"/>
        <v>4130</v>
      </c>
      <c r="N427" s="41">
        <f t="shared" si="1143"/>
        <v>202.7137391</v>
      </c>
      <c r="O427" s="38">
        <v>9201.0</v>
      </c>
      <c r="P427" s="42">
        <f t="shared" si="1144"/>
        <v>0.4488642539</v>
      </c>
      <c r="Q427" s="43">
        <v>1.5</v>
      </c>
      <c r="R427" s="42">
        <f t="shared" si="1145"/>
        <v>0.5905378957</v>
      </c>
      <c r="S427" s="44">
        <f t="shared" si="1146"/>
        <v>0.8858068435</v>
      </c>
      <c r="T427" s="43">
        <f>F427/26.491</f>
        <v>176</v>
      </c>
      <c r="U427" s="43">
        <f t="shared" si="1147"/>
        <v>7.652173913</v>
      </c>
      <c r="V427" s="40">
        <f t="shared" si="1148"/>
        <v>179.5652174</v>
      </c>
      <c r="X427" s="31">
        <v>2.0</v>
      </c>
      <c r="Y427" s="31" t="s">
        <v>32</v>
      </c>
      <c r="Z427" s="31">
        <f t="shared" ref="Z427:AI427" si="1182">SUM(D414)</f>
        <v>32</v>
      </c>
      <c r="AA427" s="32">
        <f t="shared" si="1182"/>
        <v>32</v>
      </c>
      <c r="AB427" s="33">
        <f t="shared" si="1182"/>
        <v>6422.784</v>
      </c>
      <c r="AC427" s="31">
        <f t="shared" si="1182"/>
        <v>3004</v>
      </c>
      <c r="AD427" s="31">
        <f t="shared" si="1182"/>
        <v>0</v>
      </c>
      <c r="AE427" s="32">
        <f t="shared" si="1182"/>
        <v>3004</v>
      </c>
      <c r="AF427" s="31">
        <f t="shared" si="1182"/>
        <v>3454</v>
      </c>
      <c r="AG427" s="31">
        <f t="shared" si="1182"/>
        <v>0</v>
      </c>
      <c r="AH427" s="32">
        <f t="shared" si="1182"/>
        <v>3454</v>
      </c>
      <c r="AI427" s="32">
        <f t="shared" si="1182"/>
        <v>6458</v>
      </c>
      <c r="AJ427" s="34">
        <f t="shared" si="1183"/>
        <v>200.712</v>
      </c>
      <c r="AK427" s="31">
        <f>SUM(O414)</f>
        <v>13817</v>
      </c>
      <c r="AL427" s="35">
        <f t="shared" si="1184"/>
        <v>0.4673952378</v>
      </c>
      <c r="AM427" s="36">
        <f>SUM(Q414)</f>
        <v>1.5</v>
      </c>
      <c r="AN427" s="35">
        <f t="shared" si="1185"/>
        <v>0.6703219871</v>
      </c>
      <c r="AO427" s="37">
        <f t="shared" si="1186"/>
        <v>1.005482981</v>
      </c>
      <c r="AP427" s="36">
        <f t="shared" ref="AP427:AQ427" si="1187">SUM(T414)</f>
        <v>256</v>
      </c>
      <c r="AQ427" s="36">
        <f t="shared" si="1187"/>
        <v>8</v>
      </c>
      <c r="AR427" s="32">
        <f t="shared" si="1188"/>
        <v>201.8125</v>
      </c>
    </row>
    <row r="428" ht="15.75" customHeight="1">
      <c r="A428" s="21"/>
      <c r="B428" s="38">
        <v>18.0</v>
      </c>
      <c r="C428" s="38" t="s">
        <v>31</v>
      </c>
      <c r="D428" s="39">
        <v>11.0</v>
      </c>
      <c r="E428" s="40">
        <f>IFERROR(__xludf.DUMMYFUNCTION("COUNT(IMPORTRANGE(""https://docs.google.com/spreadsheets/d/1ObnK1oSznTOmyW9Zcd2kxExl7TOnO2MNq_0giEKc_mE/edit"",""16!d2:d16""))"),10.0)</f>
        <v>10</v>
      </c>
      <c r="F428" s="41">
        <f>IFERROR(__xludf.DUMMYFUNCTION("SUM(IMPORTRANGE(""https://docs.google.com/spreadsheets/d/1ObnK1oSznTOmyW9Zcd2kxExl7TOnO2MNq_0giEKc_mE/edit"",""16!Q2:Q16""))"),1912.4600000000005)</f>
        <v>1912.46</v>
      </c>
      <c r="G428" s="40">
        <f>IFERROR(__xludf.DUMMYFUNCTION("IMPORTRANGE(""https://docs.google.com/spreadsheets/d/1ObnK1oSznTOmyW9Zcd2kxExl7TOnO2MNq_0giEKc_mE/edit"",""16!e23"")"),406.0)</f>
        <v>406</v>
      </c>
      <c r="H428" s="40">
        <f>IFERROR(__xludf.DUMMYFUNCTION("IMPORTRANGE(""https://docs.google.com/spreadsheets/d/1ObnK1oSznTOmyW9Zcd2kxExl7TOnO2MNq_0giEKc_mE/edit"",""16!e24"")"),0.0)</f>
        <v>0</v>
      </c>
      <c r="I428" s="40">
        <f t="shared" si="1140"/>
        <v>406</v>
      </c>
      <c r="J428" s="40">
        <f>IFERROR(__xludf.DUMMYFUNCTION("IMPORTRANGE(""https://docs.google.com/spreadsheets/d/1ObnK1oSznTOmyW9Zcd2kxExl7TOnO2MNq_0giEKc_mE/edit"",""16!e27"")"),554.0)</f>
        <v>554</v>
      </c>
      <c r="K428" s="40">
        <f>IFERROR(__xludf.DUMMYFUNCTION("IMPORTRANGE(""https://docs.google.com/spreadsheets/d/1ObnK1oSznTOmyW9Zcd2kxExl7TOnO2MNq_0giEKc_mE/edit"",""16!e28"")"),13.0)</f>
        <v>13</v>
      </c>
      <c r="L428" s="40">
        <f t="shared" si="1170"/>
        <v>567</v>
      </c>
      <c r="M428" s="40">
        <f t="shared" si="1142"/>
        <v>973</v>
      </c>
      <c r="N428" s="41">
        <f t="shared" si="1143"/>
        <v>191.246</v>
      </c>
      <c r="O428" s="38">
        <v>2717.0</v>
      </c>
      <c r="P428" s="42">
        <f t="shared" si="1144"/>
        <v>0.3581155686</v>
      </c>
      <c r="Q428" s="43">
        <v>1.5</v>
      </c>
      <c r="R428" s="42">
        <f t="shared" si="1145"/>
        <v>0.3391792072</v>
      </c>
      <c r="S428" s="44">
        <f t="shared" si="1146"/>
        <v>0.5087688109</v>
      </c>
      <c r="T428" s="43">
        <f>F428/43.465</f>
        <v>44</v>
      </c>
      <c r="U428" s="43">
        <f t="shared" si="1147"/>
        <v>4.4</v>
      </c>
      <c r="V428" s="40">
        <f t="shared" si="1148"/>
        <v>97.3</v>
      </c>
      <c r="X428" s="31">
        <v>3.0</v>
      </c>
      <c r="Y428" s="31" t="s">
        <v>36</v>
      </c>
      <c r="Z428" s="31">
        <f t="shared" ref="Z428:AI428" si="1189">SUM(D419)</f>
        <v>22</v>
      </c>
      <c r="AA428" s="32">
        <f t="shared" si="1189"/>
        <v>22</v>
      </c>
      <c r="AB428" s="33">
        <f t="shared" si="1189"/>
        <v>4335.236</v>
      </c>
      <c r="AC428" s="32">
        <f t="shared" si="1189"/>
        <v>803</v>
      </c>
      <c r="AD428" s="32">
        <f t="shared" si="1189"/>
        <v>0</v>
      </c>
      <c r="AE428" s="32">
        <f t="shared" si="1189"/>
        <v>803</v>
      </c>
      <c r="AF428" s="32">
        <f t="shared" si="1189"/>
        <v>1394</v>
      </c>
      <c r="AG428" s="32">
        <f t="shared" si="1189"/>
        <v>0</v>
      </c>
      <c r="AH428" s="32">
        <f t="shared" si="1189"/>
        <v>1394</v>
      </c>
      <c r="AI428" s="32">
        <f t="shared" si="1189"/>
        <v>2197</v>
      </c>
      <c r="AJ428" s="34">
        <f t="shared" si="1183"/>
        <v>197.0561818</v>
      </c>
      <c r="AK428" s="31">
        <f t="shared" ref="AK428:AK431" si="1193">SUM(O419)</f>
        <v>4796</v>
      </c>
      <c r="AL428" s="35">
        <f t="shared" si="1184"/>
        <v>0.4580900751</v>
      </c>
      <c r="AM428" s="36">
        <f t="shared" ref="AM428:AM431" si="1194">SUM(Q419)</f>
        <v>1.5</v>
      </c>
      <c r="AN428" s="35">
        <f t="shared" si="1185"/>
        <v>0.3378516571</v>
      </c>
      <c r="AO428" s="37">
        <f t="shared" si="1186"/>
        <v>0.5067774857</v>
      </c>
      <c r="AP428" s="36">
        <f t="shared" ref="AP428:AQ428" si="1190">SUM(T419)</f>
        <v>115.8720265</v>
      </c>
      <c r="AQ428" s="36">
        <f t="shared" si="1190"/>
        <v>5.266910296</v>
      </c>
      <c r="AR428" s="32">
        <f t="shared" si="1188"/>
        <v>99.86363636</v>
      </c>
    </row>
    <row r="429" ht="15.75" customHeight="1">
      <c r="A429" s="21"/>
      <c r="B429" s="60" t="s">
        <v>33</v>
      </c>
      <c r="C429" s="60">
        <v>18.0</v>
      </c>
      <c r="D429" s="60">
        <f t="shared" ref="D429:M429" si="1191">SUM(D411:D428)</f>
        <v>445</v>
      </c>
      <c r="E429" s="61">
        <f t="shared" si="1191"/>
        <v>441</v>
      </c>
      <c r="F429" s="62">
        <f t="shared" si="1191"/>
        <v>83832.589</v>
      </c>
      <c r="G429" s="61">
        <f t="shared" si="1191"/>
        <v>23752</v>
      </c>
      <c r="H429" s="61">
        <f t="shared" si="1191"/>
        <v>615</v>
      </c>
      <c r="I429" s="61">
        <f t="shared" si="1191"/>
        <v>24367</v>
      </c>
      <c r="J429" s="61">
        <f t="shared" si="1191"/>
        <v>33479</v>
      </c>
      <c r="K429" s="61">
        <f t="shared" si="1191"/>
        <v>505</v>
      </c>
      <c r="L429" s="61">
        <f t="shared" si="1191"/>
        <v>33984</v>
      </c>
      <c r="M429" s="61">
        <f t="shared" si="1191"/>
        <v>58351</v>
      </c>
      <c r="N429" s="62">
        <f t="shared" si="1143"/>
        <v>190.0965737</v>
      </c>
      <c r="O429" s="60">
        <f>SUM(O411:O428)</f>
        <v>126399</v>
      </c>
      <c r="P429" s="63">
        <f t="shared" si="1144"/>
        <v>0.4616413105</v>
      </c>
      <c r="Q429" s="64">
        <v>1.5</v>
      </c>
      <c r="R429" s="63">
        <f t="shared" si="1145"/>
        <v>0.4640279768</v>
      </c>
      <c r="S429" s="65">
        <f t="shared" si="1146"/>
        <v>0.6960419653</v>
      </c>
      <c r="T429" s="64">
        <f>SUM(T411:T428)</f>
        <v>3091.088239</v>
      </c>
      <c r="U429" s="64">
        <f t="shared" si="1147"/>
        <v>7.009270383</v>
      </c>
      <c r="V429" s="61">
        <f t="shared" si="1148"/>
        <v>132.3151927</v>
      </c>
      <c r="X429" s="31">
        <v>4.0</v>
      </c>
      <c r="Y429" s="31" t="s">
        <v>37</v>
      </c>
      <c r="Z429" s="31">
        <f t="shared" ref="Z429:AI429" si="1192">SUM(D420)</f>
        <v>23</v>
      </c>
      <c r="AA429" s="32">
        <f t="shared" si="1192"/>
        <v>23</v>
      </c>
      <c r="AB429" s="33">
        <f t="shared" si="1192"/>
        <v>4572.588</v>
      </c>
      <c r="AC429" s="32">
        <f t="shared" si="1192"/>
        <v>917</v>
      </c>
      <c r="AD429" s="32">
        <f t="shared" si="1192"/>
        <v>0</v>
      </c>
      <c r="AE429" s="32">
        <f t="shared" si="1192"/>
        <v>917</v>
      </c>
      <c r="AF429" s="32">
        <f t="shared" si="1192"/>
        <v>1593</v>
      </c>
      <c r="AG429" s="32">
        <f t="shared" si="1192"/>
        <v>0</v>
      </c>
      <c r="AH429" s="32">
        <f t="shared" si="1192"/>
        <v>1593</v>
      </c>
      <c r="AI429" s="32">
        <f t="shared" si="1192"/>
        <v>2510</v>
      </c>
      <c r="AJ429" s="34">
        <f t="shared" si="1183"/>
        <v>198.8081739</v>
      </c>
      <c r="AK429" s="31">
        <f t="shared" si="1193"/>
        <v>5887</v>
      </c>
      <c r="AL429" s="35">
        <f t="shared" si="1184"/>
        <v>0.4263631731</v>
      </c>
      <c r="AM429" s="36">
        <f t="shared" si="1194"/>
        <v>1.5</v>
      </c>
      <c r="AN429" s="35">
        <f t="shared" si="1185"/>
        <v>0.3659488529</v>
      </c>
      <c r="AO429" s="37">
        <f t="shared" si="1186"/>
        <v>0.5489232793</v>
      </c>
      <c r="AP429" s="36">
        <f t="shared" ref="AP429:AQ429" si="1195">SUM(T420)</f>
        <v>184.4380445</v>
      </c>
      <c r="AQ429" s="36">
        <f t="shared" si="1195"/>
        <v>8.019045414</v>
      </c>
      <c r="AR429" s="32">
        <f t="shared" si="1188"/>
        <v>109.1304348</v>
      </c>
    </row>
    <row r="430" ht="15.7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X430" s="31">
        <v>5.0</v>
      </c>
      <c r="Y430" s="31" t="s">
        <v>39</v>
      </c>
      <c r="Z430" s="31">
        <f t="shared" ref="Z430:AI430" si="1196">SUM(D421)</f>
        <v>21</v>
      </c>
      <c r="AA430" s="32">
        <f t="shared" si="1196"/>
        <v>21</v>
      </c>
      <c r="AB430" s="33">
        <f t="shared" si="1196"/>
        <v>4126.353</v>
      </c>
      <c r="AC430" s="32">
        <f t="shared" si="1196"/>
        <v>726</v>
      </c>
      <c r="AD430" s="32">
        <f t="shared" si="1196"/>
        <v>0</v>
      </c>
      <c r="AE430" s="32">
        <f t="shared" si="1196"/>
        <v>726</v>
      </c>
      <c r="AF430" s="32">
        <f t="shared" si="1196"/>
        <v>1376</v>
      </c>
      <c r="AG430" s="32">
        <f t="shared" si="1196"/>
        <v>0</v>
      </c>
      <c r="AH430" s="32">
        <f t="shared" si="1196"/>
        <v>1376</v>
      </c>
      <c r="AI430" s="32">
        <f t="shared" si="1196"/>
        <v>2102</v>
      </c>
      <c r="AJ430" s="34">
        <f t="shared" si="1183"/>
        <v>196.493</v>
      </c>
      <c r="AK430" s="31">
        <f t="shared" si="1193"/>
        <v>3569</v>
      </c>
      <c r="AL430" s="35">
        <f t="shared" si="1184"/>
        <v>0.5889604931</v>
      </c>
      <c r="AM430" s="36">
        <f t="shared" si="1194"/>
        <v>1.5</v>
      </c>
      <c r="AN430" s="35">
        <f t="shared" si="1185"/>
        <v>0.339605781</v>
      </c>
      <c r="AO430" s="37">
        <f t="shared" si="1186"/>
        <v>0.5094086715</v>
      </c>
      <c r="AP430" s="36">
        <f t="shared" ref="AP430:AQ430" si="1197">SUM(T421)</f>
        <v>192.2542515</v>
      </c>
      <c r="AQ430" s="36">
        <f t="shared" si="1197"/>
        <v>9.154964357</v>
      </c>
      <c r="AR430" s="32">
        <f t="shared" si="1188"/>
        <v>100.0952381</v>
      </c>
    </row>
    <row r="431" ht="15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X431" s="31">
        <v>6.0</v>
      </c>
      <c r="Y431" s="31" t="s">
        <v>41</v>
      </c>
      <c r="Z431" s="31">
        <f t="shared" ref="Z431:AI431" si="1198">SUM(D422)</f>
        <v>19</v>
      </c>
      <c r="AA431" s="32">
        <f t="shared" si="1198"/>
        <v>19</v>
      </c>
      <c r="AB431" s="33">
        <f t="shared" si="1198"/>
        <v>3812.136</v>
      </c>
      <c r="AC431" s="32">
        <f t="shared" si="1198"/>
        <v>735</v>
      </c>
      <c r="AD431" s="32">
        <f t="shared" si="1198"/>
        <v>0</v>
      </c>
      <c r="AE431" s="32">
        <f t="shared" si="1198"/>
        <v>735</v>
      </c>
      <c r="AF431" s="32">
        <f t="shared" si="1198"/>
        <v>1004</v>
      </c>
      <c r="AG431" s="32">
        <f t="shared" si="1198"/>
        <v>0</v>
      </c>
      <c r="AH431" s="32">
        <f t="shared" si="1198"/>
        <v>1004</v>
      </c>
      <c r="AI431" s="32">
        <f t="shared" si="1198"/>
        <v>1739</v>
      </c>
      <c r="AJ431" s="34">
        <f t="shared" si="1183"/>
        <v>200.6387368</v>
      </c>
      <c r="AK431" s="31">
        <f t="shared" si="1193"/>
        <v>3801</v>
      </c>
      <c r="AL431" s="35">
        <f t="shared" si="1184"/>
        <v>0.4575111813</v>
      </c>
      <c r="AM431" s="36">
        <f t="shared" si="1194"/>
        <v>1.5</v>
      </c>
      <c r="AN431" s="35">
        <f t="shared" si="1185"/>
        <v>0.3041164673</v>
      </c>
      <c r="AO431" s="37">
        <f t="shared" si="1186"/>
        <v>0.456174701</v>
      </c>
      <c r="AP431" s="36">
        <f t="shared" ref="AP431:AQ431" si="1199">SUM(T422)</f>
        <v>128.6666667</v>
      </c>
      <c r="AQ431" s="36">
        <f t="shared" si="1199"/>
        <v>6.771929825</v>
      </c>
      <c r="AR431" s="32">
        <f t="shared" si="1188"/>
        <v>91.52631579</v>
      </c>
    </row>
    <row r="432" ht="15.75" customHeight="1">
      <c r="A432" s="1" t="s">
        <v>45</v>
      </c>
      <c r="D432" s="2"/>
      <c r="X432" s="46" t="s">
        <v>33</v>
      </c>
      <c r="Y432" s="46">
        <v>6.0</v>
      </c>
      <c r="Z432" s="46">
        <f t="shared" ref="Z432:AI432" si="1200">SUM(Z426:Z431)</f>
        <v>132</v>
      </c>
      <c r="AA432" s="47">
        <f t="shared" si="1200"/>
        <v>132</v>
      </c>
      <c r="AB432" s="49">
        <f t="shared" si="1200"/>
        <v>26102.027</v>
      </c>
      <c r="AC432" s="47">
        <f t="shared" si="1200"/>
        <v>7353</v>
      </c>
      <c r="AD432" s="47">
        <f t="shared" si="1200"/>
        <v>115</v>
      </c>
      <c r="AE432" s="47">
        <f t="shared" si="1200"/>
        <v>7468</v>
      </c>
      <c r="AF432" s="47">
        <f t="shared" si="1200"/>
        <v>10536</v>
      </c>
      <c r="AG432" s="47">
        <f t="shared" si="1200"/>
        <v>0</v>
      </c>
      <c r="AH432" s="47">
        <f t="shared" si="1200"/>
        <v>10536</v>
      </c>
      <c r="AI432" s="47">
        <f t="shared" si="1200"/>
        <v>18004</v>
      </c>
      <c r="AJ432" s="49">
        <f t="shared" si="1183"/>
        <v>197.7426288</v>
      </c>
      <c r="AK432" s="46">
        <f>SUM(AK426:AK431)</f>
        <v>37031</v>
      </c>
      <c r="AL432" s="50">
        <f t="shared" si="1184"/>
        <v>0.4861872485</v>
      </c>
      <c r="AM432" s="51">
        <v>1.5</v>
      </c>
      <c r="AN432" s="50">
        <f t="shared" si="1185"/>
        <v>0.4598365739</v>
      </c>
      <c r="AO432" s="52">
        <f t="shared" si="1186"/>
        <v>0.6897548608</v>
      </c>
      <c r="AP432" s="51">
        <f>SUM(AP426:AP431)</f>
        <v>1073.757524</v>
      </c>
      <c r="AQ432" s="51">
        <f>AP432/AA432</f>
        <v>8.134526698</v>
      </c>
      <c r="AR432" s="47">
        <f t="shared" si="1188"/>
        <v>136.3939394</v>
      </c>
    </row>
    <row r="433" ht="15.75" customHeight="1">
      <c r="A433" s="1" t="s">
        <v>45</v>
      </c>
      <c r="D433" s="2"/>
      <c r="X433" s="66" t="s">
        <v>1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6"/>
    </row>
    <row r="434" ht="15.75" customHeight="1">
      <c r="A434" s="10">
        <v>46251.0</v>
      </c>
      <c r="B434" s="8" t="s">
        <v>2</v>
      </c>
      <c r="C434" s="8" t="s">
        <v>3</v>
      </c>
      <c r="D434" s="8" t="s">
        <v>4</v>
      </c>
      <c r="E434" s="8" t="s">
        <v>5</v>
      </c>
      <c r="F434" s="9" t="s">
        <v>6</v>
      </c>
      <c r="G434" s="8" t="s">
        <v>7</v>
      </c>
      <c r="H434" s="8" t="s">
        <v>8</v>
      </c>
      <c r="I434" s="8" t="s">
        <v>9</v>
      </c>
      <c r="J434" s="8" t="s">
        <v>10</v>
      </c>
      <c r="K434" s="8" t="s">
        <v>11</v>
      </c>
      <c r="L434" s="8" t="s">
        <v>12</v>
      </c>
      <c r="M434" s="8" t="s">
        <v>13</v>
      </c>
      <c r="N434" s="9" t="s">
        <v>14</v>
      </c>
      <c r="O434" s="8" t="s">
        <v>15</v>
      </c>
      <c r="P434" s="8" t="s">
        <v>16</v>
      </c>
      <c r="Q434" s="8" t="s">
        <v>17</v>
      </c>
      <c r="R434" s="8" t="s">
        <v>18</v>
      </c>
      <c r="S434" s="11" t="s">
        <v>19</v>
      </c>
      <c r="T434" s="12" t="s">
        <v>20</v>
      </c>
      <c r="U434" s="12" t="s">
        <v>21</v>
      </c>
      <c r="V434" s="13" t="s">
        <v>22</v>
      </c>
      <c r="X434" s="14" t="s">
        <v>2</v>
      </c>
      <c r="Y434" s="14" t="s">
        <v>3</v>
      </c>
      <c r="Z434" s="14" t="s">
        <v>4</v>
      </c>
      <c r="AA434" s="14" t="s">
        <v>5</v>
      </c>
      <c r="AB434" s="15" t="s">
        <v>6</v>
      </c>
      <c r="AC434" s="14" t="s">
        <v>7</v>
      </c>
      <c r="AD434" s="14" t="s">
        <v>8</v>
      </c>
      <c r="AE434" s="14" t="s">
        <v>9</v>
      </c>
      <c r="AF434" s="14" t="s">
        <v>10</v>
      </c>
      <c r="AG434" s="14" t="s">
        <v>11</v>
      </c>
      <c r="AH434" s="14" t="s">
        <v>12</v>
      </c>
      <c r="AI434" s="14" t="s">
        <v>13</v>
      </c>
      <c r="AJ434" s="15" t="s">
        <v>14</v>
      </c>
      <c r="AK434" s="14" t="s">
        <v>15</v>
      </c>
      <c r="AL434" s="14" t="s">
        <v>16</v>
      </c>
      <c r="AM434" s="16" t="s">
        <v>17</v>
      </c>
      <c r="AN434" s="17" t="s">
        <v>18</v>
      </c>
      <c r="AO434" s="18" t="s">
        <v>19</v>
      </c>
      <c r="AP434" s="19" t="s">
        <v>20</v>
      </c>
      <c r="AQ434" s="19" t="s">
        <v>21</v>
      </c>
      <c r="AR434" s="20" t="s">
        <v>22</v>
      </c>
    </row>
    <row r="435" ht="15.7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X435" s="22">
        <v>1.0</v>
      </c>
      <c r="Y435" s="22" t="s">
        <v>23</v>
      </c>
      <c r="Z435" s="22">
        <f t="shared" ref="Z435:AI435" si="1201">SUM(D443)</f>
        <v>28</v>
      </c>
      <c r="AA435" s="23">
        <f t="shared" si="1201"/>
        <v>28</v>
      </c>
      <c r="AB435" s="24">
        <f t="shared" si="1201"/>
        <v>5533.36</v>
      </c>
      <c r="AC435" s="23">
        <f t="shared" si="1201"/>
        <v>1011</v>
      </c>
      <c r="AD435" s="23">
        <f t="shared" si="1201"/>
        <v>0</v>
      </c>
      <c r="AE435" s="23">
        <f t="shared" si="1201"/>
        <v>1011</v>
      </c>
      <c r="AF435" s="23">
        <f t="shared" si="1201"/>
        <v>1634</v>
      </c>
      <c r="AG435" s="23">
        <f t="shared" si="1201"/>
        <v>0</v>
      </c>
      <c r="AH435" s="23">
        <f t="shared" si="1201"/>
        <v>1634</v>
      </c>
      <c r="AI435" s="23">
        <f t="shared" si="1201"/>
        <v>2645</v>
      </c>
      <c r="AJ435" s="25">
        <f t="shared" ref="AJ435:AJ437" si="1204">AB435/AA435</f>
        <v>197.62</v>
      </c>
      <c r="AK435" s="22">
        <f>SUM(O443)</f>
        <v>6853</v>
      </c>
      <c r="AL435" s="26">
        <f t="shared" ref="AL435:AL441" si="1205">AI435/AK435</f>
        <v>0.3859623523</v>
      </c>
      <c r="AM435" s="27">
        <f t="shared" ref="AM435:AM437" si="1206">SUM(Q443)</f>
        <v>1.5</v>
      </c>
      <c r="AN435" s="26">
        <f t="shared" ref="AN435:AN441" si="1207">AO435/AM435</f>
        <v>0.318673163</v>
      </c>
      <c r="AO435" s="28">
        <f t="shared" ref="AO435:AO441" si="1208">AI435/AB435</f>
        <v>0.4780097445</v>
      </c>
      <c r="AP435" s="27">
        <f t="shared" ref="AP435:AQ435" si="1202">SUM(T443)</f>
        <v>164</v>
      </c>
      <c r="AQ435" s="27">
        <f t="shared" si="1202"/>
        <v>5.857142857</v>
      </c>
      <c r="AR435" s="23">
        <f t="shared" ref="AR435:AR441" si="1210">AI435/AA435</f>
        <v>94.46428571</v>
      </c>
    </row>
    <row r="436" ht="15.7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X436" s="22">
        <v>2.0</v>
      </c>
      <c r="Y436" s="22" t="s">
        <v>24</v>
      </c>
      <c r="Z436" s="22">
        <f t="shared" ref="Z436:AI436" si="1203">SUM(D444)</f>
        <v>37</v>
      </c>
      <c r="AA436" s="23">
        <f t="shared" si="1203"/>
        <v>37</v>
      </c>
      <c r="AB436" s="24">
        <f t="shared" si="1203"/>
        <v>7342.512</v>
      </c>
      <c r="AC436" s="23">
        <f t="shared" si="1203"/>
        <v>495</v>
      </c>
      <c r="AD436" s="23">
        <f t="shared" si="1203"/>
        <v>12</v>
      </c>
      <c r="AE436" s="23">
        <f t="shared" si="1203"/>
        <v>507</v>
      </c>
      <c r="AF436" s="23">
        <f t="shared" si="1203"/>
        <v>586</v>
      </c>
      <c r="AG436" s="23">
        <f t="shared" si="1203"/>
        <v>10</v>
      </c>
      <c r="AH436" s="23">
        <f t="shared" si="1203"/>
        <v>596</v>
      </c>
      <c r="AI436" s="23">
        <f t="shared" si="1203"/>
        <v>1103</v>
      </c>
      <c r="AJ436" s="25">
        <f t="shared" si="1204"/>
        <v>198.4462703</v>
      </c>
      <c r="AK436" s="22">
        <v>1580.0</v>
      </c>
      <c r="AL436" s="26">
        <f t="shared" si="1205"/>
        <v>0.6981012658</v>
      </c>
      <c r="AM436" s="27">
        <f t="shared" si="1206"/>
        <v>1.5</v>
      </c>
      <c r="AN436" s="26">
        <f t="shared" si="1207"/>
        <v>0.1001473792</v>
      </c>
      <c r="AO436" s="28">
        <f t="shared" si="1208"/>
        <v>0.1502210688</v>
      </c>
      <c r="AP436" s="27">
        <f t="shared" ref="AP436:AQ436" si="1209">SUM(T444)</f>
        <v>273.9232233</v>
      </c>
      <c r="AQ436" s="27">
        <f t="shared" si="1209"/>
        <v>7.403330359</v>
      </c>
      <c r="AR436" s="23">
        <f t="shared" si="1210"/>
        <v>29.81081081</v>
      </c>
    </row>
    <row r="437" ht="15.75" customHeight="1">
      <c r="A437" s="21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X437" s="31">
        <v>3.0</v>
      </c>
      <c r="Y437" s="31" t="s">
        <v>25</v>
      </c>
      <c r="Z437" s="31">
        <f t="shared" ref="Z437:AI437" si="1211">SUM(D445)</f>
        <v>27</v>
      </c>
      <c r="AA437" s="32">
        <f t="shared" si="1211"/>
        <v>0</v>
      </c>
      <c r="AB437" s="33">
        <f t="shared" si="1211"/>
        <v>0</v>
      </c>
      <c r="AC437" s="32">
        <f t="shared" si="1211"/>
        <v>0</v>
      </c>
      <c r="AD437" s="32">
        <f t="shared" si="1211"/>
        <v>0</v>
      </c>
      <c r="AE437" s="32">
        <f t="shared" si="1211"/>
        <v>0</v>
      </c>
      <c r="AF437" s="32">
        <f t="shared" si="1211"/>
        <v>0</v>
      </c>
      <c r="AG437" s="32">
        <f t="shared" si="1211"/>
        <v>0</v>
      </c>
      <c r="AH437" s="32">
        <f t="shared" si="1211"/>
        <v>0</v>
      </c>
      <c r="AI437" s="32">
        <f t="shared" si="1211"/>
        <v>0</v>
      </c>
      <c r="AJ437" s="34" t="str">
        <f t="shared" si="1204"/>
        <v>#DIV/0!</v>
      </c>
      <c r="AK437" s="31">
        <f>SUM(O445)</f>
        <v>6622</v>
      </c>
      <c r="AL437" s="35">
        <f t="shared" si="1205"/>
        <v>0</v>
      </c>
      <c r="AM437" s="36">
        <f t="shared" si="1206"/>
        <v>1.5</v>
      </c>
      <c r="AN437" s="35" t="str">
        <f t="shared" si="1207"/>
        <v>#DIV/0!</v>
      </c>
      <c r="AO437" s="37" t="str">
        <f t="shared" si="1208"/>
        <v>#DIV/0!</v>
      </c>
      <c r="AP437" s="36">
        <f t="shared" ref="AP437:AQ437" si="1212">SUM(T445)</f>
        <v>0</v>
      </c>
      <c r="AQ437" s="36" t="str">
        <f t="shared" si="1212"/>
        <v>#DIV/0!</v>
      </c>
      <c r="AR437" s="32" t="str">
        <f t="shared" si="1210"/>
        <v>#DIV/0!</v>
      </c>
    </row>
    <row r="438" ht="15.75" customHeight="1">
      <c r="A438" s="21"/>
      <c r="B438" s="69">
        <v>1.0</v>
      </c>
      <c r="C438" s="69" t="s">
        <v>26</v>
      </c>
      <c r="D438" s="70">
        <v>16.0</v>
      </c>
      <c r="E438" s="71">
        <f>IFERROR(__xludf.DUMMYFUNCTION("COUNT(IMPORTRANGE(""https://docs.google.com/spreadsheets/d/1iVFEBQOAONhqDIMRa2hQ7WkCQv0dJWSAmc0AzfvSCMg/edit"",""17!d2:d21""))"),0.0)</f>
        <v>0</v>
      </c>
      <c r="F438" s="72">
        <f>IFERROR(__xludf.DUMMYFUNCTION("SUM(IMPORTRANGE(""https://docs.google.com/spreadsheets/d/1iVFEBQOAONhqDIMRa2hQ7WkCQv0dJWSAmc0AzfvSCMg/edit"",""17!Q2:Q21""))"),0.0)</f>
        <v>0</v>
      </c>
      <c r="G438" s="71">
        <f>IFERROR(__xludf.DUMMYFUNCTION("IMPORTRANGE(""https://docs.google.com/spreadsheets/d/1iVFEBQOAONhqDIMRa2hQ7WkCQv0dJWSAmc0AzfvSCMg/edit"",""17!e28"")"),0.0)</f>
        <v>0</v>
      </c>
      <c r="H438" s="71">
        <f>IFERROR(__xludf.DUMMYFUNCTION("IMPORTRANGE(""https://docs.google.com/spreadsheets/d/1iVFEBQOAONhqDIMRa2hQ7WkCQv0dJWSAmc0AzfvSCMg/edit"",""17!e29"")"),0.0)</f>
        <v>0</v>
      </c>
      <c r="I438" s="71">
        <f t="shared" ref="I438:I455" si="1215">SUM(G438:H438)</f>
        <v>0</v>
      </c>
      <c r="J438" s="71">
        <f>IFERROR(__xludf.DUMMYFUNCTION("IMPORTRANGE(""https://docs.google.com/spreadsheets/d/1iVFEBQOAONhqDIMRa2hQ7WkCQv0dJWSAmc0AzfvSCMg/edit"",""17!e32"")"),0.0)</f>
        <v>0</v>
      </c>
      <c r="K438" s="71">
        <f>IFERROR(__xludf.DUMMYFUNCTION("IMPORTRANGE(""https://docs.google.com/spreadsheets/d/1iVFEBQOAONhqDIMRa2hQ7WkCQv0dJWSAmc0AzfvSCMg/edit"",""17!e33"")"),0.0)</f>
        <v>0</v>
      </c>
      <c r="L438" s="71">
        <f t="shared" ref="L438:L444" si="1216">SUM(J438:K438)</f>
        <v>0</v>
      </c>
      <c r="M438" s="71">
        <f t="shared" ref="M438:M455" si="1217">SUM(I438+L438)</f>
        <v>0</v>
      </c>
      <c r="N438" s="72" t="str">
        <f t="shared" ref="N438:N456" si="1218">F438/E438</f>
        <v>#DIV/0!</v>
      </c>
      <c r="O438" s="69">
        <v>5161.0</v>
      </c>
      <c r="P438" s="42">
        <f t="shared" ref="P438:P456" si="1219">M438/O438</f>
        <v>0</v>
      </c>
      <c r="Q438" s="73">
        <v>1.5</v>
      </c>
      <c r="R438" s="42" t="str">
        <f t="shared" ref="R438:R456" si="1220">S438/Q438</f>
        <v>#DIV/0!</v>
      </c>
      <c r="S438" s="74" t="str">
        <f t="shared" ref="S438:S456" si="1221">M438/F438</f>
        <v>#DIV/0!</v>
      </c>
      <c r="T438" s="73">
        <f>F438/14.415</f>
        <v>0</v>
      </c>
      <c r="U438" s="73" t="str">
        <f t="shared" ref="U438:U456" si="1222">T438/E438</f>
        <v>#DIV/0!</v>
      </c>
      <c r="V438" s="71" t="str">
        <f t="shared" ref="V438:V456" si="1223">M438/E438</f>
        <v>#DIV/0!</v>
      </c>
      <c r="X438" s="22">
        <v>4.0</v>
      </c>
      <c r="Y438" s="22" t="s">
        <v>27</v>
      </c>
      <c r="Z438" s="22">
        <f t="shared" ref="Z438:AK438" si="1213">SUM(D451)</f>
        <v>24</v>
      </c>
      <c r="AA438" s="23">
        <f t="shared" si="1213"/>
        <v>24</v>
      </c>
      <c r="AB438" s="24">
        <f t="shared" si="1213"/>
        <v>4786.27</v>
      </c>
      <c r="AC438" s="23">
        <f t="shared" si="1213"/>
        <v>1630</v>
      </c>
      <c r="AD438" s="23">
        <f t="shared" si="1213"/>
        <v>0</v>
      </c>
      <c r="AE438" s="23">
        <f t="shared" si="1213"/>
        <v>1630</v>
      </c>
      <c r="AF438" s="23">
        <f t="shared" si="1213"/>
        <v>1911</v>
      </c>
      <c r="AG438" s="23">
        <f t="shared" si="1213"/>
        <v>0</v>
      </c>
      <c r="AH438" s="23">
        <f t="shared" si="1213"/>
        <v>1911</v>
      </c>
      <c r="AI438" s="23">
        <f t="shared" si="1213"/>
        <v>3541</v>
      </c>
      <c r="AJ438" s="25">
        <f t="shared" si="1213"/>
        <v>199.4279167</v>
      </c>
      <c r="AK438" s="22">
        <f t="shared" si="1213"/>
        <v>8101</v>
      </c>
      <c r="AL438" s="26">
        <f t="shared" si="1205"/>
        <v>0.4371065301</v>
      </c>
      <c r="AM438" s="27">
        <f>SUM(Q451)</f>
        <v>1.5</v>
      </c>
      <c r="AN438" s="26">
        <f t="shared" si="1207"/>
        <v>0.4932163599</v>
      </c>
      <c r="AO438" s="28">
        <f t="shared" si="1208"/>
        <v>0.7398245398</v>
      </c>
      <c r="AP438" s="27">
        <f t="shared" ref="AP438:AQ438" si="1214">SUM(T451)</f>
        <v>239.4931198</v>
      </c>
      <c r="AQ438" s="27">
        <f t="shared" si="1214"/>
        <v>9.978879993</v>
      </c>
      <c r="AR438" s="23">
        <f t="shared" si="1210"/>
        <v>147.5416667</v>
      </c>
    </row>
    <row r="439" ht="15.75" customHeight="1">
      <c r="A439" s="21"/>
      <c r="B439" s="38">
        <v>2.0</v>
      </c>
      <c r="C439" s="38" t="s">
        <v>28</v>
      </c>
      <c r="D439" s="39">
        <v>26.0</v>
      </c>
      <c r="E439" s="40">
        <f>IFERROR(__xludf.DUMMYFUNCTION("COUNT(IMPORTRANGE(""https://docs.google.com/spreadsheets/d/1tJCeYclgeJZ4Dc78t_SkhVjtacKW-5-VGim8X1rzUzk/edit"",""17!d2:d34""))"),24.0)</f>
        <v>24</v>
      </c>
      <c r="F439" s="41">
        <f>IFERROR(__xludf.DUMMYFUNCTION("SUM(IMPORTRANGE(""https://docs.google.com/spreadsheets/d/1tJCeYclgeJZ4Dc78t_SkhVjtacKW-5-VGim8X1rzUzk/edit"",""17!Q2:Q34""))"),4427.8369999999995)</f>
        <v>4427.837</v>
      </c>
      <c r="G439" s="40">
        <f>IFERROR(__xludf.DUMMYFUNCTION("IMPORTRANGE(""https://docs.google.com/spreadsheets/d/1tJCeYclgeJZ4Dc78t_SkhVjtacKW-5-VGim8X1rzUzk/edit"",""17!e41"")"),1497.0)</f>
        <v>1497</v>
      </c>
      <c r="H439" s="40">
        <f>IFERROR(__xludf.DUMMYFUNCTION("IMPORTRANGE(""https://docs.google.com/spreadsheets/d/1tJCeYclgeJZ4Dc78t_SkhVjtacKW-5-VGim8X1rzUzk/edit"",""17!e42"")"),29.0)</f>
        <v>29</v>
      </c>
      <c r="I439" s="40">
        <f t="shared" si="1215"/>
        <v>1526</v>
      </c>
      <c r="J439" s="40">
        <f>IFERROR(__xludf.DUMMYFUNCTION("IMPORTRANGE(""https://docs.google.com/spreadsheets/d/1tJCeYclgeJZ4Dc78t_SkhVjtacKW-5-VGim8X1rzUzk/edit"",""17!e45"")"),1161.0)</f>
        <v>1161</v>
      </c>
      <c r="K439" s="40">
        <f>IFERROR(__xludf.DUMMYFUNCTION("IMPORTRANGE(""https://docs.google.com/spreadsheets/d/1tJCeYclgeJZ4Dc78t_SkhVjtacKW-5-VGim8X1rzUzk/edit"",""17!e46"")"),192.0)</f>
        <v>192</v>
      </c>
      <c r="L439" s="40">
        <f t="shared" si="1216"/>
        <v>1353</v>
      </c>
      <c r="M439" s="40">
        <f t="shared" si="1217"/>
        <v>2879</v>
      </c>
      <c r="N439" s="41">
        <f t="shared" si="1218"/>
        <v>184.4932083</v>
      </c>
      <c r="O439" s="38">
        <v>7315.0</v>
      </c>
      <c r="P439" s="42">
        <f t="shared" si="1219"/>
        <v>0.3935748462</v>
      </c>
      <c r="Q439" s="43">
        <v>1.5</v>
      </c>
      <c r="R439" s="42">
        <f t="shared" si="1220"/>
        <v>0.4334697355</v>
      </c>
      <c r="S439" s="44">
        <f t="shared" si="1221"/>
        <v>0.6502046033</v>
      </c>
      <c r="T439" s="43">
        <f>F439/30.897</f>
        <v>143.3096093</v>
      </c>
      <c r="U439" s="43">
        <f t="shared" si="1222"/>
        <v>5.971233723</v>
      </c>
      <c r="V439" s="40">
        <f t="shared" si="1223"/>
        <v>119.9583333</v>
      </c>
      <c r="X439" s="22">
        <v>5.0</v>
      </c>
      <c r="Y439" s="22" t="s">
        <v>29</v>
      </c>
      <c r="Z439" s="22">
        <f t="shared" ref="Z439:AI439" si="1224">SUM(D454)</f>
        <v>24</v>
      </c>
      <c r="AA439" s="23">
        <f t="shared" si="1224"/>
        <v>19</v>
      </c>
      <c r="AB439" s="24">
        <f t="shared" si="1224"/>
        <v>1006.658</v>
      </c>
      <c r="AC439" s="23">
        <f t="shared" si="1224"/>
        <v>526</v>
      </c>
      <c r="AD439" s="23">
        <f t="shared" si="1224"/>
        <v>0</v>
      </c>
      <c r="AE439" s="23">
        <f t="shared" si="1224"/>
        <v>526</v>
      </c>
      <c r="AF439" s="23">
        <f t="shared" si="1224"/>
        <v>0</v>
      </c>
      <c r="AG439" s="23">
        <f t="shared" si="1224"/>
        <v>0</v>
      </c>
      <c r="AH439" s="23">
        <f t="shared" si="1224"/>
        <v>0</v>
      </c>
      <c r="AI439" s="23">
        <f t="shared" si="1224"/>
        <v>526</v>
      </c>
      <c r="AJ439" s="25">
        <f t="shared" ref="AJ439:AJ441" si="1227">AB439/AA439</f>
        <v>52.982</v>
      </c>
      <c r="AK439" s="22">
        <f t="shared" ref="AK439:AK440" si="1228">SUM(O454)</f>
        <v>9201</v>
      </c>
      <c r="AL439" s="26">
        <f t="shared" si="1205"/>
        <v>0.05716769916</v>
      </c>
      <c r="AM439" s="27">
        <f t="shared" ref="AM439:AM440" si="1229">SUM(Q454)</f>
        <v>1.5</v>
      </c>
      <c r="AN439" s="26">
        <f t="shared" si="1207"/>
        <v>0.3483473699</v>
      </c>
      <c r="AO439" s="28">
        <f t="shared" si="1208"/>
        <v>0.5225210548</v>
      </c>
      <c r="AP439" s="27">
        <f t="shared" ref="AP439:AQ439" si="1225">SUM(T454)</f>
        <v>38</v>
      </c>
      <c r="AQ439" s="27">
        <f t="shared" si="1225"/>
        <v>2</v>
      </c>
      <c r="AR439" s="23">
        <f t="shared" si="1210"/>
        <v>27.68421053</v>
      </c>
    </row>
    <row r="440" ht="15.75" customHeight="1">
      <c r="A440" s="21"/>
      <c r="B440" s="38">
        <v>3.0</v>
      </c>
      <c r="C440" s="38" t="s">
        <v>30</v>
      </c>
      <c r="D440" s="39">
        <v>48.0</v>
      </c>
      <c r="E440" s="40">
        <f>IFERROR(__xludf.DUMMYFUNCTION("COUNT(IMPORTRANGE(""https://docs.google.com/spreadsheets/d/130gLEONC13J8KkQ6dk06x3bLRy_jCrAw2hXatQf2W50/edit"",""17!d2:d61""))"),2.0)</f>
        <v>2</v>
      </c>
      <c r="F440" s="45">
        <f>IFERROR(__xludf.DUMMYFUNCTION("SUM(IMPORTRANGE(""https://docs.google.com/spreadsheets/d/130gLEONC13J8KkQ6dk06x3bLRy_jCrAw2hXatQf2W50/edit"",""17!Q2:Q61""))"),29.603)</f>
        <v>29.603</v>
      </c>
      <c r="G440" s="40">
        <f>IFERROR(__xludf.DUMMYFUNCTION("IMPORTRANGE(""https://docs.google.com/spreadsheets/d/130gLEONC13J8KkQ6dk06x3bLRy_jCrAw2hXatQf2W50/edit"",""17!e68"")"),13.0)</f>
        <v>13</v>
      </c>
      <c r="H440" s="40">
        <f>IFERROR(__xludf.DUMMYFUNCTION("IMPORTRANGE(""https://docs.google.com/spreadsheets/d/130gLEONC13J8KkQ6dk06x3bLRy_jCrAw2hXatQf2W50/edit"",""17!e69"")"),0.0)</f>
        <v>0</v>
      </c>
      <c r="I440" s="40">
        <f t="shared" si="1215"/>
        <v>13</v>
      </c>
      <c r="J440" s="40">
        <f>IFERROR(__xludf.DUMMYFUNCTION("IMPORTRANGE(""https://docs.google.com/spreadsheets/d/130gLEONC13J8KkQ6dk06x3bLRy_jCrAw2hXatQf2W50/edit"",""17!e72"")"),0.0)</f>
        <v>0</v>
      </c>
      <c r="K440" s="40">
        <f>IFERROR(__xludf.DUMMYFUNCTION("IMPORTRANGE(""https://docs.google.com/spreadsheets/d/130gLEONC13J8KkQ6dk06x3bLRy_jCrAw2hXatQf2W50/edit"",""17!e73"")"),0.0)</f>
        <v>0</v>
      </c>
      <c r="L440" s="40">
        <f t="shared" si="1216"/>
        <v>0</v>
      </c>
      <c r="M440" s="40">
        <f t="shared" si="1217"/>
        <v>13</v>
      </c>
      <c r="N440" s="41">
        <f t="shared" si="1218"/>
        <v>14.8015</v>
      </c>
      <c r="O440" s="38">
        <v>11164.0</v>
      </c>
      <c r="P440" s="42">
        <f t="shared" si="1219"/>
        <v>0.001164457184</v>
      </c>
      <c r="Q440" s="43">
        <v>1.5</v>
      </c>
      <c r="R440" s="42">
        <f t="shared" si="1220"/>
        <v>0.2927631209</v>
      </c>
      <c r="S440" s="44">
        <f t="shared" si="1221"/>
        <v>0.4391446813</v>
      </c>
      <c r="T440" s="43">
        <f>F440/29.603</f>
        <v>1</v>
      </c>
      <c r="U440" s="43">
        <f t="shared" si="1222"/>
        <v>0.5</v>
      </c>
      <c r="V440" s="40">
        <f t="shared" si="1223"/>
        <v>6.5</v>
      </c>
      <c r="X440" s="22">
        <v>6.0</v>
      </c>
      <c r="Y440" s="22" t="s">
        <v>31</v>
      </c>
      <c r="Z440" s="22">
        <f t="shared" ref="Z440:AI440" si="1226">SUM(D455)</f>
        <v>12</v>
      </c>
      <c r="AA440" s="23">
        <f t="shared" si="1226"/>
        <v>11</v>
      </c>
      <c r="AB440" s="25">
        <f t="shared" si="1226"/>
        <v>2216.715</v>
      </c>
      <c r="AC440" s="23">
        <f t="shared" si="1226"/>
        <v>299</v>
      </c>
      <c r="AD440" s="23">
        <f t="shared" si="1226"/>
        <v>0</v>
      </c>
      <c r="AE440" s="23">
        <f t="shared" si="1226"/>
        <v>299</v>
      </c>
      <c r="AF440" s="23">
        <f t="shared" si="1226"/>
        <v>582</v>
      </c>
      <c r="AG440" s="23">
        <f t="shared" si="1226"/>
        <v>0</v>
      </c>
      <c r="AH440" s="23">
        <f t="shared" si="1226"/>
        <v>582</v>
      </c>
      <c r="AI440" s="23">
        <f t="shared" si="1226"/>
        <v>881</v>
      </c>
      <c r="AJ440" s="25">
        <f t="shared" si="1227"/>
        <v>201.5195455</v>
      </c>
      <c r="AK440" s="22">
        <f t="shared" si="1228"/>
        <v>2717</v>
      </c>
      <c r="AL440" s="26">
        <f t="shared" si="1205"/>
        <v>0.3242546927</v>
      </c>
      <c r="AM440" s="27">
        <f t="shared" si="1229"/>
        <v>1.5</v>
      </c>
      <c r="AN440" s="26">
        <f t="shared" si="1207"/>
        <v>0.2649566288</v>
      </c>
      <c r="AO440" s="28">
        <f t="shared" si="1208"/>
        <v>0.3974349431</v>
      </c>
      <c r="AP440" s="27">
        <f t="shared" ref="AP440:AQ440" si="1230">SUM(T455)</f>
        <v>51</v>
      </c>
      <c r="AQ440" s="27">
        <f t="shared" si="1230"/>
        <v>4.636363636</v>
      </c>
      <c r="AR440" s="23">
        <f t="shared" si="1210"/>
        <v>80.09090909</v>
      </c>
    </row>
    <row r="441" ht="15.75" customHeight="1">
      <c r="A441" s="21"/>
      <c r="B441" s="38">
        <v>4.0</v>
      </c>
      <c r="C441" s="38" t="s">
        <v>32</v>
      </c>
      <c r="D441" s="39">
        <v>33.0</v>
      </c>
      <c r="E441" s="40">
        <f>IFERROR(__xludf.DUMMYFUNCTION("COUNT(IMPORTRANGE(""https://docs.google.com/spreadsheets/d/1gYHli7FuKQLm2Q-5LMR0UtkD-gRRA_p8s-phLPLDLgc/edit"",""17!d2:d43""))"),31.0)</f>
        <v>31</v>
      </c>
      <c r="F441" s="45">
        <f>IFERROR(__xludf.DUMMYFUNCTION("SUM(IMPORTRANGE(""https://docs.google.com/spreadsheets/d/1gYHli7FuKQLm2Q-5LMR0UtkD-gRRA_p8s-phLPLDLgc/edit"",""17!Q2:Q43""))"),6185.512999999995)</f>
        <v>6185.513</v>
      </c>
      <c r="G441" s="38">
        <f>IFERROR(__xludf.DUMMYFUNCTION("IMPORTRANGE(""https://docs.google.com/spreadsheets/d/1gYHli7FuKQLm2Q-5LMR0UtkD-gRRA_p8s-phLPLDLgc/edit"",""17!e50"")"),2571.0)</f>
        <v>2571</v>
      </c>
      <c r="H441" s="38">
        <f>IFERROR(__xludf.DUMMYFUNCTION("IMPORTRANGE(""https://docs.google.com/spreadsheets/d/1gYHli7FuKQLm2Q-5LMR0UtkD-gRRA_p8s-phLPLDLgc/edit"",""17!e51"")"),0.0)</f>
        <v>0</v>
      </c>
      <c r="I441" s="40">
        <f t="shared" si="1215"/>
        <v>2571</v>
      </c>
      <c r="J441" s="38">
        <f>IFERROR(__xludf.DUMMYFUNCTION("IMPORTRANGE(""https://docs.google.com/spreadsheets/d/1gYHli7FuKQLm2Q-5LMR0UtkD-gRRA_p8s-phLPLDLgc/edit"",""17!e54"")"),3195.0)</f>
        <v>3195</v>
      </c>
      <c r="K441" s="38">
        <f>IFERROR(__xludf.DUMMYFUNCTION("IMPORTRANGE(""https://docs.google.com/spreadsheets/d/1gYHli7FuKQLm2Q-5LMR0UtkD-gRRA_p8s-phLPLDLgc/edit"",""17!e55"")"),0.0)</f>
        <v>0</v>
      </c>
      <c r="L441" s="40">
        <f t="shared" si="1216"/>
        <v>3195</v>
      </c>
      <c r="M441" s="40">
        <f t="shared" si="1217"/>
        <v>5766</v>
      </c>
      <c r="N441" s="41">
        <f t="shared" si="1218"/>
        <v>199.5326774</v>
      </c>
      <c r="O441" s="38">
        <v>13817.0</v>
      </c>
      <c r="P441" s="42">
        <f t="shared" si="1219"/>
        <v>0.4173120069</v>
      </c>
      <c r="Q441" s="43">
        <v>1.5</v>
      </c>
      <c r="R441" s="42">
        <f t="shared" si="1220"/>
        <v>0.621452093</v>
      </c>
      <c r="S441" s="44">
        <f t="shared" si="1221"/>
        <v>0.9321781395</v>
      </c>
      <c r="T441" s="43">
        <f>F441/25.089</f>
        <v>246.5428275</v>
      </c>
      <c r="U441" s="43">
        <f t="shared" si="1222"/>
        <v>7.952994437</v>
      </c>
      <c r="V441" s="40">
        <f t="shared" si="1223"/>
        <v>186</v>
      </c>
      <c r="X441" s="46" t="s">
        <v>33</v>
      </c>
      <c r="Y441" s="46">
        <v>6.0</v>
      </c>
      <c r="Z441" s="46">
        <f t="shared" ref="Z441:AI441" si="1231">SUM(Z435:Z440)</f>
        <v>152</v>
      </c>
      <c r="AA441" s="47">
        <f t="shared" si="1231"/>
        <v>119</v>
      </c>
      <c r="AB441" s="48">
        <f t="shared" si="1231"/>
        <v>20885.515</v>
      </c>
      <c r="AC441" s="47">
        <f t="shared" si="1231"/>
        <v>3961</v>
      </c>
      <c r="AD441" s="47">
        <f t="shared" si="1231"/>
        <v>12</v>
      </c>
      <c r="AE441" s="47">
        <f t="shared" si="1231"/>
        <v>3973</v>
      </c>
      <c r="AF441" s="47">
        <f t="shared" si="1231"/>
        <v>4713</v>
      </c>
      <c r="AG441" s="47">
        <f t="shared" si="1231"/>
        <v>10</v>
      </c>
      <c r="AH441" s="47">
        <f t="shared" si="1231"/>
        <v>4723</v>
      </c>
      <c r="AI441" s="47">
        <f t="shared" si="1231"/>
        <v>8696</v>
      </c>
      <c r="AJ441" s="49">
        <f t="shared" si="1227"/>
        <v>175.5085294</v>
      </c>
      <c r="AK441" s="46">
        <f>SUM(AK435:AK440)</f>
        <v>35074</v>
      </c>
      <c r="AL441" s="50">
        <f t="shared" si="1205"/>
        <v>0.2479329418</v>
      </c>
      <c r="AM441" s="51">
        <v>1.5</v>
      </c>
      <c r="AN441" s="50">
        <f t="shared" si="1207"/>
        <v>0.277576748</v>
      </c>
      <c r="AO441" s="52">
        <f t="shared" si="1208"/>
        <v>0.416365122</v>
      </c>
      <c r="AP441" s="51">
        <f>SUM(AP435:AP440)</f>
        <v>766.4163431</v>
      </c>
      <c r="AQ441" s="51">
        <f>AP441/AA441</f>
        <v>6.440473472</v>
      </c>
      <c r="AR441" s="47">
        <f t="shared" si="1210"/>
        <v>73.07563025</v>
      </c>
    </row>
    <row r="442" ht="15.75" customHeight="1">
      <c r="A442" s="21"/>
      <c r="B442" s="38">
        <v>5.0</v>
      </c>
      <c r="C442" s="38" t="s">
        <v>34</v>
      </c>
      <c r="D442" s="39">
        <v>32.0</v>
      </c>
      <c r="E442" s="40">
        <f>IFERROR(__xludf.DUMMYFUNCTION("COUNT(IMPORTRANGE(""https://docs.google.com/spreadsheets/d/1ptS0qWBCKWkc9h2aXWT_YgMhN7yIv5WgAHRbF8l9Zpo/edit"",""17!d2:d41""))"),32.0)</f>
        <v>32</v>
      </c>
      <c r="F442" s="45">
        <f>IFERROR(__xludf.DUMMYFUNCTION("SUM(IMPORTRANGE(""https://docs.google.com/spreadsheets/d/1ptS0qWBCKWkc9h2aXWT_YgMhN7yIv5WgAHRbF8l9Zpo/edit"",""17!Q2:Q41""))"),6193.116000000002)</f>
        <v>6193.116</v>
      </c>
      <c r="G442" s="40">
        <f>IFERROR(__xludf.DUMMYFUNCTION("IMPORTRANGE(""https://docs.google.com/spreadsheets/d/1ptS0qWBCKWkc9h2aXWT_YgMhN7yIv5WgAHRbF8l9Zpo/edit"",""17!e48"")"),2071.0)</f>
        <v>2071</v>
      </c>
      <c r="H442" s="40">
        <f>IFERROR(__xludf.DUMMYFUNCTION("IMPORTRANGE(""https://docs.google.com/spreadsheets/d/1ptS0qWBCKWkc9h2aXWT_YgMhN7yIv5WgAHRbF8l9Zpo/edit"",""17!e49"")"),0.0)</f>
        <v>0</v>
      </c>
      <c r="I442" s="40">
        <f t="shared" si="1215"/>
        <v>2071</v>
      </c>
      <c r="J442" s="40">
        <f>IFERROR(__xludf.DUMMYFUNCTION("IMPORTRANGE(""https://docs.google.com/spreadsheets/d/1ptS0qWBCKWkc9h2aXWT_YgMhN7yIv5WgAHRbF8l9Zpo/edit"",""17!e52"")"),1888.0)</f>
        <v>1888</v>
      </c>
      <c r="K442" s="40">
        <f>IFERROR(__xludf.DUMMYFUNCTION("IMPORTRANGE(""https://docs.google.com/spreadsheets/d/1ptS0qWBCKWkc9h2aXWT_YgMhN7yIv5WgAHRbF8l9Zpo/edit"",""17!e53"")"),0.0)</f>
        <v>0</v>
      </c>
      <c r="L442" s="40">
        <f t="shared" si="1216"/>
        <v>1888</v>
      </c>
      <c r="M442" s="40">
        <f t="shared" si="1217"/>
        <v>3959</v>
      </c>
      <c r="N442" s="41">
        <f t="shared" si="1218"/>
        <v>193.534875</v>
      </c>
      <c r="O442" s="38">
        <v>9354.0</v>
      </c>
      <c r="P442" s="42">
        <f t="shared" si="1219"/>
        <v>0.4232413941</v>
      </c>
      <c r="Q442" s="43">
        <v>1.5</v>
      </c>
      <c r="R442" s="42">
        <f t="shared" si="1220"/>
        <v>0.4261721133</v>
      </c>
      <c r="S442" s="44">
        <f t="shared" si="1221"/>
        <v>0.6392581699</v>
      </c>
      <c r="T442" s="43">
        <f>F442/30.713</f>
        <v>201.6447758</v>
      </c>
      <c r="U442" s="43">
        <f t="shared" si="1222"/>
        <v>6.301399245</v>
      </c>
      <c r="V442" s="40">
        <f t="shared" si="1223"/>
        <v>123.71875</v>
      </c>
      <c r="X442" s="53" t="s">
        <v>35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6"/>
    </row>
    <row r="443" ht="15.75" customHeight="1">
      <c r="A443" s="21"/>
      <c r="B443" s="38">
        <v>6.0</v>
      </c>
      <c r="C443" s="38" t="s">
        <v>23</v>
      </c>
      <c r="D443" s="39">
        <v>28.0</v>
      </c>
      <c r="E443" s="40">
        <f>IFERROR(__xludf.DUMMYFUNCTION("COUNT(IMPORTRANGE(""https://docs.google.com/spreadsheets/d/1829CoYW82aTBBUgqkPnJa94KlBWI-DowAnP4ENQCmaQ/edit"",""17!d2:d36""))"),28.0)</f>
        <v>28</v>
      </c>
      <c r="F443" s="45">
        <f>IFERROR(__xludf.DUMMYFUNCTION("SUM(IMPORTRANGE(""https://docs.google.com/spreadsheets/d/1829CoYW82aTBBUgqkPnJa94KlBWI-DowAnP4ENQCmaQ/edit"",""17!Q2:Q36""))"),5533.359999999998)</f>
        <v>5533.36</v>
      </c>
      <c r="G443" s="40">
        <f>IFERROR(__xludf.DUMMYFUNCTION("IMPORTRANGE(""https://docs.google.com/spreadsheets/d/1829CoYW82aTBBUgqkPnJa94KlBWI-DowAnP4ENQCmaQ/edit"",""17!e43"")"),1011.0)</f>
        <v>1011</v>
      </c>
      <c r="H443" s="40">
        <f>IFERROR(__xludf.DUMMYFUNCTION("IMPORTRANGE(""https://docs.google.com/spreadsheets/d/1829CoYW82aTBBUgqkPnJa94KlBWI-DowAnP4ENQCmaQ/edit"",""17!e44"")"),0.0)</f>
        <v>0</v>
      </c>
      <c r="I443" s="40">
        <f t="shared" si="1215"/>
        <v>1011</v>
      </c>
      <c r="J443" s="40">
        <f>IFERROR(__xludf.DUMMYFUNCTION("IMPORTRANGE(""https://docs.google.com/spreadsheets/d/1829CoYW82aTBBUgqkPnJa94KlBWI-DowAnP4ENQCmaQ/edit"",""17!e47"")"),1634.0)</f>
        <v>1634</v>
      </c>
      <c r="K443" s="40">
        <f>IFERROR(__xludf.DUMMYFUNCTION("IMPORTRANGE(""https://docs.google.com/spreadsheets/d/1829CoYW82aTBBUgqkPnJa94KlBWI-DowAnP4ENQCmaQ/edit"",""17!e48"")"),0.0)</f>
        <v>0</v>
      </c>
      <c r="L443" s="40">
        <f t="shared" si="1216"/>
        <v>1634</v>
      </c>
      <c r="M443" s="40">
        <f t="shared" si="1217"/>
        <v>2645</v>
      </c>
      <c r="N443" s="41">
        <f t="shared" si="1218"/>
        <v>197.62</v>
      </c>
      <c r="O443" s="38">
        <v>6853.0</v>
      </c>
      <c r="P443" s="42">
        <f t="shared" si="1219"/>
        <v>0.3859623523</v>
      </c>
      <c r="Q443" s="43">
        <v>1.5</v>
      </c>
      <c r="R443" s="42">
        <f t="shared" si="1220"/>
        <v>0.318673163</v>
      </c>
      <c r="S443" s="44">
        <f t="shared" si="1221"/>
        <v>0.4780097445</v>
      </c>
      <c r="T443" s="43">
        <f>F443/33.74</f>
        <v>164</v>
      </c>
      <c r="U443" s="43">
        <f t="shared" si="1222"/>
        <v>5.857142857</v>
      </c>
      <c r="V443" s="40">
        <f t="shared" si="1223"/>
        <v>94.46428571</v>
      </c>
      <c r="X443" s="14" t="s">
        <v>2</v>
      </c>
      <c r="Y443" s="14" t="s">
        <v>3</v>
      </c>
      <c r="Z443" s="14" t="s">
        <v>4</v>
      </c>
      <c r="AA443" s="14" t="s">
        <v>5</v>
      </c>
      <c r="AB443" s="15" t="s">
        <v>6</v>
      </c>
      <c r="AC443" s="14" t="s">
        <v>7</v>
      </c>
      <c r="AD443" s="14" t="s">
        <v>8</v>
      </c>
      <c r="AE443" s="14" t="s">
        <v>9</v>
      </c>
      <c r="AF443" s="14" t="s">
        <v>10</v>
      </c>
      <c r="AG443" s="14" t="s">
        <v>11</v>
      </c>
      <c r="AH443" s="14" t="s">
        <v>12</v>
      </c>
      <c r="AI443" s="14" t="s">
        <v>13</v>
      </c>
      <c r="AJ443" s="15" t="s">
        <v>14</v>
      </c>
      <c r="AK443" s="14" t="s">
        <v>15</v>
      </c>
      <c r="AL443" s="14" t="s">
        <v>16</v>
      </c>
      <c r="AM443" s="16" t="s">
        <v>17</v>
      </c>
      <c r="AN443" s="17" t="s">
        <v>18</v>
      </c>
      <c r="AO443" s="18" t="s">
        <v>19</v>
      </c>
      <c r="AP443" s="19" t="s">
        <v>20</v>
      </c>
      <c r="AQ443" s="19" t="s">
        <v>21</v>
      </c>
      <c r="AR443" s="20" t="s">
        <v>22</v>
      </c>
    </row>
    <row r="444" ht="15.75" customHeight="1">
      <c r="A444" s="21"/>
      <c r="B444" s="38">
        <v>7.0</v>
      </c>
      <c r="C444" s="38" t="s">
        <v>24</v>
      </c>
      <c r="D444" s="39">
        <v>37.0</v>
      </c>
      <c r="E444" s="54">
        <f>IFERROR(__xludf.DUMMYFUNCTION("COUNT(IMPORTRANGE(""https://docs.google.com/spreadsheets/d/1E2x4oDZxEIsuC5nl-5Z0--MoN8b1dt9SbpRcCfNP84Q/edit"",""17!d2:d45""))"),37.0)</f>
        <v>37</v>
      </c>
      <c r="F444" s="55">
        <f>IFERROR(__xludf.DUMMYFUNCTION("SUM(IMPORTRANGE(""https://docs.google.com/spreadsheets/d/1E2x4oDZxEIsuC5nl-5Z0--MoN8b1dt9SbpRcCfNP84Q/edit"",""17!Q2:Q45""))"),7342.511999999994)</f>
        <v>7342.512</v>
      </c>
      <c r="G444" s="54">
        <f>IFERROR(__xludf.DUMMYFUNCTION("IMPORTRANGE(""https://docs.google.com/spreadsheets/d/1E2x4oDZxEIsuC5nl-5Z0--MoN8b1dt9SbpRcCfNP84Q/edit"",""17!e53"")"),495.0)</f>
        <v>495</v>
      </c>
      <c r="H444" s="54">
        <f>IFERROR(__xludf.DUMMYFUNCTION("IMPORTRANGE(""https://docs.google.com/spreadsheets/d/1E2x4oDZxEIsuC5nl-5Z0--MoN8b1dt9SbpRcCfNP84Q/edit"",""17!e54"")"),12.0)</f>
        <v>12</v>
      </c>
      <c r="I444" s="54">
        <f t="shared" si="1215"/>
        <v>507</v>
      </c>
      <c r="J444" s="54">
        <f>IFERROR(__xludf.DUMMYFUNCTION("IMPORTRANGE(""https://docs.google.com/spreadsheets/d/1E2x4oDZxEIsuC5nl-5Z0--MoN8b1dt9SbpRcCfNP84Q/edit"",""17!e57"")"),586.0)</f>
        <v>586</v>
      </c>
      <c r="K444" s="54">
        <f>IFERROR(__xludf.DUMMYFUNCTION("IMPORTRANGE(""https://docs.google.com/spreadsheets/d/1E2x4oDZxEIsuC5nl-5Z0--MoN8b1dt9SbpRcCfNP84Q/edit"",""17!e58"")"),10.0)</f>
        <v>10</v>
      </c>
      <c r="L444" s="40">
        <f t="shared" si="1216"/>
        <v>596</v>
      </c>
      <c r="M444" s="40">
        <f t="shared" si="1217"/>
        <v>1103</v>
      </c>
      <c r="N444" s="41">
        <f t="shared" si="1218"/>
        <v>198.4462703</v>
      </c>
      <c r="O444" s="38">
        <v>1580.0</v>
      </c>
      <c r="P444" s="42">
        <f t="shared" si="1219"/>
        <v>0.6981012658</v>
      </c>
      <c r="Q444" s="43">
        <v>1.5</v>
      </c>
      <c r="R444" s="42">
        <f t="shared" si="1220"/>
        <v>0.1001473792</v>
      </c>
      <c r="S444" s="44">
        <f t="shared" si="1221"/>
        <v>0.1502210688</v>
      </c>
      <c r="T444" s="43">
        <f>F444/26.805</f>
        <v>273.9232233</v>
      </c>
      <c r="U444" s="43">
        <f t="shared" si="1222"/>
        <v>7.403330359</v>
      </c>
      <c r="V444" s="40">
        <f t="shared" si="1223"/>
        <v>29.81081081</v>
      </c>
      <c r="X444" s="22">
        <v>1.0</v>
      </c>
      <c r="Y444" s="22" t="s">
        <v>28</v>
      </c>
      <c r="Z444" s="22">
        <f t="shared" ref="Z444:AI444" si="1232">SUM(D439)</f>
        <v>26</v>
      </c>
      <c r="AA444" s="23">
        <f t="shared" si="1232"/>
        <v>24</v>
      </c>
      <c r="AB444" s="25">
        <f t="shared" si="1232"/>
        <v>4427.837</v>
      </c>
      <c r="AC444" s="23">
        <f t="shared" si="1232"/>
        <v>1497</v>
      </c>
      <c r="AD444" s="23">
        <f t="shared" si="1232"/>
        <v>29</v>
      </c>
      <c r="AE444" s="23">
        <f t="shared" si="1232"/>
        <v>1526</v>
      </c>
      <c r="AF444" s="23">
        <f t="shared" si="1232"/>
        <v>1161</v>
      </c>
      <c r="AG444" s="23">
        <f t="shared" si="1232"/>
        <v>192</v>
      </c>
      <c r="AH444" s="23">
        <f t="shared" si="1232"/>
        <v>1353</v>
      </c>
      <c r="AI444" s="23">
        <f t="shared" si="1232"/>
        <v>2879</v>
      </c>
      <c r="AJ444" s="25">
        <f t="shared" ref="AJ444:AJ450" si="1235">AB444/AA444</f>
        <v>184.4932083</v>
      </c>
      <c r="AK444" s="22">
        <f t="shared" ref="AK444:AK445" si="1236">SUM(O439)</f>
        <v>7315</v>
      </c>
      <c r="AL444" s="26">
        <f t="shared" ref="AL444:AL450" si="1237">AI444/AK444</f>
        <v>0.3935748462</v>
      </c>
      <c r="AM444" s="27">
        <f t="shared" ref="AM444:AM445" si="1238">SUM(Q439)</f>
        <v>1.5</v>
      </c>
      <c r="AN444" s="26">
        <f t="shared" ref="AN444:AN450" si="1239">AO444/AM444</f>
        <v>0.4334697355</v>
      </c>
      <c r="AO444" s="28">
        <f t="shared" ref="AO444:AO450" si="1240">AI444/AB444</f>
        <v>0.6502046033</v>
      </c>
      <c r="AP444" s="27">
        <f t="shared" ref="AP444:AQ444" si="1233">SUM(T439)</f>
        <v>143.3096093</v>
      </c>
      <c r="AQ444" s="27">
        <f t="shared" si="1233"/>
        <v>5.971233723</v>
      </c>
      <c r="AR444" s="23">
        <f t="shared" ref="AR444:AR450" si="1242">AI444/AA444</f>
        <v>119.9583333</v>
      </c>
    </row>
    <row r="445" ht="15.75" customHeight="1">
      <c r="A445" s="21"/>
      <c r="B445" s="69">
        <v>8.0</v>
      </c>
      <c r="C445" s="69" t="s">
        <v>25</v>
      </c>
      <c r="D445" s="75">
        <v>27.0</v>
      </c>
      <c r="E445" s="71">
        <f>IFERROR(__xludf.DUMMYFUNCTION("COUNT(IMPORTRANGE(""https://docs.google.com/spreadsheets/d/1KbRFOEYB0B44J_NSh1MwYQ1sLDlZXUHI-wuMLcZDn5k/edit"",""17!d2:D33""))"),0.0)</f>
        <v>0</v>
      </c>
      <c r="F445" s="76">
        <f>IFERROR(__xludf.DUMMYFUNCTION("SUM(IMPORTRANGE(""https://docs.google.com/spreadsheets/d/1KbRFOEYB0B44J_NSh1MwYQ1sLDlZXUHI-wuMLcZDn5k/edit"",""17!Q2:Q33""))"),0.0)</f>
        <v>0</v>
      </c>
      <c r="G445" s="71">
        <f>IFERROR(__xludf.DUMMYFUNCTION("IMPORTRANGE(""https://docs.google.com/spreadsheets/d/1KbRFOEYB0B44J_NSh1MwYQ1sLDlZXUHI-wuMLcZDn5k/edit"",""17!e40"")"),0.0)</f>
        <v>0</v>
      </c>
      <c r="H445" s="71">
        <f>IFERROR(__xludf.DUMMYFUNCTION("IMPORTRANGE(""https://docs.google.com/spreadsheets/d/1KbRFOEYB0B44J_NSh1MwYQ1sLDlZXUHI-wuMLcZDn5k/edit"",""17!e41"")"),0.0)</f>
        <v>0</v>
      </c>
      <c r="I445" s="71">
        <f t="shared" si="1215"/>
        <v>0</v>
      </c>
      <c r="J445" s="71">
        <f>IFERROR(__xludf.DUMMYFUNCTION("IMPORTRANGE(""https://docs.google.com/spreadsheets/d/1KbRFOEYB0B44J_NSh1MwYQ1sLDlZXUHI-wuMLcZDn5k/edit"",""17!e44"")"),0.0)</f>
        <v>0</v>
      </c>
      <c r="K445" s="71">
        <f>IFERROR(__xludf.DUMMYFUNCTION("IMPORTRANGE(""https://docs.google.com/spreadsheets/d/1KbRFOEYB0B44J_NSh1MwYQ1sLDlZXUHI-wuMLcZDn5k/edit"",""17!e45"")"),0.0)</f>
        <v>0</v>
      </c>
      <c r="L445" s="71">
        <f>J445+K445</f>
        <v>0</v>
      </c>
      <c r="M445" s="71">
        <f t="shared" si="1217"/>
        <v>0</v>
      </c>
      <c r="N445" s="72" t="str">
        <f t="shared" si="1218"/>
        <v>#DIV/0!</v>
      </c>
      <c r="O445" s="69">
        <v>6622.0</v>
      </c>
      <c r="P445" s="42">
        <f t="shared" si="1219"/>
        <v>0</v>
      </c>
      <c r="Q445" s="73">
        <v>1.5</v>
      </c>
      <c r="R445" s="42" t="str">
        <f t="shared" si="1220"/>
        <v>#DIV/0!</v>
      </c>
      <c r="S445" s="74" t="str">
        <f t="shared" si="1221"/>
        <v>#DIV/0!</v>
      </c>
      <c r="T445" s="73">
        <f>F445/23.84</f>
        <v>0</v>
      </c>
      <c r="U445" s="73" t="str">
        <f t="shared" si="1222"/>
        <v>#DIV/0!</v>
      </c>
      <c r="V445" s="71" t="str">
        <f t="shared" si="1223"/>
        <v>#DIV/0!</v>
      </c>
      <c r="X445" s="31">
        <v>2.0</v>
      </c>
      <c r="Y445" s="31" t="s">
        <v>30</v>
      </c>
      <c r="Z445" s="31">
        <f t="shared" ref="Z445:AI445" si="1234">SUM(D440)</f>
        <v>48</v>
      </c>
      <c r="AA445" s="32">
        <f t="shared" si="1234"/>
        <v>2</v>
      </c>
      <c r="AB445" s="33">
        <f t="shared" si="1234"/>
        <v>29.603</v>
      </c>
      <c r="AC445" s="32">
        <f t="shared" si="1234"/>
        <v>13</v>
      </c>
      <c r="AD445" s="32">
        <f t="shared" si="1234"/>
        <v>0</v>
      </c>
      <c r="AE445" s="32">
        <f t="shared" si="1234"/>
        <v>13</v>
      </c>
      <c r="AF445" s="32">
        <f t="shared" si="1234"/>
        <v>0</v>
      </c>
      <c r="AG445" s="32">
        <f t="shared" si="1234"/>
        <v>0</v>
      </c>
      <c r="AH445" s="32">
        <f t="shared" si="1234"/>
        <v>0</v>
      </c>
      <c r="AI445" s="32">
        <f t="shared" si="1234"/>
        <v>13</v>
      </c>
      <c r="AJ445" s="34">
        <f t="shared" si="1235"/>
        <v>14.8015</v>
      </c>
      <c r="AK445" s="31">
        <f t="shared" si="1236"/>
        <v>11164</v>
      </c>
      <c r="AL445" s="35">
        <f t="shared" si="1237"/>
        <v>0.001164457184</v>
      </c>
      <c r="AM445" s="36">
        <f t="shared" si="1238"/>
        <v>1.5</v>
      </c>
      <c r="AN445" s="35">
        <f t="shared" si="1239"/>
        <v>0.2927631209</v>
      </c>
      <c r="AO445" s="37">
        <f t="shared" si="1240"/>
        <v>0.4391446813</v>
      </c>
      <c r="AP445" s="36">
        <f t="shared" ref="AP445:AQ445" si="1241">SUM(T440)</f>
        <v>1</v>
      </c>
      <c r="AQ445" s="36">
        <f t="shared" si="1241"/>
        <v>0.5</v>
      </c>
      <c r="AR445" s="32">
        <f t="shared" si="1242"/>
        <v>6.5</v>
      </c>
    </row>
    <row r="446" ht="15.75" customHeight="1">
      <c r="A446" s="21"/>
      <c r="B446" s="38">
        <v>9.0</v>
      </c>
      <c r="C446" s="38" t="s">
        <v>36</v>
      </c>
      <c r="D446" s="58">
        <v>23.0</v>
      </c>
      <c r="E446" s="40">
        <f>IFERROR(__xludf.DUMMYFUNCTION("COUNT(IMPORTRANGE(""https://docs.google.com/spreadsheets/d/1VqqqRGfmmkT0JC4ILJva2p8P11jjV0FX-TSKAaqOigw/edit"",""17!d2:d31""))"),23.0)</f>
        <v>23</v>
      </c>
      <c r="F446" s="45">
        <f>IFERROR(__xludf.DUMMYFUNCTION("SUM(IMPORTRANGE(""https://docs.google.com/spreadsheets/d/1VqqqRGfmmkT0JC4ILJva2p8P11jjV0FX-TSKAaqOigw/edit"",""17!Q2:Q31""))"),4595.538)</f>
        <v>4595.538</v>
      </c>
      <c r="G446" s="40">
        <f>IFERROR(__xludf.DUMMYFUNCTION("IMPORTRANGE(""https://docs.google.com/spreadsheets/d/1VqqqRGfmmkT0JC4ILJva2p8P11jjV0FX-TSKAaqOigw/edit"",""17!e38"")"),870.0)</f>
        <v>870</v>
      </c>
      <c r="H446" s="40">
        <f>IFERROR(__xludf.DUMMYFUNCTION("IMPORTRANGE(""https://docs.google.com/spreadsheets/d/1VqqqRGfmmkT0JC4ILJva2p8P11jjV0FX-TSKAaqOigw/edit"",""17!e39"")"),0.0)</f>
        <v>0</v>
      </c>
      <c r="I446" s="40">
        <f t="shared" si="1215"/>
        <v>870</v>
      </c>
      <c r="J446" s="40">
        <f>IFERROR(__xludf.DUMMYFUNCTION("IMPORTRANGE(""https://docs.google.com/spreadsheets/d/1VqqqRGfmmkT0JC4ILJva2p8P11jjV0FX-TSKAaqOigw/edit"",""17!e42"")"),1295.0)</f>
        <v>1295</v>
      </c>
      <c r="K446" s="40">
        <f>IFERROR(__xludf.DUMMYFUNCTION("IMPORTRANGE(""https://docs.google.com/spreadsheets/d/1VqqqRGfmmkT0JC4ILJva2p8P11jjV0FX-TSKAaqOigw/edit"",""17!e43"")"),0.0)</f>
        <v>0</v>
      </c>
      <c r="L446" s="40">
        <f t="shared" ref="L446:L455" si="1245">SUM(J446:K446)</f>
        <v>1295</v>
      </c>
      <c r="M446" s="40">
        <f t="shared" si="1217"/>
        <v>2165</v>
      </c>
      <c r="N446" s="41">
        <f t="shared" si="1218"/>
        <v>199.806</v>
      </c>
      <c r="O446" s="38">
        <v>4796.0</v>
      </c>
      <c r="P446" s="42">
        <f t="shared" si="1219"/>
        <v>0.4514178482</v>
      </c>
      <c r="Q446" s="43">
        <v>1.5</v>
      </c>
      <c r="R446" s="42">
        <f t="shared" si="1220"/>
        <v>0.3140727665</v>
      </c>
      <c r="S446" s="44">
        <f t="shared" si="1221"/>
        <v>0.4711091498</v>
      </c>
      <c r="T446" s="43">
        <f>F446/37.414</f>
        <v>122.8293687</v>
      </c>
      <c r="U446" s="43">
        <f t="shared" si="1222"/>
        <v>5.340407334</v>
      </c>
      <c r="V446" s="40">
        <f t="shared" si="1223"/>
        <v>94.13043478</v>
      </c>
      <c r="X446" s="22">
        <v>3.0</v>
      </c>
      <c r="Y446" s="22" t="s">
        <v>34</v>
      </c>
      <c r="Z446" s="22">
        <f t="shared" ref="Z446:AI446" si="1243">SUM(D442)</f>
        <v>32</v>
      </c>
      <c r="AA446" s="23">
        <f t="shared" si="1243"/>
        <v>32</v>
      </c>
      <c r="AB446" s="24">
        <f t="shared" si="1243"/>
        <v>6193.116</v>
      </c>
      <c r="AC446" s="23">
        <f t="shared" si="1243"/>
        <v>2071</v>
      </c>
      <c r="AD446" s="23">
        <f t="shared" si="1243"/>
        <v>0</v>
      </c>
      <c r="AE446" s="23">
        <f t="shared" si="1243"/>
        <v>2071</v>
      </c>
      <c r="AF446" s="23">
        <f t="shared" si="1243"/>
        <v>1888</v>
      </c>
      <c r="AG446" s="23">
        <f t="shared" si="1243"/>
        <v>0</v>
      </c>
      <c r="AH446" s="23">
        <f t="shared" si="1243"/>
        <v>1888</v>
      </c>
      <c r="AI446" s="23">
        <f t="shared" si="1243"/>
        <v>3959</v>
      </c>
      <c r="AJ446" s="25">
        <f t="shared" si="1235"/>
        <v>193.534875</v>
      </c>
      <c r="AK446" s="22">
        <f>SUM(O442)</f>
        <v>9354</v>
      </c>
      <c r="AL446" s="26">
        <f t="shared" si="1237"/>
        <v>0.4232413941</v>
      </c>
      <c r="AM446" s="27">
        <f>SUM(Q442)</f>
        <v>1.5</v>
      </c>
      <c r="AN446" s="26">
        <f t="shared" si="1239"/>
        <v>0.4261721133</v>
      </c>
      <c r="AO446" s="28">
        <f t="shared" si="1240"/>
        <v>0.6392581699</v>
      </c>
      <c r="AP446" s="27">
        <f t="shared" ref="AP446:AQ446" si="1244">SUM(T442)</f>
        <v>201.6447758</v>
      </c>
      <c r="AQ446" s="27">
        <f t="shared" si="1244"/>
        <v>6.301399245</v>
      </c>
      <c r="AR446" s="23">
        <f t="shared" si="1242"/>
        <v>123.71875</v>
      </c>
    </row>
    <row r="447" ht="15.75" customHeight="1">
      <c r="A447" s="21"/>
      <c r="B447" s="38">
        <v>10.0</v>
      </c>
      <c r="C447" s="38" t="s">
        <v>37</v>
      </c>
      <c r="D447" s="39">
        <v>24.0</v>
      </c>
      <c r="E447" s="40">
        <f>IFERROR(__xludf.DUMMYFUNCTION("COUNT(IMPORTRANGE(""https://docs.google.com/spreadsheets/d/1IYeRjQd_D6MRqoBKNaky3aSEUloYCJc5XDnPAbdyetk/edit"",""17!d2:d31""))"),1.0)</f>
        <v>1</v>
      </c>
      <c r="F447" s="45">
        <f>IFERROR(__xludf.DUMMYFUNCTION("SUM(IMPORTRANGE(""https://docs.google.com/spreadsheets/d/1IYeRjQd_D6MRqoBKNaky3aSEUloYCJc5XDnPAbdyetk/edit"",""17!Q2:Q31""))"),13.482)</f>
        <v>13.482</v>
      </c>
      <c r="G447" s="40">
        <f>IFERROR(__xludf.DUMMYFUNCTION("(IMPORTRANGE(""https://docs.google.com/spreadsheets/d/1IYeRjQd_D6MRqoBKNaky3aSEUloYCJc5XDnPAbdyetk/edit"",""17!e38""))"),14.0)</f>
        <v>14</v>
      </c>
      <c r="H447" s="40">
        <f>IFERROR(__xludf.DUMMYFUNCTION("(IMPORTRANGE(""https://docs.google.com/spreadsheets/d/1IYeRjQd_D6MRqoBKNaky3aSEUloYCJc5XDnPAbdyetk/edit"",""17!e39""))"),0.0)</f>
        <v>0</v>
      </c>
      <c r="I447" s="40">
        <f t="shared" si="1215"/>
        <v>14</v>
      </c>
      <c r="J447" s="40">
        <f>IFERROR(__xludf.DUMMYFUNCTION("(IMPORTRANGE(""https://docs.google.com/spreadsheets/d/1IYeRjQd_D6MRqoBKNaky3aSEUloYCJc5XDnPAbdyetk/edit"",""17!e42""))"),0.0)</f>
        <v>0</v>
      </c>
      <c r="K447" s="40">
        <f>IFERROR(__xludf.DUMMYFUNCTION("(IMPORTRANGE(""https://docs.google.com/spreadsheets/d/1IYeRjQd_D6MRqoBKNaky3aSEUloYCJc5XDnPAbdyetk/edit"",""17!e43""))"),0.0)</f>
        <v>0</v>
      </c>
      <c r="L447" s="40">
        <f t="shared" si="1245"/>
        <v>0</v>
      </c>
      <c r="M447" s="40">
        <f t="shared" si="1217"/>
        <v>14</v>
      </c>
      <c r="N447" s="41">
        <f t="shared" si="1218"/>
        <v>13.482</v>
      </c>
      <c r="O447" s="38">
        <v>5887.0</v>
      </c>
      <c r="P447" s="42">
        <f t="shared" si="1219"/>
        <v>0.002378121284</v>
      </c>
      <c r="Q447" s="43">
        <v>1.5</v>
      </c>
      <c r="R447" s="42">
        <f t="shared" si="1220"/>
        <v>0.6922810661</v>
      </c>
      <c r="S447" s="44">
        <f t="shared" si="1221"/>
        <v>1.038421599</v>
      </c>
      <c r="T447" s="43">
        <f>F447/24.792</f>
        <v>0.543804453</v>
      </c>
      <c r="U447" s="43">
        <f t="shared" si="1222"/>
        <v>0.543804453</v>
      </c>
      <c r="V447" s="40">
        <f t="shared" si="1223"/>
        <v>14</v>
      </c>
      <c r="X447" s="31">
        <v>4.0</v>
      </c>
      <c r="Y447" s="31" t="s">
        <v>38</v>
      </c>
      <c r="Z447" s="31">
        <f t="shared" ref="Z447:AI447" si="1246">SUM(D450)</f>
        <v>24</v>
      </c>
      <c r="AA447" s="32">
        <f t="shared" si="1246"/>
        <v>24</v>
      </c>
      <c r="AB447" s="33">
        <f t="shared" si="1246"/>
        <v>4779.78</v>
      </c>
      <c r="AC447" s="32">
        <f t="shared" si="1246"/>
        <v>1751</v>
      </c>
      <c r="AD447" s="32">
        <f t="shared" si="1246"/>
        <v>0</v>
      </c>
      <c r="AE447" s="32">
        <f t="shared" si="1246"/>
        <v>1751</v>
      </c>
      <c r="AF447" s="32">
        <f t="shared" si="1246"/>
        <v>1545</v>
      </c>
      <c r="AG447" s="32">
        <f t="shared" si="1246"/>
        <v>0</v>
      </c>
      <c r="AH447" s="32">
        <f t="shared" si="1246"/>
        <v>1545</v>
      </c>
      <c r="AI447" s="32">
        <f t="shared" si="1246"/>
        <v>3296</v>
      </c>
      <c r="AJ447" s="34">
        <f t="shared" si="1235"/>
        <v>199.1575</v>
      </c>
      <c r="AK447" s="31">
        <v>7324.0</v>
      </c>
      <c r="AL447" s="35">
        <f t="shared" si="1237"/>
        <v>0.4500273075</v>
      </c>
      <c r="AM447" s="36">
        <f>SUM(Q450)</f>
        <v>1.5</v>
      </c>
      <c r="AN447" s="35">
        <f t="shared" si="1239"/>
        <v>0.4597143244</v>
      </c>
      <c r="AO447" s="37">
        <f t="shared" si="1240"/>
        <v>0.6895714866</v>
      </c>
      <c r="AP447" s="36">
        <f t="shared" ref="AP447:AQ447" si="1247">SUM(T450)</f>
        <v>116</v>
      </c>
      <c r="AQ447" s="36">
        <f t="shared" si="1247"/>
        <v>4.833333333</v>
      </c>
      <c r="AR447" s="32">
        <f t="shared" si="1242"/>
        <v>137.3333333</v>
      </c>
    </row>
    <row r="448" ht="15.75" customHeight="1">
      <c r="A448" s="21"/>
      <c r="B448" s="38">
        <v>12.0</v>
      </c>
      <c r="C448" s="38" t="s">
        <v>39</v>
      </c>
      <c r="D448" s="39">
        <v>22.0</v>
      </c>
      <c r="E448" s="40">
        <f>IFERROR(__xludf.DUMMYFUNCTION("COUNT(IMPORTRANGE(""https://docs.google.com/spreadsheets/d/1TAY2D35yAzyl8a_p5CuZehQvmatfj0b0Q8ICl8GtJBY/edit"",""17!d2:d29""))"),21.0)</f>
        <v>21</v>
      </c>
      <c r="F448" s="45">
        <f>IFERROR(__xludf.DUMMYFUNCTION("SUM(IMPORTRANGE(""https://docs.google.com/spreadsheets/d/1TAY2D35yAzyl8a_p5CuZehQvmatfj0b0Q8ICl8GtJBY/edit"",""17!Q2:Q29""))"),4028.859999999999)</f>
        <v>4028.86</v>
      </c>
      <c r="G448" s="40">
        <f>IFERROR(__xludf.DUMMYFUNCTION("IMPORTRANGE(""https://docs.google.com/spreadsheets/d/1TAY2D35yAzyl8a_p5CuZehQvmatfj0b0Q8ICl8GtJBY/edit"",""17!e36"")"),817.0)</f>
        <v>817</v>
      </c>
      <c r="H448" s="40">
        <f>IFERROR(__xludf.DUMMYFUNCTION("(IMPORTRANGE(""https://docs.google.com/spreadsheets/d/1TAY2D35yAzyl8a_p5CuZehQvmatfj0b0Q8ICl8GtJBY/edit"",""17!e37""))"),0.0)</f>
        <v>0</v>
      </c>
      <c r="I448" s="40">
        <f t="shared" si="1215"/>
        <v>817</v>
      </c>
      <c r="J448" s="40">
        <f>IFERROR(__xludf.DUMMYFUNCTION("IMPORTRANGE(""https://docs.google.com/spreadsheets/d/1TAY2D35yAzyl8a_p5CuZehQvmatfj0b0Q8ICl8GtJBY/edit"",""17!e40"")"),1434.0)</f>
        <v>1434</v>
      </c>
      <c r="K448" s="40">
        <f>IFERROR(__xludf.DUMMYFUNCTION("IMPORTRANGE(""https://docs.google.com/spreadsheets/d/1TAY2D35yAzyl8a_p5CuZehQvmatfj0b0Q8ICl8GtJBY/edit"",""17!e41"")"),0.0)</f>
        <v>0</v>
      </c>
      <c r="L448" s="40">
        <f t="shared" si="1245"/>
        <v>1434</v>
      </c>
      <c r="M448" s="40">
        <f t="shared" si="1217"/>
        <v>2251</v>
      </c>
      <c r="N448" s="41">
        <f t="shared" si="1218"/>
        <v>191.8504762</v>
      </c>
      <c r="O448" s="38">
        <v>3569.0</v>
      </c>
      <c r="P448" s="42">
        <f t="shared" si="1219"/>
        <v>0.630708882</v>
      </c>
      <c r="Q448" s="43">
        <v>1.5</v>
      </c>
      <c r="R448" s="42">
        <f t="shared" si="1220"/>
        <v>0.372479229</v>
      </c>
      <c r="S448" s="44">
        <f t="shared" si="1221"/>
        <v>0.5587188435</v>
      </c>
      <c r="T448" s="43">
        <f>F448/21.463</f>
        <v>187.7118763</v>
      </c>
      <c r="U448" s="43">
        <f t="shared" si="1222"/>
        <v>8.938660774</v>
      </c>
      <c r="V448" s="40">
        <f t="shared" si="1223"/>
        <v>107.1904762</v>
      </c>
      <c r="X448" s="31">
        <v>5.0</v>
      </c>
      <c r="Y448" s="31" t="s">
        <v>40</v>
      </c>
      <c r="Z448" s="31">
        <f t="shared" ref="Z448:AI448" si="1248">SUM(D452)</f>
        <v>24</v>
      </c>
      <c r="AA448" s="32">
        <f t="shared" si="1248"/>
        <v>15</v>
      </c>
      <c r="AB448" s="33">
        <f t="shared" si="1248"/>
        <v>754.406</v>
      </c>
      <c r="AC448" s="32">
        <f t="shared" si="1248"/>
        <v>870</v>
      </c>
      <c r="AD448" s="32">
        <f t="shared" si="1248"/>
        <v>0</v>
      </c>
      <c r="AE448" s="32">
        <f t="shared" si="1248"/>
        <v>870</v>
      </c>
      <c r="AF448" s="32">
        <f t="shared" si="1248"/>
        <v>0</v>
      </c>
      <c r="AG448" s="32">
        <f t="shared" si="1248"/>
        <v>0</v>
      </c>
      <c r="AH448" s="32">
        <f t="shared" si="1248"/>
        <v>0</v>
      </c>
      <c r="AI448" s="32">
        <f t="shared" si="1248"/>
        <v>870</v>
      </c>
      <c r="AJ448" s="34">
        <f t="shared" si="1235"/>
        <v>50.29373333</v>
      </c>
      <c r="AK448" s="31">
        <f t="shared" ref="AK448:AK449" si="1251">SUM(O452)</f>
        <v>8239</v>
      </c>
      <c r="AL448" s="35">
        <f t="shared" si="1237"/>
        <v>0.1055953392</v>
      </c>
      <c r="AM448" s="36">
        <f t="shared" ref="AM448:AM449" si="1252">SUM(Q452)</f>
        <v>1.5</v>
      </c>
      <c r="AN448" s="35">
        <f t="shared" si="1239"/>
        <v>0.768816791</v>
      </c>
      <c r="AO448" s="37">
        <f t="shared" si="1240"/>
        <v>1.153225186</v>
      </c>
      <c r="AP448" s="36">
        <f t="shared" ref="AP448:AQ448" si="1249">SUM(T452)</f>
        <v>26.52343283</v>
      </c>
      <c r="AQ448" s="36">
        <f t="shared" si="1249"/>
        <v>1.768228855</v>
      </c>
      <c r="AR448" s="32">
        <f t="shared" si="1242"/>
        <v>58</v>
      </c>
    </row>
    <row r="449" ht="15.75" customHeight="1">
      <c r="A449" s="21"/>
      <c r="B449" s="38">
        <v>12.0</v>
      </c>
      <c r="C449" s="38" t="s">
        <v>41</v>
      </c>
      <c r="D449" s="39">
        <v>20.0</v>
      </c>
      <c r="E449" s="40">
        <f>IFERROR(__xludf.DUMMYFUNCTION("COUNT(IMPORTRANGE(""https://docs.google.com/spreadsheets/d/1VAsUtLQHi7oV9NsI9EIHPnO1bcPJHeRgSbMoxSvPBME/edit"",""17!d2:d25""))"),20.0)</f>
        <v>20</v>
      </c>
      <c r="F449" s="45">
        <f>IFERROR(__xludf.DUMMYFUNCTION("SUM(IMPORTRANGE(""https://docs.google.com/spreadsheets/d/1VAsUtLQHi7oV9NsI9EIHPnO1bcPJHeRgSbMoxSvPBME/edit"",""17!Q2:Q25""))"),3815.4280000000017)</f>
        <v>3815.428</v>
      </c>
      <c r="G449" s="40">
        <f>IFERROR(__xludf.DUMMYFUNCTION("IMPORTRANGE(""https://docs.google.com/spreadsheets/d/1VAsUtLQHi7oV9NsI9EIHPnO1bcPJHeRgSbMoxSvPBME/edit"",""17!e32"")"),699.0)</f>
        <v>699</v>
      </c>
      <c r="H449" s="40">
        <f>IFERROR(__xludf.DUMMYFUNCTION("IMPORTRANGE(""https://docs.google.com/spreadsheets/d/1VAsUtLQHi7oV9NsI9EIHPnO1bcPJHeRgSbMoxSvPBME/edit"",""17!e33"")"),0.0)</f>
        <v>0</v>
      </c>
      <c r="I449" s="40">
        <f t="shared" si="1215"/>
        <v>699</v>
      </c>
      <c r="J449" s="40">
        <f>IFERROR(__xludf.DUMMYFUNCTION("IMPORTRANGE(""https://docs.google.com/spreadsheets/d/1VAsUtLQHi7oV9NsI9EIHPnO1bcPJHeRgSbMoxSvPBME/edit"",""17!e36"")"),894.0)</f>
        <v>894</v>
      </c>
      <c r="K449" s="40">
        <f>IFERROR(__xludf.DUMMYFUNCTION("IMPORTRANGE(""https://docs.google.com/spreadsheets/d/1VAsUtLQHi7oV9NsI9EIHPnO1bcPJHeRgSbMoxSvPBME/edit"",""17!e37"")"),0.0)</f>
        <v>0</v>
      </c>
      <c r="L449" s="40">
        <f t="shared" si="1245"/>
        <v>894</v>
      </c>
      <c r="M449" s="40">
        <f t="shared" si="1217"/>
        <v>1593</v>
      </c>
      <c r="N449" s="41">
        <f t="shared" si="1218"/>
        <v>190.7714</v>
      </c>
      <c r="O449" s="38">
        <v>3801.0</v>
      </c>
      <c r="P449" s="42">
        <f t="shared" si="1219"/>
        <v>0.4191002368</v>
      </c>
      <c r="Q449" s="43">
        <v>1.5</v>
      </c>
      <c r="R449" s="42">
        <f t="shared" si="1220"/>
        <v>0.2783436092</v>
      </c>
      <c r="S449" s="44">
        <f t="shared" si="1221"/>
        <v>0.4175154137</v>
      </c>
      <c r="T449" s="43">
        <f>F449/29.628</f>
        <v>128.7777778</v>
      </c>
      <c r="U449" s="43">
        <f t="shared" si="1222"/>
        <v>6.438888889</v>
      </c>
      <c r="V449" s="40">
        <f t="shared" si="1223"/>
        <v>79.65</v>
      </c>
      <c r="X449" s="22">
        <v>6.0</v>
      </c>
      <c r="Y449" s="22" t="s">
        <v>42</v>
      </c>
      <c r="Z449" s="22">
        <f t="shared" ref="Z449:AI449" si="1250">SUM(D453)</f>
        <v>26</v>
      </c>
      <c r="AA449" s="23">
        <f t="shared" si="1250"/>
        <v>0</v>
      </c>
      <c r="AB449" s="24">
        <f t="shared" si="1250"/>
        <v>0</v>
      </c>
      <c r="AC449" s="23">
        <f t="shared" si="1250"/>
        <v>0</v>
      </c>
      <c r="AD449" s="23">
        <f t="shared" si="1250"/>
        <v>0</v>
      </c>
      <c r="AE449" s="23">
        <f t="shared" si="1250"/>
        <v>0</v>
      </c>
      <c r="AF449" s="23">
        <f t="shared" si="1250"/>
        <v>0</v>
      </c>
      <c r="AG449" s="23">
        <f t="shared" si="1250"/>
        <v>0</v>
      </c>
      <c r="AH449" s="23">
        <f t="shared" si="1250"/>
        <v>0</v>
      </c>
      <c r="AI449" s="23">
        <f t="shared" si="1250"/>
        <v>0</v>
      </c>
      <c r="AJ449" s="25" t="str">
        <f t="shared" si="1235"/>
        <v>#DIV/0!</v>
      </c>
      <c r="AK449" s="22">
        <f t="shared" si="1251"/>
        <v>9877</v>
      </c>
      <c r="AL449" s="26">
        <f t="shared" si="1237"/>
        <v>0</v>
      </c>
      <c r="AM449" s="27">
        <f t="shared" si="1252"/>
        <v>1.5</v>
      </c>
      <c r="AN449" s="26" t="str">
        <f t="shared" si="1239"/>
        <v>#DIV/0!</v>
      </c>
      <c r="AO449" s="28" t="str">
        <f t="shared" si="1240"/>
        <v>#DIV/0!</v>
      </c>
      <c r="AP449" s="27">
        <f t="shared" ref="AP449:AQ449" si="1253">SUM(T453)</f>
        <v>0</v>
      </c>
      <c r="AQ449" s="27" t="str">
        <f t="shared" si="1253"/>
        <v>#DIV/0!</v>
      </c>
      <c r="AR449" s="23" t="str">
        <f t="shared" si="1242"/>
        <v>#DIV/0!</v>
      </c>
    </row>
    <row r="450" ht="15.75" customHeight="1">
      <c r="A450" s="21"/>
      <c r="B450" s="38">
        <v>13.0</v>
      </c>
      <c r="C450" s="38" t="s">
        <v>43</v>
      </c>
      <c r="D450" s="39">
        <v>24.0</v>
      </c>
      <c r="E450" s="40">
        <f>IFERROR(__xludf.DUMMYFUNCTION("COUNT(IMPORTRANGE(""https://docs.google.com/spreadsheets/d/1p9Y_DGk7-TpRBFth-ljZceOIGCjQ0ylUeUq6xqnsZ-Q/edit"",""17!d2:d31""))"),24.0)</f>
        <v>24</v>
      </c>
      <c r="F450" s="45">
        <f>IFERROR(__xludf.DUMMYFUNCTION("SUM(IMPORTRANGE(""https://docs.google.com/spreadsheets/d/1p9Y_DGk7-TpRBFth-ljZceOIGCjQ0ylUeUq6xqnsZ-Q/edit"",""17!Q2:Q31""))"),4779.78)</f>
        <v>4779.78</v>
      </c>
      <c r="G450" s="40">
        <f>IFERROR(__xludf.DUMMYFUNCTION("IMPORTRANGE(""https://docs.google.com/spreadsheets/d/1p9Y_DGk7-TpRBFth-ljZceOIGCjQ0ylUeUq6xqnsZ-Q/edit"",""17!e38"")"),1751.0)</f>
        <v>1751</v>
      </c>
      <c r="H450" s="40">
        <f>IFERROR(__xludf.DUMMYFUNCTION("IMPORTRANGE(""https://docs.google.com/spreadsheets/d/1p9Y_DGk7-TpRBFth-ljZceOIGCjQ0ylUeUq6xqnsZ-Q/edit"",""17!e39"")"),0.0)</f>
        <v>0</v>
      </c>
      <c r="I450" s="40">
        <f t="shared" si="1215"/>
        <v>1751</v>
      </c>
      <c r="J450" s="40">
        <f>IFERROR(__xludf.DUMMYFUNCTION("IMPORTRANGE(""https://docs.google.com/spreadsheets/d/1p9Y_DGk7-TpRBFth-ljZceOIGCjQ0ylUeUq6xqnsZ-Q/edit"",""17!e42"")"),1545.0)</f>
        <v>1545</v>
      </c>
      <c r="K450" s="40">
        <f>IFERROR(__xludf.DUMMYFUNCTION("IMPORTRANGE(""https://docs.google.com/spreadsheets/d/1p9Y_DGk7-TpRBFth-ljZceOIGCjQ0ylUeUq6xqnsZ-Q/edit"",""17!e43"")"),0.0)</f>
        <v>0</v>
      </c>
      <c r="L450" s="40">
        <f t="shared" si="1245"/>
        <v>1545</v>
      </c>
      <c r="M450" s="40">
        <f t="shared" si="1217"/>
        <v>3296</v>
      </c>
      <c r="N450" s="41">
        <f t="shared" si="1218"/>
        <v>199.1575</v>
      </c>
      <c r="O450" s="38">
        <v>8345.0</v>
      </c>
      <c r="P450" s="42">
        <f t="shared" si="1219"/>
        <v>0.3949670461</v>
      </c>
      <c r="Q450" s="43">
        <v>1.5</v>
      </c>
      <c r="R450" s="42">
        <f t="shared" si="1220"/>
        <v>0.4597143244</v>
      </c>
      <c r="S450" s="44">
        <f t="shared" si="1221"/>
        <v>0.6895714866</v>
      </c>
      <c r="T450" s="43">
        <f>F450/41.205</f>
        <v>116</v>
      </c>
      <c r="U450" s="43">
        <f t="shared" si="1222"/>
        <v>4.833333333</v>
      </c>
      <c r="V450" s="40">
        <f t="shared" si="1223"/>
        <v>137.3333333</v>
      </c>
      <c r="X450" s="46" t="s">
        <v>33</v>
      </c>
      <c r="Y450" s="46">
        <v>6.0</v>
      </c>
      <c r="Z450" s="46">
        <f t="shared" ref="Z450:AI450" si="1254">SUM(Z444:Z449)</f>
        <v>180</v>
      </c>
      <c r="AA450" s="47">
        <f t="shared" si="1254"/>
        <v>97</v>
      </c>
      <c r="AB450" s="49">
        <f t="shared" si="1254"/>
        <v>16184.742</v>
      </c>
      <c r="AC450" s="47">
        <f t="shared" si="1254"/>
        <v>6202</v>
      </c>
      <c r="AD450" s="47">
        <f t="shared" si="1254"/>
        <v>29</v>
      </c>
      <c r="AE450" s="47">
        <f t="shared" si="1254"/>
        <v>6231</v>
      </c>
      <c r="AF450" s="47">
        <f t="shared" si="1254"/>
        <v>4594</v>
      </c>
      <c r="AG450" s="47">
        <f t="shared" si="1254"/>
        <v>192</v>
      </c>
      <c r="AH450" s="47">
        <f t="shared" si="1254"/>
        <v>4786</v>
      </c>
      <c r="AI450" s="47">
        <f t="shared" si="1254"/>
        <v>11017</v>
      </c>
      <c r="AJ450" s="49">
        <f t="shared" si="1235"/>
        <v>166.8530103</v>
      </c>
      <c r="AK450" s="46">
        <f>SUM(AK444:AK449)</f>
        <v>53273</v>
      </c>
      <c r="AL450" s="50">
        <f t="shared" si="1237"/>
        <v>0.2068026955</v>
      </c>
      <c r="AM450" s="51">
        <v>1.5</v>
      </c>
      <c r="AN450" s="50">
        <f t="shared" si="1239"/>
        <v>0.4538018998</v>
      </c>
      <c r="AO450" s="52">
        <f t="shared" si="1240"/>
        <v>0.6807028496</v>
      </c>
      <c r="AP450" s="51">
        <f>SUM(AP444:AP449)</f>
        <v>488.477818</v>
      </c>
      <c r="AQ450" s="51">
        <f>AP450/AA450</f>
        <v>5.035853794</v>
      </c>
      <c r="AR450" s="47">
        <f t="shared" si="1242"/>
        <v>113.5773196</v>
      </c>
    </row>
    <row r="451" ht="15.75" customHeight="1">
      <c r="A451" s="21"/>
      <c r="B451" s="38">
        <v>14.0</v>
      </c>
      <c r="C451" s="38" t="s">
        <v>27</v>
      </c>
      <c r="D451" s="39">
        <v>24.0</v>
      </c>
      <c r="E451" s="40">
        <f>IFERROR(__xludf.DUMMYFUNCTION("COUNT(IMPORTRANGE(""https://docs.google.com/spreadsheets/d/1zJUDEKztv_fercXA0LYNw155qdzS7TJGhWLhquaW5IY/edit"",""17!d2:d31""))"),24.0)</f>
        <v>24</v>
      </c>
      <c r="F451" s="45">
        <f>IFERROR(__xludf.DUMMYFUNCTION("SUM(IMPORTRANGE(""https://docs.google.com/spreadsheets/d/1zJUDEKztv_fercXA0LYNw155qdzS7TJGhWLhquaW5IY/edit"",""17!Q2:Q31""))"),4786.27)</f>
        <v>4786.27</v>
      </c>
      <c r="G451" s="40">
        <f>IFERROR(__xludf.DUMMYFUNCTION("IMPORTRANGE(""https://docs.google.com/spreadsheets/d/1zJUDEKztv_fercXA0LYNw155qdzS7TJGhWLhquaW5IY/edit"",""17!e38"")"),1630.0)</f>
        <v>1630</v>
      </c>
      <c r="H451" s="40">
        <f>IFERROR(__xludf.DUMMYFUNCTION("IMPORTRANGE(""https://docs.google.com/spreadsheets/d/1zJUDEKztv_fercXA0LYNw155qdzS7TJGhWLhquaW5IY/edit"",""17!e39"")"),0.0)</f>
        <v>0</v>
      </c>
      <c r="I451" s="40">
        <f t="shared" si="1215"/>
        <v>1630</v>
      </c>
      <c r="J451" s="40">
        <f>IFERROR(__xludf.DUMMYFUNCTION("IMPORTRANGE(""https://docs.google.com/spreadsheets/d/1zJUDEKztv_fercXA0LYNw155qdzS7TJGhWLhquaW5IY/edit"",""17!e42"")"),1911.0)</f>
        <v>1911</v>
      </c>
      <c r="K451" s="40">
        <f>IFERROR(__xludf.DUMMYFUNCTION("IMPORTRANGE(""https://docs.google.com/spreadsheets/d/1zJUDEKztv_fercXA0LYNw155qdzS7TJGhWLhquaW5IY/edit"",""17!e43"")"),0.0)</f>
        <v>0</v>
      </c>
      <c r="L451" s="40">
        <f t="shared" si="1245"/>
        <v>1911</v>
      </c>
      <c r="M451" s="40">
        <f t="shared" si="1217"/>
        <v>3541</v>
      </c>
      <c r="N451" s="41">
        <f t="shared" si="1218"/>
        <v>199.4279167</v>
      </c>
      <c r="O451" s="38">
        <v>8101.0</v>
      </c>
      <c r="P451" s="42">
        <f t="shared" si="1219"/>
        <v>0.4371065301</v>
      </c>
      <c r="Q451" s="43">
        <v>1.5</v>
      </c>
      <c r="R451" s="42">
        <f t="shared" si="1220"/>
        <v>0.4932163599</v>
      </c>
      <c r="S451" s="44">
        <f t="shared" si="1221"/>
        <v>0.7398245398</v>
      </c>
      <c r="T451" s="43">
        <f>F451/19.985</f>
        <v>239.4931198</v>
      </c>
      <c r="U451" s="43">
        <f t="shared" si="1222"/>
        <v>9.978879993</v>
      </c>
      <c r="V451" s="40">
        <f t="shared" si="1223"/>
        <v>147.5416667</v>
      </c>
      <c r="X451" s="59" t="s">
        <v>44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6"/>
    </row>
    <row r="452" ht="15.75" customHeight="1">
      <c r="A452" s="21"/>
      <c r="B452" s="38">
        <v>15.0</v>
      </c>
      <c r="C452" s="38" t="s">
        <v>40</v>
      </c>
      <c r="D452" s="39">
        <v>24.0</v>
      </c>
      <c r="E452" s="40">
        <f>IFERROR(__xludf.DUMMYFUNCTION("COUNT(IMPORTRANGE(""https://docs.google.com/spreadsheets/d/15GJA66Ucb-8RQ5vWVpq5HYaWoZZFX82SCeHChBujbrI/edit"",""17!d2:d31""))"),15.0)</f>
        <v>15</v>
      </c>
      <c r="F452" s="45">
        <f>IFERROR(__xludf.DUMMYFUNCTION("SUM(IMPORTRANGE(""https://docs.google.com/spreadsheets/d/15GJA66Ucb-8RQ5vWVpq5HYaWoZZFX82SCeHChBujbrI/edit"",""17!Q2:Q31""))"),754.4059999999998)</f>
        <v>754.406</v>
      </c>
      <c r="G452" s="40">
        <f>IFERROR(__xludf.DUMMYFUNCTION("IMPORTRANGE(""https://docs.google.com/spreadsheets/d/15GJA66Ucb-8RQ5vWVpq5HYaWoZZFX82SCeHChBujbrI/edit"",""17!e38"")"),870.0)</f>
        <v>870</v>
      </c>
      <c r="H452" s="40">
        <f>IFERROR(__xludf.DUMMYFUNCTION("IMPORTRANGE(""https://docs.google.com/spreadsheets/d/15GJA66Ucb-8RQ5vWVpq5HYaWoZZFX82SCeHChBujbrI/edit"",""17!e39"")"),0.0)</f>
        <v>0</v>
      </c>
      <c r="I452" s="40">
        <f t="shared" si="1215"/>
        <v>870</v>
      </c>
      <c r="J452" s="40">
        <f>IFERROR(__xludf.DUMMYFUNCTION("IMPORTRANGE(""https://docs.google.com/spreadsheets/d/15GJA66Ucb-8RQ5vWVpq5HYaWoZZFX82SCeHChBujbrI/edit"",""17!e42"")"),0.0)</f>
        <v>0</v>
      </c>
      <c r="K452" s="40">
        <f>IFERROR(__xludf.DUMMYFUNCTION("IMPORTRANGE(""https://docs.google.com/spreadsheets/d/15GJA66Ucb-8RQ5vWVpq5HYaWoZZFX82SCeHChBujbrI/edit"",""17!e43"")"),0.0)</f>
        <v>0</v>
      </c>
      <c r="L452" s="40">
        <f t="shared" si="1245"/>
        <v>0</v>
      </c>
      <c r="M452" s="40">
        <f t="shared" si="1217"/>
        <v>870</v>
      </c>
      <c r="N452" s="41">
        <f t="shared" si="1218"/>
        <v>50.29373333</v>
      </c>
      <c r="O452" s="38">
        <v>8239.0</v>
      </c>
      <c r="P452" s="42">
        <f t="shared" si="1219"/>
        <v>0.1055953392</v>
      </c>
      <c r="Q452" s="43">
        <v>1.5</v>
      </c>
      <c r="R452" s="42">
        <f t="shared" si="1220"/>
        <v>0.768816791</v>
      </c>
      <c r="S452" s="44">
        <f t="shared" si="1221"/>
        <v>1.153225186</v>
      </c>
      <c r="T452" s="43">
        <f>F452/28.443</f>
        <v>26.52343283</v>
      </c>
      <c r="U452" s="43">
        <f t="shared" si="1222"/>
        <v>1.768228855</v>
      </c>
      <c r="V452" s="40">
        <f t="shared" si="1223"/>
        <v>58</v>
      </c>
      <c r="X452" s="14" t="s">
        <v>2</v>
      </c>
      <c r="Y452" s="14" t="s">
        <v>3</v>
      </c>
      <c r="Z452" s="14" t="s">
        <v>4</v>
      </c>
      <c r="AA452" s="14" t="s">
        <v>5</v>
      </c>
      <c r="AB452" s="15" t="s">
        <v>6</v>
      </c>
      <c r="AC452" s="14" t="s">
        <v>7</v>
      </c>
      <c r="AD452" s="14" t="s">
        <v>8</v>
      </c>
      <c r="AE452" s="14" t="s">
        <v>9</v>
      </c>
      <c r="AF452" s="14" t="s">
        <v>10</v>
      </c>
      <c r="AG452" s="14" t="s">
        <v>11</v>
      </c>
      <c r="AH452" s="14" t="s">
        <v>12</v>
      </c>
      <c r="AI452" s="14" t="s">
        <v>13</v>
      </c>
      <c r="AJ452" s="15" t="s">
        <v>14</v>
      </c>
      <c r="AK452" s="14" t="s">
        <v>15</v>
      </c>
      <c r="AL452" s="14" t="s">
        <v>16</v>
      </c>
      <c r="AM452" s="16" t="s">
        <v>17</v>
      </c>
      <c r="AN452" s="17" t="s">
        <v>18</v>
      </c>
      <c r="AO452" s="18" t="s">
        <v>19</v>
      </c>
      <c r="AP452" s="19" t="s">
        <v>20</v>
      </c>
      <c r="AQ452" s="19" t="s">
        <v>21</v>
      </c>
      <c r="AR452" s="20" t="s">
        <v>22</v>
      </c>
    </row>
    <row r="453" ht="15.75" customHeight="1">
      <c r="A453" s="21"/>
      <c r="B453" s="69">
        <v>16.0</v>
      </c>
      <c r="C453" s="69" t="s">
        <v>42</v>
      </c>
      <c r="D453" s="70">
        <v>26.0</v>
      </c>
      <c r="E453" s="71">
        <f>IFERROR(__xludf.DUMMYFUNCTION("COUNT(IMPORTRANGE(""https://docs.google.com/spreadsheets/d/14Tu_jFPEdrIQ6DHYu6vRvJKQsbXr-48NY1tKy4-8JKI/edit"",""17!d2:d34""))"),0.0)</f>
        <v>0</v>
      </c>
      <c r="F453" s="76">
        <f>IFERROR(__xludf.DUMMYFUNCTION("SUM(IMPORTRANGE(""https://docs.google.com/spreadsheets/d/14Tu_jFPEdrIQ6DHYu6vRvJKQsbXr-48NY1tKy4-8JKI/edit"",""17!Q2:Q34""))"),0.0)</f>
        <v>0</v>
      </c>
      <c r="G453" s="71">
        <f>IFERROR(__xludf.DUMMYFUNCTION("IMPORTRANGE(""https://docs.google.com/spreadsheets/d/14Tu_jFPEdrIQ6DHYu6vRvJKQsbXr-48NY1tKy4-8JKI/edit"",""17!e41"")"),0.0)</f>
        <v>0</v>
      </c>
      <c r="H453" s="71">
        <f>IFERROR(__xludf.DUMMYFUNCTION("IMPORTRANGE(""https://docs.google.com/spreadsheets/d/14Tu_jFPEdrIQ6DHYu6vRvJKQsbXr-48NY1tKy4-8JKI/edit"",""17!e42"")"),0.0)</f>
        <v>0</v>
      </c>
      <c r="I453" s="71">
        <f t="shared" si="1215"/>
        <v>0</v>
      </c>
      <c r="J453" s="71">
        <f>IFERROR(__xludf.DUMMYFUNCTION("IMPORTRANGE(""https://docs.google.com/spreadsheets/d/14Tu_jFPEdrIQ6DHYu6vRvJKQsbXr-48NY1tKy4-8JKI/edit"",""17!e45"")"),0.0)</f>
        <v>0</v>
      </c>
      <c r="K453" s="71">
        <f>IFERROR(__xludf.DUMMYFUNCTION("IMPORTRANGE(""https://docs.google.com/spreadsheets/d/14Tu_jFPEdrIQ6DHYu6vRvJKQsbXr-48NY1tKy4-8JKI/edit"",""17!e46"")"),0.0)</f>
        <v>0</v>
      </c>
      <c r="L453" s="71">
        <f t="shared" si="1245"/>
        <v>0</v>
      </c>
      <c r="M453" s="71">
        <f t="shared" si="1217"/>
        <v>0</v>
      </c>
      <c r="N453" s="72" t="str">
        <f t="shared" si="1218"/>
        <v>#DIV/0!</v>
      </c>
      <c r="O453" s="69">
        <v>9877.0</v>
      </c>
      <c r="P453" s="42">
        <f t="shared" si="1219"/>
        <v>0</v>
      </c>
      <c r="Q453" s="73">
        <v>1.5</v>
      </c>
      <c r="R453" s="42" t="str">
        <f t="shared" si="1220"/>
        <v>#DIV/0!</v>
      </c>
      <c r="S453" s="74" t="str">
        <f t="shared" si="1221"/>
        <v>#DIV/0!</v>
      </c>
      <c r="T453" s="73">
        <f>F453/26.155</f>
        <v>0</v>
      </c>
      <c r="U453" s="73" t="str">
        <f t="shared" si="1222"/>
        <v>#DIV/0!</v>
      </c>
      <c r="V453" s="71" t="str">
        <f t="shared" si="1223"/>
        <v>#DIV/0!</v>
      </c>
      <c r="X453" s="31">
        <v>1.0</v>
      </c>
      <c r="Y453" s="31" t="s">
        <v>26</v>
      </c>
      <c r="Z453" s="31">
        <f t="shared" ref="Z453:AI453" si="1255">SUM(D438)</f>
        <v>16</v>
      </c>
      <c r="AA453" s="32">
        <f t="shared" si="1255"/>
        <v>0</v>
      </c>
      <c r="AB453" s="34">
        <f t="shared" si="1255"/>
        <v>0</v>
      </c>
      <c r="AC453" s="32">
        <f t="shared" si="1255"/>
        <v>0</v>
      </c>
      <c r="AD453" s="32">
        <f t="shared" si="1255"/>
        <v>0</v>
      </c>
      <c r="AE453" s="32">
        <f t="shared" si="1255"/>
        <v>0</v>
      </c>
      <c r="AF453" s="32">
        <f t="shared" si="1255"/>
        <v>0</v>
      </c>
      <c r="AG453" s="32">
        <f t="shared" si="1255"/>
        <v>0</v>
      </c>
      <c r="AH453" s="32">
        <f t="shared" si="1255"/>
        <v>0</v>
      </c>
      <c r="AI453" s="32">
        <f t="shared" si="1255"/>
        <v>0</v>
      </c>
      <c r="AJ453" s="34" t="str">
        <f t="shared" ref="AJ453:AJ459" si="1258">AB453/AA453</f>
        <v>#DIV/0!</v>
      </c>
      <c r="AK453" s="31">
        <f>SUM(O438)</f>
        <v>5161</v>
      </c>
      <c r="AL453" s="35">
        <f t="shared" ref="AL453:AL459" si="1259">AI453/AK453</f>
        <v>0</v>
      </c>
      <c r="AM453" s="36">
        <f>SUM(Q438)</f>
        <v>1.5</v>
      </c>
      <c r="AN453" s="35" t="str">
        <f t="shared" ref="AN453:AN459" si="1260">AO453/AM453</f>
        <v>#DIV/0!</v>
      </c>
      <c r="AO453" s="37" t="str">
        <f t="shared" ref="AO453:AO459" si="1261">AI453/AB453</f>
        <v>#DIV/0!</v>
      </c>
      <c r="AP453" s="36">
        <f t="shared" ref="AP453:AQ453" si="1256">SUM(T438)</f>
        <v>0</v>
      </c>
      <c r="AQ453" s="36" t="str">
        <f t="shared" si="1256"/>
        <v>#DIV/0!</v>
      </c>
      <c r="AR453" s="32" t="str">
        <f t="shared" ref="AR453:AR459" si="1263">AI453/AA453</f>
        <v>#DIV/0!</v>
      </c>
    </row>
    <row r="454" ht="15.75" customHeight="1">
      <c r="A454" s="21"/>
      <c r="B454" s="38">
        <v>17.0</v>
      </c>
      <c r="C454" s="38" t="s">
        <v>29</v>
      </c>
      <c r="D454" s="39">
        <v>24.0</v>
      </c>
      <c r="E454" s="40">
        <f>IFERROR(__xludf.DUMMYFUNCTION("COUNT(IMPORTRANGE(""https://docs.google.com/spreadsheets/d/1ja_RQYsP0p5wRrACHojay4CW1wLx0QdS5tSwp-vYQ-s/edit"",""17!d2:d31""))"),19.0)</f>
        <v>19</v>
      </c>
      <c r="F454" s="45">
        <f>IFERROR(__xludf.DUMMYFUNCTION("SUM(IMPORTRANGE(""https://docs.google.com/spreadsheets/d/1ja_RQYsP0p5wRrACHojay4CW1wLx0QdS5tSwp-vYQ-s/edit"",""17!Q2:Q31""))"),1006.6579999999996)</f>
        <v>1006.658</v>
      </c>
      <c r="G454" s="40">
        <f>IFERROR(__xludf.DUMMYFUNCTION("IMPORTRANGE(""https://docs.google.com/spreadsheets/d/1ja_RQYsP0p5wRrACHojay4CW1wLx0QdS5tSwp-vYQ-s/edit"",""17!e38"")"),526.0)</f>
        <v>526</v>
      </c>
      <c r="H454" s="40">
        <f>IFERROR(__xludf.DUMMYFUNCTION("IMPORTRANGE(""https://docs.google.com/spreadsheets/d/1ja_RQYsP0p5wRrACHojay4CW1wLx0QdS5tSwp-vYQ-s/edit"",""17!e39"")"),0.0)</f>
        <v>0</v>
      </c>
      <c r="I454" s="40">
        <f t="shared" si="1215"/>
        <v>526</v>
      </c>
      <c r="J454" s="40">
        <f>IFERROR(__xludf.DUMMYFUNCTION("IMPORTRANGE(""https://docs.google.com/spreadsheets/d/1ja_RQYsP0p5wRrACHojay4CW1wLx0QdS5tSwp-vYQ-s/edit"",""17!e42"")"),0.0)</f>
        <v>0</v>
      </c>
      <c r="K454" s="40">
        <f>IFERROR(__xludf.DUMMYFUNCTION("IMPORTRANGE(""https://docs.google.com/spreadsheets/d/1ja_RQYsP0p5wRrACHojay4CW1wLx0QdS5tSwp-vYQ-s/edit"",""17!e43"")"),0.0)</f>
        <v>0</v>
      </c>
      <c r="L454" s="40">
        <f t="shared" si="1245"/>
        <v>0</v>
      </c>
      <c r="M454" s="40">
        <f t="shared" si="1217"/>
        <v>526</v>
      </c>
      <c r="N454" s="41">
        <f t="shared" si="1218"/>
        <v>52.982</v>
      </c>
      <c r="O454" s="38">
        <v>9201.0</v>
      </c>
      <c r="P454" s="42">
        <f t="shared" si="1219"/>
        <v>0.05716769916</v>
      </c>
      <c r="Q454" s="43">
        <v>1.5</v>
      </c>
      <c r="R454" s="42">
        <f t="shared" si="1220"/>
        <v>0.3483473699</v>
      </c>
      <c r="S454" s="44">
        <f t="shared" si="1221"/>
        <v>0.5225210548</v>
      </c>
      <c r="T454" s="43">
        <f>F454/26.491</f>
        <v>38</v>
      </c>
      <c r="U454" s="43">
        <f t="shared" si="1222"/>
        <v>2</v>
      </c>
      <c r="V454" s="40">
        <f t="shared" si="1223"/>
        <v>27.68421053</v>
      </c>
      <c r="X454" s="31">
        <v>2.0</v>
      </c>
      <c r="Y454" s="31" t="s">
        <v>32</v>
      </c>
      <c r="Z454" s="31">
        <f t="shared" ref="Z454:AI454" si="1257">SUM(D441)</f>
        <v>33</v>
      </c>
      <c r="AA454" s="32">
        <f t="shared" si="1257"/>
        <v>31</v>
      </c>
      <c r="AB454" s="33">
        <f t="shared" si="1257"/>
        <v>6185.513</v>
      </c>
      <c r="AC454" s="31">
        <f t="shared" si="1257"/>
        <v>2571</v>
      </c>
      <c r="AD454" s="31">
        <f t="shared" si="1257"/>
        <v>0</v>
      </c>
      <c r="AE454" s="32">
        <f t="shared" si="1257"/>
        <v>2571</v>
      </c>
      <c r="AF454" s="31">
        <f t="shared" si="1257"/>
        <v>3195</v>
      </c>
      <c r="AG454" s="31">
        <f t="shared" si="1257"/>
        <v>0</v>
      </c>
      <c r="AH454" s="32">
        <f t="shared" si="1257"/>
        <v>3195</v>
      </c>
      <c r="AI454" s="32">
        <f t="shared" si="1257"/>
        <v>5766</v>
      </c>
      <c r="AJ454" s="34">
        <f t="shared" si="1258"/>
        <v>199.5326774</v>
      </c>
      <c r="AK454" s="31">
        <f>SUM(O441)</f>
        <v>13817</v>
      </c>
      <c r="AL454" s="35">
        <f t="shared" si="1259"/>
        <v>0.4173120069</v>
      </c>
      <c r="AM454" s="36">
        <f>SUM(Q441)</f>
        <v>1.5</v>
      </c>
      <c r="AN454" s="35">
        <f t="shared" si="1260"/>
        <v>0.621452093</v>
      </c>
      <c r="AO454" s="37">
        <f t="shared" si="1261"/>
        <v>0.9321781395</v>
      </c>
      <c r="AP454" s="36">
        <f t="shared" ref="AP454:AQ454" si="1262">SUM(T441)</f>
        <v>246.5428275</v>
      </c>
      <c r="AQ454" s="36">
        <f t="shared" si="1262"/>
        <v>7.952994437</v>
      </c>
      <c r="AR454" s="32">
        <f t="shared" si="1263"/>
        <v>186</v>
      </c>
    </row>
    <row r="455" ht="15.75" customHeight="1">
      <c r="A455" s="21"/>
      <c r="B455" s="38">
        <v>18.0</v>
      </c>
      <c r="C455" s="38" t="s">
        <v>31</v>
      </c>
      <c r="D455" s="39">
        <v>12.0</v>
      </c>
      <c r="E455" s="40">
        <f>IFERROR(__xludf.DUMMYFUNCTION("COUNT(IMPORTRANGE(""https://docs.google.com/spreadsheets/d/1ObnK1oSznTOmyW9Zcd2kxExl7TOnO2MNq_0giEKc_mE/edit"",""17!d2:d16""))"),11.0)</f>
        <v>11</v>
      </c>
      <c r="F455" s="41">
        <f>IFERROR(__xludf.DUMMYFUNCTION("SUM(IMPORTRANGE(""https://docs.google.com/spreadsheets/d/1ObnK1oSznTOmyW9Zcd2kxExl7TOnO2MNq_0giEKc_mE/edit"",""17!Q2:Q16""))"),2216.715)</f>
        <v>2216.715</v>
      </c>
      <c r="G455" s="40">
        <f>IFERROR(__xludf.DUMMYFUNCTION("IMPORTRANGE(""https://docs.google.com/spreadsheets/d/1ObnK1oSznTOmyW9Zcd2kxExl7TOnO2MNq_0giEKc_mE/edit"",""17!e23"")"),299.0)</f>
        <v>299</v>
      </c>
      <c r="H455" s="40">
        <f>IFERROR(__xludf.DUMMYFUNCTION("IMPORTRANGE(""https://docs.google.com/spreadsheets/d/1ObnK1oSznTOmyW9Zcd2kxExl7TOnO2MNq_0giEKc_mE/edit"",""17!e24"")"),0.0)</f>
        <v>0</v>
      </c>
      <c r="I455" s="40">
        <f t="shared" si="1215"/>
        <v>299</v>
      </c>
      <c r="J455" s="40">
        <f>IFERROR(__xludf.DUMMYFUNCTION("IMPORTRANGE(""https://docs.google.com/spreadsheets/d/1ObnK1oSznTOmyW9Zcd2kxExl7TOnO2MNq_0giEKc_mE/edit"",""17!e27"")"),582.0)</f>
        <v>582</v>
      </c>
      <c r="K455" s="40">
        <f>IFERROR(__xludf.DUMMYFUNCTION("IMPORTRANGE(""https://docs.google.com/spreadsheets/d/1ObnK1oSznTOmyW9Zcd2kxExl7TOnO2MNq_0giEKc_mE/edit"",""17!e28"")"),0.0)</f>
        <v>0</v>
      </c>
      <c r="L455" s="40">
        <f t="shared" si="1245"/>
        <v>582</v>
      </c>
      <c r="M455" s="40">
        <f t="shared" si="1217"/>
        <v>881</v>
      </c>
      <c r="N455" s="41">
        <f t="shared" si="1218"/>
        <v>201.5195455</v>
      </c>
      <c r="O455" s="38">
        <v>2717.0</v>
      </c>
      <c r="P455" s="42">
        <f t="shared" si="1219"/>
        <v>0.3242546927</v>
      </c>
      <c r="Q455" s="43">
        <v>1.5</v>
      </c>
      <c r="R455" s="42">
        <f t="shared" si="1220"/>
        <v>0.2649566288</v>
      </c>
      <c r="S455" s="44">
        <f t="shared" si="1221"/>
        <v>0.3974349431</v>
      </c>
      <c r="T455" s="43">
        <f>F455/43.465</f>
        <v>51</v>
      </c>
      <c r="U455" s="43">
        <f t="shared" si="1222"/>
        <v>4.636363636</v>
      </c>
      <c r="V455" s="40">
        <f t="shared" si="1223"/>
        <v>80.09090909</v>
      </c>
      <c r="X455" s="31">
        <v>3.0</v>
      </c>
      <c r="Y455" s="31" t="s">
        <v>36</v>
      </c>
      <c r="Z455" s="31">
        <f t="shared" ref="Z455:AI455" si="1264">SUM(D446)</f>
        <v>23</v>
      </c>
      <c r="AA455" s="32">
        <f t="shared" si="1264"/>
        <v>23</v>
      </c>
      <c r="AB455" s="33">
        <f t="shared" si="1264"/>
        <v>4595.538</v>
      </c>
      <c r="AC455" s="32">
        <f t="shared" si="1264"/>
        <v>870</v>
      </c>
      <c r="AD455" s="32">
        <f t="shared" si="1264"/>
        <v>0</v>
      </c>
      <c r="AE455" s="32">
        <f t="shared" si="1264"/>
        <v>870</v>
      </c>
      <c r="AF455" s="32">
        <f t="shared" si="1264"/>
        <v>1295</v>
      </c>
      <c r="AG455" s="32">
        <f t="shared" si="1264"/>
        <v>0</v>
      </c>
      <c r="AH455" s="32">
        <f t="shared" si="1264"/>
        <v>1295</v>
      </c>
      <c r="AI455" s="32">
        <f t="shared" si="1264"/>
        <v>2165</v>
      </c>
      <c r="AJ455" s="34">
        <f t="shared" si="1258"/>
        <v>199.806</v>
      </c>
      <c r="AK455" s="31">
        <f t="shared" ref="AK455:AK458" si="1268">SUM(O446)</f>
        <v>4796</v>
      </c>
      <c r="AL455" s="35">
        <f t="shared" si="1259"/>
        <v>0.4514178482</v>
      </c>
      <c r="AM455" s="36">
        <f t="shared" ref="AM455:AM458" si="1269">SUM(Q446)</f>
        <v>1.5</v>
      </c>
      <c r="AN455" s="35">
        <f t="shared" si="1260"/>
        <v>0.3140727665</v>
      </c>
      <c r="AO455" s="37">
        <f t="shared" si="1261"/>
        <v>0.4711091498</v>
      </c>
      <c r="AP455" s="36">
        <f t="shared" ref="AP455:AQ455" si="1265">SUM(T446)</f>
        <v>122.8293687</v>
      </c>
      <c r="AQ455" s="36">
        <f t="shared" si="1265"/>
        <v>5.340407334</v>
      </c>
      <c r="AR455" s="32">
        <f t="shared" si="1263"/>
        <v>94.13043478</v>
      </c>
    </row>
    <row r="456" ht="15.75" customHeight="1">
      <c r="A456" s="21"/>
      <c r="B456" s="60" t="s">
        <v>33</v>
      </c>
      <c r="C456" s="60">
        <v>18.0</v>
      </c>
      <c r="D456" s="60">
        <f t="shared" ref="D456:M456" si="1266">SUM(D438:D455)</f>
        <v>470</v>
      </c>
      <c r="E456" s="61">
        <f t="shared" si="1266"/>
        <v>312</v>
      </c>
      <c r="F456" s="62">
        <f t="shared" si="1266"/>
        <v>55709.078</v>
      </c>
      <c r="G456" s="61">
        <f t="shared" si="1266"/>
        <v>15134</v>
      </c>
      <c r="H456" s="61">
        <f t="shared" si="1266"/>
        <v>41</v>
      </c>
      <c r="I456" s="61">
        <f t="shared" si="1266"/>
        <v>15175</v>
      </c>
      <c r="J456" s="61">
        <f t="shared" si="1266"/>
        <v>16125</v>
      </c>
      <c r="K456" s="61">
        <f t="shared" si="1266"/>
        <v>202</v>
      </c>
      <c r="L456" s="61">
        <f t="shared" si="1266"/>
        <v>16327</v>
      </c>
      <c r="M456" s="61">
        <f t="shared" si="1266"/>
        <v>31502</v>
      </c>
      <c r="N456" s="62">
        <f t="shared" si="1218"/>
        <v>178.5547372</v>
      </c>
      <c r="O456" s="60">
        <f>SUM(O438:O455)</f>
        <v>126399</v>
      </c>
      <c r="P456" s="63">
        <f t="shared" si="1219"/>
        <v>0.2492266553</v>
      </c>
      <c r="Q456" s="64">
        <v>1.5</v>
      </c>
      <c r="R456" s="63">
        <f t="shared" si="1220"/>
        <v>0.3769822458</v>
      </c>
      <c r="S456" s="65">
        <f t="shared" si="1221"/>
        <v>0.5654733686</v>
      </c>
      <c r="T456" s="64">
        <f>SUM(T438:T455)</f>
        <v>1941.299816</v>
      </c>
      <c r="U456" s="64">
        <f t="shared" si="1222"/>
        <v>6.222114794</v>
      </c>
      <c r="V456" s="61">
        <f t="shared" si="1223"/>
        <v>100.9679487</v>
      </c>
      <c r="X456" s="31">
        <v>4.0</v>
      </c>
      <c r="Y456" s="31" t="s">
        <v>37</v>
      </c>
      <c r="Z456" s="31">
        <f t="shared" ref="Z456:AI456" si="1267">SUM(D447)</f>
        <v>24</v>
      </c>
      <c r="AA456" s="32">
        <f t="shared" si="1267"/>
        <v>1</v>
      </c>
      <c r="AB456" s="33">
        <f t="shared" si="1267"/>
        <v>13.482</v>
      </c>
      <c r="AC456" s="32">
        <f t="shared" si="1267"/>
        <v>14</v>
      </c>
      <c r="AD456" s="32">
        <f t="shared" si="1267"/>
        <v>0</v>
      </c>
      <c r="AE456" s="32">
        <f t="shared" si="1267"/>
        <v>14</v>
      </c>
      <c r="AF456" s="32">
        <f t="shared" si="1267"/>
        <v>0</v>
      </c>
      <c r="AG456" s="32">
        <f t="shared" si="1267"/>
        <v>0</v>
      </c>
      <c r="AH456" s="32">
        <f t="shared" si="1267"/>
        <v>0</v>
      </c>
      <c r="AI456" s="32">
        <f t="shared" si="1267"/>
        <v>14</v>
      </c>
      <c r="AJ456" s="34">
        <f t="shared" si="1258"/>
        <v>13.482</v>
      </c>
      <c r="AK456" s="31">
        <f t="shared" si="1268"/>
        <v>5887</v>
      </c>
      <c r="AL456" s="35">
        <f t="shared" si="1259"/>
        <v>0.002378121284</v>
      </c>
      <c r="AM456" s="36">
        <f t="shared" si="1269"/>
        <v>1.5</v>
      </c>
      <c r="AN456" s="35">
        <f t="shared" si="1260"/>
        <v>0.6922810661</v>
      </c>
      <c r="AO456" s="37">
        <f t="shared" si="1261"/>
        <v>1.038421599</v>
      </c>
      <c r="AP456" s="36">
        <f t="shared" ref="AP456:AQ456" si="1270">SUM(T447)</f>
        <v>0.543804453</v>
      </c>
      <c r="AQ456" s="36">
        <f t="shared" si="1270"/>
        <v>0.543804453</v>
      </c>
      <c r="AR456" s="32">
        <f t="shared" si="1263"/>
        <v>14</v>
      </c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X457" s="31">
        <v>5.0</v>
      </c>
      <c r="Y457" s="31" t="s">
        <v>39</v>
      </c>
      <c r="Z457" s="31">
        <f t="shared" ref="Z457:AI457" si="1271">SUM(D448)</f>
        <v>22</v>
      </c>
      <c r="AA457" s="32">
        <f t="shared" si="1271"/>
        <v>21</v>
      </c>
      <c r="AB457" s="33">
        <f t="shared" si="1271"/>
        <v>4028.86</v>
      </c>
      <c r="AC457" s="32">
        <f t="shared" si="1271"/>
        <v>817</v>
      </c>
      <c r="AD457" s="32">
        <f t="shared" si="1271"/>
        <v>0</v>
      </c>
      <c r="AE457" s="32">
        <f t="shared" si="1271"/>
        <v>817</v>
      </c>
      <c r="AF457" s="32">
        <f t="shared" si="1271"/>
        <v>1434</v>
      </c>
      <c r="AG457" s="32">
        <f t="shared" si="1271"/>
        <v>0</v>
      </c>
      <c r="AH457" s="32">
        <f t="shared" si="1271"/>
        <v>1434</v>
      </c>
      <c r="AI457" s="32">
        <f t="shared" si="1271"/>
        <v>2251</v>
      </c>
      <c r="AJ457" s="34">
        <f t="shared" si="1258"/>
        <v>191.8504762</v>
      </c>
      <c r="AK457" s="31">
        <f t="shared" si="1268"/>
        <v>3569</v>
      </c>
      <c r="AL457" s="35">
        <f t="shared" si="1259"/>
        <v>0.630708882</v>
      </c>
      <c r="AM457" s="36">
        <f t="shared" si="1269"/>
        <v>1.5</v>
      </c>
      <c r="AN457" s="35">
        <f t="shared" si="1260"/>
        <v>0.372479229</v>
      </c>
      <c r="AO457" s="37">
        <f t="shared" si="1261"/>
        <v>0.5587188435</v>
      </c>
      <c r="AP457" s="36">
        <f t="shared" ref="AP457:AQ457" si="1272">SUM(T448)</f>
        <v>187.7118763</v>
      </c>
      <c r="AQ457" s="36">
        <f t="shared" si="1272"/>
        <v>8.938660774</v>
      </c>
      <c r="AR457" s="32">
        <f t="shared" si="1263"/>
        <v>107.1904762</v>
      </c>
    </row>
    <row r="458" ht="15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X458" s="31">
        <v>6.0</v>
      </c>
      <c r="Y458" s="31" t="s">
        <v>41</v>
      </c>
      <c r="Z458" s="31">
        <f t="shared" ref="Z458:AI458" si="1273">SUM(D449)</f>
        <v>20</v>
      </c>
      <c r="AA458" s="32">
        <f t="shared" si="1273"/>
        <v>20</v>
      </c>
      <c r="AB458" s="33">
        <f t="shared" si="1273"/>
        <v>3815.428</v>
      </c>
      <c r="AC458" s="32">
        <f t="shared" si="1273"/>
        <v>699</v>
      </c>
      <c r="AD458" s="32">
        <f t="shared" si="1273"/>
        <v>0</v>
      </c>
      <c r="AE458" s="32">
        <f t="shared" si="1273"/>
        <v>699</v>
      </c>
      <c r="AF458" s="32">
        <f t="shared" si="1273"/>
        <v>894</v>
      </c>
      <c r="AG458" s="32">
        <f t="shared" si="1273"/>
        <v>0</v>
      </c>
      <c r="AH458" s="32">
        <f t="shared" si="1273"/>
        <v>894</v>
      </c>
      <c r="AI458" s="32">
        <f t="shared" si="1273"/>
        <v>1593</v>
      </c>
      <c r="AJ458" s="34">
        <f t="shared" si="1258"/>
        <v>190.7714</v>
      </c>
      <c r="AK458" s="31">
        <f t="shared" si="1268"/>
        <v>3801</v>
      </c>
      <c r="AL458" s="35">
        <f t="shared" si="1259"/>
        <v>0.4191002368</v>
      </c>
      <c r="AM458" s="36">
        <f t="shared" si="1269"/>
        <v>1.5</v>
      </c>
      <c r="AN458" s="35">
        <f t="shared" si="1260"/>
        <v>0.2783436092</v>
      </c>
      <c r="AO458" s="37">
        <f t="shared" si="1261"/>
        <v>0.4175154137</v>
      </c>
      <c r="AP458" s="36">
        <f t="shared" ref="AP458:AQ458" si="1274">SUM(T449)</f>
        <v>128.7777778</v>
      </c>
      <c r="AQ458" s="36">
        <f t="shared" si="1274"/>
        <v>6.438888889</v>
      </c>
      <c r="AR458" s="32">
        <f t="shared" si="1263"/>
        <v>79.65</v>
      </c>
    </row>
    <row r="459" ht="15.75" customHeight="1">
      <c r="A459" s="1" t="s">
        <v>45</v>
      </c>
      <c r="D459" s="2"/>
      <c r="X459" s="46" t="s">
        <v>33</v>
      </c>
      <c r="Y459" s="46">
        <v>6.0</v>
      </c>
      <c r="Z459" s="46">
        <f t="shared" ref="Z459:AI459" si="1275">SUM(Z453:Z458)</f>
        <v>138</v>
      </c>
      <c r="AA459" s="47">
        <f t="shared" si="1275"/>
        <v>96</v>
      </c>
      <c r="AB459" s="49">
        <f t="shared" si="1275"/>
        <v>18638.821</v>
      </c>
      <c r="AC459" s="47">
        <f t="shared" si="1275"/>
        <v>4971</v>
      </c>
      <c r="AD459" s="47">
        <f t="shared" si="1275"/>
        <v>0</v>
      </c>
      <c r="AE459" s="47">
        <f t="shared" si="1275"/>
        <v>4971</v>
      </c>
      <c r="AF459" s="47">
        <f t="shared" si="1275"/>
        <v>6818</v>
      </c>
      <c r="AG459" s="47">
        <f t="shared" si="1275"/>
        <v>0</v>
      </c>
      <c r="AH459" s="47">
        <f t="shared" si="1275"/>
        <v>6818</v>
      </c>
      <c r="AI459" s="47">
        <f t="shared" si="1275"/>
        <v>11789</v>
      </c>
      <c r="AJ459" s="49">
        <f t="shared" si="1258"/>
        <v>194.1543854</v>
      </c>
      <c r="AK459" s="46">
        <f>SUM(AK453:AK458)</f>
        <v>37031</v>
      </c>
      <c r="AL459" s="50">
        <f t="shared" si="1259"/>
        <v>0.3183548918</v>
      </c>
      <c r="AM459" s="51">
        <v>1.5</v>
      </c>
      <c r="AN459" s="50">
        <f t="shared" si="1260"/>
        <v>0.4216647251</v>
      </c>
      <c r="AO459" s="52">
        <f t="shared" si="1261"/>
        <v>0.6324970877</v>
      </c>
      <c r="AP459" s="51">
        <f>SUM(AP453:AP458)</f>
        <v>686.4056547</v>
      </c>
      <c r="AQ459" s="51">
        <f>AP459/AA459</f>
        <v>7.150058903</v>
      </c>
      <c r="AR459" s="47">
        <f t="shared" si="1263"/>
        <v>122.8020833</v>
      </c>
    </row>
    <row r="460" ht="15.75" customHeight="1">
      <c r="A460" s="1" t="s">
        <v>45</v>
      </c>
      <c r="D460" s="2"/>
      <c r="X460" s="66" t="s">
        <v>1</v>
      </c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6"/>
    </row>
    <row r="461" ht="15.75" customHeight="1">
      <c r="A461" s="7">
        <v>46252.0</v>
      </c>
      <c r="B461" s="8" t="s">
        <v>2</v>
      </c>
      <c r="C461" s="8" t="s">
        <v>3</v>
      </c>
      <c r="D461" s="8" t="s">
        <v>4</v>
      </c>
      <c r="E461" s="8" t="s">
        <v>5</v>
      </c>
      <c r="F461" s="9" t="s">
        <v>6</v>
      </c>
      <c r="G461" s="8" t="s">
        <v>7</v>
      </c>
      <c r="H461" s="8" t="s">
        <v>8</v>
      </c>
      <c r="I461" s="8" t="s">
        <v>9</v>
      </c>
      <c r="J461" s="8" t="s">
        <v>10</v>
      </c>
      <c r="K461" s="8" t="s">
        <v>11</v>
      </c>
      <c r="L461" s="8" t="s">
        <v>12</v>
      </c>
      <c r="M461" s="8" t="s">
        <v>13</v>
      </c>
      <c r="N461" s="9" t="s">
        <v>14</v>
      </c>
      <c r="O461" s="8" t="s">
        <v>15</v>
      </c>
      <c r="P461" s="8" t="s">
        <v>16</v>
      </c>
      <c r="Q461" s="8" t="s">
        <v>17</v>
      </c>
      <c r="R461" s="8" t="s">
        <v>18</v>
      </c>
      <c r="S461" s="11" t="s">
        <v>19</v>
      </c>
      <c r="T461" s="12" t="s">
        <v>20</v>
      </c>
      <c r="U461" s="12" t="s">
        <v>21</v>
      </c>
      <c r="V461" s="13" t="s">
        <v>22</v>
      </c>
      <c r="X461" s="14" t="s">
        <v>2</v>
      </c>
      <c r="Y461" s="14" t="s">
        <v>3</v>
      </c>
      <c r="Z461" s="14" t="s">
        <v>4</v>
      </c>
      <c r="AA461" s="14" t="s">
        <v>5</v>
      </c>
      <c r="AB461" s="15" t="s">
        <v>6</v>
      </c>
      <c r="AC461" s="14" t="s">
        <v>7</v>
      </c>
      <c r="AD461" s="14" t="s">
        <v>8</v>
      </c>
      <c r="AE461" s="14" t="s">
        <v>9</v>
      </c>
      <c r="AF461" s="14" t="s">
        <v>10</v>
      </c>
      <c r="AG461" s="14" t="s">
        <v>11</v>
      </c>
      <c r="AH461" s="14" t="s">
        <v>12</v>
      </c>
      <c r="AI461" s="14" t="s">
        <v>13</v>
      </c>
      <c r="AJ461" s="15" t="s">
        <v>14</v>
      </c>
      <c r="AK461" s="14" t="s">
        <v>15</v>
      </c>
      <c r="AL461" s="14" t="s">
        <v>16</v>
      </c>
      <c r="AM461" s="16" t="s">
        <v>17</v>
      </c>
      <c r="AN461" s="17" t="s">
        <v>18</v>
      </c>
      <c r="AO461" s="18" t="s">
        <v>19</v>
      </c>
      <c r="AP461" s="19" t="s">
        <v>20</v>
      </c>
      <c r="AQ461" s="19" t="s">
        <v>21</v>
      </c>
      <c r="AR461" s="20" t="s">
        <v>22</v>
      </c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X462" s="22">
        <v>1.0</v>
      </c>
      <c r="Y462" s="22" t="s">
        <v>23</v>
      </c>
      <c r="Z462" s="22">
        <f t="shared" ref="Z462:AI462" si="1276">SUM(D470)</f>
        <v>35</v>
      </c>
      <c r="AA462" s="23">
        <f t="shared" si="1276"/>
        <v>32</v>
      </c>
      <c r="AB462" s="24">
        <f t="shared" si="1276"/>
        <v>6275.64</v>
      </c>
      <c r="AC462" s="23">
        <f t="shared" si="1276"/>
        <v>1898</v>
      </c>
      <c r="AD462" s="23">
        <f t="shared" si="1276"/>
        <v>0</v>
      </c>
      <c r="AE462" s="23">
        <f t="shared" si="1276"/>
        <v>1898</v>
      </c>
      <c r="AF462" s="23">
        <f t="shared" si="1276"/>
        <v>2915</v>
      </c>
      <c r="AG462" s="23">
        <f t="shared" si="1276"/>
        <v>0</v>
      </c>
      <c r="AH462" s="23">
        <f t="shared" si="1276"/>
        <v>2915</v>
      </c>
      <c r="AI462" s="23">
        <f t="shared" si="1276"/>
        <v>4813</v>
      </c>
      <c r="AJ462" s="25">
        <f t="shared" ref="AJ462:AJ464" si="1279">AB462/AA462</f>
        <v>196.11375</v>
      </c>
      <c r="AK462" s="22">
        <f>SUM(O470)</f>
        <v>6853</v>
      </c>
      <c r="AL462" s="26">
        <f t="shared" ref="AL462:AL468" si="1280">AI462/AK462</f>
        <v>0.7023201518</v>
      </c>
      <c r="AM462" s="27">
        <f t="shared" ref="AM462:AM464" si="1281">SUM(Q470)</f>
        <v>1.5</v>
      </c>
      <c r="AN462" s="26">
        <f t="shared" ref="AN462:AN468" si="1282">AO462/AM462</f>
        <v>0.511289154</v>
      </c>
      <c r="AO462" s="28">
        <f t="shared" ref="AO462:AO468" si="1283">AI462/AB462</f>
        <v>0.7669337311</v>
      </c>
      <c r="AP462" s="27">
        <f t="shared" ref="AP462:AQ462" si="1277">SUM(T470)</f>
        <v>186</v>
      </c>
      <c r="AQ462" s="27">
        <f t="shared" si="1277"/>
        <v>5.8125</v>
      </c>
      <c r="AR462" s="23">
        <f t="shared" ref="AR462:AR468" si="1285">AI462/AA462</f>
        <v>150.40625</v>
      </c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X463" s="22">
        <v>2.0</v>
      </c>
      <c r="Y463" s="22" t="s">
        <v>24</v>
      </c>
      <c r="Z463" s="22">
        <f t="shared" ref="Z463:AI463" si="1278">SUM(D471)</f>
        <v>44</v>
      </c>
      <c r="AA463" s="23">
        <f t="shared" si="1278"/>
        <v>43</v>
      </c>
      <c r="AB463" s="24">
        <f t="shared" si="1278"/>
        <v>8175.168</v>
      </c>
      <c r="AC463" s="23">
        <f t="shared" si="1278"/>
        <v>1057</v>
      </c>
      <c r="AD463" s="23">
        <f t="shared" si="1278"/>
        <v>0</v>
      </c>
      <c r="AE463" s="23">
        <f t="shared" si="1278"/>
        <v>1057</v>
      </c>
      <c r="AF463" s="23">
        <f t="shared" si="1278"/>
        <v>1503</v>
      </c>
      <c r="AG463" s="23">
        <f t="shared" si="1278"/>
        <v>0</v>
      </c>
      <c r="AH463" s="23">
        <f t="shared" si="1278"/>
        <v>1503</v>
      </c>
      <c r="AI463" s="23">
        <f t="shared" si="1278"/>
        <v>2560</v>
      </c>
      <c r="AJ463" s="25">
        <f t="shared" si="1279"/>
        <v>190.120186</v>
      </c>
      <c r="AK463" s="22">
        <v>1580.0</v>
      </c>
      <c r="AL463" s="29">
        <f t="shared" si="1280"/>
        <v>1.620253165</v>
      </c>
      <c r="AM463" s="27">
        <f t="shared" si="1281"/>
        <v>1.5</v>
      </c>
      <c r="AN463" s="26">
        <f t="shared" si="1282"/>
        <v>0.2087622746</v>
      </c>
      <c r="AO463" s="28">
        <f t="shared" si="1283"/>
        <v>0.3131434119</v>
      </c>
      <c r="AP463" s="27">
        <f t="shared" ref="AP463:AQ463" si="1284">SUM(T471)</f>
        <v>304.9866816</v>
      </c>
      <c r="AQ463" s="27">
        <f t="shared" si="1284"/>
        <v>7.092713525</v>
      </c>
      <c r="AR463" s="23">
        <f t="shared" si="1285"/>
        <v>59.53488372</v>
      </c>
    </row>
    <row r="464" ht="15.75" customHeight="1">
      <c r="A464" s="21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X464" s="31">
        <v>3.0</v>
      </c>
      <c r="Y464" s="31" t="s">
        <v>25</v>
      </c>
      <c r="Z464" s="31">
        <f t="shared" ref="Z464:AI464" si="1286">SUM(D472)</f>
        <v>32</v>
      </c>
      <c r="AA464" s="32">
        <f t="shared" si="1286"/>
        <v>29</v>
      </c>
      <c r="AB464" s="33">
        <f t="shared" si="1286"/>
        <v>5138.404</v>
      </c>
      <c r="AC464" s="32">
        <f t="shared" si="1286"/>
        <v>2082</v>
      </c>
      <c r="AD464" s="32">
        <f t="shared" si="1286"/>
        <v>187</v>
      </c>
      <c r="AE464" s="32">
        <f t="shared" si="1286"/>
        <v>2269</v>
      </c>
      <c r="AF464" s="32">
        <f t="shared" si="1286"/>
        <v>2494</v>
      </c>
      <c r="AG464" s="32">
        <f t="shared" si="1286"/>
        <v>431</v>
      </c>
      <c r="AH464" s="32">
        <f t="shared" si="1286"/>
        <v>2925</v>
      </c>
      <c r="AI464" s="32">
        <f t="shared" si="1286"/>
        <v>5194</v>
      </c>
      <c r="AJ464" s="34">
        <f t="shared" si="1279"/>
        <v>177.1863448</v>
      </c>
      <c r="AK464" s="31">
        <f>SUM(O472)</f>
        <v>6622</v>
      </c>
      <c r="AL464" s="35">
        <f t="shared" si="1280"/>
        <v>0.7843551797</v>
      </c>
      <c r="AM464" s="36">
        <f t="shared" si="1281"/>
        <v>1.5</v>
      </c>
      <c r="AN464" s="35">
        <f t="shared" si="1282"/>
        <v>0.6738798013</v>
      </c>
      <c r="AO464" s="37">
        <f t="shared" si="1283"/>
        <v>1.010819702</v>
      </c>
      <c r="AP464" s="36">
        <f t="shared" ref="AP464:AQ464" si="1287">SUM(T472)</f>
        <v>215.5370805</v>
      </c>
      <c r="AQ464" s="36">
        <f t="shared" si="1287"/>
        <v>7.432313122</v>
      </c>
      <c r="AR464" s="32">
        <f t="shared" si="1285"/>
        <v>179.1034483</v>
      </c>
    </row>
    <row r="465" ht="15.75" customHeight="1">
      <c r="A465" s="21"/>
      <c r="B465" s="38">
        <v>1.0</v>
      </c>
      <c r="C465" s="38" t="s">
        <v>26</v>
      </c>
      <c r="D465" s="39">
        <v>20.0</v>
      </c>
      <c r="E465" s="40">
        <f>IFERROR(__xludf.DUMMYFUNCTION("COUNT(IMPORTRANGE(""https://docs.google.com/spreadsheets/d/1iVFEBQOAONhqDIMRa2hQ7WkCQv0dJWSAmc0AzfvSCMg/edit"",""18!d2:d21""))"),20.0)</f>
        <v>20</v>
      </c>
      <c r="F465" s="41">
        <f>IFERROR(__xludf.DUMMYFUNCTION("SUM(IMPORTRANGE(""https://docs.google.com/spreadsheets/d/1iVFEBQOAONhqDIMRa2hQ7WkCQv0dJWSAmc0AzfvSCMg/edit"",""18!Q2:Q21""))"),3892.662)</f>
        <v>3892.662</v>
      </c>
      <c r="G465" s="40">
        <f>IFERROR(__xludf.DUMMYFUNCTION("IMPORTRANGE(""https://docs.google.com/spreadsheets/d/1iVFEBQOAONhqDIMRa2hQ7WkCQv0dJWSAmc0AzfvSCMg/edit"",""18!e28"")"),1684.0)</f>
        <v>1684</v>
      </c>
      <c r="H465" s="40">
        <f>IFERROR(__xludf.DUMMYFUNCTION("IMPORTRANGE(""https://docs.google.com/spreadsheets/d/1iVFEBQOAONhqDIMRa2hQ7WkCQv0dJWSAmc0AzfvSCMg/edit"",""18!e29"")"),0.0)</f>
        <v>0</v>
      </c>
      <c r="I465" s="40">
        <f t="shared" ref="I465:I482" si="1290">SUM(G465:H465)</f>
        <v>1684</v>
      </c>
      <c r="J465" s="40">
        <f>IFERROR(__xludf.DUMMYFUNCTION("IMPORTRANGE(""https://docs.google.com/spreadsheets/d/1iVFEBQOAONhqDIMRa2hQ7WkCQv0dJWSAmc0AzfvSCMg/edit"",""18!e32"")"),2489.0)</f>
        <v>2489</v>
      </c>
      <c r="K465" s="40">
        <f>IFERROR(__xludf.DUMMYFUNCTION("IMPORTRANGE(""https://docs.google.com/spreadsheets/d/1iVFEBQOAONhqDIMRa2hQ7WkCQv0dJWSAmc0AzfvSCMg/edit"",""18!e33"")"),0.0)</f>
        <v>0</v>
      </c>
      <c r="L465" s="40">
        <f t="shared" ref="L465:L471" si="1291">SUM(J465:K465)</f>
        <v>2489</v>
      </c>
      <c r="M465" s="40">
        <f t="shared" ref="M465:M482" si="1292">SUM(I465+L465)</f>
        <v>4173</v>
      </c>
      <c r="N465" s="41">
        <f t="shared" ref="N465:N483" si="1293">F465/E465</f>
        <v>194.6331</v>
      </c>
      <c r="O465" s="38">
        <v>5161.0</v>
      </c>
      <c r="P465" s="42">
        <f t="shared" ref="P465:P483" si="1294">M465/O465</f>
        <v>0.8085642317</v>
      </c>
      <c r="Q465" s="43">
        <v>1.5</v>
      </c>
      <c r="R465" s="42">
        <f t="shared" ref="R465:R483" si="1295">S465/Q465</f>
        <v>0.7146780275</v>
      </c>
      <c r="S465" s="44">
        <f t="shared" ref="S465:S483" si="1296">M465/F465</f>
        <v>1.072017041</v>
      </c>
      <c r="T465" s="43">
        <f>F465/14.415</f>
        <v>270.0424558</v>
      </c>
      <c r="U465" s="43">
        <f t="shared" ref="U465:U483" si="1297">T465/E465</f>
        <v>13.50212279</v>
      </c>
      <c r="V465" s="40">
        <f t="shared" ref="V465:V483" si="1298">M465/E465</f>
        <v>208.65</v>
      </c>
      <c r="X465" s="22">
        <v>4.0</v>
      </c>
      <c r="Y465" s="22" t="s">
        <v>27</v>
      </c>
      <c r="Z465" s="22">
        <f t="shared" ref="Z465:AK465" si="1288">SUM(D478)</f>
        <v>30</v>
      </c>
      <c r="AA465" s="23">
        <f t="shared" si="1288"/>
        <v>30</v>
      </c>
      <c r="AB465" s="24">
        <f t="shared" si="1288"/>
        <v>5645.625</v>
      </c>
      <c r="AC465" s="23">
        <f t="shared" si="1288"/>
        <v>2424</v>
      </c>
      <c r="AD465" s="23">
        <f t="shared" si="1288"/>
        <v>0</v>
      </c>
      <c r="AE465" s="23">
        <f t="shared" si="1288"/>
        <v>2424</v>
      </c>
      <c r="AF465" s="23">
        <f t="shared" si="1288"/>
        <v>2656</v>
      </c>
      <c r="AG465" s="23">
        <f t="shared" si="1288"/>
        <v>0</v>
      </c>
      <c r="AH465" s="23">
        <f t="shared" si="1288"/>
        <v>2656</v>
      </c>
      <c r="AI465" s="23">
        <f t="shared" si="1288"/>
        <v>5080</v>
      </c>
      <c r="AJ465" s="25">
        <f t="shared" si="1288"/>
        <v>188.1875</v>
      </c>
      <c r="AK465" s="22">
        <f t="shared" si="1288"/>
        <v>8101</v>
      </c>
      <c r="AL465" s="26">
        <f t="shared" si="1280"/>
        <v>0.6270830762</v>
      </c>
      <c r="AM465" s="27">
        <f>SUM(Q478)</f>
        <v>1.5</v>
      </c>
      <c r="AN465" s="26">
        <f t="shared" si="1282"/>
        <v>0.5998745341</v>
      </c>
      <c r="AO465" s="28">
        <f t="shared" si="1283"/>
        <v>0.8998118012</v>
      </c>
      <c r="AP465" s="27">
        <f t="shared" ref="AP465:AQ465" si="1289">SUM(T478)</f>
        <v>282.4931198</v>
      </c>
      <c r="AQ465" s="27">
        <f t="shared" si="1289"/>
        <v>9.416437328</v>
      </c>
      <c r="AR465" s="23">
        <f t="shared" si="1285"/>
        <v>169.3333333</v>
      </c>
    </row>
    <row r="466" ht="15.75" customHeight="1">
      <c r="A466" s="21"/>
      <c r="B466" s="38">
        <v>2.0</v>
      </c>
      <c r="C466" s="38" t="s">
        <v>28</v>
      </c>
      <c r="D466" s="39">
        <v>33.0</v>
      </c>
      <c r="E466" s="40">
        <f>IFERROR(__xludf.DUMMYFUNCTION("COUNT(IMPORTRANGE(""https://docs.google.com/spreadsheets/d/1tJCeYclgeJZ4Dc78t_SkhVjtacKW-5-VGim8X1rzUzk/edit"",""18!d2:d34""))"),33.0)</f>
        <v>33</v>
      </c>
      <c r="F466" s="41">
        <f>IFERROR(__xludf.DUMMYFUNCTION("SUM(IMPORTRANGE(""https://docs.google.com/spreadsheets/d/1tJCeYclgeJZ4Dc78t_SkhVjtacKW-5-VGim8X1rzUzk/edit"",""18!Q2:Q34""))"),6467.038999999999)</f>
        <v>6467.039</v>
      </c>
      <c r="G466" s="40">
        <f>IFERROR(__xludf.DUMMYFUNCTION("IMPORTRANGE(""https://docs.google.com/spreadsheets/d/1tJCeYclgeJZ4Dc78t_SkhVjtacKW-5-VGim8X1rzUzk/edit"",""18!e41"")"),2563.0)</f>
        <v>2563</v>
      </c>
      <c r="H466" s="40">
        <f>IFERROR(__xludf.DUMMYFUNCTION("IMPORTRANGE(""https://docs.google.com/spreadsheets/d/1tJCeYclgeJZ4Dc78t_SkhVjtacKW-5-VGim8X1rzUzk/edit"",""18!e42"")"),120.0)</f>
        <v>120</v>
      </c>
      <c r="I466" s="40">
        <f t="shared" si="1290"/>
        <v>2683</v>
      </c>
      <c r="J466" s="40">
        <f>IFERROR(__xludf.DUMMYFUNCTION("IMPORTRANGE(""https://docs.google.com/spreadsheets/d/1tJCeYclgeJZ4Dc78t_SkhVjtacKW-5-VGim8X1rzUzk/edit"",""18!e45"")"),2512.0)</f>
        <v>2512</v>
      </c>
      <c r="K466" s="40">
        <f>IFERROR(__xludf.DUMMYFUNCTION("IMPORTRANGE(""https://docs.google.com/spreadsheets/d/1tJCeYclgeJZ4Dc78t_SkhVjtacKW-5-VGim8X1rzUzk/edit"",""18!e46"")"),276.0)</f>
        <v>276</v>
      </c>
      <c r="L466" s="40">
        <f t="shared" si="1291"/>
        <v>2788</v>
      </c>
      <c r="M466" s="40">
        <f t="shared" si="1292"/>
        <v>5471</v>
      </c>
      <c r="N466" s="41">
        <f t="shared" si="1293"/>
        <v>195.9708788</v>
      </c>
      <c r="O466" s="38">
        <v>7315.0</v>
      </c>
      <c r="P466" s="42">
        <f t="shared" si="1294"/>
        <v>0.7479152427</v>
      </c>
      <c r="Q466" s="43">
        <v>1.5</v>
      </c>
      <c r="R466" s="42">
        <f t="shared" si="1295"/>
        <v>0.5639881456</v>
      </c>
      <c r="S466" s="44">
        <f t="shared" si="1296"/>
        <v>0.8459822184</v>
      </c>
      <c r="T466" s="43">
        <f>F466/30.897</f>
        <v>209.3096093</v>
      </c>
      <c r="U466" s="43">
        <f t="shared" si="1297"/>
        <v>6.342715435</v>
      </c>
      <c r="V466" s="40">
        <f t="shared" si="1298"/>
        <v>165.7878788</v>
      </c>
      <c r="X466" s="22">
        <v>5.0</v>
      </c>
      <c r="Y466" s="22" t="s">
        <v>29</v>
      </c>
      <c r="Z466" s="22">
        <f t="shared" ref="Z466:AI466" si="1299">SUM(D481)</f>
        <v>30</v>
      </c>
      <c r="AA466" s="23">
        <f t="shared" si="1299"/>
        <v>30</v>
      </c>
      <c r="AB466" s="24">
        <f t="shared" si="1299"/>
        <v>6039.948</v>
      </c>
      <c r="AC466" s="23">
        <f t="shared" si="1299"/>
        <v>2561</v>
      </c>
      <c r="AD466" s="23">
        <f t="shared" si="1299"/>
        <v>0</v>
      </c>
      <c r="AE466" s="23">
        <f t="shared" si="1299"/>
        <v>2561</v>
      </c>
      <c r="AF466" s="23">
        <f t="shared" si="1299"/>
        <v>3727</v>
      </c>
      <c r="AG466" s="23">
        <f t="shared" si="1299"/>
        <v>0</v>
      </c>
      <c r="AH466" s="23">
        <f t="shared" si="1299"/>
        <v>3727</v>
      </c>
      <c r="AI466" s="23">
        <f t="shared" si="1299"/>
        <v>6288</v>
      </c>
      <c r="AJ466" s="25">
        <f t="shared" ref="AJ466:AJ468" si="1302">AB466/AA466</f>
        <v>201.3316</v>
      </c>
      <c r="AK466" s="22">
        <f t="shared" ref="AK466:AK467" si="1303">SUM(O481)</f>
        <v>9201</v>
      </c>
      <c r="AL466" s="26">
        <f t="shared" si="1280"/>
        <v>0.6834039778</v>
      </c>
      <c r="AM466" s="27">
        <f t="shared" ref="AM466:AM467" si="1304">SUM(Q481)</f>
        <v>1.5</v>
      </c>
      <c r="AN466" s="26">
        <f t="shared" si="1282"/>
        <v>0.6940457103</v>
      </c>
      <c r="AO466" s="28">
        <f t="shared" si="1283"/>
        <v>1.041068565</v>
      </c>
      <c r="AP466" s="27">
        <f t="shared" ref="AP466:AQ466" si="1300">SUM(T481)</f>
        <v>228</v>
      </c>
      <c r="AQ466" s="27">
        <f t="shared" si="1300"/>
        <v>7.6</v>
      </c>
      <c r="AR466" s="23">
        <f t="shared" si="1285"/>
        <v>209.6</v>
      </c>
    </row>
    <row r="467" ht="15.75" customHeight="1">
      <c r="A467" s="21"/>
      <c r="B467" s="38">
        <v>3.0</v>
      </c>
      <c r="C467" s="38" t="s">
        <v>30</v>
      </c>
      <c r="D467" s="39">
        <v>60.0</v>
      </c>
      <c r="E467" s="40">
        <f>IFERROR(__xludf.DUMMYFUNCTION("COUNT(IMPORTRANGE(""https://docs.google.com/spreadsheets/d/130gLEONC13J8KkQ6dk06x3bLRy_jCrAw2hXatQf2W50/edit"",""18!d2:d61""))"),59.0)</f>
        <v>59</v>
      </c>
      <c r="F467" s="45">
        <f>IFERROR(__xludf.DUMMYFUNCTION("SUM(IMPORTRANGE(""https://docs.google.com/spreadsheets/d/130gLEONC13J8KkQ6dk06x3bLRy_jCrAw2hXatQf2W50/edit"",""18!Q2:Q61""))"),11650.882999999989)</f>
        <v>11650.883</v>
      </c>
      <c r="G467" s="40">
        <f>IFERROR(__xludf.DUMMYFUNCTION("IMPORTRANGE(""https://docs.google.com/spreadsheets/d/130gLEONC13J8KkQ6dk06x3bLRy_jCrAw2hXatQf2W50/edit"",""18!e68"")"),2923.0)</f>
        <v>2923</v>
      </c>
      <c r="H467" s="40">
        <f>IFERROR(__xludf.DUMMYFUNCTION("IMPORTRANGE(""https://docs.google.com/spreadsheets/d/130gLEONC13J8KkQ6dk06x3bLRy_jCrAw2hXatQf2W50/edit"",""18!e69"")"),197.0)</f>
        <v>197</v>
      </c>
      <c r="I467" s="40">
        <f t="shared" si="1290"/>
        <v>3120</v>
      </c>
      <c r="J467" s="40">
        <f>IFERROR(__xludf.DUMMYFUNCTION("IMPORTRANGE(""https://docs.google.com/spreadsheets/d/130gLEONC13J8KkQ6dk06x3bLRy_jCrAw2hXatQf2W50/edit"",""18!e72"")"),5131.0)</f>
        <v>5131</v>
      </c>
      <c r="K467" s="40">
        <f>IFERROR(__xludf.DUMMYFUNCTION("IMPORTRANGE(""https://docs.google.com/spreadsheets/d/130gLEONC13J8KkQ6dk06x3bLRy_jCrAw2hXatQf2W50/edit"",""18!e73"")"),29.0)</f>
        <v>29</v>
      </c>
      <c r="L467" s="40">
        <f t="shared" si="1291"/>
        <v>5160</v>
      </c>
      <c r="M467" s="40">
        <f t="shared" si="1292"/>
        <v>8280</v>
      </c>
      <c r="N467" s="41">
        <f t="shared" si="1293"/>
        <v>197.4725932</v>
      </c>
      <c r="O467" s="38">
        <v>11164.0</v>
      </c>
      <c r="P467" s="42">
        <f t="shared" si="1294"/>
        <v>0.7416696525</v>
      </c>
      <c r="Q467" s="43">
        <v>1.5</v>
      </c>
      <c r="R467" s="42">
        <f t="shared" si="1295"/>
        <v>0.4737838325</v>
      </c>
      <c r="S467" s="44">
        <f t="shared" si="1296"/>
        <v>0.7106757488</v>
      </c>
      <c r="T467" s="43">
        <f>F467/29.603</f>
        <v>393.5710232</v>
      </c>
      <c r="U467" s="43">
        <f t="shared" si="1297"/>
        <v>6.670695309</v>
      </c>
      <c r="V467" s="40">
        <f t="shared" si="1298"/>
        <v>140.3389831</v>
      </c>
      <c r="X467" s="22">
        <v>6.0</v>
      </c>
      <c r="Y467" s="22" t="s">
        <v>31</v>
      </c>
      <c r="Z467" s="22">
        <f t="shared" ref="Z467:AI467" si="1301">SUM(D482)</f>
        <v>15</v>
      </c>
      <c r="AA467" s="23">
        <f t="shared" si="1301"/>
        <v>12</v>
      </c>
      <c r="AB467" s="25">
        <f t="shared" si="1301"/>
        <v>2434.04</v>
      </c>
      <c r="AC467" s="23">
        <f t="shared" si="1301"/>
        <v>745</v>
      </c>
      <c r="AD467" s="23">
        <f t="shared" si="1301"/>
        <v>15</v>
      </c>
      <c r="AE467" s="23">
        <f t="shared" si="1301"/>
        <v>760</v>
      </c>
      <c r="AF467" s="23">
        <f t="shared" si="1301"/>
        <v>992</v>
      </c>
      <c r="AG467" s="23">
        <f t="shared" si="1301"/>
        <v>0</v>
      </c>
      <c r="AH467" s="23">
        <f t="shared" si="1301"/>
        <v>992</v>
      </c>
      <c r="AI467" s="23">
        <f t="shared" si="1301"/>
        <v>1752</v>
      </c>
      <c r="AJ467" s="25">
        <f t="shared" si="1302"/>
        <v>202.8366667</v>
      </c>
      <c r="AK467" s="22">
        <f t="shared" si="1303"/>
        <v>2717</v>
      </c>
      <c r="AL467" s="26">
        <f t="shared" si="1280"/>
        <v>0.6448288554</v>
      </c>
      <c r="AM467" s="27">
        <f t="shared" si="1304"/>
        <v>1.5</v>
      </c>
      <c r="AN467" s="26">
        <f t="shared" si="1282"/>
        <v>0.4798606432</v>
      </c>
      <c r="AO467" s="28">
        <f t="shared" si="1283"/>
        <v>0.7197909648</v>
      </c>
      <c r="AP467" s="27">
        <f t="shared" ref="AP467:AQ467" si="1305">SUM(T482)</f>
        <v>56</v>
      </c>
      <c r="AQ467" s="27">
        <f t="shared" si="1305"/>
        <v>4.666666667</v>
      </c>
      <c r="AR467" s="23">
        <f t="shared" si="1285"/>
        <v>146</v>
      </c>
    </row>
    <row r="468" ht="15.75" customHeight="1">
      <c r="A468" s="21"/>
      <c r="B468" s="38">
        <v>4.0</v>
      </c>
      <c r="C468" s="38" t="s">
        <v>32</v>
      </c>
      <c r="D468" s="39">
        <v>42.0</v>
      </c>
      <c r="E468" s="40">
        <f>IFERROR(__xludf.DUMMYFUNCTION("COUNT(IMPORTRANGE(""https://docs.google.com/spreadsheets/d/1gYHli7FuKQLm2Q-5LMR0UtkD-gRRA_p8s-phLPLDLgc/edit"",""18!d2:d43""))"),40.0)</f>
        <v>40</v>
      </c>
      <c r="F468" s="45">
        <f>IFERROR(__xludf.DUMMYFUNCTION("SUM(IMPORTRANGE(""https://docs.google.com/spreadsheets/d/1gYHli7FuKQLm2Q-5LMR0UtkD-gRRA_p8s-phLPLDLgc/edit"",""18!Q2:Q43""))"),7914.504999999992)</f>
        <v>7914.505</v>
      </c>
      <c r="G468" s="38">
        <f>IFERROR(__xludf.DUMMYFUNCTION("IMPORTRANGE(""https://docs.google.com/spreadsheets/d/1gYHli7FuKQLm2Q-5LMR0UtkD-gRRA_p8s-phLPLDLgc/edit"",""18!e50"")"),4273.0)</f>
        <v>4273</v>
      </c>
      <c r="H468" s="38">
        <f>IFERROR(__xludf.DUMMYFUNCTION("IMPORTRANGE(""https://docs.google.com/spreadsheets/d/1gYHli7FuKQLm2Q-5LMR0UtkD-gRRA_p8s-phLPLDLgc/edit"",""18!e51"")"),0.0)</f>
        <v>0</v>
      </c>
      <c r="I468" s="40">
        <f t="shared" si="1290"/>
        <v>4273</v>
      </c>
      <c r="J468" s="38">
        <f>IFERROR(__xludf.DUMMYFUNCTION("IMPORTRANGE(""https://docs.google.com/spreadsheets/d/1gYHli7FuKQLm2Q-5LMR0UtkD-gRRA_p8s-phLPLDLgc/edit"",""18!e54"")"),4673.0)</f>
        <v>4673</v>
      </c>
      <c r="K468" s="38">
        <f>IFERROR(__xludf.DUMMYFUNCTION("IMPORTRANGE(""https://docs.google.com/spreadsheets/d/1gYHli7FuKQLm2Q-5LMR0UtkD-gRRA_p8s-phLPLDLgc/edit"",""18!e55"")"),58.0)</f>
        <v>58</v>
      </c>
      <c r="L468" s="40">
        <f t="shared" si="1291"/>
        <v>4731</v>
      </c>
      <c r="M468" s="40">
        <f t="shared" si="1292"/>
        <v>9004</v>
      </c>
      <c r="N468" s="41">
        <f t="shared" si="1293"/>
        <v>197.862625</v>
      </c>
      <c r="O468" s="38">
        <v>13817.0</v>
      </c>
      <c r="P468" s="42">
        <f t="shared" si="1294"/>
        <v>0.6516609973</v>
      </c>
      <c r="Q468" s="43">
        <v>1.5</v>
      </c>
      <c r="R468" s="42">
        <f t="shared" si="1295"/>
        <v>0.7584386726</v>
      </c>
      <c r="S468" s="44">
        <f t="shared" si="1296"/>
        <v>1.137658009</v>
      </c>
      <c r="T468" s="43">
        <f>F468/25.089</f>
        <v>315.4571725</v>
      </c>
      <c r="U468" s="43">
        <f t="shared" si="1297"/>
        <v>7.886429312</v>
      </c>
      <c r="V468" s="40">
        <f t="shared" si="1298"/>
        <v>225.1</v>
      </c>
      <c r="X468" s="46" t="s">
        <v>33</v>
      </c>
      <c r="Y468" s="46">
        <v>6.0</v>
      </c>
      <c r="Z468" s="46">
        <f t="shared" ref="Z468:AI468" si="1306">SUM(Z462:Z467)</f>
        <v>186</v>
      </c>
      <c r="AA468" s="47">
        <f t="shared" si="1306"/>
        <v>176</v>
      </c>
      <c r="AB468" s="48">
        <f t="shared" si="1306"/>
        <v>33708.825</v>
      </c>
      <c r="AC468" s="47">
        <f t="shared" si="1306"/>
        <v>10767</v>
      </c>
      <c r="AD468" s="47">
        <f t="shared" si="1306"/>
        <v>202</v>
      </c>
      <c r="AE468" s="47">
        <f t="shared" si="1306"/>
        <v>10969</v>
      </c>
      <c r="AF468" s="47">
        <f t="shared" si="1306"/>
        <v>14287</v>
      </c>
      <c r="AG468" s="47">
        <f t="shared" si="1306"/>
        <v>431</v>
      </c>
      <c r="AH468" s="47">
        <f t="shared" si="1306"/>
        <v>14718</v>
      </c>
      <c r="AI468" s="47">
        <f t="shared" si="1306"/>
        <v>25687</v>
      </c>
      <c r="AJ468" s="49">
        <f t="shared" si="1302"/>
        <v>191.5274148</v>
      </c>
      <c r="AK468" s="46">
        <f>SUM(AK462:AK467)</f>
        <v>35074</v>
      </c>
      <c r="AL468" s="50">
        <f t="shared" si="1280"/>
        <v>0.732365855</v>
      </c>
      <c r="AM468" s="51">
        <v>1.5</v>
      </c>
      <c r="AN468" s="50">
        <f t="shared" si="1282"/>
        <v>0.508017312</v>
      </c>
      <c r="AO468" s="52">
        <f t="shared" si="1283"/>
        <v>0.762025968</v>
      </c>
      <c r="AP468" s="51">
        <f>SUM(AP462:AP467)</f>
        <v>1273.016882</v>
      </c>
      <c r="AQ468" s="51">
        <f>AP468/AA468</f>
        <v>7.233050466</v>
      </c>
      <c r="AR468" s="47">
        <f t="shared" si="1285"/>
        <v>145.9488636</v>
      </c>
    </row>
    <row r="469" ht="15.75" customHeight="1">
      <c r="A469" s="21"/>
      <c r="B469" s="38">
        <v>5.0</v>
      </c>
      <c r="C469" s="38" t="s">
        <v>34</v>
      </c>
      <c r="D469" s="39">
        <v>40.0</v>
      </c>
      <c r="E469" s="40">
        <f>IFERROR(__xludf.DUMMYFUNCTION("COUNT(IMPORTRANGE(""https://docs.google.com/spreadsheets/d/1ptS0qWBCKWkc9h2aXWT_YgMhN7yIv5WgAHRbF8l9Zpo/edit"",""18!d2:d41""))"),39.0)</f>
        <v>39</v>
      </c>
      <c r="F469" s="45">
        <f>IFERROR(__xludf.DUMMYFUNCTION("SUM(IMPORTRANGE(""https://docs.google.com/spreadsheets/d/1ptS0qWBCKWkc9h2aXWT_YgMhN7yIv5WgAHRbF8l9Zpo/edit"",""18!Q2:Q41""))"),7710.384000000002)</f>
        <v>7710.384</v>
      </c>
      <c r="G469" s="40">
        <f>IFERROR(__xludf.DUMMYFUNCTION("IMPORTRANGE(""https://docs.google.com/spreadsheets/d/1ptS0qWBCKWkc9h2aXWT_YgMhN7yIv5WgAHRbF8l9Zpo/edit"",""18!e48"")"),2172.0)</f>
        <v>2172</v>
      </c>
      <c r="H469" s="40">
        <f>IFERROR(__xludf.DUMMYFUNCTION("IMPORTRANGE(""https://docs.google.com/spreadsheets/d/1ptS0qWBCKWkc9h2aXWT_YgMhN7yIv5WgAHRbF8l9Zpo/edit"",""18!e49"")"),0.0)</f>
        <v>0</v>
      </c>
      <c r="I469" s="40">
        <f t="shared" si="1290"/>
        <v>2172</v>
      </c>
      <c r="J469" s="40">
        <f>IFERROR(__xludf.DUMMYFUNCTION("IMPORTRANGE(""https://docs.google.com/spreadsheets/d/1ptS0qWBCKWkc9h2aXWT_YgMhN7yIv5WgAHRbF8l9Zpo/edit"",""18!e52"")"),3434.0)</f>
        <v>3434</v>
      </c>
      <c r="K469" s="40">
        <f>IFERROR(__xludf.DUMMYFUNCTION("IMPORTRANGE(""https://docs.google.com/spreadsheets/d/1ptS0qWBCKWkc9h2aXWT_YgMhN7yIv5WgAHRbF8l9Zpo/edit"",""18!e53"")"),0.0)</f>
        <v>0</v>
      </c>
      <c r="L469" s="40">
        <f t="shared" si="1291"/>
        <v>3434</v>
      </c>
      <c r="M469" s="40">
        <f t="shared" si="1292"/>
        <v>5606</v>
      </c>
      <c r="N469" s="41">
        <f t="shared" si="1293"/>
        <v>197.7021538</v>
      </c>
      <c r="O469" s="38">
        <v>9354.0</v>
      </c>
      <c r="P469" s="42">
        <f t="shared" si="1294"/>
        <v>0.5993158007</v>
      </c>
      <c r="Q469" s="43">
        <v>1.5</v>
      </c>
      <c r="R469" s="42">
        <f t="shared" si="1295"/>
        <v>0.4847142935</v>
      </c>
      <c r="S469" s="44">
        <f t="shared" si="1296"/>
        <v>0.7270714403</v>
      </c>
      <c r="T469" s="43">
        <f>F469/30.713</f>
        <v>251.0462671</v>
      </c>
      <c r="U469" s="43">
        <f t="shared" si="1297"/>
        <v>6.437083771</v>
      </c>
      <c r="V469" s="40">
        <f t="shared" si="1298"/>
        <v>143.7435897</v>
      </c>
      <c r="X469" s="53" t="s">
        <v>35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6"/>
    </row>
    <row r="470" ht="15.75" customHeight="1">
      <c r="A470" s="21"/>
      <c r="B470" s="38">
        <v>6.0</v>
      </c>
      <c r="C470" s="38" t="s">
        <v>23</v>
      </c>
      <c r="D470" s="39">
        <v>35.0</v>
      </c>
      <c r="E470" s="40">
        <f>IFERROR(__xludf.DUMMYFUNCTION("COUNT(IMPORTRANGE(""https://docs.google.com/spreadsheets/d/1829CoYW82aTBBUgqkPnJa94KlBWI-DowAnP4ENQCmaQ/edit"",""18!d2:d36""))"),32.0)</f>
        <v>32</v>
      </c>
      <c r="F470" s="45">
        <f>IFERROR(__xludf.DUMMYFUNCTION("SUM(IMPORTRANGE(""https://docs.google.com/spreadsheets/d/1829CoYW82aTBBUgqkPnJa94KlBWI-DowAnP4ENQCmaQ/edit"",""18!Q2:Q36""))"),6275.639999999996)</f>
        <v>6275.64</v>
      </c>
      <c r="G470" s="40">
        <f>IFERROR(__xludf.DUMMYFUNCTION("IMPORTRANGE(""https://docs.google.com/spreadsheets/d/1829CoYW82aTBBUgqkPnJa94KlBWI-DowAnP4ENQCmaQ/edit"",""18!e43"")"),1898.0)</f>
        <v>1898</v>
      </c>
      <c r="H470" s="40">
        <f>IFERROR(__xludf.DUMMYFUNCTION("IMPORTRANGE(""https://docs.google.com/spreadsheets/d/1829CoYW82aTBBUgqkPnJa94KlBWI-DowAnP4ENQCmaQ/edit"",""18!e44"")"),0.0)</f>
        <v>0</v>
      </c>
      <c r="I470" s="40">
        <f t="shared" si="1290"/>
        <v>1898</v>
      </c>
      <c r="J470" s="40">
        <f>IFERROR(__xludf.DUMMYFUNCTION("IMPORTRANGE(""https://docs.google.com/spreadsheets/d/1829CoYW82aTBBUgqkPnJa94KlBWI-DowAnP4ENQCmaQ/edit"",""18!e47"")"),2915.0)</f>
        <v>2915</v>
      </c>
      <c r="K470" s="40">
        <f>IFERROR(__xludf.DUMMYFUNCTION("IMPORTRANGE(""https://docs.google.com/spreadsheets/d/1829CoYW82aTBBUgqkPnJa94KlBWI-DowAnP4ENQCmaQ/edit"",""18!e48"")"),0.0)</f>
        <v>0</v>
      </c>
      <c r="L470" s="40">
        <f t="shared" si="1291"/>
        <v>2915</v>
      </c>
      <c r="M470" s="40">
        <f t="shared" si="1292"/>
        <v>4813</v>
      </c>
      <c r="N470" s="41">
        <f t="shared" si="1293"/>
        <v>196.11375</v>
      </c>
      <c r="O470" s="38">
        <v>6853.0</v>
      </c>
      <c r="P470" s="42">
        <f t="shared" si="1294"/>
        <v>0.7023201518</v>
      </c>
      <c r="Q470" s="43">
        <v>1.5</v>
      </c>
      <c r="R470" s="42">
        <f t="shared" si="1295"/>
        <v>0.511289154</v>
      </c>
      <c r="S470" s="44">
        <f t="shared" si="1296"/>
        <v>0.7669337311</v>
      </c>
      <c r="T470" s="43">
        <f>F470/33.74</f>
        <v>186</v>
      </c>
      <c r="U470" s="43">
        <f t="shared" si="1297"/>
        <v>5.8125</v>
      </c>
      <c r="V470" s="40">
        <f t="shared" si="1298"/>
        <v>150.40625</v>
      </c>
      <c r="X470" s="14" t="s">
        <v>2</v>
      </c>
      <c r="Y470" s="14" t="s">
        <v>3</v>
      </c>
      <c r="Z470" s="14" t="s">
        <v>4</v>
      </c>
      <c r="AA470" s="14" t="s">
        <v>5</v>
      </c>
      <c r="AB470" s="15" t="s">
        <v>6</v>
      </c>
      <c r="AC470" s="14" t="s">
        <v>7</v>
      </c>
      <c r="AD470" s="14" t="s">
        <v>8</v>
      </c>
      <c r="AE470" s="14" t="s">
        <v>9</v>
      </c>
      <c r="AF470" s="14" t="s">
        <v>10</v>
      </c>
      <c r="AG470" s="14" t="s">
        <v>11</v>
      </c>
      <c r="AH470" s="14" t="s">
        <v>12</v>
      </c>
      <c r="AI470" s="14" t="s">
        <v>13</v>
      </c>
      <c r="AJ470" s="15" t="s">
        <v>14</v>
      </c>
      <c r="AK470" s="14" t="s">
        <v>15</v>
      </c>
      <c r="AL470" s="14" t="s">
        <v>16</v>
      </c>
      <c r="AM470" s="16" t="s">
        <v>17</v>
      </c>
      <c r="AN470" s="17" t="s">
        <v>18</v>
      </c>
      <c r="AO470" s="18" t="s">
        <v>19</v>
      </c>
      <c r="AP470" s="19" t="s">
        <v>20</v>
      </c>
      <c r="AQ470" s="19" t="s">
        <v>21</v>
      </c>
      <c r="AR470" s="20" t="s">
        <v>22</v>
      </c>
    </row>
    <row r="471" ht="15.75" customHeight="1">
      <c r="A471" s="21"/>
      <c r="B471" s="38">
        <v>7.0</v>
      </c>
      <c r="C471" s="38" t="s">
        <v>24</v>
      </c>
      <c r="D471" s="39">
        <v>44.0</v>
      </c>
      <c r="E471" s="54">
        <f>IFERROR(__xludf.DUMMYFUNCTION("COUNT(IMPORTRANGE(""https://docs.google.com/spreadsheets/d/1E2x4oDZxEIsuC5nl-5Z0--MoN8b1dt9SbpRcCfNP84Q/edit"",""18!d2:d45""))"),43.0)</f>
        <v>43</v>
      </c>
      <c r="F471" s="55">
        <f>IFERROR(__xludf.DUMMYFUNCTION("SUM(IMPORTRANGE(""https://docs.google.com/spreadsheets/d/1E2x4oDZxEIsuC5nl-5Z0--MoN8b1dt9SbpRcCfNP84Q/edit"",""18!Q2:Q45""))"),8175.167999999993)</f>
        <v>8175.168</v>
      </c>
      <c r="G471" s="54">
        <f>IFERROR(__xludf.DUMMYFUNCTION("IMPORTRANGE(""https://docs.google.com/spreadsheets/d/1E2x4oDZxEIsuC5nl-5Z0--MoN8b1dt9SbpRcCfNP84Q/edit"",""18!e53"")"),1057.0)</f>
        <v>1057</v>
      </c>
      <c r="H471" s="54">
        <f>IFERROR(__xludf.DUMMYFUNCTION("IMPORTRANGE(""https://docs.google.com/spreadsheets/d/1E2x4oDZxEIsuC5nl-5Z0--MoN8b1dt9SbpRcCfNP84Q/edit"",""18!e54"")"),0.0)</f>
        <v>0</v>
      </c>
      <c r="I471" s="54">
        <f t="shared" si="1290"/>
        <v>1057</v>
      </c>
      <c r="J471" s="54">
        <f>IFERROR(__xludf.DUMMYFUNCTION("IMPORTRANGE(""https://docs.google.com/spreadsheets/d/1E2x4oDZxEIsuC5nl-5Z0--MoN8b1dt9SbpRcCfNP84Q/edit"",""18!e57"")"),1503.0)</f>
        <v>1503</v>
      </c>
      <c r="K471" s="54">
        <f>IFERROR(__xludf.DUMMYFUNCTION("IMPORTRANGE(""https://docs.google.com/spreadsheets/d/1E2x4oDZxEIsuC5nl-5Z0--MoN8b1dt9SbpRcCfNP84Q/edit"",""18!e58"")"),0.0)</f>
        <v>0</v>
      </c>
      <c r="L471" s="40">
        <f t="shared" si="1291"/>
        <v>1503</v>
      </c>
      <c r="M471" s="40">
        <f t="shared" si="1292"/>
        <v>2560</v>
      </c>
      <c r="N471" s="41">
        <f t="shared" si="1293"/>
        <v>190.120186</v>
      </c>
      <c r="O471" s="38">
        <v>1580.0</v>
      </c>
      <c r="P471" s="56">
        <f t="shared" si="1294"/>
        <v>1.620253165</v>
      </c>
      <c r="Q471" s="43">
        <v>1.5</v>
      </c>
      <c r="R471" s="42">
        <f t="shared" si="1295"/>
        <v>0.2087622746</v>
      </c>
      <c r="S471" s="44">
        <f t="shared" si="1296"/>
        <v>0.3131434119</v>
      </c>
      <c r="T471" s="43">
        <f>F471/26.805</f>
        <v>304.9866816</v>
      </c>
      <c r="U471" s="43">
        <f t="shared" si="1297"/>
        <v>7.092713525</v>
      </c>
      <c r="V471" s="40">
        <f t="shared" si="1298"/>
        <v>59.53488372</v>
      </c>
      <c r="X471" s="22">
        <v>1.0</v>
      </c>
      <c r="Y471" s="22" t="s">
        <v>28</v>
      </c>
      <c r="Z471" s="22">
        <f t="shared" ref="Z471:AI471" si="1307">SUM(D466)</f>
        <v>33</v>
      </c>
      <c r="AA471" s="23">
        <f t="shared" si="1307"/>
        <v>33</v>
      </c>
      <c r="AB471" s="25">
        <f t="shared" si="1307"/>
        <v>6467.039</v>
      </c>
      <c r="AC471" s="23">
        <f t="shared" si="1307"/>
        <v>2563</v>
      </c>
      <c r="AD471" s="23">
        <f t="shared" si="1307"/>
        <v>120</v>
      </c>
      <c r="AE471" s="23">
        <f t="shared" si="1307"/>
        <v>2683</v>
      </c>
      <c r="AF471" s="23">
        <f t="shared" si="1307"/>
        <v>2512</v>
      </c>
      <c r="AG471" s="23">
        <f t="shared" si="1307"/>
        <v>276</v>
      </c>
      <c r="AH471" s="23">
        <f t="shared" si="1307"/>
        <v>2788</v>
      </c>
      <c r="AI471" s="23">
        <f t="shared" si="1307"/>
        <v>5471</v>
      </c>
      <c r="AJ471" s="25">
        <f t="shared" ref="AJ471:AJ477" si="1310">AB471/AA471</f>
        <v>195.9708788</v>
      </c>
      <c r="AK471" s="22">
        <f t="shared" ref="AK471:AK472" si="1311">SUM(O466)</f>
        <v>7315</v>
      </c>
      <c r="AL471" s="26">
        <f t="shared" ref="AL471:AL477" si="1312">AI471/AK471</f>
        <v>0.7479152427</v>
      </c>
      <c r="AM471" s="27">
        <f t="shared" ref="AM471:AM472" si="1313">SUM(Q466)</f>
        <v>1.5</v>
      </c>
      <c r="AN471" s="26">
        <f t="shared" ref="AN471:AN477" si="1314">AO471/AM471</f>
        <v>0.5639881456</v>
      </c>
      <c r="AO471" s="28">
        <f t="shared" ref="AO471:AO477" si="1315">AI471/AB471</f>
        <v>0.8459822184</v>
      </c>
      <c r="AP471" s="27">
        <f t="shared" ref="AP471:AQ471" si="1308">SUM(T466)</f>
        <v>209.3096093</v>
      </c>
      <c r="AQ471" s="27">
        <f t="shared" si="1308"/>
        <v>6.342715435</v>
      </c>
      <c r="AR471" s="23">
        <f t="shared" ref="AR471:AR477" si="1317">AI471/AA471</f>
        <v>165.7878788</v>
      </c>
    </row>
    <row r="472" ht="15.75" customHeight="1">
      <c r="A472" s="21"/>
      <c r="B472" s="38">
        <v>8.0</v>
      </c>
      <c r="C472" s="38" t="s">
        <v>25</v>
      </c>
      <c r="D472" s="57">
        <v>32.0</v>
      </c>
      <c r="E472" s="40">
        <f>IFERROR(__xludf.DUMMYFUNCTION("COUNT(IMPORTRANGE(""https://docs.google.com/spreadsheets/d/1KbRFOEYB0B44J_NSh1MwYQ1sLDlZXUHI-wuMLcZDn5k/edit"",""18!d2:D33""))"),29.0)</f>
        <v>29</v>
      </c>
      <c r="F472" s="45">
        <f>IFERROR(__xludf.DUMMYFUNCTION("SUM(IMPORTRANGE(""https://docs.google.com/spreadsheets/d/1KbRFOEYB0B44J_NSh1MwYQ1sLDlZXUHI-wuMLcZDn5k/edit"",""18!Q2:Q33""))"),5138.404000000001)</f>
        <v>5138.404</v>
      </c>
      <c r="G472" s="40">
        <f>IFERROR(__xludf.DUMMYFUNCTION("IMPORTRANGE(""https://docs.google.com/spreadsheets/d/1KbRFOEYB0B44J_NSh1MwYQ1sLDlZXUHI-wuMLcZDn5k/edit"",""18!e40"")"),2082.0)</f>
        <v>2082</v>
      </c>
      <c r="H472" s="40">
        <f>IFERROR(__xludf.DUMMYFUNCTION("IMPORTRANGE(""https://docs.google.com/spreadsheets/d/1KbRFOEYB0B44J_NSh1MwYQ1sLDlZXUHI-wuMLcZDn5k/edit"",""18!e41"")"),187.0)</f>
        <v>187</v>
      </c>
      <c r="I472" s="40">
        <f t="shared" si="1290"/>
        <v>2269</v>
      </c>
      <c r="J472" s="40">
        <f>IFERROR(__xludf.DUMMYFUNCTION("IMPORTRANGE(""https://docs.google.com/spreadsheets/d/1KbRFOEYB0B44J_NSh1MwYQ1sLDlZXUHI-wuMLcZDn5k/edit"",""18!e44"")"),2494.0)</f>
        <v>2494</v>
      </c>
      <c r="K472" s="40">
        <f>IFERROR(__xludf.DUMMYFUNCTION("IMPORTRANGE(""https://docs.google.com/spreadsheets/d/1KbRFOEYB0B44J_NSh1MwYQ1sLDlZXUHI-wuMLcZDn5k/edit"",""18!e45"")"),431.0)</f>
        <v>431</v>
      </c>
      <c r="L472" s="40">
        <f>J472+K472</f>
        <v>2925</v>
      </c>
      <c r="M472" s="40">
        <f t="shared" si="1292"/>
        <v>5194</v>
      </c>
      <c r="N472" s="41">
        <f t="shared" si="1293"/>
        <v>177.1863448</v>
      </c>
      <c r="O472" s="38">
        <v>6622.0</v>
      </c>
      <c r="P472" s="42">
        <f t="shared" si="1294"/>
        <v>0.7843551797</v>
      </c>
      <c r="Q472" s="43">
        <v>1.5</v>
      </c>
      <c r="R472" s="42">
        <f t="shared" si="1295"/>
        <v>0.6738798013</v>
      </c>
      <c r="S472" s="44">
        <f t="shared" si="1296"/>
        <v>1.010819702</v>
      </c>
      <c r="T472" s="43">
        <f>F472/23.84</f>
        <v>215.5370805</v>
      </c>
      <c r="U472" s="43">
        <f t="shared" si="1297"/>
        <v>7.432313122</v>
      </c>
      <c r="V472" s="40">
        <f t="shared" si="1298"/>
        <v>179.1034483</v>
      </c>
      <c r="X472" s="31">
        <v>2.0</v>
      </c>
      <c r="Y472" s="31" t="s">
        <v>30</v>
      </c>
      <c r="Z472" s="31">
        <f t="shared" ref="Z472:AI472" si="1309">SUM(D467)</f>
        <v>60</v>
      </c>
      <c r="AA472" s="32">
        <f t="shared" si="1309"/>
        <v>59</v>
      </c>
      <c r="AB472" s="33">
        <f t="shared" si="1309"/>
        <v>11650.883</v>
      </c>
      <c r="AC472" s="32">
        <f t="shared" si="1309"/>
        <v>2923</v>
      </c>
      <c r="AD472" s="32">
        <f t="shared" si="1309"/>
        <v>197</v>
      </c>
      <c r="AE472" s="32">
        <f t="shared" si="1309"/>
        <v>3120</v>
      </c>
      <c r="AF472" s="32">
        <f t="shared" si="1309"/>
        <v>5131</v>
      </c>
      <c r="AG472" s="32">
        <f t="shared" si="1309"/>
        <v>29</v>
      </c>
      <c r="AH472" s="32">
        <f t="shared" si="1309"/>
        <v>5160</v>
      </c>
      <c r="AI472" s="32">
        <f t="shared" si="1309"/>
        <v>8280</v>
      </c>
      <c r="AJ472" s="34">
        <f t="shared" si="1310"/>
        <v>197.4725932</v>
      </c>
      <c r="AK472" s="31">
        <f t="shared" si="1311"/>
        <v>11164</v>
      </c>
      <c r="AL472" s="35">
        <f t="shared" si="1312"/>
        <v>0.7416696525</v>
      </c>
      <c r="AM472" s="36">
        <f t="shared" si="1313"/>
        <v>1.5</v>
      </c>
      <c r="AN472" s="35">
        <f t="shared" si="1314"/>
        <v>0.4737838325</v>
      </c>
      <c r="AO472" s="37">
        <f t="shared" si="1315"/>
        <v>0.7106757488</v>
      </c>
      <c r="AP472" s="36">
        <f t="shared" ref="AP472:AQ472" si="1316">SUM(T467)</f>
        <v>393.5710232</v>
      </c>
      <c r="AQ472" s="36">
        <f t="shared" si="1316"/>
        <v>6.670695309</v>
      </c>
      <c r="AR472" s="32">
        <f t="shared" si="1317"/>
        <v>140.3389831</v>
      </c>
    </row>
    <row r="473" ht="15.75" customHeight="1">
      <c r="A473" s="21"/>
      <c r="B473" s="38">
        <v>9.0</v>
      </c>
      <c r="C473" s="38" t="s">
        <v>36</v>
      </c>
      <c r="D473" s="58">
        <v>29.0</v>
      </c>
      <c r="E473" s="40">
        <f>IFERROR(__xludf.DUMMYFUNCTION("COUNT(IMPORTRANGE(""https://docs.google.com/spreadsheets/d/1VqqqRGfmmkT0JC4ILJva2p8P11jjV0FX-TSKAaqOigw/edit"",""18!d2:d31""))"),29.0)</f>
        <v>29</v>
      </c>
      <c r="F473" s="45">
        <f>IFERROR(__xludf.DUMMYFUNCTION("SUM(IMPORTRANGE(""https://docs.google.com/spreadsheets/d/1VqqqRGfmmkT0JC4ILJva2p8P11jjV0FX-TSKAaqOigw/edit"",""18!Q2:Q31""))"),5791.189999999997)</f>
        <v>5791.19</v>
      </c>
      <c r="G473" s="40">
        <f>IFERROR(__xludf.DUMMYFUNCTION("IMPORTRANGE(""https://docs.google.com/spreadsheets/d/1VqqqRGfmmkT0JC4ILJva2p8P11jjV0FX-TSKAaqOigw/edit"",""18!e38"")"),1509.0)</f>
        <v>1509</v>
      </c>
      <c r="H473" s="40">
        <f>IFERROR(__xludf.DUMMYFUNCTION("IMPORTRANGE(""https://docs.google.com/spreadsheets/d/1VqqqRGfmmkT0JC4ILJva2p8P11jjV0FX-TSKAaqOigw/edit"",""18!e39"")"),0.0)</f>
        <v>0</v>
      </c>
      <c r="I473" s="40">
        <f t="shared" si="1290"/>
        <v>1509</v>
      </c>
      <c r="J473" s="40">
        <f>IFERROR(__xludf.DUMMYFUNCTION("IMPORTRANGE(""https://docs.google.com/spreadsheets/d/1VqqqRGfmmkT0JC4ILJva2p8P11jjV0FX-TSKAaqOigw/edit"",""18!e42"")"),2462.0)</f>
        <v>2462</v>
      </c>
      <c r="K473" s="40">
        <f>IFERROR(__xludf.DUMMYFUNCTION("IMPORTRANGE(""https://docs.google.com/spreadsheets/d/1VqqqRGfmmkT0JC4ILJva2p8P11jjV0FX-TSKAaqOigw/edit"",""18!e43"")"),0.0)</f>
        <v>0</v>
      </c>
      <c r="L473" s="40">
        <f t="shared" ref="L473:L482" si="1320">SUM(J473:K473)</f>
        <v>2462</v>
      </c>
      <c r="M473" s="40">
        <f t="shared" si="1292"/>
        <v>3971</v>
      </c>
      <c r="N473" s="41">
        <f t="shared" si="1293"/>
        <v>199.6962069</v>
      </c>
      <c r="O473" s="38">
        <v>4796.0</v>
      </c>
      <c r="P473" s="42">
        <f t="shared" si="1294"/>
        <v>0.8279816514</v>
      </c>
      <c r="Q473" s="43">
        <v>1.5</v>
      </c>
      <c r="R473" s="42">
        <f t="shared" si="1295"/>
        <v>0.4571311481</v>
      </c>
      <c r="S473" s="44">
        <f t="shared" si="1296"/>
        <v>0.6856967221</v>
      </c>
      <c r="T473" s="43">
        <f>F473/37.414</f>
        <v>154.7867109</v>
      </c>
      <c r="U473" s="43">
        <f t="shared" si="1297"/>
        <v>5.337472788</v>
      </c>
      <c r="V473" s="40">
        <f t="shared" si="1298"/>
        <v>136.9310345</v>
      </c>
      <c r="X473" s="22">
        <v>3.0</v>
      </c>
      <c r="Y473" s="22" t="s">
        <v>34</v>
      </c>
      <c r="Z473" s="22">
        <f t="shared" ref="Z473:AI473" si="1318">SUM(D469)</f>
        <v>40</v>
      </c>
      <c r="AA473" s="23">
        <f t="shared" si="1318"/>
        <v>39</v>
      </c>
      <c r="AB473" s="24">
        <f t="shared" si="1318"/>
        <v>7710.384</v>
      </c>
      <c r="AC473" s="23">
        <f t="shared" si="1318"/>
        <v>2172</v>
      </c>
      <c r="AD473" s="23">
        <f t="shared" si="1318"/>
        <v>0</v>
      </c>
      <c r="AE473" s="23">
        <f t="shared" si="1318"/>
        <v>2172</v>
      </c>
      <c r="AF473" s="23">
        <f t="shared" si="1318"/>
        <v>3434</v>
      </c>
      <c r="AG473" s="23">
        <f t="shared" si="1318"/>
        <v>0</v>
      </c>
      <c r="AH473" s="23">
        <f t="shared" si="1318"/>
        <v>3434</v>
      </c>
      <c r="AI473" s="23">
        <f t="shared" si="1318"/>
        <v>5606</v>
      </c>
      <c r="AJ473" s="25">
        <f t="shared" si="1310"/>
        <v>197.7021538</v>
      </c>
      <c r="AK473" s="22">
        <f>SUM(O469)</f>
        <v>9354</v>
      </c>
      <c r="AL473" s="26">
        <f t="shared" si="1312"/>
        <v>0.5993158007</v>
      </c>
      <c r="AM473" s="27">
        <f>SUM(Q469)</f>
        <v>1.5</v>
      </c>
      <c r="AN473" s="26">
        <f t="shared" si="1314"/>
        <v>0.4847142935</v>
      </c>
      <c r="AO473" s="28">
        <f t="shared" si="1315"/>
        <v>0.7270714403</v>
      </c>
      <c r="AP473" s="27">
        <f t="shared" ref="AP473:AQ473" si="1319">SUM(T469)</f>
        <v>251.0462671</v>
      </c>
      <c r="AQ473" s="27">
        <f t="shared" si="1319"/>
        <v>6.437083771</v>
      </c>
      <c r="AR473" s="23">
        <f t="shared" si="1317"/>
        <v>143.7435897</v>
      </c>
    </row>
    <row r="474" ht="15.75" customHeight="1">
      <c r="A474" s="21"/>
      <c r="B474" s="38">
        <v>10.0</v>
      </c>
      <c r="C474" s="38" t="s">
        <v>37</v>
      </c>
      <c r="D474" s="39">
        <v>30.0</v>
      </c>
      <c r="E474" s="40">
        <f>IFERROR(__xludf.DUMMYFUNCTION("COUNT(IMPORTRANGE(""https://docs.google.com/spreadsheets/d/1IYeRjQd_D6MRqoBKNaky3aSEUloYCJc5XDnPAbdyetk/edit"",""18!d2:d31""))"),30.0)</f>
        <v>30</v>
      </c>
      <c r="F474" s="45">
        <f>IFERROR(__xludf.DUMMYFUNCTION("SUM(IMPORTRANGE(""https://docs.google.com/spreadsheets/d/1IYeRjQd_D6MRqoBKNaky3aSEUloYCJc5XDnPAbdyetk/edit"",""18!Q2:Q31""))"),5985.732000000001)</f>
        <v>5985.732</v>
      </c>
      <c r="G474" s="40">
        <f>IFERROR(__xludf.DUMMYFUNCTION("(IMPORTRANGE(""https://docs.google.com/spreadsheets/d/1IYeRjQd_D6MRqoBKNaky3aSEUloYCJc5XDnPAbdyetk/edit"",""18!e38""))"),2105.0)</f>
        <v>2105</v>
      </c>
      <c r="H474" s="40">
        <f>IFERROR(__xludf.DUMMYFUNCTION("(IMPORTRANGE(""https://docs.google.com/spreadsheets/d/1IYeRjQd_D6MRqoBKNaky3aSEUloYCJc5XDnPAbdyetk/edit"",""18!e39""))"),0.0)</f>
        <v>0</v>
      </c>
      <c r="I474" s="40">
        <f t="shared" si="1290"/>
        <v>2105</v>
      </c>
      <c r="J474" s="40">
        <f>IFERROR(__xludf.DUMMYFUNCTION("(IMPORTRANGE(""https://docs.google.com/spreadsheets/d/1IYeRjQd_D6MRqoBKNaky3aSEUloYCJc5XDnPAbdyetk/edit"",""18!e42""))"),2715.0)</f>
        <v>2715</v>
      </c>
      <c r="K474" s="40">
        <f>IFERROR(__xludf.DUMMYFUNCTION("(IMPORTRANGE(""https://docs.google.com/spreadsheets/d/1IYeRjQd_D6MRqoBKNaky3aSEUloYCJc5XDnPAbdyetk/edit"",""18!e43""))"),0.0)</f>
        <v>0</v>
      </c>
      <c r="L474" s="40">
        <f t="shared" si="1320"/>
        <v>2715</v>
      </c>
      <c r="M474" s="40">
        <f t="shared" si="1292"/>
        <v>4820</v>
      </c>
      <c r="N474" s="41">
        <f t="shared" si="1293"/>
        <v>199.5244</v>
      </c>
      <c r="O474" s="38">
        <v>5887.0</v>
      </c>
      <c r="P474" s="42">
        <f t="shared" si="1294"/>
        <v>0.818753185</v>
      </c>
      <c r="Q474" s="43">
        <v>1.5</v>
      </c>
      <c r="R474" s="42">
        <f t="shared" si="1295"/>
        <v>0.5368321424</v>
      </c>
      <c r="S474" s="44">
        <f t="shared" si="1296"/>
        <v>0.8052482136</v>
      </c>
      <c r="T474" s="43">
        <f>F474/24.792</f>
        <v>241.4380445</v>
      </c>
      <c r="U474" s="43">
        <f t="shared" si="1297"/>
        <v>8.047934818</v>
      </c>
      <c r="V474" s="40">
        <f t="shared" si="1298"/>
        <v>160.6666667</v>
      </c>
      <c r="X474" s="31">
        <v>4.0</v>
      </c>
      <c r="Y474" s="31" t="s">
        <v>38</v>
      </c>
      <c r="Z474" s="31">
        <f t="shared" ref="Z474:AI474" si="1321">SUM(D477)</f>
        <v>30</v>
      </c>
      <c r="AA474" s="32">
        <f t="shared" si="1321"/>
        <v>30</v>
      </c>
      <c r="AB474" s="33">
        <f t="shared" si="1321"/>
        <v>6470.216</v>
      </c>
      <c r="AC474" s="32">
        <f t="shared" si="1321"/>
        <v>1983</v>
      </c>
      <c r="AD474" s="32">
        <f t="shared" si="1321"/>
        <v>0</v>
      </c>
      <c r="AE474" s="32">
        <f t="shared" si="1321"/>
        <v>1983</v>
      </c>
      <c r="AF474" s="32">
        <f t="shared" si="1321"/>
        <v>2180</v>
      </c>
      <c r="AG474" s="32">
        <f t="shared" si="1321"/>
        <v>0</v>
      </c>
      <c r="AH474" s="32">
        <f t="shared" si="1321"/>
        <v>2180</v>
      </c>
      <c r="AI474" s="32">
        <f t="shared" si="1321"/>
        <v>4163</v>
      </c>
      <c r="AJ474" s="34">
        <f t="shared" si="1310"/>
        <v>215.6738667</v>
      </c>
      <c r="AK474" s="31">
        <v>7324.0</v>
      </c>
      <c r="AL474" s="35">
        <f t="shared" si="1312"/>
        <v>0.568405243</v>
      </c>
      <c r="AM474" s="36">
        <f>SUM(Q477)</f>
        <v>1.5</v>
      </c>
      <c r="AN474" s="35">
        <f t="shared" si="1314"/>
        <v>0.4289398273</v>
      </c>
      <c r="AO474" s="37">
        <f t="shared" si="1315"/>
        <v>0.6434097409</v>
      </c>
      <c r="AP474" s="36">
        <f t="shared" ref="AP474:AQ474" si="1322">SUM(T477)</f>
        <v>157.0250212</v>
      </c>
      <c r="AQ474" s="36">
        <f t="shared" si="1322"/>
        <v>5.234167375</v>
      </c>
      <c r="AR474" s="32">
        <f t="shared" si="1317"/>
        <v>138.7666667</v>
      </c>
    </row>
    <row r="475" ht="15.75" customHeight="1">
      <c r="A475" s="21"/>
      <c r="B475" s="38">
        <v>12.0</v>
      </c>
      <c r="C475" s="38" t="s">
        <v>39</v>
      </c>
      <c r="D475" s="39">
        <v>28.0</v>
      </c>
      <c r="E475" s="40">
        <f>IFERROR(__xludf.DUMMYFUNCTION("COUNT(IMPORTRANGE(""https://docs.google.com/spreadsheets/d/1TAY2D35yAzyl8a_p5CuZehQvmatfj0b0Q8ICl8GtJBY/edit"",""18!d2:d29""))"),28.0)</f>
        <v>28</v>
      </c>
      <c r="F475" s="45">
        <f>IFERROR(__xludf.DUMMYFUNCTION("SUM(IMPORTRANGE(""https://docs.google.com/spreadsheets/d/1TAY2D35yAzyl8a_p5CuZehQvmatfj0b0Q8ICl8GtJBY/edit"",""18!Q2:Q29""))"),5072.544000000002)</f>
        <v>5072.544</v>
      </c>
      <c r="G475" s="40">
        <f>IFERROR(__xludf.DUMMYFUNCTION("IMPORTRANGE(""https://docs.google.com/spreadsheets/d/1TAY2D35yAzyl8a_p5CuZehQvmatfj0b0Q8ICl8GtJBY/edit"",""18!e36"")"),1246.0)</f>
        <v>1246</v>
      </c>
      <c r="H475" s="40">
        <f>IFERROR(__xludf.DUMMYFUNCTION("(IMPORTRANGE(""https://docs.google.com/spreadsheets/d/1TAY2D35yAzyl8a_p5CuZehQvmatfj0b0Q8ICl8GtJBY/edit"",""18!e37""))"),0.0)</f>
        <v>0</v>
      </c>
      <c r="I475" s="40">
        <f t="shared" si="1290"/>
        <v>1246</v>
      </c>
      <c r="J475" s="40">
        <f>IFERROR(__xludf.DUMMYFUNCTION("IMPORTRANGE(""https://docs.google.com/spreadsheets/d/1TAY2D35yAzyl8a_p5CuZehQvmatfj0b0Q8ICl8GtJBY/edit"",""18!e40"")"),1860.0)</f>
        <v>1860</v>
      </c>
      <c r="K475" s="40">
        <f>IFERROR(__xludf.DUMMYFUNCTION("IMPORTRANGE(""https://docs.google.com/spreadsheets/d/1TAY2D35yAzyl8a_p5CuZehQvmatfj0b0Q8ICl8GtJBY/edit"",""18!e41"")"),0.0)</f>
        <v>0</v>
      </c>
      <c r="L475" s="40">
        <f t="shared" si="1320"/>
        <v>1860</v>
      </c>
      <c r="M475" s="40">
        <f t="shared" si="1292"/>
        <v>3106</v>
      </c>
      <c r="N475" s="41">
        <f t="shared" si="1293"/>
        <v>181.1622857</v>
      </c>
      <c r="O475" s="38">
        <v>3569.0</v>
      </c>
      <c r="P475" s="42">
        <f t="shared" si="1294"/>
        <v>0.8702717848</v>
      </c>
      <c r="Q475" s="43">
        <v>1.5</v>
      </c>
      <c r="R475" s="42">
        <f t="shared" si="1295"/>
        <v>0.4082106861</v>
      </c>
      <c r="S475" s="44">
        <f t="shared" si="1296"/>
        <v>0.6123160292</v>
      </c>
      <c r="T475" s="43">
        <f>F475/21.463</f>
        <v>236.339002</v>
      </c>
      <c r="U475" s="43">
        <f t="shared" si="1297"/>
        <v>8.440678643</v>
      </c>
      <c r="V475" s="40">
        <f t="shared" si="1298"/>
        <v>110.9285714</v>
      </c>
      <c r="X475" s="31">
        <v>5.0</v>
      </c>
      <c r="Y475" s="31" t="s">
        <v>40</v>
      </c>
      <c r="Z475" s="31">
        <f t="shared" ref="Z475:AI475" si="1323">SUM(D479)</f>
        <v>30</v>
      </c>
      <c r="AA475" s="32">
        <f t="shared" si="1323"/>
        <v>30</v>
      </c>
      <c r="AB475" s="33">
        <f t="shared" si="1323"/>
        <v>5973.03</v>
      </c>
      <c r="AC475" s="32">
        <f t="shared" si="1323"/>
        <v>3163</v>
      </c>
      <c r="AD475" s="32">
        <f t="shared" si="1323"/>
        <v>8</v>
      </c>
      <c r="AE475" s="32">
        <f t="shared" si="1323"/>
        <v>3171</v>
      </c>
      <c r="AF475" s="32">
        <f t="shared" si="1323"/>
        <v>3758</v>
      </c>
      <c r="AG475" s="32">
        <f t="shared" si="1323"/>
        <v>28</v>
      </c>
      <c r="AH475" s="32">
        <f t="shared" si="1323"/>
        <v>3786</v>
      </c>
      <c r="AI475" s="32">
        <f t="shared" si="1323"/>
        <v>6957</v>
      </c>
      <c r="AJ475" s="34">
        <f t="shared" si="1310"/>
        <v>199.101</v>
      </c>
      <c r="AK475" s="31">
        <f t="shared" ref="AK475:AK476" si="1326">SUM(O479)</f>
        <v>8239</v>
      </c>
      <c r="AL475" s="35">
        <f t="shared" si="1312"/>
        <v>0.8443985921</v>
      </c>
      <c r="AM475" s="36">
        <f t="shared" ref="AM475:AM476" si="1327">SUM(Q479)</f>
        <v>1.5</v>
      </c>
      <c r="AN475" s="35">
        <f t="shared" si="1314"/>
        <v>0.776490324</v>
      </c>
      <c r="AO475" s="37">
        <f t="shared" si="1315"/>
        <v>1.164735486</v>
      </c>
      <c r="AP475" s="36">
        <f t="shared" ref="AP475:AQ475" si="1324">SUM(T479)</f>
        <v>210</v>
      </c>
      <c r="AQ475" s="36">
        <f t="shared" si="1324"/>
        <v>7</v>
      </c>
      <c r="AR475" s="32">
        <f t="shared" si="1317"/>
        <v>231.9</v>
      </c>
    </row>
    <row r="476" ht="15.75" customHeight="1">
      <c r="A476" s="21"/>
      <c r="B476" s="38">
        <v>12.0</v>
      </c>
      <c r="C476" s="38" t="s">
        <v>41</v>
      </c>
      <c r="D476" s="39">
        <v>24.0</v>
      </c>
      <c r="E476" s="40">
        <f>IFERROR(__xludf.DUMMYFUNCTION("COUNT(IMPORTRANGE(""https://docs.google.com/spreadsheets/d/1VAsUtLQHi7oV9NsI9EIHPnO1bcPJHeRgSbMoxSvPBME/edit"",""18!d2:d25""))"),23.0)</f>
        <v>23</v>
      </c>
      <c r="F476" s="45">
        <f>IFERROR(__xludf.DUMMYFUNCTION("SUM(IMPORTRANGE(""https://docs.google.com/spreadsheets/d/1VAsUtLQHi7oV9NsI9EIHPnO1bcPJHeRgSbMoxSvPBME/edit"",""18!Q2:Q25""))"),4526.500000000001)</f>
        <v>4526.5</v>
      </c>
      <c r="G476" s="40">
        <f>IFERROR(__xludf.DUMMYFUNCTION("IMPORTRANGE(""https://docs.google.com/spreadsheets/d/1VAsUtLQHi7oV9NsI9EIHPnO1bcPJHeRgSbMoxSvPBME/edit"",""18!e32"")"),1182.0)</f>
        <v>1182</v>
      </c>
      <c r="H476" s="40">
        <f>IFERROR(__xludf.DUMMYFUNCTION("IMPORTRANGE(""https://docs.google.com/spreadsheets/d/1VAsUtLQHi7oV9NsI9EIHPnO1bcPJHeRgSbMoxSvPBME/edit"",""18!e33"")"),52.0)</f>
        <v>52</v>
      </c>
      <c r="I476" s="40">
        <f t="shared" si="1290"/>
        <v>1234</v>
      </c>
      <c r="J476" s="40">
        <f>IFERROR(__xludf.DUMMYFUNCTION("IMPORTRANGE(""https://docs.google.com/spreadsheets/d/1VAsUtLQHi7oV9NsI9EIHPnO1bcPJHeRgSbMoxSvPBME/edit"",""18!e36"")"),1724.0)</f>
        <v>1724</v>
      </c>
      <c r="K476" s="40">
        <f>IFERROR(__xludf.DUMMYFUNCTION("IMPORTRANGE(""https://docs.google.com/spreadsheets/d/1VAsUtLQHi7oV9NsI9EIHPnO1bcPJHeRgSbMoxSvPBME/edit"",""18!e37"")"),0.0)</f>
        <v>0</v>
      </c>
      <c r="L476" s="40">
        <f t="shared" si="1320"/>
        <v>1724</v>
      </c>
      <c r="M476" s="40">
        <f t="shared" si="1292"/>
        <v>2958</v>
      </c>
      <c r="N476" s="41">
        <f t="shared" si="1293"/>
        <v>196.8043478</v>
      </c>
      <c r="O476" s="38">
        <v>3801.0</v>
      </c>
      <c r="P476" s="42">
        <f t="shared" si="1294"/>
        <v>0.7782162589</v>
      </c>
      <c r="Q476" s="43">
        <v>1.5</v>
      </c>
      <c r="R476" s="42">
        <f t="shared" si="1295"/>
        <v>0.4356566884</v>
      </c>
      <c r="S476" s="44">
        <f t="shared" si="1296"/>
        <v>0.6534850326</v>
      </c>
      <c r="T476" s="43">
        <f>F476/29.628</f>
        <v>152.7777778</v>
      </c>
      <c r="U476" s="43">
        <f t="shared" si="1297"/>
        <v>6.642512077</v>
      </c>
      <c r="V476" s="40">
        <f t="shared" si="1298"/>
        <v>128.6086957</v>
      </c>
      <c r="X476" s="22">
        <v>6.0</v>
      </c>
      <c r="Y476" s="22" t="s">
        <v>42</v>
      </c>
      <c r="Z476" s="22">
        <f t="shared" ref="Z476:AI476" si="1325">SUM(D480)</f>
        <v>33</v>
      </c>
      <c r="AA476" s="23">
        <f t="shared" si="1325"/>
        <v>33</v>
      </c>
      <c r="AB476" s="24">
        <f t="shared" si="1325"/>
        <v>6335.665</v>
      </c>
      <c r="AC476" s="23">
        <f t="shared" si="1325"/>
        <v>2718</v>
      </c>
      <c r="AD476" s="23">
        <f t="shared" si="1325"/>
        <v>0</v>
      </c>
      <c r="AE476" s="23">
        <f t="shared" si="1325"/>
        <v>2718</v>
      </c>
      <c r="AF476" s="23">
        <f t="shared" si="1325"/>
        <v>3996</v>
      </c>
      <c r="AG476" s="23">
        <f t="shared" si="1325"/>
        <v>0</v>
      </c>
      <c r="AH476" s="23">
        <f t="shared" si="1325"/>
        <v>3996</v>
      </c>
      <c r="AI476" s="23">
        <f t="shared" si="1325"/>
        <v>6714</v>
      </c>
      <c r="AJ476" s="25">
        <f t="shared" si="1310"/>
        <v>191.9898485</v>
      </c>
      <c r="AK476" s="22">
        <f t="shared" si="1326"/>
        <v>9877</v>
      </c>
      <c r="AL476" s="26">
        <f t="shared" si="1312"/>
        <v>0.6797610611</v>
      </c>
      <c r="AM476" s="27">
        <f t="shared" si="1327"/>
        <v>1.5</v>
      </c>
      <c r="AN476" s="26">
        <f t="shared" si="1314"/>
        <v>0.7064767471</v>
      </c>
      <c r="AO476" s="28">
        <f t="shared" si="1315"/>
        <v>1.059715121</v>
      </c>
      <c r="AP476" s="27">
        <f t="shared" ref="AP476:AQ476" si="1328">SUM(T480)</f>
        <v>242.2353279</v>
      </c>
      <c r="AQ476" s="27">
        <f t="shared" si="1328"/>
        <v>7.34046448</v>
      </c>
      <c r="AR476" s="23">
        <f t="shared" si="1317"/>
        <v>203.4545455</v>
      </c>
    </row>
    <row r="477" ht="15.75" customHeight="1">
      <c r="A477" s="21"/>
      <c r="B477" s="38">
        <v>13.0</v>
      </c>
      <c r="C477" s="38" t="s">
        <v>43</v>
      </c>
      <c r="D477" s="39">
        <v>30.0</v>
      </c>
      <c r="E477" s="40">
        <f>IFERROR(__xludf.DUMMYFUNCTION("COUNT(IMPORTRANGE(""https://docs.google.com/spreadsheets/d/1p9Y_DGk7-TpRBFth-ljZceOIGCjQ0ylUeUq6xqnsZ-Q/edit"",""18!d2:d31""))"),30.0)</f>
        <v>30</v>
      </c>
      <c r="F477" s="45">
        <f>IFERROR(__xludf.DUMMYFUNCTION("SUM(IMPORTRANGE(""https://docs.google.com/spreadsheets/d/1p9Y_DGk7-TpRBFth-ljZceOIGCjQ0ylUeUq6xqnsZ-Q/edit"",""18!Q2:Q31""))"),6470.216)</f>
        <v>6470.216</v>
      </c>
      <c r="G477" s="40">
        <f>IFERROR(__xludf.DUMMYFUNCTION("IMPORTRANGE(""https://docs.google.com/spreadsheets/d/1p9Y_DGk7-TpRBFth-ljZceOIGCjQ0ylUeUq6xqnsZ-Q/edit"",""18!e38"")"),1983.0)</f>
        <v>1983</v>
      </c>
      <c r="H477" s="40">
        <f>IFERROR(__xludf.DUMMYFUNCTION("IMPORTRANGE(""https://docs.google.com/spreadsheets/d/1p9Y_DGk7-TpRBFth-ljZceOIGCjQ0ylUeUq6xqnsZ-Q/edit"",""18!e39"")"),0.0)</f>
        <v>0</v>
      </c>
      <c r="I477" s="40">
        <f t="shared" si="1290"/>
        <v>1983</v>
      </c>
      <c r="J477" s="40">
        <f>IFERROR(__xludf.DUMMYFUNCTION("IMPORTRANGE(""https://docs.google.com/spreadsheets/d/1p9Y_DGk7-TpRBFth-ljZceOIGCjQ0ylUeUq6xqnsZ-Q/edit"",""18!e42"")"),2180.0)</f>
        <v>2180</v>
      </c>
      <c r="K477" s="40">
        <f>IFERROR(__xludf.DUMMYFUNCTION("IMPORTRANGE(""https://docs.google.com/spreadsheets/d/1p9Y_DGk7-TpRBFth-ljZceOIGCjQ0ylUeUq6xqnsZ-Q/edit"",""18!e43"")"),0.0)</f>
        <v>0</v>
      </c>
      <c r="L477" s="40">
        <f t="shared" si="1320"/>
        <v>2180</v>
      </c>
      <c r="M477" s="40">
        <f t="shared" si="1292"/>
        <v>4163</v>
      </c>
      <c r="N477" s="41">
        <f t="shared" si="1293"/>
        <v>215.6738667</v>
      </c>
      <c r="O477" s="38">
        <v>8345.0</v>
      </c>
      <c r="P477" s="42">
        <f t="shared" si="1294"/>
        <v>0.4988615938</v>
      </c>
      <c r="Q477" s="43">
        <v>1.5</v>
      </c>
      <c r="R477" s="42">
        <f t="shared" si="1295"/>
        <v>0.4289398273</v>
      </c>
      <c r="S477" s="44">
        <f t="shared" si="1296"/>
        <v>0.6434097409</v>
      </c>
      <c r="T477" s="43">
        <f>F477/41.205</f>
        <v>157.0250212</v>
      </c>
      <c r="U477" s="43">
        <f t="shared" si="1297"/>
        <v>5.234167375</v>
      </c>
      <c r="V477" s="40">
        <f t="shared" si="1298"/>
        <v>138.7666667</v>
      </c>
      <c r="X477" s="46" t="s">
        <v>33</v>
      </c>
      <c r="Y477" s="46">
        <v>6.0</v>
      </c>
      <c r="Z477" s="46">
        <f t="shared" ref="Z477:AI477" si="1329">SUM(Z471:Z476)</f>
        <v>226</v>
      </c>
      <c r="AA477" s="47">
        <f t="shared" si="1329"/>
        <v>224</v>
      </c>
      <c r="AB477" s="49">
        <f t="shared" si="1329"/>
        <v>44607.217</v>
      </c>
      <c r="AC477" s="47">
        <f t="shared" si="1329"/>
        <v>15522</v>
      </c>
      <c r="AD477" s="47">
        <f t="shared" si="1329"/>
        <v>325</v>
      </c>
      <c r="AE477" s="47">
        <f t="shared" si="1329"/>
        <v>15847</v>
      </c>
      <c r="AF477" s="47">
        <f t="shared" si="1329"/>
        <v>21011</v>
      </c>
      <c r="AG477" s="47">
        <f t="shared" si="1329"/>
        <v>333</v>
      </c>
      <c r="AH477" s="47">
        <f t="shared" si="1329"/>
        <v>21344</v>
      </c>
      <c r="AI477" s="47">
        <f t="shared" si="1329"/>
        <v>37191</v>
      </c>
      <c r="AJ477" s="49">
        <f t="shared" si="1310"/>
        <v>199.1393616</v>
      </c>
      <c r="AK477" s="46">
        <f>SUM(AK471:AK476)</f>
        <v>53273</v>
      </c>
      <c r="AL477" s="50">
        <f t="shared" si="1312"/>
        <v>0.6981209994</v>
      </c>
      <c r="AM477" s="51">
        <v>1.5</v>
      </c>
      <c r="AN477" s="50">
        <f t="shared" si="1314"/>
        <v>0.5558293404</v>
      </c>
      <c r="AO477" s="52">
        <f t="shared" si="1315"/>
        <v>0.8337440105</v>
      </c>
      <c r="AP477" s="51">
        <f>SUM(AP471:AP476)</f>
        <v>1463.187249</v>
      </c>
      <c r="AQ477" s="51">
        <f>AP477/AA477</f>
        <v>6.532085932</v>
      </c>
      <c r="AR477" s="47">
        <f t="shared" si="1317"/>
        <v>166.03125</v>
      </c>
    </row>
    <row r="478" ht="15.75" customHeight="1">
      <c r="A478" s="21"/>
      <c r="B478" s="38">
        <v>14.0</v>
      </c>
      <c r="C478" s="38" t="s">
        <v>27</v>
      </c>
      <c r="D478" s="39">
        <v>30.0</v>
      </c>
      <c r="E478" s="40">
        <f>IFERROR(__xludf.DUMMYFUNCTION("COUNT(IMPORTRANGE(""https://docs.google.com/spreadsheets/d/1zJUDEKztv_fercXA0LYNw155qdzS7TJGhWLhquaW5IY/edit"",""18!d2:d31""))"),30.0)</f>
        <v>30</v>
      </c>
      <c r="F478" s="45">
        <f>IFERROR(__xludf.DUMMYFUNCTION("SUM(IMPORTRANGE(""https://docs.google.com/spreadsheets/d/1zJUDEKztv_fercXA0LYNw155qdzS7TJGhWLhquaW5IY/edit"",""18!Q2:Q31""))"),5645.625)</f>
        <v>5645.625</v>
      </c>
      <c r="G478" s="40">
        <f>IFERROR(__xludf.DUMMYFUNCTION("IMPORTRANGE(""https://docs.google.com/spreadsheets/d/1zJUDEKztv_fercXA0LYNw155qdzS7TJGhWLhquaW5IY/edit"",""18!e38"")"),2424.0)</f>
        <v>2424</v>
      </c>
      <c r="H478" s="40">
        <f>IFERROR(__xludf.DUMMYFUNCTION("IMPORTRANGE(""https://docs.google.com/spreadsheets/d/1zJUDEKztv_fercXA0LYNw155qdzS7TJGhWLhquaW5IY/edit"",""18!e39"")"),0.0)</f>
        <v>0</v>
      </c>
      <c r="I478" s="40">
        <f t="shared" si="1290"/>
        <v>2424</v>
      </c>
      <c r="J478" s="40">
        <f>IFERROR(__xludf.DUMMYFUNCTION("IMPORTRANGE(""https://docs.google.com/spreadsheets/d/1zJUDEKztv_fercXA0LYNw155qdzS7TJGhWLhquaW5IY/edit"",""18!e42"")"),2656.0)</f>
        <v>2656</v>
      </c>
      <c r="K478" s="40">
        <f>IFERROR(__xludf.DUMMYFUNCTION("IMPORTRANGE(""https://docs.google.com/spreadsheets/d/1zJUDEKztv_fercXA0LYNw155qdzS7TJGhWLhquaW5IY/edit"",""18!e43"")"),0.0)</f>
        <v>0</v>
      </c>
      <c r="L478" s="40">
        <f t="shared" si="1320"/>
        <v>2656</v>
      </c>
      <c r="M478" s="40">
        <f t="shared" si="1292"/>
        <v>5080</v>
      </c>
      <c r="N478" s="41">
        <f t="shared" si="1293"/>
        <v>188.1875</v>
      </c>
      <c r="O478" s="38">
        <v>8101.0</v>
      </c>
      <c r="P478" s="42">
        <f t="shared" si="1294"/>
        <v>0.6270830762</v>
      </c>
      <c r="Q478" s="43">
        <v>1.5</v>
      </c>
      <c r="R478" s="42">
        <f t="shared" si="1295"/>
        <v>0.5998745341</v>
      </c>
      <c r="S478" s="44">
        <f t="shared" si="1296"/>
        <v>0.8998118012</v>
      </c>
      <c r="T478" s="43">
        <f>F478/19.985</f>
        <v>282.4931198</v>
      </c>
      <c r="U478" s="43">
        <f t="shared" si="1297"/>
        <v>9.416437328</v>
      </c>
      <c r="V478" s="40">
        <f t="shared" si="1298"/>
        <v>169.3333333</v>
      </c>
      <c r="X478" s="59" t="s">
        <v>44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6"/>
    </row>
    <row r="479" ht="15.75" customHeight="1">
      <c r="A479" s="21"/>
      <c r="B479" s="38">
        <v>15.0</v>
      </c>
      <c r="C479" s="38" t="s">
        <v>40</v>
      </c>
      <c r="D479" s="39">
        <v>30.0</v>
      </c>
      <c r="E479" s="40">
        <f>IFERROR(__xludf.DUMMYFUNCTION("COUNT(IMPORTRANGE(""https://docs.google.com/spreadsheets/d/15GJA66Ucb-8RQ5vWVpq5HYaWoZZFX82SCeHChBujbrI/edit"",""18!d2:d31""))"),30.0)</f>
        <v>30</v>
      </c>
      <c r="F479" s="45">
        <f>IFERROR(__xludf.DUMMYFUNCTION("SUM(IMPORTRANGE(""https://docs.google.com/spreadsheets/d/15GJA66Ucb-8RQ5vWVpq5HYaWoZZFX82SCeHChBujbrI/edit"",""18!Q2:Q31""))"),5973.029999999998)</f>
        <v>5973.03</v>
      </c>
      <c r="G479" s="40">
        <f>IFERROR(__xludf.DUMMYFUNCTION("IMPORTRANGE(""https://docs.google.com/spreadsheets/d/15GJA66Ucb-8RQ5vWVpq5HYaWoZZFX82SCeHChBujbrI/edit"",""18!e38"")"),3163.0)</f>
        <v>3163</v>
      </c>
      <c r="H479" s="40">
        <f>IFERROR(__xludf.DUMMYFUNCTION("IMPORTRANGE(""https://docs.google.com/spreadsheets/d/15GJA66Ucb-8RQ5vWVpq5HYaWoZZFX82SCeHChBujbrI/edit"",""18!e39"")"),8.0)</f>
        <v>8</v>
      </c>
      <c r="I479" s="40">
        <f t="shared" si="1290"/>
        <v>3171</v>
      </c>
      <c r="J479" s="40">
        <f>IFERROR(__xludf.DUMMYFUNCTION("IMPORTRANGE(""https://docs.google.com/spreadsheets/d/15GJA66Ucb-8RQ5vWVpq5HYaWoZZFX82SCeHChBujbrI/edit"",""18!e42"")"),3758.0)</f>
        <v>3758</v>
      </c>
      <c r="K479" s="40">
        <f>IFERROR(__xludf.DUMMYFUNCTION("IMPORTRANGE(""https://docs.google.com/spreadsheets/d/15GJA66Ucb-8RQ5vWVpq5HYaWoZZFX82SCeHChBujbrI/edit"",""18!e43"")"),28.0)</f>
        <v>28</v>
      </c>
      <c r="L479" s="40">
        <f t="shared" si="1320"/>
        <v>3786</v>
      </c>
      <c r="M479" s="40">
        <f t="shared" si="1292"/>
        <v>6957</v>
      </c>
      <c r="N479" s="41">
        <f t="shared" si="1293"/>
        <v>199.101</v>
      </c>
      <c r="O479" s="38">
        <v>8239.0</v>
      </c>
      <c r="P479" s="42">
        <f t="shared" si="1294"/>
        <v>0.8443985921</v>
      </c>
      <c r="Q479" s="43">
        <v>1.5</v>
      </c>
      <c r="R479" s="42">
        <f t="shared" si="1295"/>
        <v>0.776490324</v>
      </c>
      <c r="S479" s="44">
        <f t="shared" si="1296"/>
        <v>1.164735486</v>
      </c>
      <c r="T479" s="43">
        <f>F479/28.443</f>
        <v>210</v>
      </c>
      <c r="U479" s="43">
        <f t="shared" si="1297"/>
        <v>7</v>
      </c>
      <c r="V479" s="40">
        <f t="shared" si="1298"/>
        <v>231.9</v>
      </c>
      <c r="X479" s="14" t="s">
        <v>2</v>
      </c>
      <c r="Y479" s="14" t="s">
        <v>3</v>
      </c>
      <c r="Z479" s="14" t="s">
        <v>4</v>
      </c>
      <c r="AA479" s="14" t="s">
        <v>5</v>
      </c>
      <c r="AB479" s="15" t="s">
        <v>6</v>
      </c>
      <c r="AC479" s="14" t="s">
        <v>7</v>
      </c>
      <c r="AD479" s="14" t="s">
        <v>8</v>
      </c>
      <c r="AE479" s="14" t="s">
        <v>9</v>
      </c>
      <c r="AF479" s="14" t="s">
        <v>10</v>
      </c>
      <c r="AG479" s="14" t="s">
        <v>11</v>
      </c>
      <c r="AH479" s="14" t="s">
        <v>12</v>
      </c>
      <c r="AI479" s="14" t="s">
        <v>13</v>
      </c>
      <c r="AJ479" s="15" t="s">
        <v>14</v>
      </c>
      <c r="AK479" s="14" t="s">
        <v>15</v>
      </c>
      <c r="AL479" s="14" t="s">
        <v>16</v>
      </c>
      <c r="AM479" s="16" t="s">
        <v>17</v>
      </c>
      <c r="AN479" s="17" t="s">
        <v>18</v>
      </c>
      <c r="AO479" s="18" t="s">
        <v>19</v>
      </c>
      <c r="AP479" s="19" t="s">
        <v>20</v>
      </c>
      <c r="AQ479" s="19" t="s">
        <v>21</v>
      </c>
      <c r="AR479" s="20" t="s">
        <v>22</v>
      </c>
    </row>
    <row r="480" ht="15.75" customHeight="1">
      <c r="A480" s="21"/>
      <c r="B480" s="38">
        <v>16.0</v>
      </c>
      <c r="C480" s="38" t="s">
        <v>42</v>
      </c>
      <c r="D480" s="39">
        <v>33.0</v>
      </c>
      <c r="E480" s="40">
        <f>IFERROR(__xludf.DUMMYFUNCTION("COUNT(IMPORTRANGE(""https://docs.google.com/spreadsheets/d/14Tu_jFPEdrIQ6DHYu6vRvJKQsbXr-48NY1tKy4-8JKI/edit"",""18!d2:d34""))"),33.0)</f>
        <v>33</v>
      </c>
      <c r="F480" s="45">
        <f>IFERROR(__xludf.DUMMYFUNCTION("SUM(IMPORTRANGE(""https://docs.google.com/spreadsheets/d/14Tu_jFPEdrIQ6DHYu6vRvJKQsbXr-48NY1tKy4-8JKI/edit"",""18!Q2:Q34""))"),6335.664999999998)</f>
        <v>6335.665</v>
      </c>
      <c r="G480" s="40">
        <f>IFERROR(__xludf.DUMMYFUNCTION("IMPORTRANGE(""https://docs.google.com/spreadsheets/d/14Tu_jFPEdrIQ6DHYu6vRvJKQsbXr-48NY1tKy4-8JKI/edit"",""18!e41"")"),2718.0)</f>
        <v>2718</v>
      </c>
      <c r="H480" s="40">
        <f>IFERROR(__xludf.DUMMYFUNCTION("IMPORTRANGE(""https://docs.google.com/spreadsheets/d/14Tu_jFPEdrIQ6DHYu6vRvJKQsbXr-48NY1tKy4-8JKI/edit"",""18!e42"")"),0.0)</f>
        <v>0</v>
      </c>
      <c r="I480" s="40">
        <f t="shared" si="1290"/>
        <v>2718</v>
      </c>
      <c r="J480" s="40">
        <f>IFERROR(__xludf.DUMMYFUNCTION("IMPORTRANGE(""https://docs.google.com/spreadsheets/d/14Tu_jFPEdrIQ6DHYu6vRvJKQsbXr-48NY1tKy4-8JKI/edit"",""18!e45"")"),3996.0)</f>
        <v>3996</v>
      </c>
      <c r="K480" s="40">
        <f>IFERROR(__xludf.DUMMYFUNCTION("IMPORTRANGE(""https://docs.google.com/spreadsheets/d/14Tu_jFPEdrIQ6DHYu6vRvJKQsbXr-48NY1tKy4-8JKI/edit"",""18!e46"")"),0.0)</f>
        <v>0</v>
      </c>
      <c r="L480" s="40">
        <f t="shared" si="1320"/>
        <v>3996</v>
      </c>
      <c r="M480" s="40">
        <f t="shared" si="1292"/>
        <v>6714</v>
      </c>
      <c r="N480" s="41">
        <f t="shared" si="1293"/>
        <v>191.9898485</v>
      </c>
      <c r="O480" s="38">
        <v>9877.0</v>
      </c>
      <c r="P480" s="42">
        <f t="shared" si="1294"/>
        <v>0.6797610611</v>
      </c>
      <c r="Q480" s="43">
        <v>1.5</v>
      </c>
      <c r="R480" s="42">
        <f t="shared" si="1295"/>
        <v>0.7064767471</v>
      </c>
      <c r="S480" s="44">
        <f t="shared" si="1296"/>
        <v>1.059715121</v>
      </c>
      <c r="T480" s="43">
        <f>F480/26.155</f>
        <v>242.2353279</v>
      </c>
      <c r="U480" s="43">
        <f t="shared" si="1297"/>
        <v>7.34046448</v>
      </c>
      <c r="V480" s="40">
        <f t="shared" si="1298"/>
        <v>203.4545455</v>
      </c>
      <c r="X480" s="31">
        <v>1.0</v>
      </c>
      <c r="Y480" s="31" t="s">
        <v>26</v>
      </c>
      <c r="Z480" s="31">
        <f t="shared" ref="Z480:AI480" si="1330">SUM(D465)</f>
        <v>20</v>
      </c>
      <c r="AA480" s="32">
        <f t="shared" si="1330"/>
        <v>20</v>
      </c>
      <c r="AB480" s="34">
        <f t="shared" si="1330"/>
        <v>3892.662</v>
      </c>
      <c r="AC480" s="32">
        <f t="shared" si="1330"/>
        <v>1684</v>
      </c>
      <c r="AD480" s="32">
        <f t="shared" si="1330"/>
        <v>0</v>
      </c>
      <c r="AE480" s="32">
        <f t="shared" si="1330"/>
        <v>1684</v>
      </c>
      <c r="AF480" s="32">
        <f t="shared" si="1330"/>
        <v>2489</v>
      </c>
      <c r="AG480" s="32">
        <f t="shared" si="1330"/>
        <v>0</v>
      </c>
      <c r="AH480" s="32">
        <f t="shared" si="1330"/>
        <v>2489</v>
      </c>
      <c r="AI480" s="32">
        <f t="shared" si="1330"/>
        <v>4173</v>
      </c>
      <c r="AJ480" s="34">
        <f t="shared" ref="AJ480:AJ486" si="1333">AB480/AA480</f>
        <v>194.6331</v>
      </c>
      <c r="AK480" s="31">
        <f>SUM(O465)</f>
        <v>5161</v>
      </c>
      <c r="AL480" s="35">
        <f t="shared" ref="AL480:AL486" si="1334">AI480/AK480</f>
        <v>0.8085642317</v>
      </c>
      <c r="AM480" s="36">
        <f>SUM(Q465)</f>
        <v>1.5</v>
      </c>
      <c r="AN480" s="35">
        <f t="shared" ref="AN480:AN486" si="1335">AO480/AM480</f>
        <v>0.7146780275</v>
      </c>
      <c r="AO480" s="37">
        <f t="shared" ref="AO480:AO486" si="1336">AI480/AB480</f>
        <v>1.072017041</v>
      </c>
      <c r="AP480" s="36">
        <f t="shared" ref="AP480:AQ480" si="1331">SUM(T465)</f>
        <v>270.0424558</v>
      </c>
      <c r="AQ480" s="36">
        <f t="shared" si="1331"/>
        <v>13.50212279</v>
      </c>
      <c r="AR480" s="32">
        <f t="shared" ref="AR480:AR486" si="1338">AI480/AA480</f>
        <v>208.65</v>
      </c>
    </row>
    <row r="481" ht="15.75" customHeight="1">
      <c r="A481" s="21"/>
      <c r="B481" s="38">
        <v>17.0</v>
      </c>
      <c r="C481" s="38" t="s">
        <v>29</v>
      </c>
      <c r="D481" s="39">
        <v>30.0</v>
      </c>
      <c r="E481" s="40">
        <f>IFERROR(__xludf.DUMMYFUNCTION("COUNT(IMPORTRANGE(""https://docs.google.com/spreadsheets/d/1ja_RQYsP0p5wRrACHojay4CW1wLx0QdS5tSwp-vYQ-s/edit"",""18!d2:d31""))"),30.0)</f>
        <v>30</v>
      </c>
      <c r="F481" s="45">
        <f>IFERROR(__xludf.DUMMYFUNCTION("SUM(IMPORTRANGE(""https://docs.google.com/spreadsheets/d/1ja_RQYsP0p5wRrACHojay4CW1wLx0QdS5tSwp-vYQ-s/edit"",""18!Q2:Q31""))"),6039.947999999998)</f>
        <v>6039.948</v>
      </c>
      <c r="G481" s="40">
        <f>IFERROR(__xludf.DUMMYFUNCTION("IMPORTRANGE(""https://docs.google.com/spreadsheets/d/1ja_RQYsP0p5wRrACHojay4CW1wLx0QdS5tSwp-vYQ-s/edit"",""18!e38"")"),2561.0)</f>
        <v>2561</v>
      </c>
      <c r="H481" s="40">
        <f>IFERROR(__xludf.DUMMYFUNCTION("IMPORTRANGE(""https://docs.google.com/spreadsheets/d/1ja_RQYsP0p5wRrACHojay4CW1wLx0QdS5tSwp-vYQ-s/edit"",""18!e39"")"),0.0)</f>
        <v>0</v>
      </c>
      <c r="I481" s="40">
        <f t="shared" si="1290"/>
        <v>2561</v>
      </c>
      <c r="J481" s="40">
        <f>IFERROR(__xludf.DUMMYFUNCTION("IMPORTRANGE(""https://docs.google.com/spreadsheets/d/1ja_RQYsP0p5wRrACHojay4CW1wLx0QdS5tSwp-vYQ-s/edit"",""18!e42"")"),3727.0)</f>
        <v>3727</v>
      </c>
      <c r="K481" s="40">
        <f>IFERROR(__xludf.DUMMYFUNCTION("IMPORTRANGE(""https://docs.google.com/spreadsheets/d/1ja_RQYsP0p5wRrACHojay4CW1wLx0QdS5tSwp-vYQ-s/edit"",""18!e43"")"),0.0)</f>
        <v>0</v>
      </c>
      <c r="L481" s="40">
        <f t="shared" si="1320"/>
        <v>3727</v>
      </c>
      <c r="M481" s="40">
        <f t="shared" si="1292"/>
        <v>6288</v>
      </c>
      <c r="N481" s="41">
        <f t="shared" si="1293"/>
        <v>201.3316</v>
      </c>
      <c r="O481" s="38">
        <v>9201.0</v>
      </c>
      <c r="P481" s="42">
        <f t="shared" si="1294"/>
        <v>0.6834039778</v>
      </c>
      <c r="Q481" s="43">
        <v>1.5</v>
      </c>
      <c r="R481" s="42">
        <f t="shared" si="1295"/>
        <v>0.6940457103</v>
      </c>
      <c r="S481" s="44">
        <f t="shared" si="1296"/>
        <v>1.041068565</v>
      </c>
      <c r="T481" s="43">
        <f>F481/26.491</f>
        <v>228</v>
      </c>
      <c r="U481" s="43">
        <f t="shared" si="1297"/>
        <v>7.6</v>
      </c>
      <c r="V481" s="40">
        <f t="shared" si="1298"/>
        <v>209.6</v>
      </c>
      <c r="X481" s="31">
        <v>2.0</v>
      </c>
      <c r="Y481" s="31" t="s">
        <v>32</v>
      </c>
      <c r="Z481" s="31">
        <f t="shared" ref="Z481:AI481" si="1332">SUM(D468)</f>
        <v>42</v>
      </c>
      <c r="AA481" s="32">
        <f t="shared" si="1332"/>
        <v>40</v>
      </c>
      <c r="AB481" s="33">
        <f t="shared" si="1332"/>
        <v>7914.505</v>
      </c>
      <c r="AC481" s="31">
        <f t="shared" si="1332"/>
        <v>4273</v>
      </c>
      <c r="AD481" s="31">
        <f t="shared" si="1332"/>
        <v>0</v>
      </c>
      <c r="AE481" s="32">
        <f t="shared" si="1332"/>
        <v>4273</v>
      </c>
      <c r="AF481" s="31">
        <f t="shared" si="1332"/>
        <v>4673</v>
      </c>
      <c r="AG481" s="31">
        <f t="shared" si="1332"/>
        <v>58</v>
      </c>
      <c r="AH481" s="32">
        <f t="shared" si="1332"/>
        <v>4731</v>
      </c>
      <c r="AI481" s="32">
        <f t="shared" si="1332"/>
        <v>9004</v>
      </c>
      <c r="AJ481" s="34">
        <f t="shared" si="1333"/>
        <v>197.862625</v>
      </c>
      <c r="AK481" s="31">
        <f>SUM(O468)</f>
        <v>13817</v>
      </c>
      <c r="AL481" s="35">
        <f t="shared" si="1334"/>
        <v>0.6516609973</v>
      </c>
      <c r="AM481" s="36">
        <f>SUM(Q468)</f>
        <v>1.5</v>
      </c>
      <c r="AN481" s="35">
        <f t="shared" si="1335"/>
        <v>0.7584386726</v>
      </c>
      <c r="AO481" s="37">
        <f t="shared" si="1336"/>
        <v>1.137658009</v>
      </c>
      <c r="AP481" s="36">
        <f t="shared" ref="AP481:AQ481" si="1337">SUM(T468)</f>
        <v>315.4571725</v>
      </c>
      <c r="AQ481" s="36">
        <f t="shared" si="1337"/>
        <v>7.886429312</v>
      </c>
      <c r="AR481" s="32">
        <f t="shared" si="1338"/>
        <v>225.1</v>
      </c>
    </row>
    <row r="482" ht="15.75" customHeight="1">
      <c r="A482" s="21"/>
      <c r="B482" s="38">
        <v>18.0</v>
      </c>
      <c r="C482" s="38" t="s">
        <v>31</v>
      </c>
      <c r="D482" s="39">
        <v>15.0</v>
      </c>
      <c r="E482" s="40">
        <f>IFERROR(__xludf.DUMMYFUNCTION("COUNT(IMPORTRANGE(""https://docs.google.com/spreadsheets/d/1ObnK1oSznTOmyW9Zcd2kxExl7TOnO2MNq_0giEKc_mE/edit"",""18!d2:d16""))"),12.0)</f>
        <v>12</v>
      </c>
      <c r="F482" s="41">
        <f>IFERROR(__xludf.DUMMYFUNCTION("SUM(IMPORTRANGE(""https://docs.google.com/spreadsheets/d/1ObnK1oSznTOmyW9Zcd2kxExl7TOnO2MNq_0giEKc_mE/edit"",""18!Q2:Q16""))"),2434.04)</f>
        <v>2434.04</v>
      </c>
      <c r="G482" s="40">
        <f>IFERROR(__xludf.DUMMYFUNCTION("IMPORTRANGE(""https://docs.google.com/spreadsheets/d/1ObnK1oSznTOmyW9Zcd2kxExl7TOnO2MNq_0giEKc_mE/edit"",""18!e23"")"),745.0)</f>
        <v>745</v>
      </c>
      <c r="H482" s="40">
        <f>IFERROR(__xludf.DUMMYFUNCTION("IMPORTRANGE(""https://docs.google.com/spreadsheets/d/1ObnK1oSznTOmyW9Zcd2kxExl7TOnO2MNq_0giEKc_mE/edit"",""18!e24"")"),15.0)</f>
        <v>15</v>
      </c>
      <c r="I482" s="40">
        <f t="shared" si="1290"/>
        <v>760</v>
      </c>
      <c r="J482" s="40">
        <f>IFERROR(__xludf.DUMMYFUNCTION("IMPORTRANGE(""https://docs.google.com/spreadsheets/d/1ObnK1oSznTOmyW9Zcd2kxExl7TOnO2MNq_0giEKc_mE/edit"",""18!e27"")"),992.0)</f>
        <v>992</v>
      </c>
      <c r="K482" s="40">
        <f>IFERROR(__xludf.DUMMYFUNCTION("IMPORTRANGE(""https://docs.google.com/spreadsheets/d/1ObnK1oSznTOmyW9Zcd2kxExl7TOnO2MNq_0giEKc_mE/edit"",""18!e28"")"),0.0)</f>
        <v>0</v>
      </c>
      <c r="L482" s="40">
        <f t="shared" si="1320"/>
        <v>992</v>
      </c>
      <c r="M482" s="40">
        <f t="shared" si="1292"/>
        <v>1752</v>
      </c>
      <c r="N482" s="41">
        <f t="shared" si="1293"/>
        <v>202.8366667</v>
      </c>
      <c r="O482" s="38">
        <v>2717.0</v>
      </c>
      <c r="P482" s="42">
        <f t="shared" si="1294"/>
        <v>0.6448288554</v>
      </c>
      <c r="Q482" s="43">
        <v>1.5</v>
      </c>
      <c r="R482" s="42">
        <f t="shared" si="1295"/>
        <v>0.4798606432</v>
      </c>
      <c r="S482" s="44">
        <f t="shared" si="1296"/>
        <v>0.7197909648</v>
      </c>
      <c r="T482" s="43">
        <f>F482/43.465</f>
        <v>56</v>
      </c>
      <c r="U482" s="43">
        <f t="shared" si="1297"/>
        <v>4.666666667</v>
      </c>
      <c r="V482" s="40">
        <f t="shared" si="1298"/>
        <v>146</v>
      </c>
      <c r="X482" s="31">
        <v>3.0</v>
      </c>
      <c r="Y482" s="31" t="s">
        <v>36</v>
      </c>
      <c r="Z482" s="31">
        <f t="shared" ref="Z482:AI482" si="1339">SUM(D473)</f>
        <v>29</v>
      </c>
      <c r="AA482" s="32">
        <f t="shared" si="1339"/>
        <v>29</v>
      </c>
      <c r="AB482" s="33">
        <f t="shared" si="1339"/>
        <v>5791.19</v>
      </c>
      <c r="AC482" s="32">
        <f t="shared" si="1339"/>
        <v>1509</v>
      </c>
      <c r="AD482" s="32">
        <f t="shared" si="1339"/>
        <v>0</v>
      </c>
      <c r="AE482" s="32">
        <f t="shared" si="1339"/>
        <v>1509</v>
      </c>
      <c r="AF482" s="32">
        <f t="shared" si="1339"/>
        <v>2462</v>
      </c>
      <c r="AG482" s="32">
        <f t="shared" si="1339"/>
        <v>0</v>
      </c>
      <c r="AH482" s="32">
        <f t="shared" si="1339"/>
        <v>2462</v>
      </c>
      <c r="AI482" s="32">
        <f t="shared" si="1339"/>
        <v>3971</v>
      </c>
      <c r="AJ482" s="34">
        <f t="shared" si="1333"/>
        <v>199.6962069</v>
      </c>
      <c r="AK482" s="31">
        <f t="shared" ref="AK482:AK485" si="1343">SUM(O473)</f>
        <v>4796</v>
      </c>
      <c r="AL482" s="35">
        <f t="shared" si="1334"/>
        <v>0.8279816514</v>
      </c>
      <c r="AM482" s="36">
        <f t="shared" ref="AM482:AM485" si="1344">SUM(Q473)</f>
        <v>1.5</v>
      </c>
      <c r="AN482" s="35">
        <f t="shared" si="1335"/>
        <v>0.4571311481</v>
      </c>
      <c r="AO482" s="37">
        <f t="shared" si="1336"/>
        <v>0.6856967221</v>
      </c>
      <c r="AP482" s="36">
        <f t="shared" ref="AP482:AQ482" si="1340">SUM(T473)</f>
        <v>154.7867109</v>
      </c>
      <c r="AQ482" s="36">
        <f t="shared" si="1340"/>
        <v>5.337472788</v>
      </c>
      <c r="AR482" s="32">
        <f t="shared" si="1338"/>
        <v>136.9310345</v>
      </c>
    </row>
    <row r="483" ht="15.75" customHeight="1">
      <c r="A483" s="21"/>
      <c r="B483" s="60" t="s">
        <v>33</v>
      </c>
      <c r="C483" s="60">
        <v>18.0</v>
      </c>
      <c r="D483" s="60">
        <f t="shared" ref="D483:M483" si="1341">SUM(D465:D482)</f>
        <v>585</v>
      </c>
      <c r="E483" s="61">
        <f t="shared" si="1341"/>
        <v>570</v>
      </c>
      <c r="F483" s="62">
        <f t="shared" si="1341"/>
        <v>111499.175</v>
      </c>
      <c r="G483" s="61">
        <f t="shared" si="1341"/>
        <v>38288</v>
      </c>
      <c r="H483" s="61">
        <f t="shared" si="1341"/>
        <v>579</v>
      </c>
      <c r="I483" s="61">
        <f t="shared" si="1341"/>
        <v>38867</v>
      </c>
      <c r="J483" s="61">
        <f t="shared" si="1341"/>
        <v>51221</v>
      </c>
      <c r="K483" s="61">
        <f t="shared" si="1341"/>
        <v>822</v>
      </c>
      <c r="L483" s="61">
        <f t="shared" si="1341"/>
        <v>52043</v>
      </c>
      <c r="M483" s="61">
        <f t="shared" si="1341"/>
        <v>90910</v>
      </c>
      <c r="N483" s="62">
        <f t="shared" si="1293"/>
        <v>195.6125877</v>
      </c>
      <c r="O483" s="60">
        <f>SUM(O465:O482)</f>
        <v>126399</v>
      </c>
      <c r="P483" s="63">
        <f t="shared" si="1294"/>
        <v>0.7192303737</v>
      </c>
      <c r="Q483" s="64">
        <v>1.5</v>
      </c>
      <c r="R483" s="63">
        <f t="shared" si="1295"/>
        <v>0.5435615704</v>
      </c>
      <c r="S483" s="65">
        <f t="shared" si="1296"/>
        <v>0.8153423557</v>
      </c>
      <c r="T483" s="64">
        <f>SUM(T465:T482)</f>
        <v>4107.045294</v>
      </c>
      <c r="U483" s="64">
        <f t="shared" si="1297"/>
        <v>7.205342621</v>
      </c>
      <c r="V483" s="61">
        <f t="shared" si="1298"/>
        <v>159.4912281</v>
      </c>
      <c r="X483" s="31">
        <v>4.0</v>
      </c>
      <c r="Y483" s="31" t="s">
        <v>37</v>
      </c>
      <c r="Z483" s="31">
        <f t="shared" ref="Z483:AI483" si="1342">SUM(D474)</f>
        <v>30</v>
      </c>
      <c r="AA483" s="32">
        <f t="shared" si="1342"/>
        <v>30</v>
      </c>
      <c r="AB483" s="33">
        <f t="shared" si="1342"/>
        <v>5985.732</v>
      </c>
      <c r="AC483" s="32">
        <f t="shared" si="1342"/>
        <v>2105</v>
      </c>
      <c r="AD483" s="32">
        <f t="shared" si="1342"/>
        <v>0</v>
      </c>
      <c r="AE483" s="32">
        <f t="shared" si="1342"/>
        <v>2105</v>
      </c>
      <c r="AF483" s="32">
        <f t="shared" si="1342"/>
        <v>2715</v>
      </c>
      <c r="AG483" s="32">
        <f t="shared" si="1342"/>
        <v>0</v>
      </c>
      <c r="AH483" s="32">
        <f t="shared" si="1342"/>
        <v>2715</v>
      </c>
      <c r="AI483" s="32">
        <f t="shared" si="1342"/>
        <v>4820</v>
      </c>
      <c r="AJ483" s="34">
        <f t="shared" si="1333"/>
        <v>199.5244</v>
      </c>
      <c r="AK483" s="31">
        <f t="shared" si="1343"/>
        <v>5887</v>
      </c>
      <c r="AL483" s="35">
        <f t="shared" si="1334"/>
        <v>0.818753185</v>
      </c>
      <c r="AM483" s="36">
        <f t="shared" si="1344"/>
        <v>1.5</v>
      </c>
      <c r="AN483" s="35">
        <f t="shared" si="1335"/>
        <v>0.5368321424</v>
      </c>
      <c r="AO483" s="37">
        <f t="shared" si="1336"/>
        <v>0.8052482136</v>
      </c>
      <c r="AP483" s="36">
        <f t="shared" ref="AP483:AQ483" si="1345">SUM(T474)</f>
        <v>241.4380445</v>
      </c>
      <c r="AQ483" s="36">
        <f t="shared" si="1345"/>
        <v>8.047934818</v>
      </c>
      <c r="AR483" s="32">
        <f t="shared" si="1338"/>
        <v>160.6666667</v>
      </c>
    </row>
    <row r="484" ht="15.7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X484" s="31">
        <v>5.0</v>
      </c>
      <c r="Y484" s="31" t="s">
        <v>39</v>
      </c>
      <c r="Z484" s="31">
        <f t="shared" ref="Z484:AI484" si="1346">SUM(D475)</f>
        <v>28</v>
      </c>
      <c r="AA484" s="32">
        <f t="shared" si="1346"/>
        <v>28</v>
      </c>
      <c r="AB484" s="33">
        <f t="shared" si="1346"/>
        <v>5072.544</v>
      </c>
      <c r="AC484" s="32">
        <f t="shared" si="1346"/>
        <v>1246</v>
      </c>
      <c r="AD484" s="32">
        <f t="shared" si="1346"/>
        <v>0</v>
      </c>
      <c r="AE484" s="32">
        <f t="shared" si="1346"/>
        <v>1246</v>
      </c>
      <c r="AF484" s="32">
        <f t="shared" si="1346"/>
        <v>1860</v>
      </c>
      <c r="AG484" s="32">
        <f t="shared" si="1346"/>
        <v>0</v>
      </c>
      <c r="AH484" s="32">
        <f t="shared" si="1346"/>
        <v>1860</v>
      </c>
      <c r="AI484" s="32">
        <f t="shared" si="1346"/>
        <v>3106</v>
      </c>
      <c r="AJ484" s="34">
        <f t="shared" si="1333"/>
        <v>181.1622857</v>
      </c>
      <c r="AK484" s="31">
        <f t="shared" si="1343"/>
        <v>3569</v>
      </c>
      <c r="AL484" s="35">
        <f t="shared" si="1334"/>
        <v>0.8702717848</v>
      </c>
      <c r="AM484" s="36">
        <f t="shared" si="1344"/>
        <v>1.5</v>
      </c>
      <c r="AN484" s="35">
        <f t="shared" si="1335"/>
        <v>0.4082106861</v>
      </c>
      <c r="AO484" s="37">
        <f t="shared" si="1336"/>
        <v>0.6123160292</v>
      </c>
      <c r="AP484" s="36">
        <f t="shared" ref="AP484:AQ484" si="1347">SUM(T475)</f>
        <v>236.339002</v>
      </c>
      <c r="AQ484" s="36">
        <f t="shared" si="1347"/>
        <v>8.440678643</v>
      </c>
      <c r="AR484" s="32">
        <f t="shared" si="1338"/>
        <v>110.9285714</v>
      </c>
    </row>
    <row r="485" ht="15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X485" s="31">
        <v>6.0</v>
      </c>
      <c r="Y485" s="31" t="s">
        <v>41</v>
      </c>
      <c r="Z485" s="31">
        <f t="shared" ref="Z485:AI485" si="1348">SUM(D476)</f>
        <v>24</v>
      </c>
      <c r="AA485" s="32">
        <f t="shared" si="1348"/>
        <v>23</v>
      </c>
      <c r="AB485" s="33">
        <f t="shared" si="1348"/>
        <v>4526.5</v>
      </c>
      <c r="AC485" s="32">
        <f t="shared" si="1348"/>
        <v>1182</v>
      </c>
      <c r="AD485" s="32">
        <f t="shared" si="1348"/>
        <v>52</v>
      </c>
      <c r="AE485" s="32">
        <f t="shared" si="1348"/>
        <v>1234</v>
      </c>
      <c r="AF485" s="32">
        <f t="shared" si="1348"/>
        <v>1724</v>
      </c>
      <c r="AG485" s="32">
        <f t="shared" si="1348"/>
        <v>0</v>
      </c>
      <c r="AH485" s="32">
        <f t="shared" si="1348"/>
        <v>1724</v>
      </c>
      <c r="AI485" s="32">
        <f t="shared" si="1348"/>
        <v>2958</v>
      </c>
      <c r="AJ485" s="34">
        <f t="shared" si="1333"/>
        <v>196.8043478</v>
      </c>
      <c r="AK485" s="31">
        <f t="shared" si="1343"/>
        <v>3801</v>
      </c>
      <c r="AL485" s="35">
        <f t="shared" si="1334"/>
        <v>0.7782162589</v>
      </c>
      <c r="AM485" s="36">
        <f t="shared" si="1344"/>
        <v>1.5</v>
      </c>
      <c r="AN485" s="35">
        <f t="shared" si="1335"/>
        <v>0.4356566884</v>
      </c>
      <c r="AO485" s="37">
        <f t="shared" si="1336"/>
        <v>0.6534850326</v>
      </c>
      <c r="AP485" s="36">
        <f t="shared" ref="AP485:AQ485" si="1349">SUM(T476)</f>
        <v>152.7777778</v>
      </c>
      <c r="AQ485" s="36">
        <f t="shared" si="1349"/>
        <v>6.642512077</v>
      </c>
      <c r="AR485" s="32">
        <f t="shared" si="1338"/>
        <v>128.6086957</v>
      </c>
    </row>
    <row r="486" ht="15.75" customHeight="1">
      <c r="A486" s="1" t="s">
        <v>45</v>
      </c>
      <c r="D486" s="2"/>
      <c r="X486" s="46" t="s">
        <v>33</v>
      </c>
      <c r="Y486" s="46">
        <v>6.0</v>
      </c>
      <c r="Z486" s="46">
        <f t="shared" ref="Z486:AI486" si="1350">SUM(Z480:Z485)</f>
        <v>173</v>
      </c>
      <c r="AA486" s="47">
        <f t="shared" si="1350"/>
        <v>170</v>
      </c>
      <c r="AB486" s="49">
        <f t="shared" si="1350"/>
        <v>33183.133</v>
      </c>
      <c r="AC486" s="47">
        <f t="shared" si="1350"/>
        <v>11999</v>
      </c>
      <c r="AD486" s="47">
        <f t="shared" si="1350"/>
        <v>52</v>
      </c>
      <c r="AE486" s="47">
        <f t="shared" si="1350"/>
        <v>12051</v>
      </c>
      <c r="AF486" s="47">
        <f t="shared" si="1350"/>
        <v>15923</v>
      </c>
      <c r="AG486" s="47">
        <f t="shared" si="1350"/>
        <v>58</v>
      </c>
      <c r="AH486" s="47">
        <f t="shared" si="1350"/>
        <v>15981</v>
      </c>
      <c r="AI486" s="47">
        <f t="shared" si="1350"/>
        <v>28032</v>
      </c>
      <c r="AJ486" s="49">
        <f t="shared" si="1333"/>
        <v>195.1949</v>
      </c>
      <c r="AK486" s="46">
        <f>SUM(AK480:AK485)</f>
        <v>37031</v>
      </c>
      <c r="AL486" s="50">
        <f t="shared" si="1334"/>
        <v>0.7569873889</v>
      </c>
      <c r="AM486" s="51">
        <v>1.5</v>
      </c>
      <c r="AN486" s="50">
        <f t="shared" si="1335"/>
        <v>0.5631776843</v>
      </c>
      <c r="AO486" s="52">
        <f t="shared" si="1336"/>
        <v>0.8447665264</v>
      </c>
      <c r="AP486" s="51">
        <f>SUM(AP480:AP485)</f>
        <v>1370.841163</v>
      </c>
      <c r="AQ486" s="51">
        <f>AP486/AA486</f>
        <v>8.063771549</v>
      </c>
      <c r="AR486" s="47">
        <f t="shared" si="1338"/>
        <v>164.8941176</v>
      </c>
    </row>
    <row r="487" ht="15.75" customHeight="1">
      <c r="A487" s="1" t="s">
        <v>45</v>
      </c>
      <c r="D487" s="2"/>
      <c r="X487" s="66" t="s">
        <v>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6"/>
    </row>
    <row r="488" ht="15.75" customHeight="1">
      <c r="A488" s="7">
        <v>46253.0</v>
      </c>
      <c r="B488" s="8" t="s">
        <v>2</v>
      </c>
      <c r="C488" s="8" t="s">
        <v>3</v>
      </c>
      <c r="D488" s="8" t="s">
        <v>4</v>
      </c>
      <c r="E488" s="8" t="s">
        <v>5</v>
      </c>
      <c r="F488" s="9" t="s">
        <v>6</v>
      </c>
      <c r="G488" s="8" t="s">
        <v>7</v>
      </c>
      <c r="H488" s="8" t="s">
        <v>8</v>
      </c>
      <c r="I488" s="8" t="s">
        <v>9</v>
      </c>
      <c r="J488" s="8" t="s">
        <v>10</v>
      </c>
      <c r="K488" s="8" t="s">
        <v>11</v>
      </c>
      <c r="L488" s="8" t="s">
        <v>12</v>
      </c>
      <c r="M488" s="8" t="s">
        <v>13</v>
      </c>
      <c r="N488" s="9" t="s">
        <v>14</v>
      </c>
      <c r="O488" s="8" t="s">
        <v>15</v>
      </c>
      <c r="P488" s="8" t="s">
        <v>16</v>
      </c>
      <c r="Q488" s="8" t="s">
        <v>17</v>
      </c>
      <c r="R488" s="8" t="s">
        <v>18</v>
      </c>
      <c r="S488" s="11" t="s">
        <v>19</v>
      </c>
      <c r="T488" s="12" t="s">
        <v>20</v>
      </c>
      <c r="U488" s="12" t="s">
        <v>21</v>
      </c>
      <c r="V488" s="13" t="s">
        <v>22</v>
      </c>
      <c r="X488" s="14" t="s">
        <v>2</v>
      </c>
      <c r="Y488" s="14" t="s">
        <v>3</v>
      </c>
      <c r="Z488" s="14" t="s">
        <v>4</v>
      </c>
      <c r="AA488" s="14" t="s">
        <v>5</v>
      </c>
      <c r="AB488" s="15" t="s">
        <v>6</v>
      </c>
      <c r="AC488" s="14" t="s">
        <v>7</v>
      </c>
      <c r="AD488" s="14" t="s">
        <v>8</v>
      </c>
      <c r="AE488" s="14" t="s">
        <v>9</v>
      </c>
      <c r="AF488" s="14" t="s">
        <v>10</v>
      </c>
      <c r="AG488" s="14" t="s">
        <v>11</v>
      </c>
      <c r="AH488" s="14" t="s">
        <v>12</v>
      </c>
      <c r="AI488" s="14" t="s">
        <v>13</v>
      </c>
      <c r="AJ488" s="15" t="s">
        <v>14</v>
      </c>
      <c r="AK488" s="14" t="s">
        <v>15</v>
      </c>
      <c r="AL488" s="14" t="s">
        <v>16</v>
      </c>
      <c r="AM488" s="16" t="s">
        <v>17</v>
      </c>
      <c r="AN488" s="17" t="s">
        <v>18</v>
      </c>
      <c r="AO488" s="18" t="s">
        <v>19</v>
      </c>
      <c r="AP488" s="19" t="s">
        <v>20</v>
      </c>
      <c r="AQ488" s="19" t="s">
        <v>21</v>
      </c>
      <c r="AR488" s="20" t="s">
        <v>22</v>
      </c>
    </row>
    <row r="489" ht="15.7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X489" s="22">
        <v>1.0</v>
      </c>
      <c r="Y489" s="22" t="s">
        <v>23</v>
      </c>
      <c r="Z489" s="22">
        <f t="shared" ref="Z489:AI489" si="1351">SUM(D497)</f>
        <v>35</v>
      </c>
      <c r="AA489" s="23">
        <f t="shared" si="1351"/>
        <v>35</v>
      </c>
      <c r="AB489" s="24">
        <f t="shared" si="1351"/>
        <v>6699.184</v>
      </c>
      <c r="AC489" s="23">
        <f t="shared" si="1351"/>
        <v>1906</v>
      </c>
      <c r="AD489" s="23">
        <f t="shared" si="1351"/>
        <v>0</v>
      </c>
      <c r="AE489" s="23">
        <f t="shared" si="1351"/>
        <v>1906</v>
      </c>
      <c r="AF489" s="23">
        <f t="shared" si="1351"/>
        <v>3192</v>
      </c>
      <c r="AG489" s="23">
        <f t="shared" si="1351"/>
        <v>0</v>
      </c>
      <c r="AH489" s="23">
        <f t="shared" si="1351"/>
        <v>3192</v>
      </c>
      <c r="AI489" s="23">
        <f t="shared" si="1351"/>
        <v>5098</v>
      </c>
      <c r="AJ489" s="25">
        <f t="shared" ref="AJ489:AJ491" si="1354">AB489/AA489</f>
        <v>191.4052571</v>
      </c>
      <c r="AK489" s="22">
        <f>SUM(O497)</f>
        <v>6853</v>
      </c>
      <c r="AL489" s="26">
        <f t="shared" ref="AL489:AL495" si="1355">AI489/AK489</f>
        <v>0.7439077776</v>
      </c>
      <c r="AM489" s="27">
        <f t="shared" ref="AM489:AM491" si="1356">SUM(Q497)</f>
        <v>1.5</v>
      </c>
      <c r="AN489" s="26">
        <f t="shared" ref="AN489:AN495" si="1357">AO489/AM489</f>
        <v>0.5073254693</v>
      </c>
      <c r="AO489" s="28">
        <f t="shared" ref="AO489:AO495" si="1358">AI489/AB489</f>
        <v>0.7609882039</v>
      </c>
      <c r="AP489" s="27">
        <f t="shared" ref="AP489:AQ489" si="1352">SUM(T497)</f>
        <v>198.5531713</v>
      </c>
      <c r="AQ489" s="27">
        <f t="shared" si="1352"/>
        <v>5.672947752</v>
      </c>
      <c r="AR489" s="23">
        <f t="shared" ref="AR489:AR495" si="1360">AI489/AA489</f>
        <v>145.6571429</v>
      </c>
    </row>
    <row r="490" ht="15.7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X490" s="22">
        <v>2.0</v>
      </c>
      <c r="Y490" s="22" t="s">
        <v>24</v>
      </c>
      <c r="Z490" s="22">
        <f t="shared" ref="Z490:AI490" si="1353">SUM(D498)</f>
        <v>44</v>
      </c>
      <c r="AA490" s="23">
        <f t="shared" si="1353"/>
        <v>43</v>
      </c>
      <c r="AB490" s="24">
        <f t="shared" si="1353"/>
        <v>8427.488</v>
      </c>
      <c r="AC490" s="23">
        <f t="shared" si="1353"/>
        <v>1060</v>
      </c>
      <c r="AD490" s="23">
        <f t="shared" si="1353"/>
        <v>8</v>
      </c>
      <c r="AE490" s="23">
        <f t="shared" si="1353"/>
        <v>1068</v>
      </c>
      <c r="AF490" s="23">
        <f t="shared" si="1353"/>
        <v>1375</v>
      </c>
      <c r="AG490" s="23">
        <f t="shared" si="1353"/>
        <v>0</v>
      </c>
      <c r="AH490" s="23">
        <f t="shared" si="1353"/>
        <v>1375</v>
      </c>
      <c r="AI490" s="23">
        <f t="shared" si="1353"/>
        <v>2443</v>
      </c>
      <c r="AJ490" s="25">
        <f t="shared" si="1354"/>
        <v>195.988093</v>
      </c>
      <c r="AK490" s="22">
        <v>1580.0</v>
      </c>
      <c r="AL490" s="29">
        <f t="shared" si="1355"/>
        <v>1.546202532</v>
      </c>
      <c r="AM490" s="27">
        <f t="shared" si="1356"/>
        <v>1.5</v>
      </c>
      <c r="AN490" s="26">
        <f t="shared" si="1357"/>
        <v>0.1932564801</v>
      </c>
      <c r="AO490" s="28">
        <f t="shared" si="1358"/>
        <v>0.2898847201</v>
      </c>
      <c r="AP490" s="27">
        <f t="shared" ref="AP490:AQ490" si="1359">SUM(T498)</f>
        <v>314.3998508</v>
      </c>
      <c r="AQ490" s="27">
        <f t="shared" si="1359"/>
        <v>7.311624437</v>
      </c>
      <c r="AR490" s="23">
        <f t="shared" si="1360"/>
        <v>56.81395349</v>
      </c>
    </row>
    <row r="491" ht="15.75" customHeight="1">
      <c r="A491" s="21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X491" s="31">
        <v>3.0</v>
      </c>
      <c r="Y491" s="31" t="s">
        <v>25</v>
      </c>
      <c r="Z491" s="31">
        <f t="shared" ref="Z491:AI491" si="1361">SUM(D499)</f>
        <v>32</v>
      </c>
      <c r="AA491" s="32">
        <f t="shared" si="1361"/>
        <v>31</v>
      </c>
      <c r="AB491" s="33">
        <f t="shared" si="1361"/>
        <v>5908.784</v>
      </c>
      <c r="AC491" s="32">
        <f t="shared" si="1361"/>
        <v>2428</v>
      </c>
      <c r="AD491" s="32">
        <f t="shared" si="1361"/>
        <v>466</v>
      </c>
      <c r="AE491" s="32">
        <f t="shared" si="1361"/>
        <v>2894</v>
      </c>
      <c r="AF491" s="32">
        <f t="shared" si="1361"/>
        <v>3131</v>
      </c>
      <c r="AG491" s="32">
        <f t="shared" si="1361"/>
        <v>414</v>
      </c>
      <c r="AH491" s="32">
        <f t="shared" si="1361"/>
        <v>3545</v>
      </c>
      <c r="AI491" s="32">
        <f t="shared" si="1361"/>
        <v>6439</v>
      </c>
      <c r="AJ491" s="34">
        <f t="shared" si="1354"/>
        <v>190.6059355</v>
      </c>
      <c r="AK491" s="31">
        <f>SUM(O499)</f>
        <v>6622</v>
      </c>
      <c r="AL491" s="35">
        <f t="shared" si="1355"/>
        <v>0.9723648445</v>
      </c>
      <c r="AM491" s="36">
        <f t="shared" si="1356"/>
        <v>1.5</v>
      </c>
      <c r="AN491" s="35">
        <f t="shared" si="1357"/>
        <v>0.7264890148</v>
      </c>
      <c r="AO491" s="37">
        <f t="shared" si="1358"/>
        <v>1.089733522</v>
      </c>
      <c r="AP491" s="36">
        <f t="shared" ref="AP491:AQ491" si="1362">SUM(T499)</f>
        <v>247.8516779</v>
      </c>
      <c r="AQ491" s="36">
        <f t="shared" si="1362"/>
        <v>7.995215415</v>
      </c>
      <c r="AR491" s="32">
        <f t="shared" si="1360"/>
        <v>207.7096774</v>
      </c>
    </row>
    <row r="492" ht="15.75" customHeight="1">
      <c r="A492" s="21"/>
      <c r="B492" s="38">
        <v>1.0</v>
      </c>
      <c r="C492" s="38" t="s">
        <v>26</v>
      </c>
      <c r="D492" s="39">
        <v>20.0</v>
      </c>
      <c r="E492" s="40">
        <f>IFERROR(__xludf.DUMMYFUNCTION("COUNT(IMPORTRANGE(""https://docs.google.com/spreadsheets/d/1iVFEBQOAONhqDIMRa2hQ7WkCQv0dJWSAmc0AzfvSCMg/edit"",""19!d2:d21""))"),20.0)</f>
        <v>20</v>
      </c>
      <c r="F492" s="41">
        <f>IFERROR(__xludf.DUMMYFUNCTION("SUM(IMPORTRANGE(""https://docs.google.com/spreadsheets/d/1iVFEBQOAONhqDIMRa2hQ7WkCQv0dJWSAmc0AzfvSCMg/edit"",""19!Q2:Q21""))"),3979.152)</f>
        <v>3979.152</v>
      </c>
      <c r="G492" s="40">
        <f>IFERROR(__xludf.DUMMYFUNCTION("IMPORTRANGE(""https://docs.google.com/spreadsheets/d/1iVFEBQOAONhqDIMRa2hQ7WkCQv0dJWSAmc0AzfvSCMg/edit"",""19!e28"")"),1999.0)</f>
        <v>1999</v>
      </c>
      <c r="H492" s="40">
        <f>IFERROR(__xludf.DUMMYFUNCTION("IMPORTRANGE(""https://docs.google.com/spreadsheets/d/1iVFEBQOAONhqDIMRa2hQ7WkCQv0dJWSAmc0AzfvSCMg/edit"",""19!e29"")"),0.0)</f>
        <v>0</v>
      </c>
      <c r="I492" s="40">
        <f t="shared" ref="I492:I509" si="1365">SUM(G492:H492)</f>
        <v>1999</v>
      </c>
      <c r="J492" s="40">
        <f>IFERROR(__xludf.DUMMYFUNCTION("IMPORTRANGE(""https://docs.google.com/spreadsheets/d/1iVFEBQOAONhqDIMRa2hQ7WkCQv0dJWSAmc0AzfvSCMg/edit"",""19!e32"")"),3081.0)</f>
        <v>3081</v>
      </c>
      <c r="K492" s="40">
        <f>IFERROR(__xludf.DUMMYFUNCTION("IMPORTRANGE(""https://docs.google.com/spreadsheets/d/1iVFEBQOAONhqDIMRa2hQ7WkCQv0dJWSAmc0AzfvSCMg/edit"",""19!e33"")"),0.0)</f>
        <v>0</v>
      </c>
      <c r="L492" s="40">
        <f t="shared" ref="L492:L498" si="1366">SUM(J492:K492)</f>
        <v>3081</v>
      </c>
      <c r="M492" s="40">
        <f t="shared" ref="M492:M509" si="1367">SUM(I492+L492)</f>
        <v>5080</v>
      </c>
      <c r="N492" s="41">
        <f t="shared" ref="N492:N510" si="1368">F492/E492</f>
        <v>198.9576</v>
      </c>
      <c r="O492" s="38">
        <v>5161.0</v>
      </c>
      <c r="P492" s="42">
        <f t="shared" ref="P492:P510" si="1369">M492/O492</f>
        <v>0.9843053672</v>
      </c>
      <c r="Q492" s="43">
        <v>1.5</v>
      </c>
      <c r="R492" s="42">
        <f t="shared" ref="R492:R510" si="1370">S492/Q492</f>
        <v>0.8511026135</v>
      </c>
      <c r="S492" s="44">
        <f t="shared" ref="S492:S510" si="1371">M492/F492</f>
        <v>1.27665392</v>
      </c>
      <c r="T492" s="43">
        <f>F492/14.415</f>
        <v>276.0424558</v>
      </c>
      <c r="U492" s="43">
        <f t="shared" ref="U492:U510" si="1372">T492/E492</f>
        <v>13.80212279</v>
      </c>
      <c r="V492" s="40">
        <f t="shared" ref="V492:V510" si="1373">M492/E492</f>
        <v>254</v>
      </c>
      <c r="X492" s="22">
        <v>4.0</v>
      </c>
      <c r="Y492" s="22" t="s">
        <v>27</v>
      </c>
      <c r="Z492" s="22">
        <f t="shared" ref="Z492:AK492" si="1363">SUM(D505)</f>
        <v>30</v>
      </c>
      <c r="AA492" s="23">
        <f t="shared" si="1363"/>
        <v>30</v>
      </c>
      <c r="AB492" s="24">
        <f t="shared" si="1363"/>
        <v>5305.88</v>
      </c>
      <c r="AC492" s="23">
        <f t="shared" si="1363"/>
        <v>2584</v>
      </c>
      <c r="AD492" s="23">
        <f t="shared" si="1363"/>
        <v>0</v>
      </c>
      <c r="AE492" s="23">
        <f t="shared" si="1363"/>
        <v>2584</v>
      </c>
      <c r="AF492" s="23">
        <f t="shared" si="1363"/>
        <v>3147</v>
      </c>
      <c r="AG492" s="23">
        <f t="shared" si="1363"/>
        <v>0</v>
      </c>
      <c r="AH492" s="23">
        <f t="shared" si="1363"/>
        <v>3147</v>
      </c>
      <c r="AI492" s="23">
        <f t="shared" si="1363"/>
        <v>5731</v>
      </c>
      <c r="AJ492" s="25">
        <f t="shared" si="1363"/>
        <v>176.8626667</v>
      </c>
      <c r="AK492" s="22">
        <f t="shared" si="1363"/>
        <v>8101</v>
      </c>
      <c r="AL492" s="26">
        <f t="shared" si="1355"/>
        <v>0.7074435255</v>
      </c>
      <c r="AM492" s="27">
        <f>SUM(Q505)</f>
        <v>1.5</v>
      </c>
      <c r="AN492" s="26">
        <f t="shared" si="1357"/>
        <v>0.7200816201</v>
      </c>
      <c r="AO492" s="28">
        <f t="shared" si="1358"/>
        <v>1.08012243</v>
      </c>
      <c r="AP492" s="27">
        <f t="shared" ref="AP492:AQ492" si="1364">SUM(T505)</f>
        <v>265.4931198</v>
      </c>
      <c r="AQ492" s="27">
        <f t="shared" si="1364"/>
        <v>8.849770661</v>
      </c>
      <c r="AR492" s="23">
        <f t="shared" si="1360"/>
        <v>191.0333333</v>
      </c>
    </row>
    <row r="493" ht="15.75" customHeight="1">
      <c r="A493" s="21"/>
      <c r="B493" s="38">
        <v>2.0</v>
      </c>
      <c r="C493" s="38" t="s">
        <v>28</v>
      </c>
      <c r="D493" s="39">
        <v>33.0</v>
      </c>
      <c r="E493" s="40">
        <f>IFERROR(__xludf.DUMMYFUNCTION("COUNT(IMPORTRANGE(""https://docs.google.com/spreadsheets/d/1tJCeYclgeJZ4Dc78t_SkhVjtacKW-5-VGim8X1rzUzk/edit"",""19!d2:d34""))"),33.0)</f>
        <v>33</v>
      </c>
      <c r="F493" s="41">
        <f>IFERROR(__xludf.DUMMYFUNCTION("SUM(IMPORTRANGE(""https://docs.google.com/spreadsheets/d/1tJCeYclgeJZ4Dc78t_SkhVjtacKW-5-VGim8X1rzUzk/edit"",""19!Q2:Q34""))"),6543.105)</f>
        <v>6543.105</v>
      </c>
      <c r="G493" s="40">
        <f>IFERROR(__xludf.DUMMYFUNCTION("IMPORTRANGE(""https://docs.google.com/spreadsheets/d/1tJCeYclgeJZ4Dc78t_SkhVjtacKW-5-VGim8X1rzUzk/edit"",""19!e41"")"),2701.0)</f>
        <v>2701</v>
      </c>
      <c r="H493" s="40">
        <f>IFERROR(__xludf.DUMMYFUNCTION("IMPORTRANGE(""https://docs.google.com/spreadsheets/d/1tJCeYclgeJZ4Dc78t_SkhVjtacKW-5-VGim8X1rzUzk/edit"",""19!e42"")"),209.0)</f>
        <v>209</v>
      </c>
      <c r="I493" s="40">
        <f t="shared" si="1365"/>
        <v>2910</v>
      </c>
      <c r="J493" s="40">
        <f>IFERROR(__xludf.DUMMYFUNCTION("IMPORTRANGE(""https://docs.google.com/spreadsheets/d/1tJCeYclgeJZ4Dc78t_SkhVjtacKW-5-VGim8X1rzUzk/edit"",""19!e45"")"),3192.0)</f>
        <v>3192</v>
      </c>
      <c r="K493" s="40">
        <f>IFERROR(__xludf.DUMMYFUNCTION("IMPORTRANGE(""https://docs.google.com/spreadsheets/d/1tJCeYclgeJZ4Dc78t_SkhVjtacKW-5-VGim8X1rzUzk/edit"",""19!e46"")"),140.0)</f>
        <v>140</v>
      </c>
      <c r="L493" s="40">
        <f t="shared" si="1366"/>
        <v>3332</v>
      </c>
      <c r="M493" s="40">
        <f t="shared" si="1367"/>
        <v>6242</v>
      </c>
      <c r="N493" s="41">
        <f t="shared" si="1368"/>
        <v>198.2759091</v>
      </c>
      <c r="O493" s="38">
        <v>7315.0</v>
      </c>
      <c r="P493" s="42">
        <f t="shared" si="1369"/>
        <v>0.8533151059</v>
      </c>
      <c r="Q493" s="43">
        <v>1.5</v>
      </c>
      <c r="R493" s="42">
        <f t="shared" si="1370"/>
        <v>0.6359875523</v>
      </c>
      <c r="S493" s="44">
        <f t="shared" si="1371"/>
        <v>0.9539813284</v>
      </c>
      <c r="T493" s="43">
        <f>F493/30.897</f>
        <v>211.7715312</v>
      </c>
      <c r="U493" s="43">
        <f t="shared" si="1372"/>
        <v>6.417319128</v>
      </c>
      <c r="V493" s="40">
        <f t="shared" si="1373"/>
        <v>189.1515152</v>
      </c>
      <c r="X493" s="22">
        <v>5.0</v>
      </c>
      <c r="Y493" s="22" t="s">
        <v>29</v>
      </c>
      <c r="Z493" s="22">
        <f t="shared" ref="Z493:AI493" si="1374">SUM(D508)</f>
        <v>30</v>
      </c>
      <c r="AA493" s="23">
        <f t="shared" si="1374"/>
        <v>30</v>
      </c>
      <c r="AB493" s="24">
        <f t="shared" si="1374"/>
        <v>5881.002</v>
      </c>
      <c r="AC493" s="23">
        <f t="shared" si="1374"/>
        <v>2779</v>
      </c>
      <c r="AD493" s="23">
        <f t="shared" si="1374"/>
        <v>0</v>
      </c>
      <c r="AE493" s="23">
        <f t="shared" si="1374"/>
        <v>2779</v>
      </c>
      <c r="AF493" s="23">
        <f t="shared" si="1374"/>
        <v>4219</v>
      </c>
      <c r="AG493" s="23">
        <f t="shared" si="1374"/>
        <v>0</v>
      </c>
      <c r="AH493" s="23">
        <f t="shared" si="1374"/>
        <v>4219</v>
      </c>
      <c r="AI493" s="23">
        <f t="shared" si="1374"/>
        <v>6998</v>
      </c>
      <c r="AJ493" s="25">
        <f t="shared" ref="AJ493:AJ495" si="1377">AB493/AA493</f>
        <v>196.0334</v>
      </c>
      <c r="AK493" s="22">
        <f t="shared" ref="AK493:AK494" si="1378">SUM(O508)</f>
        <v>9201</v>
      </c>
      <c r="AL493" s="26">
        <f t="shared" si="1355"/>
        <v>0.7605695033</v>
      </c>
      <c r="AM493" s="27">
        <f t="shared" ref="AM493:AM494" si="1379">SUM(Q508)</f>
        <v>1.5</v>
      </c>
      <c r="AN493" s="26">
        <f t="shared" si="1357"/>
        <v>0.7932888534</v>
      </c>
      <c r="AO493" s="28">
        <f t="shared" si="1358"/>
        <v>1.18993328</v>
      </c>
      <c r="AP493" s="27">
        <f t="shared" ref="AP493:AQ493" si="1375">SUM(T508)</f>
        <v>222</v>
      </c>
      <c r="AQ493" s="27">
        <f t="shared" si="1375"/>
        <v>7.4</v>
      </c>
      <c r="AR493" s="23">
        <f t="shared" si="1360"/>
        <v>233.2666667</v>
      </c>
    </row>
    <row r="494" ht="15.75" customHeight="1">
      <c r="A494" s="21"/>
      <c r="B494" s="38">
        <v>3.0</v>
      </c>
      <c r="C494" s="38" t="s">
        <v>30</v>
      </c>
      <c r="D494" s="39">
        <v>60.0</v>
      </c>
      <c r="E494" s="40">
        <f>IFERROR(__xludf.DUMMYFUNCTION("COUNT(IMPORTRANGE(""https://docs.google.com/spreadsheets/d/130gLEONC13J8KkQ6dk06x3bLRy_jCrAw2hXatQf2W50/edit"",""19!d2:d61""))"),59.0)</f>
        <v>59</v>
      </c>
      <c r="F494" s="45">
        <f>IFERROR(__xludf.DUMMYFUNCTION("SUM(IMPORTRANGE(""https://docs.google.com/spreadsheets/d/130gLEONC13J8KkQ6dk06x3bLRy_jCrAw2hXatQf2W50/edit"",""19!Q2:Q61""))"),11726.992999999988)</f>
        <v>11726.993</v>
      </c>
      <c r="G494" s="40">
        <f>IFERROR(__xludf.DUMMYFUNCTION("IMPORTRANGE(""https://docs.google.com/spreadsheets/d/130gLEONC13J8KkQ6dk06x3bLRy_jCrAw2hXatQf2W50/edit"",""19!e68"")"),3282.0)</f>
        <v>3282</v>
      </c>
      <c r="H494" s="40">
        <f>IFERROR(__xludf.DUMMYFUNCTION("IMPORTRANGE(""https://docs.google.com/spreadsheets/d/130gLEONC13J8KkQ6dk06x3bLRy_jCrAw2hXatQf2W50/edit"",""19!e69"")"),0.0)</f>
        <v>0</v>
      </c>
      <c r="I494" s="40">
        <f t="shared" si="1365"/>
        <v>3282</v>
      </c>
      <c r="J494" s="40">
        <f>IFERROR(__xludf.DUMMYFUNCTION("IMPORTRANGE(""https://docs.google.com/spreadsheets/d/130gLEONC13J8KkQ6dk06x3bLRy_jCrAw2hXatQf2W50/edit"",""19!e72"")"),6082.0)</f>
        <v>6082</v>
      </c>
      <c r="K494" s="40">
        <f>IFERROR(__xludf.DUMMYFUNCTION("IMPORTRANGE(""https://docs.google.com/spreadsheets/d/130gLEONC13J8KkQ6dk06x3bLRy_jCrAw2hXatQf2W50/edit"",""19!e73"")"),0.0)</f>
        <v>0</v>
      </c>
      <c r="L494" s="40">
        <f t="shared" si="1366"/>
        <v>6082</v>
      </c>
      <c r="M494" s="40">
        <f t="shared" si="1367"/>
        <v>9364</v>
      </c>
      <c r="N494" s="41">
        <f t="shared" si="1368"/>
        <v>198.7625932</v>
      </c>
      <c r="O494" s="38">
        <v>11164.0</v>
      </c>
      <c r="P494" s="42">
        <f t="shared" si="1369"/>
        <v>0.8387674669</v>
      </c>
      <c r="Q494" s="43">
        <v>1.5</v>
      </c>
      <c r="R494" s="42">
        <f t="shared" si="1370"/>
        <v>0.532333111</v>
      </c>
      <c r="S494" s="44">
        <f t="shared" si="1371"/>
        <v>0.7984996665</v>
      </c>
      <c r="T494" s="43">
        <f>F494/29.603</f>
        <v>396.1420464</v>
      </c>
      <c r="U494" s="43">
        <f t="shared" si="1372"/>
        <v>6.714271973</v>
      </c>
      <c r="V494" s="40">
        <f t="shared" si="1373"/>
        <v>158.7118644</v>
      </c>
      <c r="X494" s="22">
        <v>6.0</v>
      </c>
      <c r="Y494" s="22" t="s">
        <v>31</v>
      </c>
      <c r="Z494" s="22">
        <f t="shared" ref="Z494:AI494" si="1376">SUM(D509)</f>
        <v>15</v>
      </c>
      <c r="AA494" s="23">
        <f t="shared" si="1376"/>
        <v>12</v>
      </c>
      <c r="AB494" s="25">
        <f t="shared" si="1376"/>
        <v>2434.04</v>
      </c>
      <c r="AC494" s="23">
        <f t="shared" si="1376"/>
        <v>845</v>
      </c>
      <c r="AD494" s="23">
        <f t="shared" si="1376"/>
        <v>12</v>
      </c>
      <c r="AE494" s="23">
        <f t="shared" si="1376"/>
        <v>857</v>
      </c>
      <c r="AF494" s="23">
        <f t="shared" si="1376"/>
        <v>1025</v>
      </c>
      <c r="AG494" s="23">
        <f t="shared" si="1376"/>
        <v>0</v>
      </c>
      <c r="AH494" s="23">
        <f t="shared" si="1376"/>
        <v>1025</v>
      </c>
      <c r="AI494" s="23">
        <f t="shared" si="1376"/>
        <v>1882</v>
      </c>
      <c r="AJ494" s="25">
        <f t="shared" si="1377"/>
        <v>202.8366667</v>
      </c>
      <c r="AK494" s="22">
        <f t="shared" si="1378"/>
        <v>2717</v>
      </c>
      <c r="AL494" s="26">
        <f t="shared" si="1355"/>
        <v>0.6926757453</v>
      </c>
      <c r="AM494" s="27">
        <f t="shared" si="1379"/>
        <v>1.5</v>
      </c>
      <c r="AN494" s="26">
        <f t="shared" si="1357"/>
        <v>0.5154667412</v>
      </c>
      <c r="AO494" s="28">
        <f t="shared" si="1358"/>
        <v>0.7732001117</v>
      </c>
      <c r="AP494" s="27">
        <f t="shared" ref="AP494:AQ494" si="1380">SUM(T509)</f>
        <v>56</v>
      </c>
      <c r="AQ494" s="27">
        <f t="shared" si="1380"/>
        <v>4.666666667</v>
      </c>
      <c r="AR494" s="23">
        <f t="shared" si="1360"/>
        <v>156.8333333</v>
      </c>
    </row>
    <row r="495" ht="15.75" customHeight="1">
      <c r="A495" s="21"/>
      <c r="B495" s="38">
        <v>4.0</v>
      </c>
      <c r="C495" s="38" t="s">
        <v>32</v>
      </c>
      <c r="D495" s="39">
        <v>42.0</v>
      </c>
      <c r="E495" s="40">
        <f>IFERROR(__xludf.DUMMYFUNCTION("COUNT(IMPORTRANGE(""https://docs.google.com/spreadsheets/d/1gYHli7FuKQLm2Q-5LMR0UtkD-gRRA_p8s-phLPLDLgc/edit"",""19!d2:d43""))"),39.0)</f>
        <v>39</v>
      </c>
      <c r="F495" s="45">
        <f>IFERROR(__xludf.DUMMYFUNCTION("SUM(IMPORTRANGE(""https://docs.google.com/spreadsheets/d/1gYHli7FuKQLm2Q-5LMR0UtkD-gRRA_p8s-phLPLDLgc/edit"",""19!Q2:Q43""))"),7601.9669999999915)</f>
        <v>7601.967</v>
      </c>
      <c r="G495" s="38">
        <f>IFERROR(__xludf.DUMMYFUNCTION("IMPORTRANGE(""https://docs.google.com/spreadsheets/d/1gYHli7FuKQLm2Q-5LMR0UtkD-gRRA_p8s-phLPLDLgc/edit"",""19!e50"")"),4350.0)</f>
        <v>4350</v>
      </c>
      <c r="H495" s="38">
        <f>IFERROR(__xludf.DUMMYFUNCTION("IMPORTRANGE(""https://docs.google.com/spreadsheets/d/1gYHli7FuKQLm2Q-5LMR0UtkD-gRRA_p8s-phLPLDLgc/edit"",""19!e51"")"),0.0)</f>
        <v>0</v>
      </c>
      <c r="I495" s="40">
        <f t="shared" si="1365"/>
        <v>4350</v>
      </c>
      <c r="J495" s="38">
        <f>IFERROR(__xludf.DUMMYFUNCTION("IMPORTRANGE(""https://docs.google.com/spreadsheets/d/1gYHli7FuKQLm2Q-5LMR0UtkD-gRRA_p8s-phLPLDLgc/edit"",""19!e54"")"),5777.0)</f>
        <v>5777</v>
      </c>
      <c r="K495" s="38">
        <f>IFERROR(__xludf.DUMMYFUNCTION("IMPORTRANGE(""https://docs.google.com/spreadsheets/d/1gYHli7FuKQLm2Q-5LMR0UtkD-gRRA_p8s-phLPLDLgc/edit"",""19!e55"")"),103.0)</f>
        <v>103</v>
      </c>
      <c r="L495" s="40">
        <f t="shared" si="1366"/>
        <v>5880</v>
      </c>
      <c r="M495" s="40">
        <f t="shared" si="1367"/>
        <v>10230</v>
      </c>
      <c r="N495" s="41">
        <f t="shared" si="1368"/>
        <v>194.9222308</v>
      </c>
      <c r="O495" s="38">
        <v>13817.0</v>
      </c>
      <c r="P495" s="42">
        <f t="shared" si="1369"/>
        <v>0.7403922704</v>
      </c>
      <c r="Q495" s="43">
        <v>1.5</v>
      </c>
      <c r="R495" s="42">
        <f t="shared" si="1370"/>
        <v>0.897136228</v>
      </c>
      <c r="S495" s="44">
        <f t="shared" si="1371"/>
        <v>1.345704342</v>
      </c>
      <c r="T495" s="43">
        <f>F495/25.089</f>
        <v>303</v>
      </c>
      <c r="U495" s="43">
        <f t="shared" si="1372"/>
        <v>7.769230769</v>
      </c>
      <c r="V495" s="40">
        <f t="shared" si="1373"/>
        <v>262.3076923</v>
      </c>
      <c r="X495" s="46" t="s">
        <v>33</v>
      </c>
      <c r="Y495" s="46">
        <v>6.0</v>
      </c>
      <c r="Z495" s="46">
        <f t="shared" ref="Z495:AI495" si="1381">SUM(Z489:Z494)</f>
        <v>186</v>
      </c>
      <c r="AA495" s="47">
        <f t="shared" si="1381"/>
        <v>181</v>
      </c>
      <c r="AB495" s="48">
        <f t="shared" si="1381"/>
        <v>34656.378</v>
      </c>
      <c r="AC495" s="47">
        <f t="shared" si="1381"/>
        <v>11602</v>
      </c>
      <c r="AD495" s="47">
        <f t="shared" si="1381"/>
        <v>486</v>
      </c>
      <c r="AE495" s="47">
        <f t="shared" si="1381"/>
        <v>12088</v>
      </c>
      <c r="AF495" s="47">
        <f t="shared" si="1381"/>
        <v>16089</v>
      </c>
      <c r="AG495" s="47">
        <f t="shared" si="1381"/>
        <v>414</v>
      </c>
      <c r="AH495" s="47">
        <f t="shared" si="1381"/>
        <v>16503</v>
      </c>
      <c r="AI495" s="47">
        <f t="shared" si="1381"/>
        <v>28591</v>
      </c>
      <c r="AJ495" s="49">
        <f t="shared" si="1377"/>
        <v>191.4717017</v>
      </c>
      <c r="AK495" s="46">
        <f>SUM(AK489:AK494)</f>
        <v>35074</v>
      </c>
      <c r="AL495" s="50">
        <f t="shared" si="1355"/>
        <v>0.8151622284</v>
      </c>
      <c r="AM495" s="51">
        <v>1.5</v>
      </c>
      <c r="AN495" s="50">
        <f t="shared" si="1357"/>
        <v>0.5499901538</v>
      </c>
      <c r="AO495" s="52">
        <f t="shared" si="1358"/>
        <v>0.8249852307</v>
      </c>
      <c r="AP495" s="51">
        <f>SUM(AP489:AP494)</f>
        <v>1304.29782</v>
      </c>
      <c r="AQ495" s="51">
        <f>AP495/AA495</f>
        <v>7.206065303</v>
      </c>
      <c r="AR495" s="47">
        <f t="shared" si="1360"/>
        <v>157.961326</v>
      </c>
    </row>
    <row r="496" ht="15.75" customHeight="1">
      <c r="A496" s="21"/>
      <c r="B496" s="38">
        <v>5.0</v>
      </c>
      <c r="C496" s="38" t="s">
        <v>34</v>
      </c>
      <c r="D496" s="39">
        <v>40.0</v>
      </c>
      <c r="E496" s="40">
        <f>IFERROR(__xludf.DUMMYFUNCTION("COUNT(IMPORTRANGE(""https://docs.google.com/spreadsheets/d/1ptS0qWBCKWkc9h2aXWT_YgMhN7yIv5WgAHRbF8l9Zpo/edit"",""19!d2:d41""))"),39.0)</f>
        <v>39</v>
      </c>
      <c r="F496" s="45">
        <f>IFERROR(__xludf.DUMMYFUNCTION("SUM(IMPORTRANGE(""https://docs.google.com/spreadsheets/d/1ptS0qWBCKWkc9h2aXWT_YgMhN7yIv5WgAHRbF8l9Zpo/edit"",""19!Q2:Q41""))"),7626.750000000002)</f>
        <v>7626.75</v>
      </c>
      <c r="G496" s="40">
        <f>IFERROR(__xludf.DUMMYFUNCTION("IMPORTRANGE(""https://docs.google.com/spreadsheets/d/1ptS0qWBCKWkc9h2aXWT_YgMhN7yIv5WgAHRbF8l9Zpo/edit"",""19!e48"")"),2894.0)</f>
        <v>2894</v>
      </c>
      <c r="H496" s="40">
        <f>IFERROR(__xludf.DUMMYFUNCTION("IMPORTRANGE(""https://docs.google.com/spreadsheets/d/1ptS0qWBCKWkc9h2aXWT_YgMhN7yIv5WgAHRbF8l9Zpo/edit"",""19!e49"")"),0.0)</f>
        <v>0</v>
      </c>
      <c r="I496" s="40">
        <f t="shared" si="1365"/>
        <v>2894</v>
      </c>
      <c r="J496" s="40">
        <f>IFERROR(__xludf.DUMMYFUNCTION("IMPORTRANGE(""https://docs.google.com/spreadsheets/d/1ptS0qWBCKWkc9h2aXWT_YgMhN7yIv5WgAHRbF8l9Zpo/edit"",""19!e52"")"),3898.0)</f>
        <v>3898</v>
      </c>
      <c r="K496" s="40">
        <f>IFERROR(__xludf.DUMMYFUNCTION("IMPORTRANGE(""https://docs.google.com/spreadsheets/d/1ptS0qWBCKWkc9h2aXWT_YgMhN7yIv5WgAHRbF8l9Zpo/edit"",""19!e53"")"),0.0)</f>
        <v>0</v>
      </c>
      <c r="L496" s="40">
        <f t="shared" si="1366"/>
        <v>3898</v>
      </c>
      <c r="M496" s="40">
        <f t="shared" si="1367"/>
        <v>6792</v>
      </c>
      <c r="N496" s="41">
        <f t="shared" si="1368"/>
        <v>195.5576923</v>
      </c>
      <c r="O496" s="38">
        <v>9354.0</v>
      </c>
      <c r="P496" s="42">
        <f t="shared" si="1369"/>
        <v>0.7261064785</v>
      </c>
      <c r="Q496" s="43">
        <v>1.5</v>
      </c>
      <c r="R496" s="42">
        <f t="shared" si="1370"/>
        <v>0.5936998066</v>
      </c>
      <c r="S496" s="44">
        <f t="shared" si="1371"/>
        <v>0.8905497099</v>
      </c>
      <c r="T496" s="43">
        <f>F496/30.713</f>
        <v>248.3231856</v>
      </c>
      <c r="U496" s="43">
        <f t="shared" si="1372"/>
        <v>6.36726117</v>
      </c>
      <c r="V496" s="40">
        <f t="shared" si="1373"/>
        <v>174.1538462</v>
      </c>
      <c r="X496" s="53" t="s">
        <v>35</v>
      </c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6"/>
    </row>
    <row r="497" ht="15.75" customHeight="1">
      <c r="A497" s="21"/>
      <c r="B497" s="38">
        <v>6.0</v>
      </c>
      <c r="C497" s="38" t="s">
        <v>23</v>
      </c>
      <c r="D497" s="39">
        <v>35.0</v>
      </c>
      <c r="E497" s="40">
        <f>IFERROR(__xludf.DUMMYFUNCTION("COUNT(IMPORTRANGE(""https://docs.google.com/spreadsheets/d/1829CoYW82aTBBUgqkPnJa94KlBWI-DowAnP4ENQCmaQ/edit"",""19!d2:d36""))"),35.0)</f>
        <v>35</v>
      </c>
      <c r="F497" s="45">
        <f>IFERROR(__xludf.DUMMYFUNCTION("SUM(IMPORTRANGE(""https://docs.google.com/spreadsheets/d/1829CoYW82aTBBUgqkPnJa94KlBWI-DowAnP4ENQCmaQ/edit"",""19!Q2:Q36""))"),6699.183999999995)</f>
        <v>6699.184</v>
      </c>
      <c r="G497" s="40">
        <f>IFERROR(__xludf.DUMMYFUNCTION("IMPORTRANGE(""https://docs.google.com/spreadsheets/d/1829CoYW82aTBBUgqkPnJa94KlBWI-DowAnP4ENQCmaQ/edit"",""19!e43"")"),1906.0)</f>
        <v>1906</v>
      </c>
      <c r="H497" s="40">
        <f>IFERROR(__xludf.DUMMYFUNCTION("IMPORTRANGE(""https://docs.google.com/spreadsheets/d/1829CoYW82aTBBUgqkPnJa94KlBWI-DowAnP4ENQCmaQ/edit"",""19!e44"")"),0.0)</f>
        <v>0</v>
      </c>
      <c r="I497" s="40">
        <f t="shared" si="1365"/>
        <v>1906</v>
      </c>
      <c r="J497" s="40">
        <f>IFERROR(__xludf.DUMMYFUNCTION("IMPORTRANGE(""https://docs.google.com/spreadsheets/d/1829CoYW82aTBBUgqkPnJa94KlBWI-DowAnP4ENQCmaQ/edit"",""19!e47"")"),3192.0)</f>
        <v>3192</v>
      </c>
      <c r="K497" s="40">
        <f>IFERROR(__xludf.DUMMYFUNCTION("IMPORTRANGE(""https://docs.google.com/spreadsheets/d/1829CoYW82aTBBUgqkPnJa94KlBWI-DowAnP4ENQCmaQ/edit"",""19!e48"")"),0.0)</f>
        <v>0</v>
      </c>
      <c r="L497" s="40">
        <f t="shared" si="1366"/>
        <v>3192</v>
      </c>
      <c r="M497" s="40">
        <f t="shared" si="1367"/>
        <v>5098</v>
      </c>
      <c r="N497" s="41">
        <f t="shared" si="1368"/>
        <v>191.4052571</v>
      </c>
      <c r="O497" s="38">
        <v>6853.0</v>
      </c>
      <c r="P497" s="42">
        <f t="shared" si="1369"/>
        <v>0.7439077776</v>
      </c>
      <c r="Q497" s="43">
        <v>1.5</v>
      </c>
      <c r="R497" s="42">
        <f t="shared" si="1370"/>
        <v>0.5073254693</v>
      </c>
      <c r="S497" s="44">
        <f t="shared" si="1371"/>
        <v>0.7609882039</v>
      </c>
      <c r="T497" s="43">
        <f>F497/33.74</f>
        <v>198.5531713</v>
      </c>
      <c r="U497" s="43">
        <f t="shared" si="1372"/>
        <v>5.672947752</v>
      </c>
      <c r="V497" s="40">
        <f t="shared" si="1373"/>
        <v>145.6571429</v>
      </c>
      <c r="X497" s="14" t="s">
        <v>2</v>
      </c>
      <c r="Y497" s="14" t="s">
        <v>3</v>
      </c>
      <c r="Z497" s="14" t="s">
        <v>4</v>
      </c>
      <c r="AA497" s="14" t="s">
        <v>5</v>
      </c>
      <c r="AB497" s="15" t="s">
        <v>6</v>
      </c>
      <c r="AC497" s="14" t="s">
        <v>7</v>
      </c>
      <c r="AD497" s="14" t="s">
        <v>8</v>
      </c>
      <c r="AE497" s="14" t="s">
        <v>9</v>
      </c>
      <c r="AF497" s="14" t="s">
        <v>10</v>
      </c>
      <c r="AG497" s="14" t="s">
        <v>11</v>
      </c>
      <c r="AH497" s="14" t="s">
        <v>12</v>
      </c>
      <c r="AI497" s="14" t="s">
        <v>13</v>
      </c>
      <c r="AJ497" s="15" t="s">
        <v>14</v>
      </c>
      <c r="AK497" s="14" t="s">
        <v>15</v>
      </c>
      <c r="AL497" s="14" t="s">
        <v>16</v>
      </c>
      <c r="AM497" s="16" t="s">
        <v>17</v>
      </c>
      <c r="AN497" s="17" t="s">
        <v>18</v>
      </c>
      <c r="AO497" s="18" t="s">
        <v>19</v>
      </c>
      <c r="AP497" s="19" t="s">
        <v>20</v>
      </c>
      <c r="AQ497" s="19" t="s">
        <v>21</v>
      </c>
      <c r="AR497" s="20" t="s">
        <v>22</v>
      </c>
    </row>
    <row r="498" ht="15.75" customHeight="1">
      <c r="A498" s="21"/>
      <c r="B498" s="38">
        <v>7.0</v>
      </c>
      <c r="C498" s="38" t="s">
        <v>24</v>
      </c>
      <c r="D498" s="39">
        <v>44.0</v>
      </c>
      <c r="E498" s="54">
        <f>IFERROR(__xludf.DUMMYFUNCTION("COUNT(IMPORTRANGE(""https://docs.google.com/spreadsheets/d/1E2x4oDZxEIsuC5nl-5Z0--MoN8b1dt9SbpRcCfNP84Q/edit"",""19!d2:d45""))"),43.0)</f>
        <v>43</v>
      </c>
      <c r="F498" s="55">
        <f>IFERROR(__xludf.DUMMYFUNCTION("SUM(IMPORTRANGE(""https://docs.google.com/spreadsheets/d/1E2x4oDZxEIsuC5nl-5Z0--MoN8b1dt9SbpRcCfNP84Q/edit"",""19!Q2:Q45""))"),8427.487999999994)</f>
        <v>8427.488</v>
      </c>
      <c r="G498" s="54">
        <f>IFERROR(__xludf.DUMMYFUNCTION("IMPORTRANGE(""https://docs.google.com/spreadsheets/d/1E2x4oDZxEIsuC5nl-5Z0--MoN8b1dt9SbpRcCfNP84Q/edit"",""19!e53"")"),1060.0)</f>
        <v>1060</v>
      </c>
      <c r="H498" s="54">
        <f>IFERROR(__xludf.DUMMYFUNCTION("IMPORTRANGE(""https://docs.google.com/spreadsheets/d/1E2x4oDZxEIsuC5nl-5Z0--MoN8b1dt9SbpRcCfNP84Q/edit"",""19!e54"")"),8.0)</f>
        <v>8</v>
      </c>
      <c r="I498" s="54">
        <f t="shared" si="1365"/>
        <v>1068</v>
      </c>
      <c r="J498" s="54">
        <f>IFERROR(__xludf.DUMMYFUNCTION("IMPORTRANGE(""https://docs.google.com/spreadsheets/d/1E2x4oDZxEIsuC5nl-5Z0--MoN8b1dt9SbpRcCfNP84Q/edit"",""19!e57"")"),1375.0)</f>
        <v>1375</v>
      </c>
      <c r="K498" s="54">
        <f>IFERROR(__xludf.DUMMYFUNCTION("IMPORTRANGE(""https://docs.google.com/spreadsheets/d/1E2x4oDZxEIsuC5nl-5Z0--MoN8b1dt9SbpRcCfNP84Q/edit"",""19!e58"")"),0.0)</f>
        <v>0</v>
      </c>
      <c r="L498" s="40">
        <f t="shared" si="1366"/>
        <v>1375</v>
      </c>
      <c r="M498" s="40">
        <f t="shared" si="1367"/>
        <v>2443</v>
      </c>
      <c r="N498" s="41">
        <f t="shared" si="1368"/>
        <v>195.988093</v>
      </c>
      <c r="O498" s="38">
        <v>1580.0</v>
      </c>
      <c r="P498" s="56">
        <f t="shared" si="1369"/>
        <v>1.546202532</v>
      </c>
      <c r="Q498" s="43">
        <v>1.5</v>
      </c>
      <c r="R498" s="42">
        <f t="shared" si="1370"/>
        <v>0.1932564801</v>
      </c>
      <c r="S498" s="44">
        <f t="shared" si="1371"/>
        <v>0.2898847201</v>
      </c>
      <c r="T498" s="43">
        <f>F498/26.805</f>
        <v>314.3998508</v>
      </c>
      <c r="U498" s="43">
        <f t="shared" si="1372"/>
        <v>7.311624437</v>
      </c>
      <c r="V498" s="40">
        <f t="shared" si="1373"/>
        <v>56.81395349</v>
      </c>
      <c r="X498" s="22">
        <v>1.0</v>
      </c>
      <c r="Y498" s="22" t="s">
        <v>28</v>
      </c>
      <c r="Z498" s="22">
        <f t="shared" ref="Z498:AI498" si="1382">SUM(D493)</f>
        <v>33</v>
      </c>
      <c r="AA498" s="23">
        <f t="shared" si="1382"/>
        <v>33</v>
      </c>
      <c r="AB498" s="25">
        <f t="shared" si="1382"/>
        <v>6543.105</v>
      </c>
      <c r="AC498" s="23">
        <f t="shared" si="1382"/>
        <v>2701</v>
      </c>
      <c r="AD498" s="23">
        <f t="shared" si="1382"/>
        <v>209</v>
      </c>
      <c r="AE498" s="23">
        <f t="shared" si="1382"/>
        <v>2910</v>
      </c>
      <c r="AF498" s="23">
        <f t="shared" si="1382"/>
        <v>3192</v>
      </c>
      <c r="AG498" s="23">
        <f t="shared" si="1382"/>
        <v>140</v>
      </c>
      <c r="AH498" s="23">
        <f t="shared" si="1382"/>
        <v>3332</v>
      </c>
      <c r="AI498" s="23">
        <f t="shared" si="1382"/>
        <v>6242</v>
      </c>
      <c r="AJ498" s="25">
        <f t="shared" ref="AJ498:AJ504" si="1385">AB498/AA498</f>
        <v>198.2759091</v>
      </c>
      <c r="AK498" s="22">
        <f t="shared" ref="AK498:AK499" si="1386">SUM(O493)</f>
        <v>7315</v>
      </c>
      <c r="AL498" s="26">
        <f t="shared" ref="AL498:AL504" si="1387">AI498/AK498</f>
        <v>0.8533151059</v>
      </c>
      <c r="AM498" s="27">
        <f t="shared" ref="AM498:AM499" si="1388">SUM(Q493)</f>
        <v>1.5</v>
      </c>
      <c r="AN498" s="26">
        <f t="shared" ref="AN498:AN504" si="1389">AO498/AM498</f>
        <v>0.6359875523</v>
      </c>
      <c r="AO498" s="28">
        <f t="shared" ref="AO498:AO504" si="1390">AI498/AB498</f>
        <v>0.9539813284</v>
      </c>
      <c r="AP498" s="27">
        <f t="shared" ref="AP498:AQ498" si="1383">SUM(T493)</f>
        <v>211.7715312</v>
      </c>
      <c r="AQ498" s="27">
        <f t="shared" si="1383"/>
        <v>6.417319128</v>
      </c>
      <c r="AR498" s="23">
        <f t="shared" ref="AR498:AR504" si="1392">AI498/AA498</f>
        <v>189.1515152</v>
      </c>
    </row>
    <row r="499" ht="15.75" customHeight="1">
      <c r="A499" s="21"/>
      <c r="B499" s="38">
        <v>8.0</v>
      </c>
      <c r="C499" s="38" t="s">
        <v>25</v>
      </c>
      <c r="D499" s="57">
        <v>32.0</v>
      </c>
      <c r="E499" s="40">
        <f>IFERROR(__xludf.DUMMYFUNCTION("COUNT(IMPORTRANGE(""https://docs.google.com/spreadsheets/d/1KbRFOEYB0B44J_NSh1MwYQ1sLDlZXUHI-wuMLcZDn5k/edit"",""19!d2:D33""))"),31.0)</f>
        <v>31</v>
      </c>
      <c r="F499" s="45">
        <f>IFERROR(__xludf.DUMMYFUNCTION("SUM(IMPORTRANGE(""https://docs.google.com/spreadsheets/d/1KbRFOEYB0B44J_NSh1MwYQ1sLDlZXUHI-wuMLcZDn5k/edit"",""19!Q2:Q33""))"),5908.784000000002)</f>
        <v>5908.784</v>
      </c>
      <c r="G499" s="40">
        <f>IFERROR(__xludf.DUMMYFUNCTION("IMPORTRANGE(""https://docs.google.com/spreadsheets/d/1KbRFOEYB0B44J_NSh1MwYQ1sLDlZXUHI-wuMLcZDn5k/edit"",""19!e40"")"),2428.0)</f>
        <v>2428</v>
      </c>
      <c r="H499" s="40">
        <f>IFERROR(__xludf.DUMMYFUNCTION("IMPORTRANGE(""https://docs.google.com/spreadsheets/d/1KbRFOEYB0B44J_NSh1MwYQ1sLDlZXUHI-wuMLcZDn5k/edit"",""19!e41"")"),466.0)</f>
        <v>466</v>
      </c>
      <c r="I499" s="40">
        <f t="shared" si="1365"/>
        <v>2894</v>
      </c>
      <c r="J499" s="40">
        <f>IFERROR(__xludf.DUMMYFUNCTION("IMPORTRANGE(""https://docs.google.com/spreadsheets/d/1KbRFOEYB0B44J_NSh1MwYQ1sLDlZXUHI-wuMLcZDn5k/edit"",""19!e44"")"),3131.0)</f>
        <v>3131</v>
      </c>
      <c r="K499" s="40">
        <f>IFERROR(__xludf.DUMMYFUNCTION("IMPORTRANGE(""https://docs.google.com/spreadsheets/d/1KbRFOEYB0B44J_NSh1MwYQ1sLDlZXUHI-wuMLcZDn5k/edit"",""19!e45"")"),414.0)</f>
        <v>414</v>
      </c>
      <c r="L499" s="40">
        <f>J499+K499</f>
        <v>3545</v>
      </c>
      <c r="M499" s="40">
        <f t="shared" si="1367"/>
        <v>6439</v>
      </c>
      <c r="N499" s="41">
        <f t="shared" si="1368"/>
        <v>190.6059355</v>
      </c>
      <c r="O499" s="38">
        <v>6622.0</v>
      </c>
      <c r="P499" s="42">
        <f t="shared" si="1369"/>
        <v>0.9723648445</v>
      </c>
      <c r="Q499" s="43">
        <v>1.5</v>
      </c>
      <c r="R499" s="42">
        <f t="shared" si="1370"/>
        <v>0.7264890148</v>
      </c>
      <c r="S499" s="44">
        <f t="shared" si="1371"/>
        <v>1.089733522</v>
      </c>
      <c r="T499" s="43">
        <f>F499/23.84</f>
        <v>247.8516779</v>
      </c>
      <c r="U499" s="43">
        <f t="shared" si="1372"/>
        <v>7.995215415</v>
      </c>
      <c r="V499" s="40">
        <f t="shared" si="1373"/>
        <v>207.7096774</v>
      </c>
      <c r="X499" s="31">
        <v>2.0</v>
      </c>
      <c r="Y499" s="31" t="s">
        <v>30</v>
      </c>
      <c r="Z499" s="31">
        <f t="shared" ref="Z499:AI499" si="1384">SUM(D494)</f>
        <v>60</v>
      </c>
      <c r="AA499" s="32">
        <f t="shared" si="1384"/>
        <v>59</v>
      </c>
      <c r="AB499" s="33">
        <f t="shared" si="1384"/>
        <v>11726.993</v>
      </c>
      <c r="AC499" s="32">
        <f t="shared" si="1384"/>
        <v>3282</v>
      </c>
      <c r="AD499" s="32">
        <f t="shared" si="1384"/>
        <v>0</v>
      </c>
      <c r="AE499" s="32">
        <f t="shared" si="1384"/>
        <v>3282</v>
      </c>
      <c r="AF499" s="32">
        <f t="shared" si="1384"/>
        <v>6082</v>
      </c>
      <c r="AG499" s="32">
        <f t="shared" si="1384"/>
        <v>0</v>
      </c>
      <c r="AH499" s="32">
        <f t="shared" si="1384"/>
        <v>6082</v>
      </c>
      <c r="AI499" s="32">
        <f t="shared" si="1384"/>
        <v>9364</v>
      </c>
      <c r="AJ499" s="34">
        <f t="shared" si="1385"/>
        <v>198.7625932</v>
      </c>
      <c r="AK499" s="31">
        <f t="shared" si="1386"/>
        <v>11164</v>
      </c>
      <c r="AL499" s="35">
        <f t="shared" si="1387"/>
        <v>0.8387674669</v>
      </c>
      <c r="AM499" s="36">
        <f t="shared" si="1388"/>
        <v>1.5</v>
      </c>
      <c r="AN499" s="35">
        <f t="shared" si="1389"/>
        <v>0.532333111</v>
      </c>
      <c r="AO499" s="37">
        <f t="shared" si="1390"/>
        <v>0.7984996665</v>
      </c>
      <c r="AP499" s="36">
        <f t="shared" ref="AP499:AQ499" si="1391">SUM(T494)</f>
        <v>396.1420464</v>
      </c>
      <c r="AQ499" s="36">
        <f t="shared" si="1391"/>
        <v>6.714271973</v>
      </c>
      <c r="AR499" s="32">
        <f t="shared" si="1392"/>
        <v>158.7118644</v>
      </c>
    </row>
    <row r="500" ht="15.75" customHeight="1">
      <c r="A500" s="21"/>
      <c r="B500" s="38">
        <v>9.0</v>
      </c>
      <c r="C500" s="38" t="s">
        <v>36</v>
      </c>
      <c r="D500" s="58">
        <v>29.0</v>
      </c>
      <c r="E500" s="40">
        <f>IFERROR(__xludf.DUMMYFUNCTION("COUNT(IMPORTRANGE(""https://docs.google.com/spreadsheets/d/1VqqqRGfmmkT0JC4ILJva2p8P11jjV0FX-TSKAaqOigw/edit"",""19!d2:d31""))"),29.0)</f>
        <v>29</v>
      </c>
      <c r="F500" s="45">
        <f>IFERROR(__xludf.DUMMYFUNCTION("SUM(IMPORTRANGE(""https://docs.google.com/spreadsheets/d/1VqqqRGfmmkT0JC4ILJva2p8P11jjV0FX-TSKAaqOigw/edit"",""19!Q2:Q31""))"),5753.775999999996)</f>
        <v>5753.776</v>
      </c>
      <c r="G500" s="40">
        <f>IFERROR(__xludf.DUMMYFUNCTION("IMPORTRANGE(""https://docs.google.com/spreadsheets/d/1VqqqRGfmmkT0JC4ILJva2p8P11jjV0FX-TSKAaqOigw/edit"",""19!e38"")"),1575.0)</f>
        <v>1575</v>
      </c>
      <c r="H500" s="40">
        <f>IFERROR(__xludf.DUMMYFUNCTION("IMPORTRANGE(""https://docs.google.com/spreadsheets/d/1VqqqRGfmmkT0JC4ILJva2p8P11jjV0FX-TSKAaqOigw/edit"",""19!e39"")"),0.0)</f>
        <v>0</v>
      </c>
      <c r="I500" s="40">
        <f t="shared" si="1365"/>
        <v>1575</v>
      </c>
      <c r="J500" s="40">
        <f>IFERROR(__xludf.DUMMYFUNCTION("IMPORTRANGE(""https://docs.google.com/spreadsheets/d/1VqqqRGfmmkT0JC4ILJva2p8P11jjV0FX-TSKAaqOigw/edit"",""19!e42"")"),2366.0)</f>
        <v>2366</v>
      </c>
      <c r="K500" s="40">
        <f>IFERROR(__xludf.DUMMYFUNCTION("IMPORTRANGE(""https://docs.google.com/spreadsheets/d/1VqqqRGfmmkT0JC4ILJva2p8P11jjV0FX-TSKAaqOigw/edit"",""19!e43"")"),23.0)</f>
        <v>23</v>
      </c>
      <c r="L500" s="40">
        <f t="shared" ref="L500:L509" si="1395">SUM(J500:K500)</f>
        <v>2389</v>
      </c>
      <c r="M500" s="40">
        <f t="shared" si="1367"/>
        <v>3964</v>
      </c>
      <c r="N500" s="41">
        <f t="shared" si="1368"/>
        <v>198.406069</v>
      </c>
      <c r="O500" s="38">
        <v>4796.0</v>
      </c>
      <c r="P500" s="42">
        <f t="shared" si="1369"/>
        <v>0.8265221018</v>
      </c>
      <c r="Q500" s="43">
        <v>1.5</v>
      </c>
      <c r="R500" s="42">
        <f t="shared" si="1370"/>
        <v>0.4592925875</v>
      </c>
      <c r="S500" s="44">
        <f t="shared" si="1371"/>
        <v>0.6889388812</v>
      </c>
      <c r="T500" s="43">
        <f>F500/37.414</f>
        <v>153.7867109</v>
      </c>
      <c r="U500" s="43">
        <f t="shared" si="1372"/>
        <v>5.30299003</v>
      </c>
      <c r="V500" s="40">
        <f t="shared" si="1373"/>
        <v>136.6896552</v>
      </c>
      <c r="X500" s="22">
        <v>3.0</v>
      </c>
      <c r="Y500" s="22" t="s">
        <v>34</v>
      </c>
      <c r="Z500" s="22">
        <f t="shared" ref="Z500:AI500" si="1393">SUM(D496)</f>
        <v>40</v>
      </c>
      <c r="AA500" s="23">
        <f t="shared" si="1393"/>
        <v>39</v>
      </c>
      <c r="AB500" s="24">
        <f t="shared" si="1393"/>
        <v>7626.75</v>
      </c>
      <c r="AC500" s="23">
        <f t="shared" si="1393"/>
        <v>2894</v>
      </c>
      <c r="AD500" s="23">
        <f t="shared" si="1393"/>
        <v>0</v>
      </c>
      <c r="AE500" s="23">
        <f t="shared" si="1393"/>
        <v>2894</v>
      </c>
      <c r="AF500" s="23">
        <f t="shared" si="1393"/>
        <v>3898</v>
      </c>
      <c r="AG500" s="23">
        <f t="shared" si="1393"/>
        <v>0</v>
      </c>
      <c r="AH500" s="23">
        <f t="shared" si="1393"/>
        <v>3898</v>
      </c>
      <c r="AI500" s="23">
        <f t="shared" si="1393"/>
        <v>6792</v>
      </c>
      <c r="AJ500" s="25">
        <f t="shared" si="1385"/>
        <v>195.5576923</v>
      </c>
      <c r="AK500" s="22">
        <f>SUM(O496)</f>
        <v>9354</v>
      </c>
      <c r="AL500" s="26">
        <f t="shared" si="1387"/>
        <v>0.7261064785</v>
      </c>
      <c r="AM500" s="27">
        <f>SUM(Q496)</f>
        <v>1.5</v>
      </c>
      <c r="AN500" s="26">
        <f t="shared" si="1389"/>
        <v>0.5936998066</v>
      </c>
      <c r="AO500" s="28">
        <f t="shared" si="1390"/>
        <v>0.8905497099</v>
      </c>
      <c r="AP500" s="27">
        <f t="shared" ref="AP500:AQ500" si="1394">SUM(T496)</f>
        <v>248.3231856</v>
      </c>
      <c r="AQ500" s="27">
        <f t="shared" si="1394"/>
        <v>6.36726117</v>
      </c>
      <c r="AR500" s="23">
        <f t="shared" si="1392"/>
        <v>174.1538462</v>
      </c>
    </row>
    <row r="501" ht="15.75" customHeight="1">
      <c r="A501" s="21"/>
      <c r="B501" s="38">
        <v>10.0</v>
      </c>
      <c r="C501" s="38" t="s">
        <v>37</v>
      </c>
      <c r="D501" s="39">
        <v>30.0</v>
      </c>
      <c r="E501" s="40">
        <f>IFERROR(__xludf.DUMMYFUNCTION("COUNT(IMPORTRANGE(""https://docs.google.com/spreadsheets/d/1IYeRjQd_D6MRqoBKNaky3aSEUloYCJc5XDnPAbdyetk/edit"",""19!d2:d31""))"),30.0)</f>
        <v>30</v>
      </c>
      <c r="F501" s="45">
        <f>IFERROR(__xludf.DUMMYFUNCTION("SUM(IMPORTRANGE(""https://docs.google.com/spreadsheets/d/1IYeRjQd_D6MRqoBKNaky3aSEUloYCJc5XDnPAbdyetk/edit"",""19!Q2:Q31""))"),5787.396000000001)</f>
        <v>5787.396</v>
      </c>
      <c r="G501" s="40">
        <f>IFERROR(__xludf.DUMMYFUNCTION("(IMPORTRANGE(""https://docs.google.com/spreadsheets/d/1IYeRjQd_D6MRqoBKNaky3aSEUloYCJc5XDnPAbdyetk/edit"",""19!e38""))"),2215.0)</f>
        <v>2215</v>
      </c>
      <c r="H501" s="40">
        <f>IFERROR(__xludf.DUMMYFUNCTION("(IMPORTRANGE(""https://docs.google.com/spreadsheets/d/1IYeRjQd_D6MRqoBKNaky3aSEUloYCJc5XDnPAbdyetk/edit"",""19!e39""))"),0.0)</f>
        <v>0</v>
      </c>
      <c r="I501" s="40">
        <f t="shared" si="1365"/>
        <v>2215</v>
      </c>
      <c r="J501" s="40">
        <f>IFERROR(__xludf.DUMMYFUNCTION("(IMPORTRANGE(""https://docs.google.com/spreadsheets/d/1IYeRjQd_D6MRqoBKNaky3aSEUloYCJc5XDnPAbdyetk/edit"",""19!e42""))"),3235.0)</f>
        <v>3235</v>
      </c>
      <c r="K501" s="40">
        <f>IFERROR(__xludf.DUMMYFUNCTION("(IMPORTRANGE(""https://docs.google.com/spreadsheets/d/1IYeRjQd_D6MRqoBKNaky3aSEUloYCJc5XDnPAbdyetk/edit"",""19!e43""))"),0.0)</f>
        <v>0</v>
      </c>
      <c r="L501" s="40">
        <f t="shared" si="1395"/>
        <v>3235</v>
      </c>
      <c r="M501" s="40">
        <f t="shared" si="1367"/>
        <v>5450</v>
      </c>
      <c r="N501" s="41">
        <f t="shared" si="1368"/>
        <v>192.9132</v>
      </c>
      <c r="O501" s="38">
        <v>5887.0</v>
      </c>
      <c r="P501" s="42">
        <f t="shared" si="1369"/>
        <v>0.9257686428</v>
      </c>
      <c r="Q501" s="43">
        <v>1.5</v>
      </c>
      <c r="R501" s="42">
        <f t="shared" si="1370"/>
        <v>0.6278010583</v>
      </c>
      <c r="S501" s="44">
        <f t="shared" si="1371"/>
        <v>0.9417015874</v>
      </c>
      <c r="T501" s="43">
        <f>F501/24.792</f>
        <v>233.4380445</v>
      </c>
      <c r="U501" s="43">
        <f t="shared" si="1372"/>
        <v>7.781268151</v>
      </c>
      <c r="V501" s="40">
        <f t="shared" si="1373"/>
        <v>181.6666667</v>
      </c>
      <c r="X501" s="31">
        <v>4.0</v>
      </c>
      <c r="Y501" s="31" t="s">
        <v>38</v>
      </c>
      <c r="Z501" s="31">
        <f t="shared" ref="Z501:AI501" si="1396">SUM(D504)</f>
        <v>30</v>
      </c>
      <c r="AA501" s="32">
        <f t="shared" si="1396"/>
        <v>30</v>
      </c>
      <c r="AB501" s="33">
        <f t="shared" si="1396"/>
        <v>6345.57</v>
      </c>
      <c r="AC501" s="32">
        <f t="shared" si="1396"/>
        <v>2352</v>
      </c>
      <c r="AD501" s="32">
        <f t="shared" si="1396"/>
        <v>15</v>
      </c>
      <c r="AE501" s="32">
        <f t="shared" si="1396"/>
        <v>2367</v>
      </c>
      <c r="AF501" s="32">
        <f t="shared" si="1396"/>
        <v>2863</v>
      </c>
      <c r="AG501" s="32">
        <f t="shared" si="1396"/>
        <v>205</v>
      </c>
      <c r="AH501" s="32">
        <f t="shared" si="1396"/>
        <v>3068</v>
      </c>
      <c r="AI501" s="32">
        <f t="shared" si="1396"/>
        <v>5435</v>
      </c>
      <c r="AJ501" s="34">
        <f t="shared" si="1385"/>
        <v>211.519</v>
      </c>
      <c r="AK501" s="31">
        <v>7324.0</v>
      </c>
      <c r="AL501" s="35">
        <f t="shared" si="1387"/>
        <v>0.7420808301</v>
      </c>
      <c r="AM501" s="36">
        <f>SUM(Q504)</f>
        <v>1.5</v>
      </c>
      <c r="AN501" s="35">
        <f t="shared" si="1389"/>
        <v>0.5710020271</v>
      </c>
      <c r="AO501" s="37">
        <f t="shared" si="1390"/>
        <v>0.8565030407</v>
      </c>
      <c r="AP501" s="36">
        <f t="shared" ref="AP501:AQ501" si="1397">SUM(T504)</f>
        <v>154</v>
      </c>
      <c r="AQ501" s="36">
        <f t="shared" si="1397"/>
        <v>5.133333333</v>
      </c>
      <c r="AR501" s="32">
        <f t="shared" si="1392"/>
        <v>181.1666667</v>
      </c>
    </row>
    <row r="502" ht="15.75" customHeight="1">
      <c r="A502" s="21"/>
      <c r="B502" s="38">
        <v>12.0</v>
      </c>
      <c r="C502" s="38" t="s">
        <v>39</v>
      </c>
      <c r="D502" s="39">
        <v>28.0</v>
      </c>
      <c r="E502" s="40">
        <f>IFERROR(__xludf.DUMMYFUNCTION("COUNT(IMPORTRANGE(""https://docs.google.com/spreadsheets/d/1TAY2D35yAzyl8a_p5CuZehQvmatfj0b0Q8ICl8GtJBY/edit"",""19!d2:d29""))"),27.0)</f>
        <v>27</v>
      </c>
      <c r="F502" s="45">
        <f>IFERROR(__xludf.DUMMYFUNCTION("SUM(IMPORTRANGE(""https://docs.google.com/spreadsheets/d/1TAY2D35yAzyl8a_p5CuZehQvmatfj0b0Q8ICl8GtJBY/edit"",""19!Q2:Q29""))"),5008.155000000002)</f>
        <v>5008.155</v>
      </c>
      <c r="G502" s="40">
        <f>IFERROR(__xludf.DUMMYFUNCTION("IMPORTRANGE(""https://docs.google.com/spreadsheets/d/1TAY2D35yAzyl8a_p5CuZehQvmatfj0b0Q8ICl8GtJBY/edit"",""19!e36"")"),1148.0)</f>
        <v>1148</v>
      </c>
      <c r="H502" s="40">
        <f>IFERROR(__xludf.DUMMYFUNCTION("(IMPORTRANGE(""https://docs.google.com/spreadsheets/d/1TAY2D35yAzyl8a_p5CuZehQvmatfj0b0Q8ICl8GtJBY/edit"",""19!e37""))"),90.0)</f>
        <v>90</v>
      </c>
      <c r="I502" s="40">
        <f t="shared" si="1365"/>
        <v>1238</v>
      </c>
      <c r="J502" s="40">
        <f>IFERROR(__xludf.DUMMYFUNCTION("IMPORTRANGE(""https://docs.google.com/spreadsheets/d/1TAY2D35yAzyl8a_p5CuZehQvmatfj0b0Q8ICl8GtJBY/edit"",""19!e40"")"),1928.0)</f>
        <v>1928</v>
      </c>
      <c r="K502" s="40">
        <f>IFERROR(__xludf.DUMMYFUNCTION("IMPORTRANGE(""https://docs.google.com/spreadsheets/d/1TAY2D35yAzyl8a_p5CuZehQvmatfj0b0Q8ICl8GtJBY/edit"",""19!e41"")"),19.0)</f>
        <v>19</v>
      </c>
      <c r="L502" s="40">
        <f t="shared" si="1395"/>
        <v>1947</v>
      </c>
      <c r="M502" s="40">
        <f t="shared" si="1367"/>
        <v>3185</v>
      </c>
      <c r="N502" s="41">
        <f t="shared" si="1368"/>
        <v>185.4872222</v>
      </c>
      <c r="O502" s="38">
        <v>3569.0</v>
      </c>
      <c r="P502" s="42">
        <f t="shared" si="1369"/>
        <v>0.8924068366</v>
      </c>
      <c r="Q502" s="43">
        <v>1.5</v>
      </c>
      <c r="R502" s="42">
        <f t="shared" si="1370"/>
        <v>0.4239751632</v>
      </c>
      <c r="S502" s="44">
        <f t="shared" si="1371"/>
        <v>0.6359627448</v>
      </c>
      <c r="T502" s="43">
        <f>F502/21.463</f>
        <v>233.339002</v>
      </c>
      <c r="U502" s="43">
        <f t="shared" si="1372"/>
        <v>8.642185259</v>
      </c>
      <c r="V502" s="40">
        <f t="shared" si="1373"/>
        <v>117.962963</v>
      </c>
      <c r="X502" s="31">
        <v>5.0</v>
      </c>
      <c r="Y502" s="31" t="s">
        <v>40</v>
      </c>
      <c r="Z502" s="31">
        <f t="shared" ref="Z502:AI502" si="1398">SUM(D506)</f>
        <v>30</v>
      </c>
      <c r="AA502" s="32">
        <f t="shared" si="1398"/>
        <v>30</v>
      </c>
      <c r="AB502" s="33">
        <f t="shared" si="1398"/>
        <v>5944.587</v>
      </c>
      <c r="AC502" s="32">
        <f t="shared" si="1398"/>
        <v>3457</v>
      </c>
      <c r="AD502" s="32">
        <f t="shared" si="1398"/>
        <v>0</v>
      </c>
      <c r="AE502" s="32">
        <f t="shared" si="1398"/>
        <v>3457</v>
      </c>
      <c r="AF502" s="32">
        <f t="shared" si="1398"/>
        <v>3848</v>
      </c>
      <c r="AG502" s="32">
        <f t="shared" si="1398"/>
        <v>0</v>
      </c>
      <c r="AH502" s="32">
        <f t="shared" si="1398"/>
        <v>3848</v>
      </c>
      <c r="AI502" s="32">
        <f t="shared" si="1398"/>
        <v>7305</v>
      </c>
      <c r="AJ502" s="34">
        <f t="shared" si="1385"/>
        <v>198.1529</v>
      </c>
      <c r="AK502" s="31">
        <f t="shared" ref="AK502:AK503" si="1401">SUM(O506)</f>
        <v>8239</v>
      </c>
      <c r="AL502" s="35">
        <f t="shared" si="1387"/>
        <v>0.8866367278</v>
      </c>
      <c r="AM502" s="36">
        <f t="shared" ref="AM502:AM503" si="1402">SUM(Q506)</f>
        <v>1.5</v>
      </c>
      <c r="AN502" s="35">
        <f t="shared" si="1389"/>
        <v>0.8192326902</v>
      </c>
      <c r="AO502" s="37">
        <f t="shared" si="1390"/>
        <v>1.228849035</v>
      </c>
      <c r="AP502" s="36">
        <f t="shared" ref="AP502:AQ502" si="1399">SUM(T506)</f>
        <v>209</v>
      </c>
      <c r="AQ502" s="36">
        <f t="shared" si="1399"/>
        <v>6.966666667</v>
      </c>
      <c r="AR502" s="32">
        <f t="shared" si="1392"/>
        <v>243.5</v>
      </c>
    </row>
    <row r="503" ht="15.75" customHeight="1">
      <c r="A503" s="21"/>
      <c r="B503" s="38">
        <v>12.0</v>
      </c>
      <c r="C503" s="38" t="s">
        <v>41</v>
      </c>
      <c r="D503" s="39">
        <v>24.0</v>
      </c>
      <c r="E503" s="40">
        <f>IFERROR(__xludf.DUMMYFUNCTION("COUNT(IMPORTRANGE(""https://docs.google.com/spreadsheets/d/1VAsUtLQHi7oV9NsI9EIHPnO1bcPJHeRgSbMoxSvPBME/edit"",""19!d2:d25""))"),24.0)</f>
        <v>24</v>
      </c>
      <c r="F503" s="45">
        <f>IFERROR(__xludf.DUMMYFUNCTION("SUM(IMPORTRANGE(""https://docs.google.com/spreadsheets/d/1VAsUtLQHi7oV9NsI9EIHPnO1bcPJHeRgSbMoxSvPBME/edit"",""19!Q2:Q25""))"),4793.152000000001)</f>
        <v>4793.152</v>
      </c>
      <c r="G503" s="40">
        <f>IFERROR(__xludf.DUMMYFUNCTION("IMPORTRANGE(""https://docs.google.com/spreadsheets/d/1VAsUtLQHi7oV9NsI9EIHPnO1bcPJHeRgSbMoxSvPBME/edit"",""19!e32"")"),1112.0)</f>
        <v>1112</v>
      </c>
      <c r="H503" s="40">
        <f>IFERROR(__xludf.DUMMYFUNCTION("IMPORTRANGE(""https://docs.google.com/spreadsheets/d/1VAsUtLQHi7oV9NsI9EIHPnO1bcPJHeRgSbMoxSvPBME/edit"",""19!e33"")"),120.0)</f>
        <v>120</v>
      </c>
      <c r="I503" s="40">
        <f t="shared" si="1365"/>
        <v>1232</v>
      </c>
      <c r="J503" s="40">
        <f>IFERROR(__xludf.DUMMYFUNCTION("IMPORTRANGE(""https://docs.google.com/spreadsheets/d/1VAsUtLQHi7oV9NsI9EIHPnO1bcPJHeRgSbMoxSvPBME/edit"",""19!e36"")"),1953.0)</f>
        <v>1953</v>
      </c>
      <c r="K503" s="40">
        <f>IFERROR(__xludf.DUMMYFUNCTION("IMPORTRANGE(""https://docs.google.com/spreadsheets/d/1VAsUtLQHi7oV9NsI9EIHPnO1bcPJHeRgSbMoxSvPBME/edit"",""19!e37"")"),59.0)</f>
        <v>59</v>
      </c>
      <c r="L503" s="40">
        <f t="shared" si="1395"/>
        <v>2012</v>
      </c>
      <c r="M503" s="40">
        <f t="shared" si="1367"/>
        <v>3244</v>
      </c>
      <c r="N503" s="41">
        <f t="shared" si="1368"/>
        <v>199.7146667</v>
      </c>
      <c r="O503" s="38">
        <v>3801.0</v>
      </c>
      <c r="P503" s="42">
        <f t="shared" si="1369"/>
        <v>0.8534596159</v>
      </c>
      <c r="Q503" s="43">
        <v>1.5</v>
      </c>
      <c r="R503" s="42">
        <f t="shared" si="1370"/>
        <v>0.4511992665</v>
      </c>
      <c r="S503" s="44">
        <f t="shared" si="1371"/>
        <v>0.6767988998</v>
      </c>
      <c r="T503" s="43">
        <f>F503/29.628</f>
        <v>161.7777778</v>
      </c>
      <c r="U503" s="43">
        <f t="shared" si="1372"/>
        <v>6.740740741</v>
      </c>
      <c r="V503" s="40">
        <f t="shared" si="1373"/>
        <v>135.1666667</v>
      </c>
      <c r="X503" s="22">
        <v>6.0</v>
      </c>
      <c r="Y503" s="22" t="s">
        <v>42</v>
      </c>
      <c r="Z503" s="22">
        <f t="shared" ref="Z503:AI503" si="1400">SUM(D507)</f>
        <v>33</v>
      </c>
      <c r="AA503" s="23">
        <f t="shared" si="1400"/>
        <v>33</v>
      </c>
      <c r="AB503" s="24">
        <f t="shared" si="1400"/>
        <v>6309.51</v>
      </c>
      <c r="AC503" s="23">
        <f t="shared" si="1400"/>
        <v>2559</v>
      </c>
      <c r="AD503" s="23">
        <f t="shared" si="1400"/>
        <v>103</v>
      </c>
      <c r="AE503" s="23">
        <f t="shared" si="1400"/>
        <v>2662</v>
      </c>
      <c r="AF503" s="23">
        <f t="shared" si="1400"/>
        <v>4935</v>
      </c>
      <c r="AG503" s="23">
        <f t="shared" si="1400"/>
        <v>0</v>
      </c>
      <c r="AH503" s="23">
        <f t="shared" si="1400"/>
        <v>4935</v>
      </c>
      <c r="AI503" s="23">
        <f t="shared" si="1400"/>
        <v>7597</v>
      </c>
      <c r="AJ503" s="25">
        <f t="shared" si="1385"/>
        <v>191.1972727</v>
      </c>
      <c r="AK503" s="22">
        <f t="shared" si="1401"/>
        <v>9877</v>
      </c>
      <c r="AL503" s="26">
        <f t="shared" si="1387"/>
        <v>0.7691606763</v>
      </c>
      <c r="AM503" s="27">
        <f t="shared" si="1402"/>
        <v>1.5</v>
      </c>
      <c r="AN503" s="26">
        <f t="shared" si="1389"/>
        <v>0.8027036437</v>
      </c>
      <c r="AO503" s="28">
        <f t="shared" si="1390"/>
        <v>1.204055465</v>
      </c>
      <c r="AP503" s="27">
        <f t="shared" ref="AP503:AQ503" si="1403">SUM(T507)</f>
        <v>241.2353279</v>
      </c>
      <c r="AQ503" s="27">
        <f t="shared" si="1403"/>
        <v>7.31016145</v>
      </c>
      <c r="AR503" s="23">
        <f t="shared" si="1392"/>
        <v>230.2121212</v>
      </c>
    </row>
    <row r="504" ht="15.75" customHeight="1">
      <c r="A504" s="21"/>
      <c r="B504" s="38">
        <v>13.0</v>
      </c>
      <c r="C504" s="38" t="s">
        <v>43</v>
      </c>
      <c r="D504" s="39">
        <v>30.0</v>
      </c>
      <c r="E504" s="40">
        <f>IFERROR(__xludf.DUMMYFUNCTION("COUNT(IMPORTRANGE(""https://docs.google.com/spreadsheets/d/1p9Y_DGk7-TpRBFth-ljZceOIGCjQ0ylUeUq6xqnsZ-Q/edit"",""19!d2:d31""))"),30.0)</f>
        <v>30</v>
      </c>
      <c r="F504" s="45">
        <f>IFERROR(__xludf.DUMMYFUNCTION("SUM(IMPORTRANGE(""https://docs.google.com/spreadsheets/d/1p9Y_DGk7-TpRBFth-ljZceOIGCjQ0ylUeUq6xqnsZ-Q/edit"",""19!Q2:Q31""))"),6345.570000000001)</f>
        <v>6345.57</v>
      </c>
      <c r="G504" s="40">
        <f>IFERROR(__xludf.DUMMYFUNCTION("IMPORTRANGE(""https://docs.google.com/spreadsheets/d/1p9Y_DGk7-TpRBFth-ljZceOIGCjQ0ylUeUq6xqnsZ-Q/edit"",""19!e38"")"),2352.0)</f>
        <v>2352</v>
      </c>
      <c r="H504" s="40">
        <f>IFERROR(__xludf.DUMMYFUNCTION("IMPORTRANGE(""https://docs.google.com/spreadsheets/d/1p9Y_DGk7-TpRBFth-ljZceOIGCjQ0ylUeUq6xqnsZ-Q/edit"",""19!e39"")"),15.0)</f>
        <v>15</v>
      </c>
      <c r="I504" s="40">
        <f t="shared" si="1365"/>
        <v>2367</v>
      </c>
      <c r="J504" s="40">
        <f>IFERROR(__xludf.DUMMYFUNCTION("IMPORTRANGE(""https://docs.google.com/spreadsheets/d/1p9Y_DGk7-TpRBFth-ljZceOIGCjQ0ylUeUq6xqnsZ-Q/edit"",""19!e42"")"),2863.0)</f>
        <v>2863</v>
      </c>
      <c r="K504" s="40">
        <f>IFERROR(__xludf.DUMMYFUNCTION("IMPORTRANGE(""https://docs.google.com/spreadsheets/d/1p9Y_DGk7-TpRBFth-ljZceOIGCjQ0ylUeUq6xqnsZ-Q/edit"",""19!e43"")"),205.0)</f>
        <v>205</v>
      </c>
      <c r="L504" s="40">
        <f t="shared" si="1395"/>
        <v>3068</v>
      </c>
      <c r="M504" s="40">
        <f t="shared" si="1367"/>
        <v>5435</v>
      </c>
      <c r="N504" s="41">
        <f t="shared" si="1368"/>
        <v>211.519</v>
      </c>
      <c r="O504" s="38">
        <v>8345.0</v>
      </c>
      <c r="P504" s="42">
        <f t="shared" si="1369"/>
        <v>0.6512881965</v>
      </c>
      <c r="Q504" s="43">
        <v>1.5</v>
      </c>
      <c r="R504" s="42">
        <f t="shared" si="1370"/>
        <v>0.5710020271</v>
      </c>
      <c r="S504" s="44">
        <f t="shared" si="1371"/>
        <v>0.8565030407</v>
      </c>
      <c r="T504" s="43">
        <f>F504/41.205</f>
        <v>154</v>
      </c>
      <c r="U504" s="43">
        <f t="shared" si="1372"/>
        <v>5.133333333</v>
      </c>
      <c r="V504" s="40">
        <f t="shared" si="1373"/>
        <v>181.1666667</v>
      </c>
      <c r="X504" s="46" t="s">
        <v>33</v>
      </c>
      <c r="Y504" s="46">
        <v>6.0</v>
      </c>
      <c r="Z504" s="46">
        <f t="shared" ref="Z504:AI504" si="1404">SUM(Z498:Z503)</f>
        <v>226</v>
      </c>
      <c r="AA504" s="47">
        <f t="shared" si="1404"/>
        <v>224</v>
      </c>
      <c r="AB504" s="49">
        <f t="shared" si="1404"/>
        <v>44496.515</v>
      </c>
      <c r="AC504" s="47">
        <f t="shared" si="1404"/>
        <v>17245</v>
      </c>
      <c r="AD504" s="47">
        <f t="shared" si="1404"/>
        <v>327</v>
      </c>
      <c r="AE504" s="47">
        <f t="shared" si="1404"/>
        <v>17572</v>
      </c>
      <c r="AF504" s="47">
        <f t="shared" si="1404"/>
        <v>24818</v>
      </c>
      <c r="AG504" s="47">
        <f t="shared" si="1404"/>
        <v>345</v>
      </c>
      <c r="AH504" s="47">
        <f t="shared" si="1404"/>
        <v>25163</v>
      </c>
      <c r="AI504" s="47">
        <f t="shared" si="1404"/>
        <v>42735</v>
      </c>
      <c r="AJ504" s="49">
        <f t="shared" si="1385"/>
        <v>198.6451563</v>
      </c>
      <c r="AK504" s="46">
        <f>SUM(AK498:AK503)</f>
        <v>53273</v>
      </c>
      <c r="AL504" s="50">
        <f t="shared" si="1387"/>
        <v>0.802188726</v>
      </c>
      <c r="AM504" s="51">
        <v>1.5</v>
      </c>
      <c r="AN504" s="50">
        <f t="shared" si="1389"/>
        <v>0.640274862</v>
      </c>
      <c r="AO504" s="52">
        <f t="shared" si="1390"/>
        <v>0.960412293</v>
      </c>
      <c r="AP504" s="51">
        <f>SUM(AP498:AP503)</f>
        <v>1460.472091</v>
      </c>
      <c r="AQ504" s="51">
        <f>AP504/AA504</f>
        <v>6.519964692</v>
      </c>
      <c r="AR504" s="47">
        <f t="shared" si="1392"/>
        <v>190.78125</v>
      </c>
    </row>
    <row r="505" ht="15.75" customHeight="1">
      <c r="A505" s="21"/>
      <c r="B505" s="38">
        <v>14.0</v>
      </c>
      <c r="C505" s="38" t="s">
        <v>27</v>
      </c>
      <c r="D505" s="39">
        <v>30.0</v>
      </c>
      <c r="E505" s="40">
        <f>IFERROR(__xludf.DUMMYFUNCTION("COUNT(IMPORTRANGE(""https://docs.google.com/spreadsheets/d/1zJUDEKztv_fercXA0LYNw155qdzS7TJGhWLhquaW5IY/edit"",""19!d2:d31""))"),30.0)</f>
        <v>30</v>
      </c>
      <c r="F505" s="45">
        <f>IFERROR(__xludf.DUMMYFUNCTION("SUM(IMPORTRANGE(""https://docs.google.com/spreadsheets/d/1zJUDEKztv_fercXA0LYNw155qdzS7TJGhWLhquaW5IY/edit"",""19!Q2:Q31""))"),5305.879999999999)</f>
        <v>5305.88</v>
      </c>
      <c r="G505" s="40">
        <f>IFERROR(__xludf.DUMMYFUNCTION("IMPORTRANGE(""https://docs.google.com/spreadsheets/d/1zJUDEKztv_fercXA0LYNw155qdzS7TJGhWLhquaW5IY/edit"",""19!e38"")"),2584.0)</f>
        <v>2584</v>
      </c>
      <c r="H505" s="40">
        <f>IFERROR(__xludf.DUMMYFUNCTION("IMPORTRANGE(""https://docs.google.com/spreadsheets/d/1zJUDEKztv_fercXA0LYNw155qdzS7TJGhWLhquaW5IY/edit"",""19!e39"")"),0.0)</f>
        <v>0</v>
      </c>
      <c r="I505" s="40">
        <f t="shared" si="1365"/>
        <v>2584</v>
      </c>
      <c r="J505" s="40">
        <f>IFERROR(__xludf.DUMMYFUNCTION("IMPORTRANGE(""https://docs.google.com/spreadsheets/d/1zJUDEKztv_fercXA0LYNw155qdzS7TJGhWLhquaW5IY/edit"",""19!e42"")"),3147.0)</f>
        <v>3147</v>
      </c>
      <c r="K505" s="40">
        <f>IFERROR(__xludf.DUMMYFUNCTION("IMPORTRANGE(""https://docs.google.com/spreadsheets/d/1zJUDEKztv_fercXA0LYNw155qdzS7TJGhWLhquaW5IY/edit"",""19!e43"")"),0.0)</f>
        <v>0</v>
      </c>
      <c r="L505" s="40">
        <f t="shared" si="1395"/>
        <v>3147</v>
      </c>
      <c r="M505" s="40">
        <f t="shared" si="1367"/>
        <v>5731</v>
      </c>
      <c r="N505" s="41">
        <f t="shared" si="1368"/>
        <v>176.8626667</v>
      </c>
      <c r="O505" s="38">
        <v>8101.0</v>
      </c>
      <c r="P505" s="42">
        <f t="shared" si="1369"/>
        <v>0.7074435255</v>
      </c>
      <c r="Q505" s="43">
        <v>1.5</v>
      </c>
      <c r="R505" s="42">
        <f t="shared" si="1370"/>
        <v>0.7200816201</v>
      </c>
      <c r="S505" s="44">
        <f t="shared" si="1371"/>
        <v>1.08012243</v>
      </c>
      <c r="T505" s="43">
        <f>F505/19.985</f>
        <v>265.4931198</v>
      </c>
      <c r="U505" s="43">
        <f t="shared" si="1372"/>
        <v>8.849770661</v>
      </c>
      <c r="V505" s="40">
        <f t="shared" si="1373"/>
        <v>191.0333333</v>
      </c>
      <c r="X505" s="59" t="s">
        <v>44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6"/>
    </row>
    <row r="506" ht="15.75" customHeight="1">
      <c r="A506" s="21"/>
      <c r="B506" s="38">
        <v>15.0</v>
      </c>
      <c r="C506" s="38" t="s">
        <v>40</v>
      </c>
      <c r="D506" s="39">
        <v>30.0</v>
      </c>
      <c r="E506" s="40">
        <f>IFERROR(__xludf.DUMMYFUNCTION("COUNT(IMPORTRANGE(""https://docs.google.com/spreadsheets/d/15GJA66Ucb-8RQ5vWVpq5HYaWoZZFX82SCeHChBujbrI/edit"",""19!d2:d31""))"),30.0)</f>
        <v>30</v>
      </c>
      <c r="F506" s="45">
        <f>IFERROR(__xludf.DUMMYFUNCTION("SUM(IMPORTRANGE(""https://docs.google.com/spreadsheets/d/15GJA66Ucb-8RQ5vWVpq5HYaWoZZFX82SCeHChBujbrI/edit"",""19!Q2:Q31""))"),5944.586999999998)</f>
        <v>5944.587</v>
      </c>
      <c r="G506" s="40">
        <f>IFERROR(__xludf.DUMMYFUNCTION("IMPORTRANGE(""https://docs.google.com/spreadsheets/d/15GJA66Ucb-8RQ5vWVpq5HYaWoZZFX82SCeHChBujbrI/edit"",""19!e38"")"),3457.0)</f>
        <v>3457</v>
      </c>
      <c r="H506" s="40">
        <f>IFERROR(__xludf.DUMMYFUNCTION("IMPORTRANGE(""https://docs.google.com/spreadsheets/d/15GJA66Ucb-8RQ5vWVpq5HYaWoZZFX82SCeHChBujbrI/edit"",""19!e39"")"),0.0)</f>
        <v>0</v>
      </c>
      <c r="I506" s="40">
        <f t="shared" si="1365"/>
        <v>3457</v>
      </c>
      <c r="J506" s="40">
        <f>IFERROR(__xludf.DUMMYFUNCTION("IMPORTRANGE(""https://docs.google.com/spreadsheets/d/15GJA66Ucb-8RQ5vWVpq5HYaWoZZFX82SCeHChBujbrI/edit"",""19!e42"")"),3848.0)</f>
        <v>3848</v>
      </c>
      <c r="K506" s="40">
        <f>IFERROR(__xludf.DUMMYFUNCTION("IMPORTRANGE(""https://docs.google.com/spreadsheets/d/15GJA66Ucb-8RQ5vWVpq5HYaWoZZFX82SCeHChBujbrI/edit"",""19!e43"")"),0.0)</f>
        <v>0</v>
      </c>
      <c r="L506" s="40">
        <f t="shared" si="1395"/>
        <v>3848</v>
      </c>
      <c r="M506" s="40">
        <f t="shared" si="1367"/>
        <v>7305</v>
      </c>
      <c r="N506" s="41">
        <f t="shared" si="1368"/>
        <v>198.1529</v>
      </c>
      <c r="O506" s="38">
        <v>8239.0</v>
      </c>
      <c r="P506" s="42">
        <f t="shared" si="1369"/>
        <v>0.8866367278</v>
      </c>
      <c r="Q506" s="43">
        <v>1.5</v>
      </c>
      <c r="R506" s="42">
        <f t="shared" si="1370"/>
        <v>0.8192326902</v>
      </c>
      <c r="S506" s="44">
        <f t="shared" si="1371"/>
        <v>1.228849035</v>
      </c>
      <c r="T506" s="43">
        <f>F506/28.443</f>
        <v>209</v>
      </c>
      <c r="U506" s="43">
        <f t="shared" si="1372"/>
        <v>6.966666667</v>
      </c>
      <c r="V506" s="40">
        <f t="shared" si="1373"/>
        <v>243.5</v>
      </c>
      <c r="X506" s="14" t="s">
        <v>2</v>
      </c>
      <c r="Y506" s="14" t="s">
        <v>3</v>
      </c>
      <c r="Z506" s="14" t="s">
        <v>4</v>
      </c>
      <c r="AA506" s="14" t="s">
        <v>5</v>
      </c>
      <c r="AB506" s="15" t="s">
        <v>6</v>
      </c>
      <c r="AC506" s="14" t="s">
        <v>7</v>
      </c>
      <c r="AD506" s="14" t="s">
        <v>8</v>
      </c>
      <c r="AE506" s="14" t="s">
        <v>9</v>
      </c>
      <c r="AF506" s="14" t="s">
        <v>10</v>
      </c>
      <c r="AG506" s="14" t="s">
        <v>11</v>
      </c>
      <c r="AH506" s="14" t="s">
        <v>12</v>
      </c>
      <c r="AI506" s="14" t="s">
        <v>13</v>
      </c>
      <c r="AJ506" s="15" t="s">
        <v>14</v>
      </c>
      <c r="AK506" s="14" t="s">
        <v>15</v>
      </c>
      <c r="AL506" s="14" t="s">
        <v>16</v>
      </c>
      <c r="AM506" s="16" t="s">
        <v>17</v>
      </c>
      <c r="AN506" s="17" t="s">
        <v>18</v>
      </c>
      <c r="AO506" s="18" t="s">
        <v>19</v>
      </c>
      <c r="AP506" s="19" t="s">
        <v>20</v>
      </c>
      <c r="AQ506" s="19" t="s">
        <v>21</v>
      </c>
      <c r="AR506" s="20" t="s">
        <v>22</v>
      </c>
    </row>
    <row r="507" ht="15.75" customHeight="1">
      <c r="A507" s="21"/>
      <c r="B507" s="38">
        <v>16.0</v>
      </c>
      <c r="C507" s="38" t="s">
        <v>42</v>
      </c>
      <c r="D507" s="39">
        <v>33.0</v>
      </c>
      <c r="E507" s="40">
        <f>IFERROR(__xludf.DUMMYFUNCTION("COUNT(IMPORTRANGE(""https://docs.google.com/spreadsheets/d/14Tu_jFPEdrIQ6DHYu6vRvJKQsbXr-48NY1tKy4-8JKI/edit"",""19!d2:d34""))"),33.0)</f>
        <v>33</v>
      </c>
      <c r="F507" s="45">
        <f>IFERROR(__xludf.DUMMYFUNCTION("SUM(IMPORTRANGE(""https://docs.google.com/spreadsheets/d/14Tu_jFPEdrIQ6DHYu6vRvJKQsbXr-48NY1tKy4-8JKI/edit"",""19!Q2:Q34""))"),6309.509999999998)</f>
        <v>6309.51</v>
      </c>
      <c r="G507" s="40">
        <f>IFERROR(__xludf.DUMMYFUNCTION("IMPORTRANGE(""https://docs.google.com/spreadsheets/d/14Tu_jFPEdrIQ6DHYu6vRvJKQsbXr-48NY1tKy4-8JKI/edit"",""19!e41"")"),2559.0)</f>
        <v>2559</v>
      </c>
      <c r="H507" s="40">
        <f>IFERROR(__xludf.DUMMYFUNCTION("IMPORTRANGE(""https://docs.google.com/spreadsheets/d/14Tu_jFPEdrIQ6DHYu6vRvJKQsbXr-48NY1tKy4-8JKI/edit"",""19!e42"")"),103.0)</f>
        <v>103</v>
      </c>
      <c r="I507" s="40">
        <f t="shared" si="1365"/>
        <v>2662</v>
      </c>
      <c r="J507" s="40">
        <f>IFERROR(__xludf.DUMMYFUNCTION("IMPORTRANGE(""https://docs.google.com/spreadsheets/d/14Tu_jFPEdrIQ6DHYu6vRvJKQsbXr-48NY1tKy4-8JKI/edit"",""19!e45"")"),4935.0)</f>
        <v>4935</v>
      </c>
      <c r="K507" s="40">
        <f>IFERROR(__xludf.DUMMYFUNCTION("IMPORTRANGE(""https://docs.google.com/spreadsheets/d/14Tu_jFPEdrIQ6DHYu6vRvJKQsbXr-48NY1tKy4-8JKI/edit"",""19!e46"")"),0.0)</f>
        <v>0</v>
      </c>
      <c r="L507" s="40">
        <f t="shared" si="1395"/>
        <v>4935</v>
      </c>
      <c r="M507" s="40">
        <f t="shared" si="1367"/>
        <v>7597</v>
      </c>
      <c r="N507" s="41">
        <f t="shared" si="1368"/>
        <v>191.1972727</v>
      </c>
      <c r="O507" s="38">
        <v>9877.0</v>
      </c>
      <c r="P507" s="42">
        <f t="shared" si="1369"/>
        <v>0.7691606763</v>
      </c>
      <c r="Q507" s="43">
        <v>1.5</v>
      </c>
      <c r="R507" s="42">
        <f t="shared" si="1370"/>
        <v>0.8027036437</v>
      </c>
      <c r="S507" s="44">
        <f t="shared" si="1371"/>
        <v>1.204055465</v>
      </c>
      <c r="T507" s="43">
        <f>F507/26.155</f>
        <v>241.2353279</v>
      </c>
      <c r="U507" s="43">
        <f t="shared" si="1372"/>
        <v>7.31016145</v>
      </c>
      <c r="V507" s="40">
        <f t="shared" si="1373"/>
        <v>230.2121212</v>
      </c>
      <c r="X507" s="31">
        <v>1.0</v>
      </c>
      <c r="Y507" s="31" t="s">
        <v>26</v>
      </c>
      <c r="Z507" s="31">
        <f t="shared" ref="Z507:AI507" si="1405">SUM(D492)</f>
        <v>20</v>
      </c>
      <c r="AA507" s="32">
        <f t="shared" si="1405"/>
        <v>20</v>
      </c>
      <c r="AB507" s="34">
        <f t="shared" si="1405"/>
        <v>3979.152</v>
      </c>
      <c r="AC507" s="32">
        <f t="shared" si="1405"/>
        <v>1999</v>
      </c>
      <c r="AD507" s="32">
        <f t="shared" si="1405"/>
        <v>0</v>
      </c>
      <c r="AE507" s="32">
        <f t="shared" si="1405"/>
        <v>1999</v>
      </c>
      <c r="AF507" s="32">
        <f t="shared" si="1405"/>
        <v>3081</v>
      </c>
      <c r="AG507" s="32">
        <f t="shared" si="1405"/>
        <v>0</v>
      </c>
      <c r="AH507" s="32">
        <f t="shared" si="1405"/>
        <v>3081</v>
      </c>
      <c r="AI507" s="32">
        <f t="shared" si="1405"/>
        <v>5080</v>
      </c>
      <c r="AJ507" s="34">
        <f t="shared" ref="AJ507:AJ513" si="1408">AB507/AA507</f>
        <v>198.9576</v>
      </c>
      <c r="AK507" s="31">
        <f>SUM(O492)</f>
        <v>5161</v>
      </c>
      <c r="AL507" s="35">
        <f t="shared" ref="AL507:AL513" si="1409">AI507/AK507</f>
        <v>0.9843053672</v>
      </c>
      <c r="AM507" s="36">
        <f>SUM(Q492)</f>
        <v>1.5</v>
      </c>
      <c r="AN507" s="35">
        <f t="shared" ref="AN507:AN513" si="1410">AO507/AM507</f>
        <v>0.8511026135</v>
      </c>
      <c r="AO507" s="37">
        <f t="shared" ref="AO507:AO513" si="1411">AI507/AB507</f>
        <v>1.27665392</v>
      </c>
      <c r="AP507" s="36">
        <f t="shared" ref="AP507:AQ507" si="1406">SUM(T492)</f>
        <v>276.0424558</v>
      </c>
      <c r="AQ507" s="36">
        <f t="shared" si="1406"/>
        <v>13.80212279</v>
      </c>
      <c r="AR507" s="32">
        <f t="shared" ref="AR507:AR513" si="1413">AI507/AA507</f>
        <v>254</v>
      </c>
    </row>
    <row r="508" ht="15.75" customHeight="1">
      <c r="A508" s="21"/>
      <c r="B508" s="38">
        <v>17.0</v>
      </c>
      <c r="C508" s="38" t="s">
        <v>29</v>
      </c>
      <c r="D508" s="39">
        <v>30.0</v>
      </c>
      <c r="E508" s="40">
        <f>IFERROR(__xludf.DUMMYFUNCTION("COUNT(IMPORTRANGE(""https://docs.google.com/spreadsheets/d/1ja_RQYsP0p5wRrACHojay4CW1wLx0QdS5tSwp-vYQ-s/edit"",""19!d2:d31""))"),30.0)</f>
        <v>30</v>
      </c>
      <c r="F508" s="45">
        <f>IFERROR(__xludf.DUMMYFUNCTION("SUM(IMPORTRANGE(""https://docs.google.com/spreadsheets/d/1ja_RQYsP0p5wRrACHojay4CW1wLx0QdS5tSwp-vYQ-s/edit"",""19!Q2:Q31""))"),5881.001999999998)</f>
        <v>5881.002</v>
      </c>
      <c r="G508" s="40">
        <f>IFERROR(__xludf.DUMMYFUNCTION("IMPORTRANGE(""https://docs.google.com/spreadsheets/d/1ja_RQYsP0p5wRrACHojay4CW1wLx0QdS5tSwp-vYQ-s/edit"",""19!e38"")"),2779.0)</f>
        <v>2779</v>
      </c>
      <c r="H508" s="40">
        <f>IFERROR(__xludf.DUMMYFUNCTION("IMPORTRANGE(""https://docs.google.com/spreadsheets/d/1ja_RQYsP0p5wRrACHojay4CW1wLx0QdS5tSwp-vYQ-s/edit"",""19!e39"")"),0.0)</f>
        <v>0</v>
      </c>
      <c r="I508" s="40">
        <f t="shared" si="1365"/>
        <v>2779</v>
      </c>
      <c r="J508" s="40">
        <f>IFERROR(__xludf.DUMMYFUNCTION("IMPORTRANGE(""https://docs.google.com/spreadsheets/d/1ja_RQYsP0p5wRrACHojay4CW1wLx0QdS5tSwp-vYQ-s/edit"",""19!e42"")"),4219.0)</f>
        <v>4219</v>
      </c>
      <c r="K508" s="40">
        <f>IFERROR(__xludf.DUMMYFUNCTION("IMPORTRANGE(""https://docs.google.com/spreadsheets/d/1ja_RQYsP0p5wRrACHojay4CW1wLx0QdS5tSwp-vYQ-s/edit"",""19!e43"")"),0.0)</f>
        <v>0</v>
      </c>
      <c r="L508" s="40">
        <f t="shared" si="1395"/>
        <v>4219</v>
      </c>
      <c r="M508" s="40">
        <f t="shared" si="1367"/>
        <v>6998</v>
      </c>
      <c r="N508" s="41">
        <f t="shared" si="1368"/>
        <v>196.0334</v>
      </c>
      <c r="O508" s="38">
        <v>9201.0</v>
      </c>
      <c r="P508" s="42">
        <f t="shared" si="1369"/>
        <v>0.7605695033</v>
      </c>
      <c r="Q508" s="43">
        <v>1.5</v>
      </c>
      <c r="R508" s="42">
        <f t="shared" si="1370"/>
        <v>0.7932888534</v>
      </c>
      <c r="S508" s="44">
        <f t="shared" si="1371"/>
        <v>1.18993328</v>
      </c>
      <c r="T508" s="43">
        <f>F508/26.491</f>
        <v>222</v>
      </c>
      <c r="U508" s="43">
        <f t="shared" si="1372"/>
        <v>7.4</v>
      </c>
      <c r="V508" s="40">
        <f t="shared" si="1373"/>
        <v>233.2666667</v>
      </c>
      <c r="X508" s="31">
        <v>2.0</v>
      </c>
      <c r="Y508" s="31" t="s">
        <v>32</v>
      </c>
      <c r="Z508" s="31">
        <f t="shared" ref="Z508:AI508" si="1407">SUM(D495)</f>
        <v>42</v>
      </c>
      <c r="AA508" s="32">
        <f t="shared" si="1407"/>
        <v>39</v>
      </c>
      <c r="AB508" s="33">
        <f t="shared" si="1407"/>
        <v>7601.967</v>
      </c>
      <c r="AC508" s="31">
        <f t="shared" si="1407"/>
        <v>4350</v>
      </c>
      <c r="AD508" s="31">
        <f t="shared" si="1407"/>
        <v>0</v>
      </c>
      <c r="AE508" s="32">
        <f t="shared" si="1407"/>
        <v>4350</v>
      </c>
      <c r="AF508" s="31">
        <f t="shared" si="1407"/>
        <v>5777</v>
      </c>
      <c r="AG508" s="31">
        <f t="shared" si="1407"/>
        <v>103</v>
      </c>
      <c r="AH508" s="32">
        <f t="shared" si="1407"/>
        <v>5880</v>
      </c>
      <c r="AI508" s="32">
        <f t="shared" si="1407"/>
        <v>10230</v>
      </c>
      <c r="AJ508" s="34">
        <f t="shared" si="1408"/>
        <v>194.9222308</v>
      </c>
      <c r="AK508" s="31">
        <f>SUM(O495)</f>
        <v>13817</v>
      </c>
      <c r="AL508" s="35">
        <f t="shared" si="1409"/>
        <v>0.7403922704</v>
      </c>
      <c r="AM508" s="36">
        <f>SUM(Q495)</f>
        <v>1.5</v>
      </c>
      <c r="AN508" s="35">
        <f t="shared" si="1410"/>
        <v>0.897136228</v>
      </c>
      <c r="AO508" s="37">
        <f t="shared" si="1411"/>
        <v>1.345704342</v>
      </c>
      <c r="AP508" s="36">
        <f t="shared" ref="AP508:AQ508" si="1412">SUM(T495)</f>
        <v>303</v>
      </c>
      <c r="AQ508" s="36">
        <f t="shared" si="1412"/>
        <v>7.769230769</v>
      </c>
      <c r="AR508" s="32">
        <f t="shared" si="1413"/>
        <v>262.3076923</v>
      </c>
    </row>
    <row r="509" ht="15.75" customHeight="1">
      <c r="A509" s="21"/>
      <c r="B509" s="38">
        <v>18.0</v>
      </c>
      <c r="C509" s="38" t="s">
        <v>31</v>
      </c>
      <c r="D509" s="39">
        <v>15.0</v>
      </c>
      <c r="E509" s="40">
        <f>IFERROR(__xludf.DUMMYFUNCTION("COUNT(IMPORTRANGE(""https://docs.google.com/spreadsheets/d/1ObnK1oSznTOmyW9Zcd2kxExl7TOnO2MNq_0giEKc_mE/edit"",""19!d2:d16""))"),12.0)</f>
        <v>12</v>
      </c>
      <c r="F509" s="41">
        <f>IFERROR(__xludf.DUMMYFUNCTION("SUM(IMPORTRANGE(""https://docs.google.com/spreadsheets/d/1ObnK1oSznTOmyW9Zcd2kxExl7TOnO2MNq_0giEKc_mE/edit"",""19!Q2:Q16""))"),2434.0400000000004)</f>
        <v>2434.04</v>
      </c>
      <c r="G509" s="40">
        <f>IFERROR(__xludf.DUMMYFUNCTION("IMPORTRANGE(""https://docs.google.com/spreadsheets/d/1ObnK1oSznTOmyW9Zcd2kxExl7TOnO2MNq_0giEKc_mE/edit"",""19!e23"")"),845.0)</f>
        <v>845</v>
      </c>
      <c r="H509" s="40">
        <f>IFERROR(__xludf.DUMMYFUNCTION("IMPORTRANGE(""https://docs.google.com/spreadsheets/d/1ObnK1oSznTOmyW9Zcd2kxExl7TOnO2MNq_0giEKc_mE/edit"",""19!e24"")"),12.0)</f>
        <v>12</v>
      </c>
      <c r="I509" s="40">
        <f t="shared" si="1365"/>
        <v>857</v>
      </c>
      <c r="J509" s="40">
        <f>IFERROR(__xludf.DUMMYFUNCTION("IMPORTRANGE(""https://docs.google.com/spreadsheets/d/1ObnK1oSznTOmyW9Zcd2kxExl7TOnO2MNq_0giEKc_mE/edit"",""19!e27"")"),1025.0)</f>
        <v>1025</v>
      </c>
      <c r="K509" s="40">
        <f>IFERROR(__xludf.DUMMYFUNCTION("IMPORTRANGE(""https://docs.google.com/spreadsheets/d/1ObnK1oSznTOmyW9Zcd2kxExl7TOnO2MNq_0giEKc_mE/edit"",""19!e28"")"),0.0)</f>
        <v>0</v>
      </c>
      <c r="L509" s="40">
        <f t="shared" si="1395"/>
        <v>1025</v>
      </c>
      <c r="M509" s="40">
        <f t="shared" si="1367"/>
        <v>1882</v>
      </c>
      <c r="N509" s="41">
        <f t="shared" si="1368"/>
        <v>202.8366667</v>
      </c>
      <c r="O509" s="38">
        <v>2717.0</v>
      </c>
      <c r="P509" s="42">
        <f t="shared" si="1369"/>
        <v>0.6926757453</v>
      </c>
      <c r="Q509" s="43">
        <v>1.5</v>
      </c>
      <c r="R509" s="42">
        <f t="shared" si="1370"/>
        <v>0.5154667412</v>
      </c>
      <c r="S509" s="44">
        <f t="shared" si="1371"/>
        <v>0.7732001117</v>
      </c>
      <c r="T509" s="43">
        <f>F509/43.465</f>
        <v>56</v>
      </c>
      <c r="U509" s="43">
        <f t="shared" si="1372"/>
        <v>4.666666667</v>
      </c>
      <c r="V509" s="40">
        <f t="shared" si="1373"/>
        <v>156.8333333</v>
      </c>
      <c r="X509" s="31">
        <v>3.0</v>
      </c>
      <c r="Y509" s="31" t="s">
        <v>36</v>
      </c>
      <c r="Z509" s="31">
        <f t="shared" ref="Z509:AI509" si="1414">SUM(D500)</f>
        <v>29</v>
      </c>
      <c r="AA509" s="32">
        <f t="shared" si="1414"/>
        <v>29</v>
      </c>
      <c r="AB509" s="33">
        <f t="shared" si="1414"/>
        <v>5753.776</v>
      </c>
      <c r="AC509" s="32">
        <f t="shared" si="1414"/>
        <v>1575</v>
      </c>
      <c r="AD509" s="32">
        <f t="shared" si="1414"/>
        <v>0</v>
      </c>
      <c r="AE509" s="32">
        <f t="shared" si="1414"/>
        <v>1575</v>
      </c>
      <c r="AF509" s="32">
        <f t="shared" si="1414"/>
        <v>2366</v>
      </c>
      <c r="AG509" s="32">
        <f t="shared" si="1414"/>
        <v>23</v>
      </c>
      <c r="AH509" s="32">
        <f t="shared" si="1414"/>
        <v>2389</v>
      </c>
      <c r="AI509" s="32">
        <f t="shared" si="1414"/>
        <v>3964</v>
      </c>
      <c r="AJ509" s="34">
        <f t="shared" si="1408"/>
        <v>198.406069</v>
      </c>
      <c r="AK509" s="31">
        <f t="shared" ref="AK509:AK512" si="1418">SUM(O500)</f>
        <v>4796</v>
      </c>
      <c r="AL509" s="35">
        <f t="shared" si="1409"/>
        <v>0.8265221018</v>
      </c>
      <c r="AM509" s="36">
        <f t="shared" ref="AM509:AM512" si="1419">SUM(Q500)</f>
        <v>1.5</v>
      </c>
      <c r="AN509" s="35">
        <f t="shared" si="1410"/>
        <v>0.4592925875</v>
      </c>
      <c r="AO509" s="37">
        <f t="shared" si="1411"/>
        <v>0.6889388812</v>
      </c>
      <c r="AP509" s="36">
        <f t="shared" ref="AP509:AQ509" si="1415">SUM(T500)</f>
        <v>153.7867109</v>
      </c>
      <c r="AQ509" s="36">
        <f t="shared" si="1415"/>
        <v>5.30299003</v>
      </c>
      <c r="AR509" s="32">
        <f t="shared" si="1413"/>
        <v>136.6896552</v>
      </c>
    </row>
    <row r="510" ht="15.75" customHeight="1">
      <c r="A510" s="21"/>
      <c r="B510" s="60" t="s">
        <v>33</v>
      </c>
      <c r="C510" s="60">
        <v>18.0</v>
      </c>
      <c r="D510" s="60">
        <f t="shared" ref="D510:M510" si="1416">SUM(D492:D509)</f>
        <v>585</v>
      </c>
      <c r="E510" s="61">
        <f t="shared" si="1416"/>
        <v>574</v>
      </c>
      <c r="F510" s="62">
        <f t="shared" si="1416"/>
        <v>112076.491</v>
      </c>
      <c r="G510" s="61">
        <f t="shared" si="1416"/>
        <v>41246</v>
      </c>
      <c r="H510" s="61">
        <f t="shared" si="1416"/>
        <v>1023</v>
      </c>
      <c r="I510" s="61">
        <f t="shared" si="1416"/>
        <v>42269</v>
      </c>
      <c r="J510" s="61">
        <f t="shared" si="1416"/>
        <v>59247</v>
      </c>
      <c r="K510" s="61">
        <f t="shared" si="1416"/>
        <v>963</v>
      </c>
      <c r="L510" s="61">
        <f t="shared" si="1416"/>
        <v>60210</v>
      </c>
      <c r="M510" s="61">
        <f t="shared" si="1416"/>
        <v>102479</v>
      </c>
      <c r="N510" s="62">
        <f t="shared" si="1368"/>
        <v>195.2552108</v>
      </c>
      <c r="O510" s="60">
        <f>SUM(O492:O509)</f>
        <v>126399</v>
      </c>
      <c r="P510" s="63">
        <f t="shared" si="1369"/>
        <v>0.8107579965</v>
      </c>
      <c r="Q510" s="64">
        <v>1.5</v>
      </c>
      <c r="R510" s="63">
        <f t="shared" si="1370"/>
        <v>0.6095777332</v>
      </c>
      <c r="S510" s="65">
        <f t="shared" si="1371"/>
        <v>0.9143665999</v>
      </c>
      <c r="T510" s="64">
        <f>SUM(T492:T509)</f>
        <v>4126.153902</v>
      </c>
      <c r="U510" s="64">
        <f t="shared" si="1372"/>
        <v>7.188421432</v>
      </c>
      <c r="V510" s="61">
        <f t="shared" si="1373"/>
        <v>178.5348432</v>
      </c>
      <c r="X510" s="31">
        <v>4.0</v>
      </c>
      <c r="Y510" s="31" t="s">
        <v>37</v>
      </c>
      <c r="Z510" s="31">
        <f t="shared" ref="Z510:AI510" si="1417">SUM(D501)</f>
        <v>30</v>
      </c>
      <c r="AA510" s="32">
        <f t="shared" si="1417"/>
        <v>30</v>
      </c>
      <c r="AB510" s="33">
        <f t="shared" si="1417"/>
        <v>5787.396</v>
      </c>
      <c r="AC510" s="32">
        <f t="shared" si="1417"/>
        <v>2215</v>
      </c>
      <c r="AD510" s="32">
        <f t="shared" si="1417"/>
        <v>0</v>
      </c>
      <c r="AE510" s="32">
        <f t="shared" si="1417"/>
        <v>2215</v>
      </c>
      <c r="AF510" s="32">
        <f t="shared" si="1417"/>
        <v>3235</v>
      </c>
      <c r="AG510" s="32">
        <f t="shared" si="1417"/>
        <v>0</v>
      </c>
      <c r="AH510" s="32">
        <f t="shared" si="1417"/>
        <v>3235</v>
      </c>
      <c r="AI510" s="32">
        <f t="shared" si="1417"/>
        <v>5450</v>
      </c>
      <c r="AJ510" s="34">
        <f t="shared" si="1408"/>
        <v>192.9132</v>
      </c>
      <c r="AK510" s="31">
        <f t="shared" si="1418"/>
        <v>5887</v>
      </c>
      <c r="AL510" s="35">
        <f t="shared" si="1409"/>
        <v>0.9257686428</v>
      </c>
      <c r="AM510" s="36">
        <f t="shared" si="1419"/>
        <v>1.5</v>
      </c>
      <c r="AN510" s="35">
        <f t="shared" si="1410"/>
        <v>0.6278010583</v>
      </c>
      <c r="AO510" s="37">
        <f t="shared" si="1411"/>
        <v>0.9417015874</v>
      </c>
      <c r="AP510" s="36">
        <f t="shared" ref="AP510:AQ510" si="1420">SUM(T501)</f>
        <v>233.4380445</v>
      </c>
      <c r="AQ510" s="36">
        <f t="shared" si="1420"/>
        <v>7.781268151</v>
      </c>
      <c r="AR510" s="32">
        <f t="shared" si="1413"/>
        <v>181.6666667</v>
      </c>
    </row>
    <row r="511" ht="15.7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X511" s="31">
        <v>5.0</v>
      </c>
      <c r="Y511" s="31" t="s">
        <v>39</v>
      </c>
      <c r="Z511" s="31">
        <f t="shared" ref="Z511:AI511" si="1421">SUM(D502)</f>
        <v>28</v>
      </c>
      <c r="AA511" s="32">
        <f t="shared" si="1421"/>
        <v>27</v>
      </c>
      <c r="AB511" s="33">
        <f t="shared" si="1421"/>
        <v>5008.155</v>
      </c>
      <c r="AC511" s="32">
        <f t="shared" si="1421"/>
        <v>1148</v>
      </c>
      <c r="AD511" s="32">
        <f t="shared" si="1421"/>
        <v>90</v>
      </c>
      <c r="AE511" s="32">
        <f t="shared" si="1421"/>
        <v>1238</v>
      </c>
      <c r="AF511" s="32">
        <f t="shared" si="1421"/>
        <v>1928</v>
      </c>
      <c r="AG511" s="32">
        <f t="shared" si="1421"/>
        <v>19</v>
      </c>
      <c r="AH511" s="32">
        <f t="shared" si="1421"/>
        <v>1947</v>
      </c>
      <c r="AI511" s="32">
        <f t="shared" si="1421"/>
        <v>3185</v>
      </c>
      <c r="AJ511" s="34">
        <f t="shared" si="1408"/>
        <v>185.4872222</v>
      </c>
      <c r="AK511" s="31">
        <f t="shared" si="1418"/>
        <v>3569</v>
      </c>
      <c r="AL511" s="35">
        <f t="shared" si="1409"/>
        <v>0.8924068366</v>
      </c>
      <c r="AM511" s="36">
        <f t="shared" si="1419"/>
        <v>1.5</v>
      </c>
      <c r="AN511" s="35">
        <f t="shared" si="1410"/>
        <v>0.4239751632</v>
      </c>
      <c r="AO511" s="37">
        <f t="shared" si="1411"/>
        <v>0.6359627448</v>
      </c>
      <c r="AP511" s="36">
        <f t="shared" ref="AP511:AQ511" si="1422">SUM(T502)</f>
        <v>233.339002</v>
      </c>
      <c r="AQ511" s="36">
        <f t="shared" si="1422"/>
        <v>8.642185259</v>
      </c>
      <c r="AR511" s="32">
        <f t="shared" si="1413"/>
        <v>117.962963</v>
      </c>
    </row>
    <row r="512" ht="15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X512" s="31">
        <v>6.0</v>
      </c>
      <c r="Y512" s="31" t="s">
        <v>41</v>
      </c>
      <c r="Z512" s="31">
        <f t="shared" ref="Z512:AI512" si="1423">SUM(D503)</f>
        <v>24</v>
      </c>
      <c r="AA512" s="32">
        <f t="shared" si="1423"/>
        <v>24</v>
      </c>
      <c r="AB512" s="33">
        <f t="shared" si="1423"/>
        <v>4793.152</v>
      </c>
      <c r="AC512" s="32">
        <f t="shared" si="1423"/>
        <v>1112</v>
      </c>
      <c r="AD512" s="32">
        <f t="shared" si="1423"/>
        <v>120</v>
      </c>
      <c r="AE512" s="32">
        <f t="shared" si="1423"/>
        <v>1232</v>
      </c>
      <c r="AF512" s="32">
        <f t="shared" si="1423"/>
        <v>1953</v>
      </c>
      <c r="AG512" s="32">
        <f t="shared" si="1423"/>
        <v>59</v>
      </c>
      <c r="AH512" s="32">
        <f t="shared" si="1423"/>
        <v>2012</v>
      </c>
      <c r="AI512" s="32">
        <f t="shared" si="1423"/>
        <v>3244</v>
      </c>
      <c r="AJ512" s="34">
        <f t="shared" si="1408"/>
        <v>199.7146667</v>
      </c>
      <c r="AK512" s="31">
        <f t="shared" si="1418"/>
        <v>3801</v>
      </c>
      <c r="AL512" s="35">
        <f t="shared" si="1409"/>
        <v>0.8534596159</v>
      </c>
      <c r="AM512" s="36">
        <f t="shared" si="1419"/>
        <v>1.5</v>
      </c>
      <c r="AN512" s="35">
        <f t="shared" si="1410"/>
        <v>0.4511992665</v>
      </c>
      <c r="AO512" s="37">
        <f t="shared" si="1411"/>
        <v>0.6767988998</v>
      </c>
      <c r="AP512" s="36">
        <f t="shared" ref="AP512:AQ512" si="1424">SUM(T503)</f>
        <v>161.7777778</v>
      </c>
      <c r="AQ512" s="36">
        <f t="shared" si="1424"/>
        <v>6.740740741</v>
      </c>
      <c r="AR512" s="32">
        <f t="shared" si="1413"/>
        <v>135.1666667</v>
      </c>
    </row>
    <row r="513" ht="15.75" customHeight="1">
      <c r="A513" s="1" t="s">
        <v>45</v>
      </c>
      <c r="D513" s="2"/>
      <c r="X513" s="46" t="s">
        <v>33</v>
      </c>
      <c r="Y513" s="46">
        <v>6.0</v>
      </c>
      <c r="Z513" s="46">
        <f t="shared" ref="Z513:AI513" si="1425">SUM(Z507:Z512)</f>
        <v>173</v>
      </c>
      <c r="AA513" s="47">
        <f t="shared" si="1425"/>
        <v>169</v>
      </c>
      <c r="AB513" s="49">
        <f t="shared" si="1425"/>
        <v>32923.598</v>
      </c>
      <c r="AC513" s="47">
        <f t="shared" si="1425"/>
        <v>12399</v>
      </c>
      <c r="AD513" s="47">
        <f t="shared" si="1425"/>
        <v>210</v>
      </c>
      <c r="AE513" s="47">
        <f t="shared" si="1425"/>
        <v>12609</v>
      </c>
      <c r="AF513" s="47">
        <f t="shared" si="1425"/>
        <v>18340</v>
      </c>
      <c r="AG513" s="47">
        <f t="shared" si="1425"/>
        <v>204</v>
      </c>
      <c r="AH513" s="47">
        <f t="shared" si="1425"/>
        <v>18544</v>
      </c>
      <c r="AI513" s="47">
        <f t="shared" si="1425"/>
        <v>31153</v>
      </c>
      <c r="AJ513" s="49">
        <f t="shared" si="1408"/>
        <v>194.8141893</v>
      </c>
      <c r="AK513" s="46">
        <f>SUM(AK507:AK512)</f>
        <v>37031</v>
      </c>
      <c r="AL513" s="50">
        <f t="shared" si="1409"/>
        <v>0.8412681267</v>
      </c>
      <c r="AM513" s="51">
        <v>1.5</v>
      </c>
      <c r="AN513" s="50">
        <f t="shared" si="1410"/>
        <v>0.6308140036</v>
      </c>
      <c r="AO513" s="52">
        <f t="shared" si="1411"/>
        <v>0.9462210054</v>
      </c>
      <c r="AP513" s="51">
        <f>SUM(AP507:AP512)</f>
        <v>1361.383991</v>
      </c>
      <c r="AQ513" s="51">
        <f>AP513/AA513</f>
        <v>8.055526574</v>
      </c>
      <c r="AR513" s="47">
        <f t="shared" si="1413"/>
        <v>184.3372781</v>
      </c>
    </row>
    <row r="514" ht="15.75" customHeight="1">
      <c r="A514" s="1" t="s">
        <v>45</v>
      </c>
      <c r="D514" s="2"/>
      <c r="X514" s="66" t="s">
        <v>1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6"/>
    </row>
    <row r="515" ht="15.75" customHeight="1">
      <c r="A515" s="7">
        <v>46254.0</v>
      </c>
      <c r="B515" s="8" t="s">
        <v>2</v>
      </c>
      <c r="C515" s="8" t="s">
        <v>3</v>
      </c>
      <c r="D515" s="8" t="s">
        <v>4</v>
      </c>
      <c r="E515" s="8" t="s">
        <v>5</v>
      </c>
      <c r="F515" s="9" t="s">
        <v>6</v>
      </c>
      <c r="G515" s="8" t="s">
        <v>7</v>
      </c>
      <c r="H515" s="8" t="s">
        <v>8</v>
      </c>
      <c r="I515" s="8" t="s">
        <v>9</v>
      </c>
      <c r="J515" s="8" t="s">
        <v>10</v>
      </c>
      <c r="K515" s="8" t="s">
        <v>11</v>
      </c>
      <c r="L515" s="8" t="s">
        <v>12</v>
      </c>
      <c r="M515" s="8" t="s">
        <v>13</v>
      </c>
      <c r="N515" s="9" t="s">
        <v>14</v>
      </c>
      <c r="O515" s="8" t="s">
        <v>15</v>
      </c>
      <c r="P515" s="8" t="s">
        <v>16</v>
      </c>
      <c r="Q515" s="8" t="s">
        <v>17</v>
      </c>
      <c r="R515" s="8" t="s">
        <v>18</v>
      </c>
      <c r="S515" s="11" t="s">
        <v>19</v>
      </c>
      <c r="T515" s="12" t="s">
        <v>20</v>
      </c>
      <c r="U515" s="12" t="s">
        <v>21</v>
      </c>
      <c r="V515" s="13" t="s">
        <v>22</v>
      </c>
      <c r="X515" s="14" t="s">
        <v>2</v>
      </c>
      <c r="Y515" s="14" t="s">
        <v>3</v>
      </c>
      <c r="Z515" s="14" t="s">
        <v>4</v>
      </c>
      <c r="AA515" s="14" t="s">
        <v>5</v>
      </c>
      <c r="AB515" s="15" t="s">
        <v>6</v>
      </c>
      <c r="AC515" s="14" t="s">
        <v>7</v>
      </c>
      <c r="AD515" s="14" t="s">
        <v>8</v>
      </c>
      <c r="AE515" s="14" t="s">
        <v>9</v>
      </c>
      <c r="AF515" s="14" t="s">
        <v>10</v>
      </c>
      <c r="AG515" s="14" t="s">
        <v>11</v>
      </c>
      <c r="AH515" s="14" t="s">
        <v>12</v>
      </c>
      <c r="AI515" s="14" t="s">
        <v>13</v>
      </c>
      <c r="AJ515" s="15" t="s">
        <v>14</v>
      </c>
      <c r="AK515" s="14" t="s">
        <v>15</v>
      </c>
      <c r="AL515" s="14" t="s">
        <v>16</v>
      </c>
      <c r="AM515" s="16" t="s">
        <v>17</v>
      </c>
      <c r="AN515" s="17" t="s">
        <v>18</v>
      </c>
      <c r="AO515" s="18" t="s">
        <v>19</v>
      </c>
      <c r="AP515" s="19" t="s">
        <v>20</v>
      </c>
      <c r="AQ515" s="19" t="s">
        <v>21</v>
      </c>
      <c r="AR515" s="20" t="s">
        <v>22</v>
      </c>
    </row>
    <row r="516" ht="15.7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X516" s="22">
        <v>1.0</v>
      </c>
      <c r="Y516" s="22" t="s">
        <v>23</v>
      </c>
      <c r="Z516" s="22">
        <f t="shared" ref="Z516:AI516" si="1426">SUM(D524)</f>
        <v>35</v>
      </c>
      <c r="AA516" s="23">
        <f t="shared" si="1426"/>
        <v>35</v>
      </c>
      <c r="AB516" s="24">
        <f t="shared" si="1426"/>
        <v>6680.52</v>
      </c>
      <c r="AC516" s="23">
        <f t="shared" si="1426"/>
        <v>1912</v>
      </c>
      <c r="AD516" s="23">
        <f t="shared" si="1426"/>
        <v>0</v>
      </c>
      <c r="AE516" s="23">
        <f t="shared" si="1426"/>
        <v>1912</v>
      </c>
      <c r="AF516" s="23">
        <f t="shared" si="1426"/>
        <v>3180</v>
      </c>
      <c r="AG516" s="23">
        <f t="shared" si="1426"/>
        <v>0</v>
      </c>
      <c r="AH516" s="23">
        <f t="shared" si="1426"/>
        <v>3180</v>
      </c>
      <c r="AI516" s="23">
        <f t="shared" si="1426"/>
        <v>5092</v>
      </c>
      <c r="AJ516" s="25">
        <f t="shared" ref="AJ516:AJ518" si="1429">AB516/AA516</f>
        <v>190.872</v>
      </c>
      <c r="AK516" s="22">
        <f>SUM(O524)</f>
        <v>6853</v>
      </c>
      <c r="AL516" s="26">
        <f t="shared" ref="AL516:AL522" si="1430">AI516/AK516</f>
        <v>0.7430322487</v>
      </c>
      <c r="AM516" s="27">
        <f t="shared" ref="AM516:AM518" si="1431">SUM(Q524)</f>
        <v>1.5</v>
      </c>
      <c r="AN516" s="26">
        <f t="shared" ref="AN516:AN522" si="1432">AO516/AM516</f>
        <v>0.5081440766</v>
      </c>
      <c r="AO516" s="28">
        <f t="shared" ref="AO516:AO522" si="1433">AI516/AB516</f>
        <v>0.7622161149</v>
      </c>
      <c r="AP516" s="27">
        <f t="shared" ref="AP516:AQ516" si="1427">SUM(T524)</f>
        <v>198</v>
      </c>
      <c r="AQ516" s="27">
        <f t="shared" si="1427"/>
        <v>5.657142857</v>
      </c>
      <c r="AR516" s="23">
        <f t="shared" ref="AR516:AR522" si="1435">AI516/AA516</f>
        <v>145.4857143</v>
      </c>
    </row>
    <row r="517" ht="15.7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X517" s="22">
        <v>2.0</v>
      </c>
      <c r="Y517" s="22" t="s">
        <v>24</v>
      </c>
      <c r="Z517" s="22">
        <f t="shared" ref="Z517:AI517" si="1428">SUM(D525)</f>
        <v>44</v>
      </c>
      <c r="AA517" s="23">
        <f t="shared" si="1428"/>
        <v>44</v>
      </c>
      <c r="AB517" s="24">
        <f t="shared" si="1428"/>
        <v>8679.808</v>
      </c>
      <c r="AC517" s="23">
        <f t="shared" si="1428"/>
        <v>1138</v>
      </c>
      <c r="AD517" s="23">
        <f t="shared" si="1428"/>
        <v>0</v>
      </c>
      <c r="AE517" s="23">
        <f t="shared" si="1428"/>
        <v>1138</v>
      </c>
      <c r="AF517" s="23">
        <f t="shared" si="1428"/>
        <v>1416</v>
      </c>
      <c r="AG517" s="23">
        <f t="shared" si="1428"/>
        <v>16</v>
      </c>
      <c r="AH517" s="23">
        <f t="shared" si="1428"/>
        <v>1432</v>
      </c>
      <c r="AI517" s="23">
        <f t="shared" si="1428"/>
        <v>2570</v>
      </c>
      <c r="AJ517" s="25">
        <f t="shared" si="1429"/>
        <v>197.2683636</v>
      </c>
      <c r="AK517" s="22">
        <v>1580.0</v>
      </c>
      <c r="AL517" s="29">
        <f t="shared" si="1430"/>
        <v>1.626582278</v>
      </c>
      <c r="AM517" s="27">
        <f t="shared" si="1431"/>
        <v>1.5</v>
      </c>
      <c r="AN517" s="26">
        <f t="shared" si="1432"/>
        <v>0.1973929992</v>
      </c>
      <c r="AO517" s="28">
        <f t="shared" si="1433"/>
        <v>0.2960894988</v>
      </c>
      <c r="AP517" s="27">
        <f t="shared" ref="AP517:AQ517" si="1434">SUM(T525)</f>
        <v>323.81302</v>
      </c>
      <c r="AQ517" s="27">
        <f t="shared" si="1434"/>
        <v>7.359386817</v>
      </c>
      <c r="AR517" s="23">
        <f t="shared" si="1435"/>
        <v>58.40909091</v>
      </c>
    </row>
    <row r="518" ht="15.75" customHeight="1">
      <c r="A518" s="21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X518" s="31">
        <v>3.0</v>
      </c>
      <c r="Y518" s="31" t="s">
        <v>25</v>
      </c>
      <c r="Z518" s="31">
        <f t="shared" ref="Z518:AI518" si="1436">SUM(D526)</f>
        <v>32</v>
      </c>
      <c r="AA518" s="32">
        <f t="shared" si="1436"/>
        <v>31</v>
      </c>
      <c r="AB518" s="33">
        <f t="shared" si="1436"/>
        <v>5701.296</v>
      </c>
      <c r="AC518" s="32">
        <f t="shared" si="1436"/>
        <v>2201</v>
      </c>
      <c r="AD518" s="32">
        <f t="shared" si="1436"/>
        <v>391</v>
      </c>
      <c r="AE518" s="32">
        <f t="shared" si="1436"/>
        <v>2592</v>
      </c>
      <c r="AF518" s="32">
        <f t="shared" si="1436"/>
        <v>3175</v>
      </c>
      <c r="AG518" s="32">
        <f t="shared" si="1436"/>
        <v>389</v>
      </c>
      <c r="AH518" s="32">
        <f t="shared" si="1436"/>
        <v>3564</v>
      </c>
      <c r="AI518" s="32">
        <f t="shared" si="1436"/>
        <v>6156</v>
      </c>
      <c r="AJ518" s="34">
        <f t="shared" si="1429"/>
        <v>183.9127742</v>
      </c>
      <c r="AK518" s="31">
        <f>SUM(O526)</f>
        <v>6622</v>
      </c>
      <c r="AL518" s="35">
        <f t="shared" si="1430"/>
        <v>0.929628511</v>
      </c>
      <c r="AM518" s="36">
        <f t="shared" si="1431"/>
        <v>1.5</v>
      </c>
      <c r="AN518" s="35">
        <f t="shared" si="1432"/>
        <v>0.7198363319</v>
      </c>
      <c r="AO518" s="37">
        <f t="shared" si="1433"/>
        <v>1.079754498</v>
      </c>
      <c r="AP518" s="36">
        <f t="shared" ref="AP518:AQ518" si="1437">SUM(T526)</f>
        <v>239.1483221</v>
      </c>
      <c r="AQ518" s="36">
        <f t="shared" si="1437"/>
        <v>7.714462005</v>
      </c>
      <c r="AR518" s="32">
        <f t="shared" si="1435"/>
        <v>198.5806452</v>
      </c>
    </row>
    <row r="519" ht="15.75" customHeight="1">
      <c r="A519" s="21"/>
      <c r="B519" s="38">
        <v>1.0</v>
      </c>
      <c r="C519" s="38" t="s">
        <v>26</v>
      </c>
      <c r="D519" s="39">
        <v>20.0</v>
      </c>
      <c r="E519" s="40">
        <f>IFERROR(__xludf.DUMMYFUNCTION("COUNT(IMPORTRANGE(""https://docs.google.com/spreadsheets/d/1iVFEBQOAONhqDIMRa2hQ7WkCQv0dJWSAmc0AzfvSCMg/edit"",""20!d2:d21""))"),20.0)</f>
        <v>20</v>
      </c>
      <c r="F519" s="41">
        <f>IFERROR(__xludf.DUMMYFUNCTION("SUM(IMPORTRANGE(""https://docs.google.com/spreadsheets/d/1iVFEBQOAONhqDIMRa2hQ7WkCQv0dJWSAmc0AzfvSCMg/edit"",""20!Q2:Q21""))"),3841.9799999999996)</f>
        <v>3841.98</v>
      </c>
      <c r="G519" s="40">
        <f>IFERROR(__xludf.DUMMYFUNCTION("IMPORTRANGE(""https://docs.google.com/spreadsheets/d/1iVFEBQOAONhqDIMRa2hQ7WkCQv0dJWSAmc0AzfvSCMg/edit"",""20!e28"")"),1451.0)</f>
        <v>1451</v>
      </c>
      <c r="H519" s="40">
        <f>IFERROR(__xludf.DUMMYFUNCTION("IMPORTRANGE(""https://docs.google.com/spreadsheets/d/1iVFEBQOAONhqDIMRa2hQ7WkCQv0dJWSAmc0AzfvSCMg/edit"",""20!e29"")"),0.0)</f>
        <v>0</v>
      </c>
      <c r="I519" s="40">
        <f t="shared" ref="I519:I536" si="1440">SUM(G519:H519)</f>
        <v>1451</v>
      </c>
      <c r="J519" s="40">
        <f>IFERROR(__xludf.DUMMYFUNCTION("IMPORTRANGE(""https://docs.google.com/spreadsheets/d/1iVFEBQOAONhqDIMRa2hQ7WkCQv0dJWSAmc0AzfvSCMg/edit"",""20!e32"")"),3544.0)</f>
        <v>3544</v>
      </c>
      <c r="K519" s="40">
        <f>IFERROR(__xludf.DUMMYFUNCTION("IMPORTRANGE(""https://docs.google.com/spreadsheets/d/1iVFEBQOAONhqDIMRa2hQ7WkCQv0dJWSAmc0AzfvSCMg/edit"",""20!e33"")"),0.0)</f>
        <v>0</v>
      </c>
      <c r="L519" s="40">
        <f t="shared" ref="L519:L525" si="1441">SUM(J519:K519)</f>
        <v>3544</v>
      </c>
      <c r="M519" s="40">
        <f t="shared" ref="M519:M536" si="1442">SUM(I519+L519)</f>
        <v>4995</v>
      </c>
      <c r="N519" s="41">
        <f t="shared" ref="N519:N537" si="1443">F519/E519</f>
        <v>192.099</v>
      </c>
      <c r="O519" s="38">
        <v>5161.0</v>
      </c>
      <c r="P519" s="42">
        <f t="shared" ref="P519:P537" si="1444">M519/O519</f>
        <v>0.9678356908</v>
      </c>
      <c r="Q519" s="43">
        <v>1.5</v>
      </c>
      <c r="R519" s="42">
        <f t="shared" ref="R519:R537" si="1445">S519/Q519</f>
        <v>0.8667405869</v>
      </c>
      <c r="S519" s="44">
        <f t="shared" ref="S519:S537" si="1446">M519/F519</f>
        <v>1.30011088</v>
      </c>
      <c r="T519" s="43">
        <f>F519/14.415</f>
        <v>266.5265349</v>
      </c>
      <c r="U519" s="43">
        <f t="shared" ref="U519:U537" si="1447">T519/E519</f>
        <v>13.32632674</v>
      </c>
      <c r="V519" s="40">
        <f t="shared" ref="V519:V537" si="1448">M519/E519</f>
        <v>249.75</v>
      </c>
      <c r="X519" s="22">
        <v>4.0</v>
      </c>
      <c r="Y519" s="22" t="s">
        <v>27</v>
      </c>
      <c r="Z519" s="22">
        <f t="shared" ref="Z519:AK519" si="1438">SUM(D532)</f>
        <v>30</v>
      </c>
      <c r="AA519" s="23">
        <f t="shared" si="1438"/>
        <v>30</v>
      </c>
      <c r="AB519" s="24">
        <f t="shared" si="1438"/>
        <v>5645.625</v>
      </c>
      <c r="AC519" s="23">
        <f t="shared" si="1438"/>
        <v>2581</v>
      </c>
      <c r="AD519" s="23">
        <f t="shared" si="1438"/>
        <v>0</v>
      </c>
      <c r="AE519" s="23">
        <f t="shared" si="1438"/>
        <v>2581</v>
      </c>
      <c r="AF519" s="23">
        <f t="shared" si="1438"/>
        <v>3108</v>
      </c>
      <c r="AG519" s="23">
        <f t="shared" si="1438"/>
        <v>0</v>
      </c>
      <c r="AH519" s="23">
        <f t="shared" si="1438"/>
        <v>3108</v>
      </c>
      <c r="AI519" s="23">
        <f t="shared" si="1438"/>
        <v>5689</v>
      </c>
      <c r="AJ519" s="25">
        <f t="shared" si="1438"/>
        <v>188.1875</v>
      </c>
      <c r="AK519" s="22">
        <f t="shared" si="1438"/>
        <v>8101</v>
      </c>
      <c r="AL519" s="26">
        <f t="shared" si="1430"/>
        <v>0.7022589804</v>
      </c>
      <c r="AM519" s="27">
        <f>SUM(Q532)</f>
        <v>1.5</v>
      </c>
      <c r="AN519" s="26">
        <f t="shared" si="1432"/>
        <v>0.6717886269</v>
      </c>
      <c r="AO519" s="28">
        <f t="shared" si="1433"/>
        <v>1.00768294</v>
      </c>
      <c r="AP519" s="27">
        <f t="shared" ref="AP519:AQ519" si="1439">SUM(T532)</f>
        <v>282.4931198</v>
      </c>
      <c r="AQ519" s="27">
        <f t="shared" si="1439"/>
        <v>9.416437328</v>
      </c>
      <c r="AR519" s="23">
        <f t="shared" si="1435"/>
        <v>189.6333333</v>
      </c>
    </row>
    <row r="520" ht="15.75" customHeight="1">
      <c r="A520" s="21"/>
      <c r="B520" s="38">
        <v>2.0</v>
      </c>
      <c r="C520" s="38" t="s">
        <v>28</v>
      </c>
      <c r="D520" s="39">
        <v>33.0</v>
      </c>
      <c r="E520" s="40">
        <f>IFERROR(__xludf.DUMMYFUNCTION("COUNT(IMPORTRANGE(""https://docs.google.com/spreadsheets/d/1tJCeYclgeJZ4Dc78t_SkhVjtacKW-5-VGim8X1rzUzk/edit"",""20!d2:d34""))"),32.0)</f>
        <v>32</v>
      </c>
      <c r="F520" s="41">
        <f>IFERROR(__xludf.DUMMYFUNCTION("SUM(IMPORTRANGE(""https://docs.google.com/spreadsheets/d/1tJCeYclgeJZ4Dc78t_SkhVjtacKW-5-VGim8X1rzUzk/edit"",""20!Q2:Q34""))"),6250.76)</f>
        <v>6250.76</v>
      </c>
      <c r="G520" s="40">
        <f>IFERROR(__xludf.DUMMYFUNCTION("IMPORTRANGE(""https://docs.google.com/spreadsheets/d/1tJCeYclgeJZ4Dc78t_SkhVjtacKW-5-VGim8X1rzUzk/edit"",""20!e41"")"),2644.0)</f>
        <v>2644</v>
      </c>
      <c r="H520" s="40">
        <f>IFERROR(__xludf.DUMMYFUNCTION("IMPORTRANGE(""https://docs.google.com/spreadsheets/d/1tJCeYclgeJZ4Dc78t_SkhVjtacKW-5-VGim8X1rzUzk/edit"",""20!e42"")"),136.0)</f>
        <v>136</v>
      </c>
      <c r="I520" s="40">
        <f t="shared" si="1440"/>
        <v>2780</v>
      </c>
      <c r="J520" s="40">
        <f>IFERROR(__xludf.DUMMYFUNCTION("IMPORTRANGE(""https://docs.google.com/spreadsheets/d/1tJCeYclgeJZ4Dc78t_SkhVjtacKW-5-VGim8X1rzUzk/edit"",""20!e45"")"),3001.0)</f>
        <v>3001</v>
      </c>
      <c r="K520" s="40">
        <f>IFERROR(__xludf.DUMMYFUNCTION("IMPORTRANGE(""https://docs.google.com/spreadsheets/d/1tJCeYclgeJZ4Dc78t_SkhVjtacKW-5-VGim8X1rzUzk/edit"",""20!e46"")"),182.0)</f>
        <v>182</v>
      </c>
      <c r="L520" s="40">
        <f t="shared" si="1441"/>
        <v>3183</v>
      </c>
      <c r="M520" s="40">
        <f t="shared" si="1442"/>
        <v>5963</v>
      </c>
      <c r="N520" s="41">
        <f t="shared" si="1443"/>
        <v>195.33625</v>
      </c>
      <c r="O520" s="38">
        <v>7315.0</v>
      </c>
      <c r="P520" s="42">
        <f t="shared" si="1444"/>
        <v>0.8151742994</v>
      </c>
      <c r="Q520" s="43">
        <v>1.5</v>
      </c>
      <c r="R520" s="42">
        <f t="shared" si="1445"/>
        <v>0.6359759987</v>
      </c>
      <c r="S520" s="44">
        <f t="shared" si="1446"/>
        <v>0.953963998</v>
      </c>
      <c r="T520" s="43">
        <f>F520/30.897</f>
        <v>202.3096093</v>
      </c>
      <c r="U520" s="43">
        <f t="shared" si="1447"/>
        <v>6.322175292</v>
      </c>
      <c r="V520" s="40">
        <f t="shared" si="1448"/>
        <v>186.34375</v>
      </c>
      <c r="X520" s="22">
        <v>5.0</v>
      </c>
      <c r="Y520" s="22" t="s">
        <v>29</v>
      </c>
      <c r="Z520" s="22">
        <f t="shared" ref="Z520:AI520" si="1449">SUM(D535)</f>
        <v>30</v>
      </c>
      <c r="AA520" s="23">
        <f t="shared" si="1449"/>
        <v>30</v>
      </c>
      <c r="AB520" s="24">
        <f t="shared" si="1449"/>
        <v>6039.948</v>
      </c>
      <c r="AC520" s="23">
        <f t="shared" si="1449"/>
        <v>2522</v>
      </c>
      <c r="AD520" s="23">
        <f t="shared" si="1449"/>
        <v>0</v>
      </c>
      <c r="AE520" s="23">
        <f t="shared" si="1449"/>
        <v>2522</v>
      </c>
      <c r="AF520" s="23">
        <f t="shared" si="1449"/>
        <v>4409</v>
      </c>
      <c r="AG520" s="23">
        <f t="shared" si="1449"/>
        <v>0</v>
      </c>
      <c r="AH520" s="23">
        <f t="shared" si="1449"/>
        <v>4409</v>
      </c>
      <c r="AI520" s="23">
        <f t="shared" si="1449"/>
        <v>6931</v>
      </c>
      <c r="AJ520" s="25">
        <f t="shared" ref="AJ520:AJ522" si="1452">AB520/AA520</f>
        <v>201.3316</v>
      </c>
      <c r="AK520" s="22">
        <f t="shared" ref="AK520:AK521" si="1453">SUM(O535)</f>
        <v>9201</v>
      </c>
      <c r="AL520" s="26">
        <f t="shared" si="1430"/>
        <v>0.7532876861</v>
      </c>
      <c r="AM520" s="27">
        <f t="shared" ref="AM520:AM521" si="1454">SUM(Q535)</f>
        <v>1.5</v>
      </c>
      <c r="AN520" s="26">
        <f t="shared" si="1432"/>
        <v>0.7650176238</v>
      </c>
      <c r="AO520" s="28">
        <f t="shared" si="1433"/>
        <v>1.147526436</v>
      </c>
      <c r="AP520" s="27">
        <f t="shared" ref="AP520:AQ520" si="1450">SUM(T535)</f>
        <v>228</v>
      </c>
      <c r="AQ520" s="27">
        <f t="shared" si="1450"/>
        <v>7.6</v>
      </c>
      <c r="AR520" s="23">
        <f t="shared" si="1435"/>
        <v>231.0333333</v>
      </c>
    </row>
    <row r="521" ht="15.75" customHeight="1">
      <c r="A521" s="21"/>
      <c r="B521" s="38">
        <v>3.0</v>
      </c>
      <c r="C521" s="38" t="s">
        <v>30</v>
      </c>
      <c r="D521" s="39">
        <v>60.0</v>
      </c>
      <c r="E521" s="40">
        <f>IFERROR(__xludf.DUMMYFUNCTION("COUNT(IMPORTRANGE(""https://docs.google.com/spreadsheets/d/130gLEONC13J8KkQ6dk06x3bLRy_jCrAw2hXatQf2W50/edit"",""20!d2:d61""))"),57.0)</f>
        <v>57</v>
      </c>
      <c r="F521" s="45">
        <f>IFERROR(__xludf.DUMMYFUNCTION("SUM(IMPORTRANGE(""https://docs.google.com/spreadsheets/d/130gLEONC13J8KkQ6dk06x3bLRy_jCrAw2hXatQf2W50/edit"",""20!Q2:Q61""))"),11354.85299999999)</f>
        <v>11354.853</v>
      </c>
      <c r="G521" s="40">
        <f>IFERROR(__xludf.DUMMYFUNCTION("IMPORTRANGE(""https://docs.google.com/spreadsheets/d/130gLEONC13J8KkQ6dk06x3bLRy_jCrAw2hXatQf2W50/edit"",""20!e68"")"),3770.0)</f>
        <v>3770</v>
      </c>
      <c r="H521" s="40">
        <f>IFERROR(__xludf.DUMMYFUNCTION("IMPORTRANGE(""https://docs.google.com/spreadsheets/d/130gLEONC13J8KkQ6dk06x3bLRy_jCrAw2hXatQf2W50/edit"",""20!e69"")"),0.0)</f>
        <v>0</v>
      </c>
      <c r="I521" s="40">
        <f t="shared" si="1440"/>
        <v>3770</v>
      </c>
      <c r="J521" s="40">
        <f>IFERROR(__xludf.DUMMYFUNCTION("IMPORTRANGE(""https://docs.google.com/spreadsheets/d/130gLEONC13J8KkQ6dk06x3bLRy_jCrAw2hXatQf2W50/edit"",""20!e72"")"),5412.0)</f>
        <v>5412</v>
      </c>
      <c r="K521" s="40">
        <f>IFERROR(__xludf.DUMMYFUNCTION("IMPORTRANGE(""https://docs.google.com/spreadsheets/d/130gLEONC13J8KkQ6dk06x3bLRy_jCrAw2hXatQf2W50/edit"",""20!e73"")"),102.0)</f>
        <v>102</v>
      </c>
      <c r="L521" s="40">
        <f t="shared" si="1441"/>
        <v>5514</v>
      </c>
      <c r="M521" s="40">
        <f t="shared" si="1442"/>
        <v>9284</v>
      </c>
      <c r="N521" s="41">
        <f t="shared" si="1443"/>
        <v>199.2079474</v>
      </c>
      <c r="O521" s="38">
        <v>11164.0</v>
      </c>
      <c r="P521" s="42">
        <f t="shared" si="1444"/>
        <v>0.8316015765</v>
      </c>
      <c r="Q521" s="43">
        <v>1.5</v>
      </c>
      <c r="R521" s="42">
        <f t="shared" si="1445"/>
        <v>0.5450826473</v>
      </c>
      <c r="S521" s="44">
        <f t="shared" si="1446"/>
        <v>0.817623971</v>
      </c>
      <c r="T521" s="43">
        <f>F521/29.603</f>
        <v>383.5710232</v>
      </c>
      <c r="U521" s="43">
        <f t="shared" si="1447"/>
        <v>6.729316197</v>
      </c>
      <c r="V521" s="40">
        <f t="shared" si="1448"/>
        <v>162.877193</v>
      </c>
      <c r="X521" s="22">
        <v>6.0</v>
      </c>
      <c r="Y521" s="22" t="s">
        <v>31</v>
      </c>
      <c r="Z521" s="22">
        <f t="shared" ref="Z521:AI521" si="1451">SUM(D536)</f>
        <v>15</v>
      </c>
      <c r="AA521" s="23">
        <f t="shared" si="1451"/>
        <v>14</v>
      </c>
      <c r="AB521" s="25">
        <f t="shared" si="1451"/>
        <v>2651.365</v>
      </c>
      <c r="AC521" s="23">
        <f t="shared" si="1451"/>
        <v>930</v>
      </c>
      <c r="AD521" s="23">
        <f t="shared" si="1451"/>
        <v>18</v>
      </c>
      <c r="AE521" s="23">
        <f t="shared" si="1451"/>
        <v>948</v>
      </c>
      <c r="AF521" s="23">
        <f t="shared" si="1451"/>
        <v>1024</v>
      </c>
      <c r="AG521" s="23">
        <f t="shared" si="1451"/>
        <v>0</v>
      </c>
      <c r="AH521" s="23">
        <f t="shared" si="1451"/>
        <v>1024</v>
      </c>
      <c r="AI521" s="23">
        <f t="shared" si="1451"/>
        <v>1972</v>
      </c>
      <c r="AJ521" s="25">
        <f t="shared" si="1452"/>
        <v>189.3832143</v>
      </c>
      <c r="AK521" s="22">
        <f t="shared" si="1453"/>
        <v>2717</v>
      </c>
      <c r="AL521" s="26">
        <f t="shared" si="1430"/>
        <v>0.7258005153</v>
      </c>
      <c r="AM521" s="27">
        <f t="shared" si="1454"/>
        <v>1.5</v>
      </c>
      <c r="AN521" s="26">
        <f t="shared" si="1432"/>
        <v>0.4958452219</v>
      </c>
      <c r="AO521" s="28">
        <f t="shared" si="1433"/>
        <v>0.7437678328</v>
      </c>
      <c r="AP521" s="27">
        <f t="shared" ref="AP521:AQ521" si="1455">SUM(T536)</f>
        <v>61</v>
      </c>
      <c r="AQ521" s="27">
        <f t="shared" si="1455"/>
        <v>4.357142857</v>
      </c>
      <c r="AR521" s="23">
        <f t="shared" si="1435"/>
        <v>140.8571429</v>
      </c>
    </row>
    <row r="522" ht="15.75" customHeight="1">
      <c r="A522" s="21"/>
      <c r="B522" s="38">
        <v>4.0</v>
      </c>
      <c r="C522" s="38" t="s">
        <v>32</v>
      </c>
      <c r="D522" s="39">
        <v>42.0</v>
      </c>
      <c r="E522" s="40">
        <f>IFERROR(__xludf.DUMMYFUNCTION("COUNT(IMPORTRANGE(""https://docs.google.com/spreadsheets/d/1gYHli7FuKQLm2Q-5LMR0UtkD-gRRA_p8s-phLPLDLgc/edit"",""20!d2:d43""))"),41.0)</f>
        <v>41</v>
      </c>
      <c r="F522" s="45">
        <f>IFERROR(__xludf.DUMMYFUNCTION("SUM(IMPORTRANGE(""https://docs.google.com/spreadsheets/d/1gYHli7FuKQLm2Q-5LMR0UtkD-gRRA_p8s-phLPLDLgc/edit"",""20!Q2:Q43""))"),7841.3869999999915)</f>
        <v>7841.387</v>
      </c>
      <c r="G522" s="38">
        <f>IFERROR(__xludf.DUMMYFUNCTION("IMPORTRANGE(""https://docs.google.com/spreadsheets/d/1gYHli7FuKQLm2Q-5LMR0UtkD-gRRA_p8s-phLPLDLgc/edit"",""20!e50"")"),4702.0)</f>
        <v>4702</v>
      </c>
      <c r="H522" s="38">
        <f>IFERROR(__xludf.DUMMYFUNCTION("IMPORTRANGE(""https://docs.google.com/spreadsheets/d/1gYHli7FuKQLm2Q-5LMR0UtkD-gRRA_p8s-phLPLDLgc/edit"",""20!e51"")"),0.0)</f>
        <v>0</v>
      </c>
      <c r="I522" s="40">
        <f t="shared" si="1440"/>
        <v>4702</v>
      </c>
      <c r="J522" s="38">
        <f>IFERROR(__xludf.DUMMYFUNCTION("IMPORTRANGE(""https://docs.google.com/spreadsheets/d/1gYHli7FuKQLm2Q-5LMR0UtkD-gRRA_p8s-phLPLDLgc/edit"",""20!e54"")"),5457.0)</f>
        <v>5457</v>
      </c>
      <c r="K522" s="38">
        <f>IFERROR(__xludf.DUMMYFUNCTION("IMPORTRANGE(""https://docs.google.com/spreadsheets/d/1gYHli7FuKQLm2Q-5LMR0UtkD-gRRA_p8s-phLPLDLgc/edit"",""20!e55"")"),0.0)</f>
        <v>0</v>
      </c>
      <c r="L522" s="40">
        <f t="shared" si="1441"/>
        <v>5457</v>
      </c>
      <c r="M522" s="40">
        <f t="shared" si="1442"/>
        <v>10159</v>
      </c>
      <c r="N522" s="41">
        <f t="shared" si="1443"/>
        <v>191.2533415</v>
      </c>
      <c r="O522" s="38">
        <v>13817.0</v>
      </c>
      <c r="P522" s="42">
        <f t="shared" si="1444"/>
        <v>0.735253673</v>
      </c>
      <c r="Q522" s="43">
        <v>1.5</v>
      </c>
      <c r="R522" s="42">
        <f t="shared" si="1445"/>
        <v>0.8637077429</v>
      </c>
      <c r="S522" s="44">
        <f t="shared" si="1446"/>
        <v>1.295561614</v>
      </c>
      <c r="T522" s="43">
        <f>F522/25.089</f>
        <v>312.5428275</v>
      </c>
      <c r="U522" s="43">
        <f t="shared" si="1447"/>
        <v>7.622995794</v>
      </c>
      <c r="V522" s="40">
        <f t="shared" si="1448"/>
        <v>247.7804878</v>
      </c>
      <c r="X522" s="46" t="s">
        <v>33</v>
      </c>
      <c r="Y522" s="46">
        <v>6.0</v>
      </c>
      <c r="Z522" s="46">
        <f t="shared" ref="Z522:AI522" si="1456">SUM(Z516:Z521)</f>
        <v>186</v>
      </c>
      <c r="AA522" s="47">
        <f t="shared" si="1456"/>
        <v>184</v>
      </c>
      <c r="AB522" s="48">
        <f t="shared" si="1456"/>
        <v>35398.562</v>
      </c>
      <c r="AC522" s="47">
        <f t="shared" si="1456"/>
        <v>11284</v>
      </c>
      <c r="AD522" s="47">
        <f t="shared" si="1456"/>
        <v>409</v>
      </c>
      <c r="AE522" s="47">
        <f t="shared" si="1456"/>
        <v>11693</v>
      </c>
      <c r="AF522" s="47">
        <f t="shared" si="1456"/>
        <v>16312</v>
      </c>
      <c r="AG522" s="47">
        <f t="shared" si="1456"/>
        <v>405</v>
      </c>
      <c r="AH522" s="47">
        <f t="shared" si="1456"/>
        <v>16717</v>
      </c>
      <c r="AI522" s="47">
        <f t="shared" si="1456"/>
        <v>28410</v>
      </c>
      <c r="AJ522" s="49">
        <f t="shared" si="1452"/>
        <v>192.3834891</v>
      </c>
      <c r="AK522" s="46">
        <f>SUM(AK516:AK521)</f>
        <v>35074</v>
      </c>
      <c r="AL522" s="50">
        <f t="shared" si="1430"/>
        <v>0.8100017107</v>
      </c>
      <c r="AM522" s="51">
        <v>1.5</v>
      </c>
      <c r="AN522" s="50">
        <f t="shared" si="1432"/>
        <v>0.5350499831</v>
      </c>
      <c r="AO522" s="52">
        <f t="shared" si="1433"/>
        <v>0.8025749747</v>
      </c>
      <c r="AP522" s="51">
        <f>SUM(AP516:AP521)</f>
        <v>1332.454462</v>
      </c>
      <c r="AQ522" s="51">
        <f>AP522/AA522</f>
        <v>7.241600337</v>
      </c>
      <c r="AR522" s="47">
        <f t="shared" si="1435"/>
        <v>154.4021739</v>
      </c>
    </row>
    <row r="523" ht="15.75" customHeight="1">
      <c r="A523" s="21"/>
      <c r="B523" s="38">
        <v>5.0</v>
      </c>
      <c r="C523" s="38" t="s">
        <v>34</v>
      </c>
      <c r="D523" s="39">
        <v>40.0</v>
      </c>
      <c r="E523" s="40">
        <f>IFERROR(__xludf.DUMMYFUNCTION("COUNT(IMPORTRANGE(""https://docs.google.com/spreadsheets/d/1ptS0qWBCKWkc9h2aXWT_YgMhN7yIv5WgAHRbF8l9Zpo/edit"",""20!d2:d41""))"),40.0)</f>
        <v>40</v>
      </c>
      <c r="F523" s="45">
        <f>IFERROR(__xludf.DUMMYFUNCTION("SUM(IMPORTRANGE(""https://docs.google.com/spreadsheets/d/1ptS0qWBCKWkc9h2aXWT_YgMhN7yIv5WgAHRbF8l9Zpo/edit"",""20!Q2:Q41""))"),7950.630000000002)</f>
        <v>7950.63</v>
      </c>
      <c r="G523" s="40">
        <f>IFERROR(__xludf.DUMMYFUNCTION("IMPORTRANGE(""https://docs.google.com/spreadsheets/d/1ptS0qWBCKWkc9h2aXWT_YgMhN7yIv5WgAHRbF8l9Zpo/edit"",""20!e48"")"),2905.0)</f>
        <v>2905</v>
      </c>
      <c r="H523" s="40">
        <f>IFERROR(__xludf.DUMMYFUNCTION("IMPORTRANGE(""https://docs.google.com/spreadsheets/d/1ptS0qWBCKWkc9h2aXWT_YgMhN7yIv5WgAHRbF8l9Zpo/edit"",""20!e49"")"),0.0)</f>
        <v>0</v>
      </c>
      <c r="I523" s="40">
        <f t="shared" si="1440"/>
        <v>2905</v>
      </c>
      <c r="J523" s="40">
        <f>IFERROR(__xludf.DUMMYFUNCTION("IMPORTRANGE(""https://docs.google.com/spreadsheets/d/1ptS0qWBCKWkc9h2aXWT_YgMhN7yIv5WgAHRbF8l9Zpo/edit"",""20!e52"")"),3428.0)</f>
        <v>3428</v>
      </c>
      <c r="K523" s="40">
        <f>IFERROR(__xludf.DUMMYFUNCTION("IMPORTRANGE(""https://docs.google.com/spreadsheets/d/1ptS0qWBCKWkc9h2aXWT_YgMhN7yIv5WgAHRbF8l9Zpo/edit"",""20!e53"")"),0.0)</f>
        <v>0</v>
      </c>
      <c r="L523" s="40">
        <f t="shared" si="1441"/>
        <v>3428</v>
      </c>
      <c r="M523" s="40">
        <f t="shared" si="1442"/>
        <v>6333</v>
      </c>
      <c r="N523" s="41">
        <f t="shared" si="1443"/>
        <v>198.76575</v>
      </c>
      <c r="O523" s="38">
        <v>9354.0</v>
      </c>
      <c r="P523" s="42">
        <f t="shared" si="1444"/>
        <v>0.6770365619</v>
      </c>
      <c r="Q523" s="43">
        <v>1.5</v>
      </c>
      <c r="R523" s="42">
        <f t="shared" si="1445"/>
        <v>0.531027101</v>
      </c>
      <c r="S523" s="44">
        <f t="shared" si="1446"/>
        <v>0.7965406515</v>
      </c>
      <c r="T523" s="43">
        <f>F523/30.713</f>
        <v>258.8685573</v>
      </c>
      <c r="U523" s="43">
        <f t="shared" si="1447"/>
        <v>6.471713932</v>
      </c>
      <c r="V523" s="40">
        <f t="shared" si="1448"/>
        <v>158.325</v>
      </c>
      <c r="X523" s="53" t="s">
        <v>35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6"/>
    </row>
    <row r="524" ht="15.75" customHeight="1">
      <c r="A524" s="21"/>
      <c r="B524" s="38">
        <v>6.0</v>
      </c>
      <c r="C524" s="38" t="s">
        <v>23</v>
      </c>
      <c r="D524" s="39">
        <v>35.0</v>
      </c>
      <c r="E524" s="40">
        <f>IFERROR(__xludf.DUMMYFUNCTION("COUNT(IMPORTRANGE(""https://docs.google.com/spreadsheets/d/1829CoYW82aTBBUgqkPnJa94KlBWI-DowAnP4ENQCmaQ/edit"",""20!d2:d36""))"),35.0)</f>
        <v>35</v>
      </c>
      <c r="F524" s="45">
        <f>IFERROR(__xludf.DUMMYFUNCTION("SUM(IMPORTRANGE(""https://docs.google.com/spreadsheets/d/1829CoYW82aTBBUgqkPnJa94KlBWI-DowAnP4ENQCmaQ/edit"",""20!Q2:Q36""))"),6680.519999999995)</f>
        <v>6680.52</v>
      </c>
      <c r="G524" s="40">
        <f>IFERROR(__xludf.DUMMYFUNCTION("IMPORTRANGE(""https://docs.google.com/spreadsheets/d/1829CoYW82aTBBUgqkPnJa94KlBWI-DowAnP4ENQCmaQ/edit"",""20!e43"")"),1912.0)</f>
        <v>1912</v>
      </c>
      <c r="H524" s="40">
        <f>IFERROR(__xludf.DUMMYFUNCTION("IMPORTRANGE(""https://docs.google.com/spreadsheets/d/1829CoYW82aTBBUgqkPnJa94KlBWI-DowAnP4ENQCmaQ/edit"",""20!e44"")"),0.0)</f>
        <v>0</v>
      </c>
      <c r="I524" s="40">
        <f t="shared" si="1440"/>
        <v>1912</v>
      </c>
      <c r="J524" s="40">
        <f>IFERROR(__xludf.DUMMYFUNCTION("IMPORTRANGE(""https://docs.google.com/spreadsheets/d/1829CoYW82aTBBUgqkPnJa94KlBWI-DowAnP4ENQCmaQ/edit"",""20!e47"")"),3180.0)</f>
        <v>3180</v>
      </c>
      <c r="K524" s="40">
        <f>IFERROR(__xludf.DUMMYFUNCTION("IMPORTRANGE(""https://docs.google.com/spreadsheets/d/1829CoYW82aTBBUgqkPnJa94KlBWI-DowAnP4ENQCmaQ/edit"",""20!e48"")"),0.0)</f>
        <v>0</v>
      </c>
      <c r="L524" s="40">
        <f t="shared" si="1441"/>
        <v>3180</v>
      </c>
      <c r="M524" s="40">
        <f t="shared" si="1442"/>
        <v>5092</v>
      </c>
      <c r="N524" s="41">
        <f t="shared" si="1443"/>
        <v>190.872</v>
      </c>
      <c r="O524" s="38">
        <v>6853.0</v>
      </c>
      <c r="P524" s="42">
        <f t="shared" si="1444"/>
        <v>0.7430322487</v>
      </c>
      <c r="Q524" s="43">
        <v>1.5</v>
      </c>
      <c r="R524" s="42">
        <f t="shared" si="1445"/>
        <v>0.5081440766</v>
      </c>
      <c r="S524" s="44">
        <f t="shared" si="1446"/>
        <v>0.7622161149</v>
      </c>
      <c r="T524" s="43">
        <f>F524/33.74</f>
        <v>198</v>
      </c>
      <c r="U524" s="43">
        <f t="shared" si="1447"/>
        <v>5.657142857</v>
      </c>
      <c r="V524" s="40">
        <f t="shared" si="1448"/>
        <v>145.4857143</v>
      </c>
      <c r="X524" s="14" t="s">
        <v>2</v>
      </c>
      <c r="Y524" s="14" t="s">
        <v>3</v>
      </c>
      <c r="Z524" s="14" t="s">
        <v>4</v>
      </c>
      <c r="AA524" s="14" t="s">
        <v>5</v>
      </c>
      <c r="AB524" s="15" t="s">
        <v>6</v>
      </c>
      <c r="AC524" s="14" t="s">
        <v>7</v>
      </c>
      <c r="AD524" s="14" t="s">
        <v>8</v>
      </c>
      <c r="AE524" s="14" t="s">
        <v>9</v>
      </c>
      <c r="AF524" s="14" t="s">
        <v>10</v>
      </c>
      <c r="AG524" s="14" t="s">
        <v>11</v>
      </c>
      <c r="AH524" s="14" t="s">
        <v>12</v>
      </c>
      <c r="AI524" s="14" t="s">
        <v>13</v>
      </c>
      <c r="AJ524" s="15" t="s">
        <v>14</v>
      </c>
      <c r="AK524" s="14" t="s">
        <v>15</v>
      </c>
      <c r="AL524" s="14" t="s">
        <v>16</v>
      </c>
      <c r="AM524" s="16" t="s">
        <v>17</v>
      </c>
      <c r="AN524" s="17" t="s">
        <v>18</v>
      </c>
      <c r="AO524" s="18" t="s">
        <v>19</v>
      </c>
      <c r="AP524" s="19" t="s">
        <v>20</v>
      </c>
      <c r="AQ524" s="19" t="s">
        <v>21</v>
      </c>
      <c r="AR524" s="20" t="s">
        <v>22</v>
      </c>
    </row>
    <row r="525" ht="15.75" customHeight="1">
      <c r="A525" s="21"/>
      <c r="B525" s="38">
        <v>7.0</v>
      </c>
      <c r="C525" s="38" t="s">
        <v>24</v>
      </c>
      <c r="D525" s="39">
        <v>44.0</v>
      </c>
      <c r="E525" s="54">
        <f>IFERROR(__xludf.DUMMYFUNCTION("COUNT(IMPORTRANGE(""https://docs.google.com/spreadsheets/d/1E2x4oDZxEIsuC5nl-5Z0--MoN8b1dt9SbpRcCfNP84Q/edit"",""20!d2:d45""))"),44.0)</f>
        <v>44</v>
      </c>
      <c r="F525" s="55">
        <f>IFERROR(__xludf.DUMMYFUNCTION("SUM(IMPORTRANGE(""https://docs.google.com/spreadsheets/d/1E2x4oDZxEIsuC5nl-5Z0--MoN8b1dt9SbpRcCfNP84Q/edit"",""20!Q2:Q45""))"),8679.807999999994)</f>
        <v>8679.808</v>
      </c>
      <c r="G525" s="54">
        <f>IFERROR(__xludf.DUMMYFUNCTION("IMPORTRANGE(""https://docs.google.com/spreadsheets/d/1E2x4oDZxEIsuC5nl-5Z0--MoN8b1dt9SbpRcCfNP84Q/edit"",""20!e53"")"),1138.0)</f>
        <v>1138</v>
      </c>
      <c r="H525" s="54">
        <f>IFERROR(__xludf.DUMMYFUNCTION("IMPORTRANGE(""https://docs.google.com/spreadsheets/d/1E2x4oDZxEIsuC5nl-5Z0--MoN8b1dt9SbpRcCfNP84Q/edit"",""20!e54"")"),0.0)</f>
        <v>0</v>
      </c>
      <c r="I525" s="54">
        <f t="shared" si="1440"/>
        <v>1138</v>
      </c>
      <c r="J525" s="54">
        <f>IFERROR(__xludf.DUMMYFUNCTION("IMPORTRANGE(""https://docs.google.com/spreadsheets/d/1E2x4oDZxEIsuC5nl-5Z0--MoN8b1dt9SbpRcCfNP84Q/edit"",""20!e57"")"),1416.0)</f>
        <v>1416</v>
      </c>
      <c r="K525" s="54">
        <f>IFERROR(__xludf.DUMMYFUNCTION("IMPORTRANGE(""https://docs.google.com/spreadsheets/d/1E2x4oDZxEIsuC5nl-5Z0--MoN8b1dt9SbpRcCfNP84Q/edit"",""20!e58"")"),16.0)</f>
        <v>16</v>
      </c>
      <c r="L525" s="40">
        <f t="shared" si="1441"/>
        <v>1432</v>
      </c>
      <c r="M525" s="40">
        <f t="shared" si="1442"/>
        <v>2570</v>
      </c>
      <c r="N525" s="41">
        <f t="shared" si="1443"/>
        <v>197.2683636</v>
      </c>
      <c r="O525" s="38">
        <v>1580.0</v>
      </c>
      <c r="P525" s="56">
        <f t="shared" si="1444"/>
        <v>1.626582278</v>
      </c>
      <c r="Q525" s="43">
        <v>1.5</v>
      </c>
      <c r="R525" s="42">
        <f t="shared" si="1445"/>
        <v>0.1973929992</v>
      </c>
      <c r="S525" s="44">
        <f t="shared" si="1446"/>
        <v>0.2960894988</v>
      </c>
      <c r="T525" s="43">
        <f>F525/26.805</f>
        <v>323.81302</v>
      </c>
      <c r="U525" s="43">
        <f t="shared" si="1447"/>
        <v>7.359386817</v>
      </c>
      <c r="V525" s="40">
        <f t="shared" si="1448"/>
        <v>58.40909091</v>
      </c>
      <c r="X525" s="22">
        <v>1.0</v>
      </c>
      <c r="Y525" s="22" t="s">
        <v>28</v>
      </c>
      <c r="Z525" s="22">
        <f t="shared" ref="Z525:AI525" si="1457">SUM(D520)</f>
        <v>33</v>
      </c>
      <c r="AA525" s="23">
        <f t="shared" si="1457"/>
        <v>32</v>
      </c>
      <c r="AB525" s="25">
        <f t="shared" si="1457"/>
        <v>6250.76</v>
      </c>
      <c r="AC525" s="23">
        <f t="shared" si="1457"/>
        <v>2644</v>
      </c>
      <c r="AD525" s="23">
        <f t="shared" si="1457"/>
        <v>136</v>
      </c>
      <c r="AE525" s="23">
        <f t="shared" si="1457"/>
        <v>2780</v>
      </c>
      <c r="AF525" s="23">
        <f t="shared" si="1457"/>
        <v>3001</v>
      </c>
      <c r="AG525" s="23">
        <f t="shared" si="1457"/>
        <v>182</v>
      </c>
      <c r="AH525" s="23">
        <f t="shared" si="1457"/>
        <v>3183</v>
      </c>
      <c r="AI525" s="23">
        <f t="shared" si="1457"/>
        <v>5963</v>
      </c>
      <c r="AJ525" s="25">
        <f t="shared" ref="AJ525:AJ531" si="1460">AB525/AA525</f>
        <v>195.33625</v>
      </c>
      <c r="AK525" s="22">
        <f t="shared" ref="AK525:AK526" si="1461">SUM(O520)</f>
        <v>7315</v>
      </c>
      <c r="AL525" s="26">
        <f t="shared" ref="AL525:AL531" si="1462">AI525/AK525</f>
        <v>0.8151742994</v>
      </c>
      <c r="AM525" s="27">
        <f t="shared" ref="AM525:AM526" si="1463">SUM(Q520)</f>
        <v>1.5</v>
      </c>
      <c r="AN525" s="26">
        <f t="shared" ref="AN525:AN531" si="1464">AO525/AM525</f>
        <v>0.6359759987</v>
      </c>
      <c r="AO525" s="28">
        <f t="shared" ref="AO525:AO531" si="1465">AI525/AB525</f>
        <v>0.953963998</v>
      </c>
      <c r="AP525" s="27">
        <f t="shared" ref="AP525:AQ525" si="1458">SUM(T520)</f>
        <v>202.3096093</v>
      </c>
      <c r="AQ525" s="27">
        <f t="shared" si="1458"/>
        <v>6.322175292</v>
      </c>
      <c r="AR525" s="23">
        <f t="shared" ref="AR525:AR531" si="1467">AI525/AA525</f>
        <v>186.34375</v>
      </c>
    </row>
    <row r="526" ht="15.75" customHeight="1">
      <c r="A526" s="21"/>
      <c r="B526" s="38">
        <v>8.0</v>
      </c>
      <c r="C526" s="38" t="s">
        <v>25</v>
      </c>
      <c r="D526" s="57">
        <v>32.0</v>
      </c>
      <c r="E526" s="40">
        <f>IFERROR(__xludf.DUMMYFUNCTION("COUNT(IMPORTRANGE(""https://docs.google.com/spreadsheets/d/1KbRFOEYB0B44J_NSh1MwYQ1sLDlZXUHI-wuMLcZDn5k/edit"",""20!d2:D33""))"),31.0)</f>
        <v>31</v>
      </c>
      <c r="F526" s="45">
        <f>IFERROR(__xludf.DUMMYFUNCTION("SUM(IMPORTRANGE(""https://docs.google.com/spreadsheets/d/1KbRFOEYB0B44J_NSh1MwYQ1sLDlZXUHI-wuMLcZDn5k/edit"",""20!Q2:Q33""))"),5701.296000000001)</f>
        <v>5701.296</v>
      </c>
      <c r="G526" s="40">
        <f>IFERROR(__xludf.DUMMYFUNCTION("IMPORTRANGE(""https://docs.google.com/spreadsheets/d/1KbRFOEYB0B44J_NSh1MwYQ1sLDlZXUHI-wuMLcZDn5k/edit"",""20!e40"")"),2201.0)</f>
        <v>2201</v>
      </c>
      <c r="H526" s="40">
        <f>IFERROR(__xludf.DUMMYFUNCTION("IMPORTRANGE(""https://docs.google.com/spreadsheets/d/1KbRFOEYB0B44J_NSh1MwYQ1sLDlZXUHI-wuMLcZDn5k/edit"",""20!e41"")"),391.0)</f>
        <v>391</v>
      </c>
      <c r="I526" s="40">
        <f t="shared" si="1440"/>
        <v>2592</v>
      </c>
      <c r="J526" s="40">
        <f>IFERROR(__xludf.DUMMYFUNCTION("IMPORTRANGE(""https://docs.google.com/spreadsheets/d/1KbRFOEYB0B44J_NSh1MwYQ1sLDlZXUHI-wuMLcZDn5k/edit"",""20!e44"")"),3175.0)</f>
        <v>3175</v>
      </c>
      <c r="K526" s="40">
        <f>IFERROR(__xludf.DUMMYFUNCTION("IMPORTRANGE(""https://docs.google.com/spreadsheets/d/1KbRFOEYB0B44J_NSh1MwYQ1sLDlZXUHI-wuMLcZDn5k/edit"",""20!e45"")"),389.0)</f>
        <v>389</v>
      </c>
      <c r="L526" s="40">
        <f>J526+K526</f>
        <v>3564</v>
      </c>
      <c r="M526" s="40">
        <f t="shared" si="1442"/>
        <v>6156</v>
      </c>
      <c r="N526" s="41">
        <f t="shared" si="1443"/>
        <v>183.9127742</v>
      </c>
      <c r="O526" s="38">
        <v>6622.0</v>
      </c>
      <c r="P526" s="42">
        <f t="shared" si="1444"/>
        <v>0.929628511</v>
      </c>
      <c r="Q526" s="43">
        <v>1.5</v>
      </c>
      <c r="R526" s="42">
        <f t="shared" si="1445"/>
        <v>0.7198363319</v>
      </c>
      <c r="S526" s="44">
        <f t="shared" si="1446"/>
        <v>1.079754498</v>
      </c>
      <c r="T526" s="43">
        <f>F526/23.84</f>
        <v>239.1483221</v>
      </c>
      <c r="U526" s="43">
        <f t="shared" si="1447"/>
        <v>7.714462005</v>
      </c>
      <c r="V526" s="40">
        <f t="shared" si="1448"/>
        <v>198.5806452</v>
      </c>
      <c r="X526" s="31">
        <v>2.0</v>
      </c>
      <c r="Y526" s="31" t="s">
        <v>30</v>
      </c>
      <c r="Z526" s="31">
        <f t="shared" ref="Z526:AI526" si="1459">SUM(D521)</f>
        <v>60</v>
      </c>
      <c r="AA526" s="32">
        <f t="shared" si="1459"/>
        <v>57</v>
      </c>
      <c r="AB526" s="33">
        <f t="shared" si="1459"/>
        <v>11354.853</v>
      </c>
      <c r="AC526" s="32">
        <f t="shared" si="1459"/>
        <v>3770</v>
      </c>
      <c r="AD526" s="32">
        <f t="shared" si="1459"/>
        <v>0</v>
      </c>
      <c r="AE526" s="32">
        <f t="shared" si="1459"/>
        <v>3770</v>
      </c>
      <c r="AF526" s="32">
        <f t="shared" si="1459"/>
        <v>5412</v>
      </c>
      <c r="AG526" s="32">
        <f t="shared" si="1459"/>
        <v>102</v>
      </c>
      <c r="AH526" s="32">
        <f t="shared" si="1459"/>
        <v>5514</v>
      </c>
      <c r="AI526" s="32">
        <f t="shared" si="1459"/>
        <v>9284</v>
      </c>
      <c r="AJ526" s="34">
        <f t="shared" si="1460"/>
        <v>199.2079474</v>
      </c>
      <c r="AK526" s="31">
        <f t="shared" si="1461"/>
        <v>11164</v>
      </c>
      <c r="AL526" s="35">
        <f t="shared" si="1462"/>
        <v>0.8316015765</v>
      </c>
      <c r="AM526" s="36">
        <f t="shared" si="1463"/>
        <v>1.5</v>
      </c>
      <c r="AN526" s="35">
        <f t="shared" si="1464"/>
        <v>0.5450826473</v>
      </c>
      <c r="AO526" s="37">
        <f t="shared" si="1465"/>
        <v>0.817623971</v>
      </c>
      <c r="AP526" s="36">
        <f t="shared" ref="AP526:AQ526" si="1466">SUM(T521)</f>
        <v>383.5710232</v>
      </c>
      <c r="AQ526" s="36">
        <f t="shared" si="1466"/>
        <v>6.729316197</v>
      </c>
      <c r="AR526" s="32">
        <f t="shared" si="1467"/>
        <v>162.877193</v>
      </c>
    </row>
    <row r="527" ht="15.75" customHeight="1">
      <c r="A527" s="21"/>
      <c r="B527" s="38">
        <v>9.0</v>
      </c>
      <c r="C527" s="38" t="s">
        <v>36</v>
      </c>
      <c r="D527" s="58">
        <v>29.0</v>
      </c>
      <c r="E527" s="40">
        <f>IFERROR(__xludf.DUMMYFUNCTION("COUNT(IMPORTRANGE(""https://docs.google.com/spreadsheets/d/1VqqqRGfmmkT0JC4ILJva2p8P11jjV0FX-TSKAaqOigw/edit"",""20!d2:d31""))"),29.0)</f>
        <v>29</v>
      </c>
      <c r="F527" s="45">
        <f>IFERROR(__xludf.DUMMYFUNCTION("SUM(IMPORTRANGE(""https://docs.google.com/spreadsheets/d/1VqqqRGfmmkT0JC4ILJva2p8P11jjV0FX-TSKAaqOigw/edit"",""20!Q2:Q31""))"),5604.119999999996)</f>
        <v>5604.12</v>
      </c>
      <c r="G527" s="40">
        <f>IFERROR(__xludf.DUMMYFUNCTION("IMPORTRANGE(""https://docs.google.com/spreadsheets/d/1VqqqRGfmmkT0JC4ILJva2p8P11jjV0FX-TSKAaqOigw/edit"",""20!e38"")"),1598.0)</f>
        <v>1598</v>
      </c>
      <c r="H527" s="40">
        <f>IFERROR(__xludf.DUMMYFUNCTION("IMPORTRANGE(""https://docs.google.com/spreadsheets/d/1VqqqRGfmmkT0JC4ILJva2p8P11jjV0FX-TSKAaqOigw/edit"",""20!e39"")"),0.0)</f>
        <v>0</v>
      </c>
      <c r="I527" s="40">
        <f t="shared" si="1440"/>
        <v>1598</v>
      </c>
      <c r="J527" s="40">
        <f>IFERROR(__xludf.DUMMYFUNCTION("IMPORTRANGE(""https://docs.google.com/spreadsheets/d/1VqqqRGfmmkT0JC4ILJva2p8P11jjV0FX-TSKAaqOigw/edit"",""20!e42"")"),2302.0)</f>
        <v>2302</v>
      </c>
      <c r="K527" s="40">
        <f>IFERROR(__xludf.DUMMYFUNCTION("IMPORTRANGE(""https://docs.google.com/spreadsheets/d/1VqqqRGfmmkT0JC4ILJva2p8P11jjV0FX-TSKAaqOigw/edit"",""20!e43"")"),0.0)</f>
        <v>0</v>
      </c>
      <c r="L527" s="40">
        <f t="shared" ref="L527:L536" si="1470">SUM(J527:K527)</f>
        <v>2302</v>
      </c>
      <c r="M527" s="40">
        <f t="shared" si="1442"/>
        <v>3900</v>
      </c>
      <c r="N527" s="41">
        <f t="shared" si="1443"/>
        <v>193.2455172</v>
      </c>
      <c r="O527" s="38">
        <v>4796.0</v>
      </c>
      <c r="P527" s="42">
        <f t="shared" si="1444"/>
        <v>0.813177648</v>
      </c>
      <c r="Q527" s="43">
        <v>1.5</v>
      </c>
      <c r="R527" s="42">
        <f t="shared" si="1445"/>
        <v>0.4639443838</v>
      </c>
      <c r="S527" s="44">
        <f t="shared" si="1446"/>
        <v>0.6959165757</v>
      </c>
      <c r="T527" s="43">
        <f>F527/37.414</f>
        <v>149.7867109</v>
      </c>
      <c r="U527" s="43">
        <f t="shared" si="1447"/>
        <v>5.165058995</v>
      </c>
      <c r="V527" s="40">
        <f t="shared" si="1448"/>
        <v>134.4827586</v>
      </c>
      <c r="X527" s="22">
        <v>3.0</v>
      </c>
      <c r="Y527" s="22" t="s">
        <v>34</v>
      </c>
      <c r="Z527" s="22">
        <f t="shared" ref="Z527:AI527" si="1468">SUM(D523)</f>
        <v>40</v>
      </c>
      <c r="AA527" s="23">
        <f t="shared" si="1468"/>
        <v>40</v>
      </c>
      <c r="AB527" s="24">
        <f t="shared" si="1468"/>
        <v>7950.63</v>
      </c>
      <c r="AC527" s="23">
        <f t="shared" si="1468"/>
        <v>2905</v>
      </c>
      <c r="AD527" s="23">
        <f t="shared" si="1468"/>
        <v>0</v>
      </c>
      <c r="AE527" s="23">
        <f t="shared" si="1468"/>
        <v>2905</v>
      </c>
      <c r="AF527" s="23">
        <f t="shared" si="1468"/>
        <v>3428</v>
      </c>
      <c r="AG527" s="23">
        <f t="shared" si="1468"/>
        <v>0</v>
      </c>
      <c r="AH527" s="23">
        <f t="shared" si="1468"/>
        <v>3428</v>
      </c>
      <c r="AI527" s="23">
        <f t="shared" si="1468"/>
        <v>6333</v>
      </c>
      <c r="AJ527" s="25">
        <f t="shared" si="1460"/>
        <v>198.76575</v>
      </c>
      <c r="AK527" s="22">
        <f>SUM(O523)</f>
        <v>9354</v>
      </c>
      <c r="AL527" s="26">
        <f t="shared" si="1462"/>
        <v>0.6770365619</v>
      </c>
      <c r="AM527" s="27">
        <f>SUM(Q523)</f>
        <v>1.5</v>
      </c>
      <c r="AN527" s="26">
        <f t="shared" si="1464"/>
        <v>0.531027101</v>
      </c>
      <c r="AO527" s="28">
        <f t="shared" si="1465"/>
        <v>0.7965406515</v>
      </c>
      <c r="AP527" s="27">
        <f t="shared" ref="AP527:AQ527" si="1469">SUM(T523)</f>
        <v>258.8685573</v>
      </c>
      <c r="AQ527" s="27">
        <f t="shared" si="1469"/>
        <v>6.471713932</v>
      </c>
      <c r="AR527" s="23">
        <f t="shared" si="1467"/>
        <v>158.325</v>
      </c>
    </row>
    <row r="528" ht="15.75" customHeight="1">
      <c r="A528" s="21"/>
      <c r="B528" s="38">
        <v>10.0</v>
      </c>
      <c r="C528" s="38" t="s">
        <v>37</v>
      </c>
      <c r="D528" s="39">
        <v>30.0</v>
      </c>
      <c r="E528" s="40">
        <f>IFERROR(__xludf.DUMMYFUNCTION("COUNT(IMPORTRANGE(""https://docs.google.com/spreadsheets/d/1IYeRjQd_D6MRqoBKNaky3aSEUloYCJc5XDnPAbdyetk/edit"",""20!d2:d31""))"),29.0)</f>
        <v>29</v>
      </c>
      <c r="F528" s="45">
        <f>IFERROR(__xludf.DUMMYFUNCTION("SUM(IMPORTRANGE(""https://docs.google.com/spreadsheets/d/1IYeRjQd_D6MRqoBKNaky3aSEUloYCJc5XDnPAbdyetk/edit"",""20!Q2:Q31""))"),5638.644000000001)</f>
        <v>5638.644</v>
      </c>
      <c r="G528" s="40">
        <f>IFERROR(__xludf.DUMMYFUNCTION("(IMPORTRANGE(""https://docs.google.com/spreadsheets/d/1IYeRjQd_D6MRqoBKNaky3aSEUloYCJc5XDnPAbdyetk/edit"",""20!e38""))"),2081.0)</f>
        <v>2081</v>
      </c>
      <c r="H528" s="40">
        <f>IFERROR(__xludf.DUMMYFUNCTION("(IMPORTRANGE(""https://docs.google.com/spreadsheets/d/1IYeRjQd_D6MRqoBKNaky3aSEUloYCJc5XDnPAbdyetk/edit"",""20!e39""))"),0.0)</f>
        <v>0</v>
      </c>
      <c r="I528" s="40">
        <f t="shared" si="1440"/>
        <v>2081</v>
      </c>
      <c r="J528" s="40">
        <f>IFERROR(__xludf.DUMMYFUNCTION("(IMPORTRANGE(""https://docs.google.com/spreadsheets/d/1IYeRjQd_D6MRqoBKNaky3aSEUloYCJc5XDnPAbdyetk/edit"",""20!e42""))"),3158.0)</f>
        <v>3158</v>
      </c>
      <c r="K528" s="40">
        <f>IFERROR(__xludf.DUMMYFUNCTION("(IMPORTRANGE(""https://docs.google.com/spreadsheets/d/1IYeRjQd_D6MRqoBKNaky3aSEUloYCJc5XDnPAbdyetk/edit"",""20!e43""))"),0.0)</f>
        <v>0</v>
      </c>
      <c r="L528" s="40">
        <f t="shared" si="1470"/>
        <v>3158</v>
      </c>
      <c r="M528" s="40">
        <f t="shared" si="1442"/>
        <v>5239</v>
      </c>
      <c r="N528" s="41">
        <f t="shared" si="1443"/>
        <v>194.436</v>
      </c>
      <c r="O528" s="38">
        <v>5887.0</v>
      </c>
      <c r="P528" s="42">
        <f t="shared" si="1444"/>
        <v>0.8899269577</v>
      </c>
      <c r="Q528" s="43">
        <v>1.5</v>
      </c>
      <c r="R528" s="42">
        <f t="shared" si="1445"/>
        <v>0.6194160629</v>
      </c>
      <c r="S528" s="44">
        <f t="shared" si="1446"/>
        <v>0.9291240944</v>
      </c>
      <c r="T528" s="43">
        <f>F528/24.792</f>
        <v>227.4380445</v>
      </c>
      <c r="U528" s="43">
        <f t="shared" si="1447"/>
        <v>7.842691191</v>
      </c>
      <c r="V528" s="40">
        <f t="shared" si="1448"/>
        <v>180.6551724</v>
      </c>
      <c r="X528" s="31">
        <v>4.0</v>
      </c>
      <c r="Y528" s="31" t="s">
        <v>38</v>
      </c>
      <c r="Z528" s="31">
        <f t="shared" ref="Z528:AI528" si="1471">SUM(D531)</f>
        <v>30</v>
      </c>
      <c r="AA528" s="32">
        <f t="shared" si="1471"/>
        <v>30</v>
      </c>
      <c r="AB528" s="33">
        <f t="shared" si="1471"/>
        <v>6675.21</v>
      </c>
      <c r="AC528" s="32">
        <f t="shared" si="1471"/>
        <v>2006</v>
      </c>
      <c r="AD528" s="32">
        <f t="shared" si="1471"/>
        <v>0</v>
      </c>
      <c r="AE528" s="32">
        <f t="shared" si="1471"/>
        <v>2006</v>
      </c>
      <c r="AF528" s="32">
        <f t="shared" si="1471"/>
        <v>2828</v>
      </c>
      <c r="AG528" s="32">
        <f t="shared" si="1471"/>
        <v>141</v>
      </c>
      <c r="AH528" s="32">
        <f t="shared" si="1471"/>
        <v>2969</v>
      </c>
      <c r="AI528" s="32">
        <f t="shared" si="1471"/>
        <v>4975</v>
      </c>
      <c r="AJ528" s="34">
        <f t="shared" si="1460"/>
        <v>222.507</v>
      </c>
      <c r="AK528" s="31">
        <v>7324.0</v>
      </c>
      <c r="AL528" s="35">
        <f t="shared" si="1462"/>
        <v>0.679273621</v>
      </c>
      <c r="AM528" s="36">
        <f>SUM(Q531)</f>
        <v>1.5</v>
      </c>
      <c r="AN528" s="35">
        <f t="shared" si="1464"/>
        <v>0.4968632697</v>
      </c>
      <c r="AO528" s="37">
        <f t="shared" si="1465"/>
        <v>0.7452949046</v>
      </c>
      <c r="AP528" s="36">
        <f t="shared" ref="AP528:AQ528" si="1472">SUM(T531)</f>
        <v>162</v>
      </c>
      <c r="AQ528" s="36">
        <f t="shared" si="1472"/>
        <v>5.4</v>
      </c>
      <c r="AR528" s="32">
        <f t="shared" si="1467"/>
        <v>165.8333333</v>
      </c>
    </row>
    <row r="529" ht="15.75" customHeight="1">
      <c r="A529" s="21"/>
      <c r="B529" s="38">
        <v>12.0</v>
      </c>
      <c r="C529" s="38" t="s">
        <v>39</v>
      </c>
      <c r="D529" s="39">
        <v>28.0</v>
      </c>
      <c r="E529" s="40">
        <f>IFERROR(__xludf.DUMMYFUNCTION("COUNT(IMPORTRANGE(""https://docs.google.com/spreadsheets/d/1TAY2D35yAzyl8a_p5CuZehQvmatfj0b0Q8ICl8GtJBY/edit"",""20!d2:d29""))"),27.0)</f>
        <v>27</v>
      </c>
      <c r="F529" s="45">
        <f>IFERROR(__xludf.DUMMYFUNCTION("SUM(IMPORTRANGE(""https://docs.google.com/spreadsheets/d/1TAY2D35yAzyl8a_p5CuZehQvmatfj0b0Q8ICl8GtJBY/edit"",""20!Q2:Q29""))"),5330.100000000002)</f>
        <v>5330.1</v>
      </c>
      <c r="G529" s="40">
        <f>IFERROR(__xludf.DUMMYFUNCTION("IMPORTRANGE(""https://docs.google.com/spreadsheets/d/1TAY2D35yAzyl8a_p5CuZehQvmatfj0b0Q8ICl8GtJBY/edit"",""20!e36"")"),1159.0)</f>
        <v>1159</v>
      </c>
      <c r="H529" s="40">
        <f>IFERROR(__xludf.DUMMYFUNCTION("(IMPORTRANGE(""https://docs.google.com/spreadsheets/d/1TAY2D35yAzyl8a_p5CuZehQvmatfj0b0Q8ICl8GtJBY/edit"",""20!e37""))"),0.0)</f>
        <v>0</v>
      </c>
      <c r="I529" s="40">
        <f t="shared" si="1440"/>
        <v>1159</v>
      </c>
      <c r="J529" s="40">
        <f>IFERROR(__xludf.DUMMYFUNCTION("IMPORTRANGE(""https://docs.google.com/spreadsheets/d/1TAY2D35yAzyl8a_p5CuZehQvmatfj0b0Q8ICl8GtJBY/edit"",""20!e40"")"),1763.0)</f>
        <v>1763</v>
      </c>
      <c r="K529" s="40">
        <f>IFERROR(__xludf.DUMMYFUNCTION("IMPORTRANGE(""https://docs.google.com/spreadsheets/d/1TAY2D35yAzyl8a_p5CuZehQvmatfj0b0Q8ICl8GtJBY/edit"",""20!e41"")"),0.0)</f>
        <v>0</v>
      </c>
      <c r="L529" s="40">
        <f t="shared" si="1470"/>
        <v>1763</v>
      </c>
      <c r="M529" s="40">
        <f t="shared" si="1442"/>
        <v>2922</v>
      </c>
      <c r="N529" s="41">
        <f t="shared" si="1443"/>
        <v>197.4111111</v>
      </c>
      <c r="O529" s="38">
        <v>3569.0</v>
      </c>
      <c r="P529" s="42">
        <f t="shared" si="1444"/>
        <v>0.8187167274</v>
      </c>
      <c r="Q529" s="43">
        <v>1.5</v>
      </c>
      <c r="R529" s="42">
        <f t="shared" si="1445"/>
        <v>0.3654715671</v>
      </c>
      <c r="S529" s="44">
        <f t="shared" si="1446"/>
        <v>0.5482073507</v>
      </c>
      <c r="T529" s="43">
        <f>F529/21.463</f>
        <v>248.339002</v>
      </c>
      <c r="U529" s="43">
        <f t="shared" si="1447"/>
        <v>9.197740815</v>
      </c>
      <c r="V529" s="40">
        <f t="shared" si="1448"/>
        <v>108.2222222</v>
      </c>
      <c r="X529" s="31">
        <v>5.0</v>
      </c>
      <c r="Y529" s="31" t="s">
        <v>40</v>
      </c>
      <c r="Z529" s="31">
        <f t="shared" ref="Z529:AI529" si="1473">SUM(D533)</f>
        <v>30</v>
      </c>
      <c r="AA529" s="32">
        <f t="shared" si="1473"/>
        <v>30</v>
      </c>
      <c r="AB529" s="33">
        <f t="shared" si="1473"/>
        <v>5944.587</v>
      </c>
      <c r="AC529" s="32">
        <f t="shared" si="1473"/>
        <v>3443</v>
      </c>
      <c r="AD529" s="32">
        <f t="shared" si="1473"/>
        <v>9</v>
      </c>
      <c r="AE529" s="32">
        <f t="shared" si="1473"/>
        <v>3452</v>
      </c>
      <c r="AF529" s="32">
        <f t="shared" si="1473"/>
        <v>4075</v>
      </c>
      <c r="AG529" s="32">
        <f t="shared" si="1473"/>
        <v>0</v>
      </c>
      <c r="AH529" s="32">
        <f t="shared" si="1473"/>
        <v>4075</v>
      </c>
      <c r="AI529" s="32">
        <f t="shared" si="1473"/>
        <v>7527</v>
      </c>
      <c r="AJ529" s="34">
        <f t="shared" si="1460"/>
        <v>198.1529</v>
      </c>
      <c r="AK529" s="31">
        <f t="shared" ref="AK529:AK530" si="1476">SUM(O533)</f>
        <v>8239</v>
      </c>
      <c r="AL529" s="35">
        <f t="shared" si="1462"/>
        <v>0.9135817454</v>
      </c>
      <c r="AM529" s="36">
        <f t="shared" ref="AM529:AM530" si="1477">SUM(Q533)</f>
        <v>1.5</v>
      </c>
      <c r="AN529" s="35">
        <f t="shared" si="1464"/>
        <v>0.8441292894</v>
      </c>
      <c r="AO529" s="37">
        <f t="shared" si="1465"/>
        <v>1.266193934</v>
      </c>
      <c r="AP529" s="36">
        <f t="shared" ref="AP529:AQ529" si="1474">SUM(T533)</f>
        <v>209</v>
      </c>
      <c r="AQ529" s="36">
        <f t="shared" si="1474"/>
        <v>6.966666667</v>
      </c>
      <c r="AR529" s="32">
        <f t="shared" si="1467"/>
        <v>250.9</v>
      </c>
    </row>
    <row r="530" ht="15.75" customHeight="1">
      <c r="A530" s="21"/>
      <c r="B530" s="38">
        <v>12.0</v>
      </c>
      <c r="C530" s="38" t="s">
        <v>41</v>
      </c>
      <c r="D530" s="39">
        <v>24.0</v>
      </c>
      <c r="E530" s="40">
        <f>IFERROR(__xludf.DUMMYFUNCTION("COUNT(IMPORTRANGE(""https://docs.google.com/spreadsheets/d/1VAsUtLQHi7oV9NsI9EIHPnO1bcPJHeRgSbMoxSvPBME/edit"",""20!d2:d25""))"),24.0)</f>
        <v>24</v>
      </c>
      <c r="F530" s="45">
        <f>IFERROR(__xludf.DUMMYFUNCTION("SUM(IMPORTRANGE(""https://docs.google.com/spreadsheets/d/1VAsUtLQHi7oV9NsI9EIHPnO1bcPJHeRgSbMoxSvPBME/edit"",""20!Q2:Q25""))"),4750.356000000001)</f>
        <v>4750.356</v>
      </c>
      <c r="G530" s="40">
        <f>IFERROR(__xludf.DUMMYFUNCTION("IMPORTRANGE(""https://docs.google.com/spreadsheets/d/1VAsUtLQHi7oV9NsI9EIHPnO1bcPJHeRgSbMoxSvPBME/edit"",""20!e32"")"),1114.0)</f>
        <v>1114</v>
      </c>
      <c r="H530" s="40">
        <f>IFERROR(__xludf.DUMMYFUNCTION("IMPORTRANGE(""https://docs.google.com/spreadsheets/d/1VAsUtLQHi7oV9NsI9EIHPnO1bcPJHeRgSbMoxSvPBME/edit"",""20!e33"")"),40.0)</f>
        <v>40</v>
      </c>
      <c r="I530" s="40">
        <f t="shared" si="1440"/>
        <v>1154</v>
      </c>
      <c r="J530" s="40">
        <f>IFERROR(__xludf.DUMMYFUNCTION("IMPORTRANGE(""https://docs.google.com/spreadsheets/d/1VAsUtLQHi7oV9NsI9EIHPnO1bcPJHeRgSbMoxSvPBME/edit"",""20!e36"")"),1896.0)</f>
        <v>1896</v>
      </c>
      <c r="K530" s="40">
        <f>IFERROR(__xludf.DUMMYFUNCTION("IMPORTRANGE(""https://docs.google.com/spreadsheets/d/1VAsUtLQHi7oV9NsI9EIHPnO1bcPJHeRgSbMoxSvPBME/edit"",""20!e37"")"),0.0)</f>
        <v>0</v>
      </c>
      <c r="L530" s="40">
        <f t="shared" si="1470"/>
        <v>1896</v>
      </c>
      <c r="M530" s="40">
        <f t="shared" si="1442"/>
        <v>3050</v>
      </c>
      <c r="N530" s="41">
        <f t="shared" si="1443"/>
        <v>197.9315</v>
      </c>
      <c r="O530" s="38">
        <v>3801.0</v>
      </c>
      <c r="P530" s="42">
        <f t="shared" si="1444"/>
        <v>0.8024204157</v>
      </c>
      <c r="Q530" s="43">
        <v>1.5</v>
      </c>
      <c r="R530" s="42">
        <f t="shared" si="1445"/>
        <v>0.4280380951</v>
      </c>
      <c r="S530" s="44">
        <f t="shared" si="1446"/>
        <v>0.6420571427</v>
      </c>
      <c r="T530" s="43">
        <f>F530/29.628</f>
        <v>160.3333333</v>
      </c>
      <c r="U530" s="43">
        <f t="shared" si="1447"/>
        <v>6.680555556</v>
      </c>
      <c r="V530" s="40">
        <f t="shared" si="1448"/>
        <v>127.0833333</v>
      </c>
      <c r="X530" s="22">
        <v>6.0</v>
      </c>
      <c r="Y530" s="22" t="s">
        <v>42</v>
      </c>
      <c r="Z530" s="22">
        <f t="shared" ref="Z530:AI530" si="1475">SUM(D534)</f>
        <v>33</v>
      </c>
      <c r="AA530" s="23">
        <f t="shared" si="1475"/>
        <v>32</v>
      </c>
      <c r="AB530" s="24">
        <f t="shared" si="1475"/>
        <v>6300.279</v>
      </c>
      <c r="AC530" s="23">
        <f t="shared" si="1475"/>
        <v>3263</v>
      </c>
      <c r="AD530" s="23">
        <f t="shared" si="1475"/>
        <v>0</v>
      </c>
      <c r="AE530" s="23">
        <f t="shared" si="1475"/>
        <v>3263</v>
      </c>
      <c r="AF530" s="23">
        <f t="shared" si="1475"/>
        <v>4477</v>
      </c>
      <c r="AG530" s="23">
        <f t="shared" si="1475"/>
        <v>0</v>
      </c>
      <c r="AH530" s="23">
        <f t="shared" si="1475"/>
        <v>4477</v>
      </c>
      <c r="AI530" s="23">
        <f t="shared" si="1475"/>
        <v>7740</v>
      </c>
      <c r="AJ530" s="25">
        <f t="shared" si="1460"/>
        <v>196.8837188</v>
      </c>
      <c r="AK530" s="22">
        <f t="shared" si="1476"/>
        <v>9877</v>
      </c>
      <c r="AL530" s="26">
        <f t="shared" si="1462"/>
        <v>0.7836387567</v>
      </c>
      <c r="AM530" s="27">
        <f t="shared" si="1477"/>
        <v>1.5</v>
      </c>
      <c r="AN530" s="26">
        <f t="shared" si="1464"/>
        <v>0.8190113485</v>
      </c>
      <c r="AO530" s="28">
        <f t="shared" si="1465"/>
        <v>1.228517023</v>
      </c>
      <c r="AP530" s="27">
        <f t="shared" ref="AP530:AQ530" si="1478">SUM(T534)</f>
        <v>240.8823934</v>
      </c>
      <c r="AQ530" s="27">
        <f t="shared" si="1478"/>
        <v>7.527574794</v>
      </c>
      <c r="AR530" s="23">
        <f t="shared" si="1467"/>
        <v>241.875</v>
      </c>
    </row>
    <row r="531" ht="15.75" customHeight="1">
      <c r="A531" s="21"/>
      <c r="B531" s="38">
        <v>13.0</v>
      </c>
      <c r="C531" s="38" t="s">
        <v>43</v>
      </c>
      <c r="D531" s="39">
        <v>30.0</v>
      </c>
      <c r="E531" s="40">
        <f>IFERROR(__xludf.DUMMYFUNCTION("COUNT(IMPORTRANGE(""https://docs.google.com/spreadsheets/d/1p9Y_DGk7-TpRBFth-ljZceOIGCjQ0ylUeUq6xqnsZ-Q/edit"",""20!d2:d31""))"),30.0)</f>
        <v>30</v>
      </c>
      <c r="F531" s="45">
        <f>IFERROR(__xludf.DUMMYFUNCTION("SUM(IMPORTRANGE(""https://docs.google.com/spreadsheets/d/1p9Y_DGk7-TpRBFth-ljZceOIGCjQ0ylUeUq6xqnsZ-Q/edit"",""20!Q2:Q31""))"),6675.210000000001)</f>
        <v>6675.21</v>
      </c>
      <c r="G531" s="40">
        <f>IFERROR(__xludf.DUMMYFUNCTION("IMPORTRANGE(""https://docs.google.com/spreadsheets/d/1p9Y_DGk7-TpRBFth-ljZceOIGCjQ0ylUeUq6xqnsZ-Q/edit"",""20!e38"")"),2006.0)</f>
        <v>2006</v>
      </c>
      <c r="H531" s="40">
        <f>IFERROR(__xludf.DUMMYFUNCTION("IMPORTRANGE(""https://docs.google.com/spreadsheets/d/1p9Y_DGk7-TpRBFth-ljZceOIGCjQ0ylUeUq6xqnsZ-Q/edit"",""20!e39"")"),0.0)</f>
        <v>0</v>
      </c>
      <c r="I531" s="40">
        <f t="shared" si="1440"/>
        <v>2006</v>
      </c>
      <c r="J531" s="40">
        <f>IFERROR(__xludf.DUMMYFUNCTION("IMPORTRANGE(""https://docs.google.com/spreadsheets/d/1p9Y_DGk7-TpRBFth-ljZceOIGCjQ0ylUeUq6xqnsZ-Q/edit"",""20!e42"")"),2828.0)</f>
        <v>2828</v>
      </c>
      <c r="K531" s="40">
        <f>IFERROR(__xludf.DUMMYFUNCTION("IMPORTRANGE(""https://docs.google.com/spreadsheets/d/1p9Y_DGk7-TpRBFth-ljZceOIGCjQ0ylUeUq6xqnsZ-Q/edit"",""20!e43"")"),141.0)</f>
        <v>141</v>
      </c>
      <c r="L531" s="40">
        <f t="shared" si="1470"/>
        <v>2969</v>
      </c>
      <c r="M531" s="40">
        <f t="shared" si="1442"/>
        <v>4975</v>
      </c>
      <c r="N531" s="41">
        <f t="shared" si="1443"/>
        <v>222.507</v>
      </c>
      <c r="O531" s="38">
        <v>8345.0</v>
      </c>
      <c r="P531" s="42">
        <f t="shared" si="1444"/>
        <v>0.5961653685</v>
      </c>
      <c r="Q531" s="43">
        <v>1.5</v>
      </c>
      <c r="R531" s="42">
        <f t="shared" si="1445"/>
        <v>0.4968632697</v>
      </c>
      <c r="S531" s="44">
        <f t="shared" si="1446"/>
        <v>0.7452949046</v>
      </c>
      <c r="T531" s="43">
        <f>F531/41.205</f>
        <v>162</v>
      </c>
      <c r="U531" s="43">
        <f t="shared" si="1447"/>
        <v>5.4</v>
      </c>
      <c r="V531" s="40">
        <f t="shared" si="1448"/>
        <v>165.8333333</v>
      </c>
      <c r="X531" s="46" t="s">
        <v>33</v>
      </c>
      <c r="Y531" s="46">
        <v>6.0</v>
      </c>
      <c r="Z531" s="46">
        <f t="shared" ref="Z531:AI531" si="1479">SUM(Z525:Z530)</f>
        <v>226</v>
      </c>
      <c r="AA531" s="47">
        <f t="shared" si="1479"/>
        <v>221</v>
      </c>
      <c r="AB531" s="49">
        <f t="shared" si="1479"/>
        <v>44476.319</v>
      </c>
      <c r="AC531" s="47">
        <f t="shared" si="1479"/>
        <v>18031</v>
      </c>
      <c r="AD531" s="47">
        <f t="shared" si="1479"/>
        <v>145</v>
      </c>
      <c r="AE531" s="47">
        <f t="shared" si="1479"/>
        <v>18176</v>
      </c>
      <c r="AF531" s="47">
        <f t="shared" si="1479"/>
        <v>23221</v>
      </c>
      <c r="AG531" s="47">
        <f t="shared" si="1479"/>
        <v>425</v>
      </c>
      <c r="AH531" s="47">
        <f t="shared" si="1479"/>
        <v>23646</v>
      </c>
      <c r="AI531" s="47">
        <f t="shared" si="1479"/>
        <v>41822</v>
      </c>
      <c r="AJ531" s="49">
        <f t="shared" si="1460"/>
        <v>201.2503122</v>
      </c>
      <c r="AK531" s="46">
        <f>SUM(AK525:AK530)</f>
        <v>53273</v>
      </c>
      <c r="AL531" s="50">
        <f t="shared" si="1462"/>
        <v>0.7850505885</v>
      </c>
      <c r="AM531" s="51">
        <v>1.5</v>
      </c>
      <c r="AN531" s="50">
        <f t="shared" si="1464"/>
        <v>0.6268804155</v>
      </c>
      <c r="AO531" s="52">
        <f t="shared" si="1465"/>
        <v>0.9403206232</v>
      </c>
      <c r="AP531" s="51">
        <f>SUM(AP525:AP530)</f>
        <v>1456.631583</v>
      </c>
      <c r="AQ531" s="51">
        <f>AP531/AA531</f>
        <v>6.591093137</v>
      </c>
      <c r="AR531" s="47">
        <f t="shared" si="1467"/>
        <v>189.239819</v>
      </c>
    </row>
    <row r="532" ht="15.75" customHeight="1">
      <c r="A532" s="21"/>
      <c r="B532" s="38">
        <v>14.0</v>
      </c>
      <c r="C532" s="38" t="s">
        <v>27</v>
      </c>
      <c r="D532" s="39">
        <v>30.0</v>
      </c>
      <c r="E532" s="40">
        <f>IFERROR(__xludf.DUMMYFUNCTION("COUNT(IMPORTRANGE(""https://docs.google.com/spreadsheets/d/1zJUDEKztv_fercXA0LYNw155qdzS7TJGhWLhquaW5IY/edit"",""20!d2:d31""))"),30.0)</f>
        <v>30</v>
      </c>
      <c r="F532" s="45">
        <f>IFERROR(__xludf.DUMMYFUNCTION("SUM(IMPORTRANGE(""https://docs.google.com/spreadsheets/d/1zJUDEKztv_fercXA0LYNw155qdzS7TJGhWLhquaW5IY/edit"",""20!Q2:Q31""))"),5645.625)</f>
        <v>5645.625</v>
      </c>
      <c r="G532" s="40">
        <f>IFERROR(__xludf.DUMMYFUNCTION("IMPORTRANGE(""https://docs.google.com/spreadsheets/d/1zJUDEKztv_fercXA0LYNw155qdzS7TJGhWLhquaW5IY/edit"",""20!e38"")"),2581.0)</f>
        <v>2581</v>
      </c>
      <c r="H532" s="40">
        <f>IFERROR(__xludf.DUMMYFUNCTION("IMPORTRANGE(""https://docs.google.com/spreadsheets/d/1zJUDEKztv_fercXA0LYNw155qdzS7TJGhWLhquaW5IY/edit"",""20!e39"")"),0.0)</f>
        <v>0</v>
      </c>
      <c r="I532" s="40">
        <f t="shared" si="1440"/>
        <v>2581</v>
      </c>
      <c r="J532" s="40">
        <f>IFERROR(__xludf.DUMMYFUNCTION("IMPORTRANGE(""https://docs.google.com/spreadsheets/d/1zJUDEKztv_fercXA0LYNw155qdzS7TJGhWLhquaW5IY/edit"",""20!e42"")"),3108.0)</f>
        <v>3108</v>
      </c>
      <c r="K532" s="40">
        <f>IFERROR(__xludf.DUMMYFUNCTION("IMPORTRANGE(""https://docs.google.com/spreadsheets/d/1zJUDEKztv_fercXA0LYNw155qdzS7TJGhWLhquaW5IY/edit"",""20!e43"")"),0.0)</f>
        <v>0</v>
      </c>
      <c r="L532" s="40">
        <f t="shared" si="1470"/>
        <v>3108</v>
      </c>
      <c r="M532" s="40">
        <f t="shared" si="1442"/>
        <v>5689</v>
      </c>
      <c r="N532" s="41">
        <f t="shared" si="1443"/>
        <v>188.1875</v>
      </c>
      <c r="O532" s="38">
        <v>8101.0</v>
      </c>
      <c r="P532" s="42">
        <f t="shared" si="1444"/>
        <v>0.7022589804</v>
      </c>
      <c r="Q532" s="43">
        <v>1.5</v>
      </c>
      <c r="R532" s="42">
        <f t="shared" si="1445"/>
        <v>0.6717886269</v>
      </c>
      <c r="S532" s="44">
        <f t="shared" si="1446"/>
        <v>1.00768294</v>
      </c>
      <c r="T532" s="43">
        <f>F532/19.985</f>
        <v>282.4931198</v>
      </c>
      <c r="U532" s="43">
        <f t="shared" si="1447"/>
        <v>9.416437328</v>
      </c>
      <c r="V532" s="40">
        <f t="shared" si="1448"/>
        <v>189.6333333</v>
      </c>
      <c r="X532" s="59" t="s">
        <v>44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6"/>
    </row>
    <row r="533" ht="15.75" customHeight="1">
      <c r="A533" s="21"/>
      <c r="B533" s="38">
        <v>15.0</v>
      </c>
      <c r="C533" s="38" t="s">
        <v>40</v>
      </c>
      <c r="D533" s="39">
        <v>30.0</v>
      </c>
      <c r="E533" s="40">
        <f>IFERROR(__xludf.DUMMYFUNCTION("COUNT(IMPORTRANGE(""https://docs.google.com/spreadsheets/d/15GJA66Ucb-8RQ5vWVpq5HYaWoZZFX82SCeHChBujbrI/edit"",""20!d2:d31""))"),30.0)</f>
        <v>30</v>
      </c>
      <c r="F533" s="45">
        <f>IFERROR(__xludf.DUMMYFUNCTION("SUM(IMPORTRANGE(""https://docs.google.com/spreadsheets/d/15GJA66Ucb-8RQ5vWVpq5HYaWoZZFX82SCeHChBujbrI/edit"",""20!Q2:Q31""))"),5944.586999999999)</f>
        <v>5944.587</v>
      </c>
      <c r="G533" s="40">
        <f>IFERROR(__xludf.DUMMYFUNCTION("IMPORTRANGE(""https://docs.google.com/spreadsheets/d/15GJA66Ucb-8RQ5vWVpq5HYaWoZZFX82SCeHChBujbrI/edit"",""20!e38"")"),3443.0)</f>
        <v>3443</v>
      </c>
      <c r="H533" s="40">
        <f>IFERROR(__xludf.DUMMYFUNCTION("IMPORTRANGE(""https://docs.google.com/spreadsheets/d/15GJA66Ucb-8RQ5vWVpq5HYaWoZZFX82SCeHChBujbrI/edit"",""20!e39"")"),9.0)</f>
        <v>9</v>
      </c>
      <c r="I533" s="40">
        <f t="shared" si="1440"/>
        <v>3452</v>
      </c>
      <c r="J533" s="40">
        <f>IFERROR(__xludf.DUMMYFUNCTION("IMPORTRANGE(""https://docs.google.com/spreadsheets/d/15GJA66Ucb-8RQ5vWVpq5HYaWoZZFX82SCeHChBujbrI/edit"",""20!e42"")"),4075.0)</f>
        <v>4075</v>
      </c>
      <c r="K533" s="40">
        <f>IFERROR(__xludf.DUMMYFUNCTION("IMPORTRANGE(""https://docs.google.com/spreadsheets/d/15GJA66Ucb-8RQ5vWVpq5HYaWoZZFX82SCeHChBujbrI/edit"",""20!e43"")"),0.0)</f>
        <v>0</v>
      </c>
      <c r="L533" s="40">
        <f t="shared" si="1470"/>
        <v>4075</v>
      </c>
      <c r="M533" s="40">
        <f t="shared" si="1442"/>
        <v>7527</v>
      </c>
      <c r="N533" s="41">
        <f t="shared" si="1443"/>
        <v>198.1529</v>
      </c>
      <c r="O533" s="38">
        <v>8239.0</v>
      </c>
      <c r="P533" s="42">
        <f t="shared" si="1444"/>
        <v>0.9135817454</v>
      </c>
      <c r="Q533" s="43">
        <v>1.5</v>
      </c>
      <c r="R533" s="42">
        <f t="shared" si="1445"/>
        <v>0.8441292894</v>
      </c>
      <c r="S533" s="44">
        <f t="shared" si="1446"/>
        <v>1.266193934</v>
      </c>
      <c r="T533" s="43">
        <f>F533/28.443</f>
        <v>209</v>
      </c>
      <c r="U533" s="43">
        <f t="shared" si="1447"/>
        <v>6.966666667</v>
      </c>
      <c r="V533" s="40">
        <f t="shared" si="1448"/>
        <v>250.9</v>
      </c>
      <c r="X533" s="14" t="s">
        <v>2</v>
      </c>
      <c r="Y533" s="14" t="s">
        <v>3</v>
      </c>
      <c r="Z533" s="14" t="s">
        <v>4</v>
      </c>
      <c r="AA533" s="14" t="s">
        <v>5</v>
      </c>
      <c r="AB533" s="15" t="s">
        <v>6</v>
      </c>
      <c r="AC533" s="14" t="s">
        <v>7</v>
      </c>
      <c r="AD533" s="14" t="s">
        <v>8</v>
      </c>
      <c r="AE533" s="14" t="s">
        <v>9</v>
      </c>
      <c r="AF533" s="14" t="s">
        <v>10</v>
      </c>
      <c r="AG533" s="14" t="s">
        <v>11</v>
      </c>
      <c r="AH533" s="14" t="s">
        <v>12</v>
      </c>
      <c r="AI533" s="14" t="s">
        <v>13</v>
      </c>
      <c r="AJ533" s="15" t="s">
        <v>14</v>
      </c>
      <c r="AK533" s="14" t="s">
        <v>15</v>
      </c>
      <c r="AL533" s="14" t="s">
        <v>16</v>
      </c>
      <c r="AM533" s="16" t="s">
        <v>17</v>
      </c>
      <c r="AN533" s="17" t="s">
        <v>18</v>
      </c>
      <c r="AO533" s="18" t="s">
        <v>19</v>
      </c>
      <c r="AP533" s="19" t="s">
        <v>20</v>
      </c>
      <c r="AQ533" s="19" t="s">
        <v>21</v>
      </c>
      <c r="AR533" s="20" t="s">
        <v>22</v>
      </c>
    </row>
    <row r="534" ht="15.75" customHeight="1">
      <c r="A534" s="21"/>
      <c r="B534" s="38">
        <v>16.0</v>
      </c>
      <c r="C534" s="38" t="s">
        <v>42</v>
      </c>
      <c r="D534" s="39">
        <v>33.0</v>
      </c>
      <c r="E534" s="40">
        <f>IFERROR(__xludf.DUMMYFUNCTION("COUNT(IMPORTRANGE(""https://docs.google.com/spreadsheets/d/14Tu_jFPEdrIQ6DHYu6vRvJKQsbXr-48NY1tKy4-8JKI/edit"",""20!d2:d34""))"),32.0)</f>
        <v>32</v>
      </c>
      <c r="F534" s="45">
        <f>IFERROR(__xludf.DUMMYFUNCTION("SUM(IMPORTRANGE(""https://docs.google.com/spreadsheets/d/14Tu_jFPEdrIQ6DHYu6vRvJKQsbXr-48NY1tKy4-8JKI/edit"",""20!Q2:Q34""))"),6300.2789999999995)</f>
        <v>6300.279</v>
      </c>
      <c r="G534" s="40">
        <f>IFERROR(__xludf.DUMMYFUNCTION("IMPORTRANGE(""https://docs.google.com/spreadsheets/d/14Tu_jFPEdrIQ6DHYu6vRvJKQsbXr-48NY1tKy4-8JKI/edit"",""20!e41"")"),3263.0)</f>
        <v>3263</v>
      </c>
      <c r="H534" s="40">
        <f>IFERROR(__xludf.DUMMYFUNCTION("IMPORTRANGE(""https://docs.google.com/spreadsheets/d/14Tu_jFPEdrIQ6DHYu6vRvJKQsbXr-48NY1tKy4-8JKI/edit"",""20!e42"")"),0.0)</f>
        <v>0</v>
      </c>
      <c r="I534" s="40">
        <f t="shared" si="1440"/>
        <v>3263</v>
      </c>
      <c r="J534" s="40">
        <f>IFERROR(__xludf.DUMMYFUNCTION("IMPORTRANGE(""https://docs.google.com/spreadsheets/d/14Tu_jFPEdrIQ6DHYu6vRvJKQsbXr-48NY1tKy4-8JKI/edit"",""20!e45"")"),4477.0)</f>
        <v>4477</v>
      </c>
      <c r="K534" s="40">
        <f>IFERROR(__xludf.DUMMYFUNCTION("IMPORTRANGE(""https://docs.google.com/spreadsheets/d/14Tu_jFPEdrIQ6DHYu6vRvJKQsbXr-48NY1tKy4-8JKI/edit"",""20!e46"")"),0.0)</f>
        <v>0</v>
      </c>
      <c r="L534" s="40">
        <f t="shared" si="1470"/>
        <v>4477</v>
      </c>
      <c r="M534" s="40">
        <f t="shared" si="1442"/>
        <v>7740</v>
      </c>
      <c r="N534" s="41">
        <f t="shared" si="1443"/>
        <v>196.8837188</v>
      </c>
      <c r="O534" s="38">
        <v>9877.0</v>
      </c>
      <c r="P534" s="42">
        <f t="shared" si="1444"/>
        <v>0.7836387567</v>
      </c>
      <c r="Q534" s="43">
        <v>1.5</v>
      </c>
      <c r="R534" s="42">
        <f t="shared" si="1445"/>
        <v>0.8190113485</v>
      </c>
      <c r="S534" s="44">
        <f t="shared" si="1446"/>
        <v>1.228517023</v>
      </c>
      <c r="T534" s="43">
        <f>F534/26.155</f>
        <v>240.8823934</v>
      </c>
      <c r="U534" s="43">
        <f t="shared" si="1447"/>
        <v>7.527574794</v>
      </c>
      <c r="V534" s="40">
        <f t="shared" si="1448"/>
        <v>241.875</v>
      </c>
      <c r="X534" s="31">
        <v>1.0</v>
      </c>
      <c r="Y534" s="31" t="s">
        <v>26</v>
      </c>
      <c r="Z534" s="31">
        <f t="shared" ref="Z534:AI534" si="1480">SUM(D519)</f>
        <v>20</v>
      </c>
      <c r="AA534" s="32">
        <f t="shared" si="1480"/>
        <v>20</v>
      </c>
      <c r="AB534" s="34">
        <f t="shared" si="1480"/>
        <v>3841.98</v>
      </c>
      <c r="AC534" s="32">
        <f t="shared" si="1480"/>
        <v>1451</v>
      </c>
      <c r="AD534" s="32">
        <f t="shared" si="1480"/>
        <v>0</v>
      </c>
      <c r="AE534" s="32">
        <f t="shared" si="1480"/>
        <v>1451</v>
      </c>
      <c r="AF534" s="32">
        <f t="shared" si="1480"/>
        <v>3544</v>
      </c>
      <c r="AG534" s="32">
        <f t="shared" si="1480"/>
        <v>0</v>
      </c>
      <c r="AH534" s="32">
        <f t="shared" si="1480"/>
        <v>3544</v>
      </c>
      <c r="AI534" s="32">
        <f t="shared" si="1480"/>
        <v>4995</v>
      </c>
      <c r="AJ534" s="34">
        <f t="shared" ref="AJ534:AJ540" si="1483">AB534/AA534</f>
        <v>192.099</v>
      </c>
      <c r="AK534" s="31">
        <f>SUM(O519)</f>
        <v>5161</v>
      </c>
      <c r="AL534" s="35">
        <f t="shared" ref="AL534:AL540" si="1484">AI534/AK534</f>
        <v>0.9678356908</v>
      </c>
      <c r="AM534" s="36">
        <f>SUM(Q519)</f>
        <v>1.5</v>
      </c>
      <c r="AN534" s="35">
        <f t="shared" ref="AN534:AN540" si="1485">AO534/AM534</f>
        <v>0.8667405869</v>
      </c>
      <c r="AO534" s="37">
        <f t="shared" ref="AO534:AO540" si="1486">AI534/AB534</f>
        <v>1.30011088</v>
      </c>
      <c r="AP534" s="36">
        <f t="shared" ref="AP534:AQ534" si="1481">SUM(T519)</f>
        <v>266.5265349</v>
      </c>
      <c r="AQ534" s="36">
        <f t="shared" si="1481"/>
        <v>13.32632674</v>
      </c>
      <c r="AR534" s="32">
        <f t="shared" ref="AR534:AR540" si="1488">AI534/AA534</f>
        <v>249.75</v>
      </c>
    </row>
    <row r="535" ht="15.75" customHeight="1">
      <c r="A535" s="21"/>
      <c r="B535" s="38">
        <v>17.0</v>
      </c>
      <c r="C535" s="38" t="s">
        <v>29</v>
      </c>
      <c r="D535" s="39">
        <v>30.0</v>
      </c>
      <c r="E535" s="40">
        <f>IFERROR(__xludf.DUMMYFUNCTION("COUNT(IMPORTRANGE(""https://docs.google.com/spreadsheets/d/1ja_RQYsP0p5wRrACHojay4CW1wLx0QdS5tSwp-vYQ-s/edit"",""20!d2:d31""))"),30.0)</f>
        <v>30</v>
      </c>
      <c r="F535" s="45">
        <f>IFERROR(__xludf.DUMMYFUNCTION("SUM(IMPORTRANGE(""https://docs.google.com/spreadsheets/d/1ja_RQYsP0p5wRrACHojay4CW1wLx0QdS5tSwp-vYQ-s/edit"",""20!Q2:Q31""))"),6039.947999999998)</f>
        <v>6039.948</v>
      </c>
      <c r="G535" s="40">
        <f>IFERROR(__xludf.DUMMYFUNCTION("IMPORTRANGE(""https://docs.google.com/spreadsheets/d/1ja_RQYsP0p5wRrACHojay4CW1wLx0QdS5tSwp-vYQ-s/edit"",""20!e38"")"),2522.0)</f>
        <v>2522</v>
      </c>
      <c r="H535" s="40">
        <f>IFERROR(__xludf.DUMMYFUNCTION("IMPORTRANGE(""https://docs.google.com/spreadsheets/d/1ja_RQYsP0p5wRrACHojay4CW1wLx0QdS5tSwp-vYQ-s/edit"",""20!e39"")"),0.0)</f>
        <v>0</v>
      </c>
      <c r="I535" s="40">
        <f t="shared" si="1440"/>
        <v>2522</v>
      </c>
      <c r="J535" s="40">
        <f>IFERROR(__xludf.DUMMYFUNCTION("IMPORTRANGE(""https://docs.google.com/spreadsheets/d/1ja_RQYsP0p5wRrACHojay4CW1wLx0QdS5tSwp-vYQ-s/edit"",""20!e42"")"),4409.0)</f>
        <v>4409</v>
      </c>
      <c r="K535" s="40">
        <f>IFERROR(__xludf.DUMMYFUNCTION("IMPORTRANGE(""https://docs.google.com/spreadsheets/d/1ja_RQYsP0p5wRrACHojay4CW1wLx0QdS5tSwp-vYQ-s/edit"",""20!e43"")"),0.0)</f>
        <v>0</v>
      </c>
      <c r="L535" s="40">
        <f t="shared" si="1470"/>
        <v>4409</v>
      </c>
      <c r="M535" s="40">
        <f t="shared" si="1442"/>
        <v>6931</v>
      </c>
      <c r="N535" s="41">
        <f t="shared" si="1443"/>
        <v>201.3316</v>
      </c>
      <c r="O535" s="38">
        <v>9201.0</v>
      </c>
      <c r="P535" s="42">
        <f t="shared" si="1444"/>
        <v>0.7532876861</v>
      </c>
      <c r="Q535" s="43">
        <v>1.5</v>
      </c>
      <c r="R535" s="42">
        <f t="shared" si="1445"/>
        <v>0.7650176238</v>
      </c>
      <c r="S535" s="44">
        <f t="shared" si="1446"/>
        <v>1.147526436</v>
      </c>
      <c r="T535" s="43">
        <f>F535/26.491</f>
        <v>228</v>
      </c>
      <c r="U535" s="43">
        <f t="shared" si="1447"/>
        <v>7.6</v>
      </c>
      <c r="V535" s="40">
        <f t="shared" si="1448"/>
        <v>231.0333333</v>
      </c>
      <c r="X535" s="31">
        <v>2.0</v>
      </c>
      <c r="Y535" s="31" t="s">
        <v>32</v>
      </c>
      <c r="Z535" s="31">
        <f t="shared" ref="Z535:AI535" si="1482">SUM(D522)</f>
        <v>42</v>
      </c>
      <c r="AA535" s="32">
        <f t="shared" si="1482"/>
        <v>41</v>
      </c>
      <c r="AB535" s="33">
        <f t="shared" si="1482"/>
        <v>7841.387</v>
      </c>
      <c r="AC535" s="31">
        <f t="shared" si="1482"/>
        <v>4702</v>
      </c>
      <c r="AD535" s="31">
        <f t="shared" si="1482"/>
        <v>0</v>
      </c>
      <c r="AE535" s="32">
        <f t="shared" si="1482"/>
        <v>4702</v>
      </c>
      <c r="AF535" s="31">
        <f t="shared" si="1482"/>
        <v>5457</v>
      </c>
      <c r="AG535" s="31">
        <f t="shared" si="1482"/>
        <v>0</v>
      </c>
      <c r="AH535" s="32">
        <f t="shared" si="1482"/>
        <v>5457</v>
      </c>
      <c r="AI535" s="32">
        <f t="shared" si="1482"/>
        <v>10159</v>
      </c>
      <c r="AJ535" s="34">
        <f t="shared" si="1483"/>
        <v>191.2533415</v>
      </c>
      <c r="AK535" s="31">
        <f>SUM(O522)</f>
        <v>13817</v>
      </c>
      <c r="AL535" s="35">
        <f t="shared" si="1484"/>
        <v>0.735253673</v>
      </c>
      <c r="AM535" s="36">
        <f>SUM(Q522)</f>
        <v>1.5</v>
      </c>
      <c r="AN535" s="35">
        <f t="shared" si="1485"/>
        <v>0.8637077429</v>
      </c>
      <c r="AO535" s="37">
        <f t="shared" si="1486"/>
        <v>1.295561614</v>
      </c>
      <c r="AP535" s="36">
        <f t="shared" ref="AP535:AQ535" si="1487">SUM(T522)</f>
        <v>312.5428275</v>
      </c>
      <c r="AQ535" s="36">
        <f t="shared" si="1487"/>
        <v>7.622995794</v>
      </c>
      <c r="AR535" s="32">
        <f t="shared" si="1488"/>
        <v>247.7804878</v>
      </c>
    </row>
    <row r="536" ht="15.75" customHeight="1">
      <c r="A536" s="21"/>
      <c r="B536" s="38">
        <v>18.0</v>
      </c>
      <c r="C536" s="38" t="s">
        <v>31</v>
      </c>
      <c r="D536" s="39">
        <v>15.0</v>
      </c>
      <c r="E536" s="40">
        <f>IFERROR(__xludf.DUMMYFUNCTION("COUNT(IMPORTRANGE(""https://docs.google.com/spreadsheets/d/1ObnK1oSznTOmyW9Zcd2kxExl7TOnO2MNq_0giEKc_mE/edit"",""20!d2:d16""))"),14.0)</f>
        <v>14</v>
      </c>
      <c r="F536" s="41">
        <f>IFERROR(__xludf.DUMMYFUNCTION("SUM(IMPORTRANGE(""https://docs.google.com/spreadsheets/d/1ObnK1oSznTOmyW9Zcd2kxExl7TOnO2MNq_0giEKc_mE/edit"",""20!Q2:Q16""))"),2651.365)</f>
        <v>2651.365</v>
      </c>
      <c r="G536" s="40">
        <f>IFERROR(__xludf.DUMMYFUNCTION("IMPORTRANGE(""https://docs.google.com/spreadsheets/d/1ObnK1oSznTOmyW9Zcd2kxExl7TOnO2MNq_0giEKc_mE/edit"",""20!e23"")"),930.0)</f>
        <v>930</v>
      </c>
      <c r="H536" s="40">
        <f>IFERROR(__xludf.DUMMYFUNCTION("IMPORTRANGE(""https://docs.google.com/spreadsheets/d/1ObnK1oSznTOmyW9Zcd2kxExl7TOnO2MNq_0giEKc_mE/edit"",""20!e24"")"),18.0)</f>
        <v>18</v>
      </c>
      <c r="I536" s="40">
        <f t="shared" si="1440"/>
        <v>948</v>
      </c>
      <c r="J536" s="40">
        <f>IFERROR(__xludf.DUMMYFUNCTION("IMPORTRANGE(""https://docs.google.com/spreadsheets/d/1ObnK1oSznTOmyW9Zcd2kxExl7TOnO2MNq_0giEKc_mE/edit"",""20!e27"")"),1024.0)</f>
        <v>1024</v>
      </c>
      <c r="K536" s="40">
        <f>IFERROR(__xludf.DUMMYFUNCTION("IMPORTRANGE(""https://docs.google.com/spreadsheets/d/1ObnK1oSznTOmyW9Zcd2kxExl7TOnO2MNq_0giEKc_mE/edit"",""20!e28"")"),0.0)</f>
        <v>0</v>
      </c>
      <c r="L536" s="40">
        <f t="shared" si="1470"/>
        <v>1024</v>
      </c>
      <c r="M536" s="40">
        <f t="shared" si="1442"/>
        <v>1972</v>
      </c>
      <c r="N536" s="41">
        <f t="shared" si="1443"/>
        <v>189.3832143</v>
      </c>
      <c r="O536" s="38">
        <v>2717.0</v>
      </c>
      <c r="P536" s="42">
        <f t="shared" si="1444"/>
        <v>0.7258005153</v>
      </c>
      <c r="Q536" s="43">
        <v>1.5</v>
      </c>
      <c r="R536" s="42">
        <f t="shared" si="1445"/>
        <v>0.4958452219</v>
      </c>
      <c r="S536" s="44">
        <f t="shared" si="1446"/>
        <v>0.7437678328</v>
      </c>
      <c r="T536" s="43">
        <f>F536/43.465</f>
        <v>61</v>
      </c>
      <c r="U536" s="43">
        <f t="shared" si="1447"/>
        <v>4.357142857</v>
      </c>
      <c r="V536" s="40">
        <f t="shared" si="1448"/>
        <v>140.8571429</v>
      </c>
      <c r="X536" s="31">
        <v>3.0</v>
      </c>
      <c r="Y536" s="31" t="s">
        <v>36</v>
      </c>
      <c r="Z536" s="31">
        <f t="shared" ref="Z536:AI536" si="1489">SUM(D527)</f>
        <v>29</v>
      </c>
      <c r="AA536" s="32">
        <f t="shared" si="1489"/>
        <v>29</v>
      </c>
      <c r="AB536" s="33">
        <f t="shared" si="1489"/>
        <v>5604.12</v>
      </c>
      <c r="AC536" s="32">
        <f t="shared" si="1489"/>
        <v>1598</v>
      </c>
      <c r="AD536" s="32">
        <f t="shared" si="1489"/>
        <v>0</v>
      </c>
      <c r="AE536" s="32">
        <f t="shared" si="1489"/>
        <v>1598</v>
      </c>
      <c r="AF536" s="32">
        <f t="shared" si="1489"/>
        <v>2302</v>
      </c>
      <c r="AG536" s="32">
        <f t="shared" si="1489"/>
        <v>0</v>
      </c>
      <c r="AH536" s="32">
        <f t="shared" si="1489"/>
        <v>2302</v>
      </c>
      <c r="AI536" s="32">
        <f t="shared" si="1489"/>
        <v>3900</v>
      </c>
      <c r="AJ536" s="34">
        <f t="shared" si="1483"/>
        <v>193.2455172</v>
      </c>
      <c r="AK536" s="31">
        <f t="shared" ref="AK536:AK539" si="1493">SUM(O527)</f>
        <v>4796</v>
      </c>
      <c r="AL536" s="35">
        <f t="shared" si="1484"/>
        <v>0.813177648</v>
      </c>
      <c r="AM536" s="36">
        <f t="shared" ref="AM536:AM539" si="1494">SUM(Q527)</f>
        <v>1.5</v>
      </c>
      <c r="AN536" s="35">
        <f t="shared" si="1485"/>
        <v>0.4639443838</v>
      </c>
      <c r="AO536" s="37">
        <f t="shared" si="1486"/>
        <v>0.6959165757</v>
      </c>
      <c r="AP536" s="36">
        <f t="shared" ref="AP536:AQ536" si="1490">SUM(T527)</f>
        <v>149.7867109</v>
      </c>
      <c r="AQ536" s="36">
        <f t="shared" si="1490"/>
        <v>5.165058995</v>
      </c>
      <c r="AR536" s="32">
        <f t="shared" si="1488"/>
        <v>134.4827586</v>
      </c>
    </row>
    <row r="537" ht="15.75" customHeight="1">
      <c r="A537" s="21"/>
      <c r="B537" s="60" t="s">
        <v>33</v>
      </c>
      <c r="C537" s="60">
        <v>18.0</v>
      </c>
      <c r="D537" s="60">
        <f t="shared" ref="D537:M537" si="1491">SUM(D519:D536)</f>
        <v>585</v>
      </c>
      <c r="E537" s="61">
        <f t="shared" si="1491"/>
        <v>575</v>
      </c>
      <c r="F537" s="62">
        <f t="shared" si="1491"/>
        <v>112881.468</v>
      </c>
      <c r="G537" s="61">
        <f t="shared" si="1491"/>
        <v>41420</v>
      </c>
      <c r="H537" s="61">
        <f t="shared" si="1491"/>
        <v>594</v>
      </c>
      <c r="I537" s="61">
        <f t="shared" si="1491"/>
        <v>42014</v>
      </c>
      <c r="J537" s="61">
        <f t="shared" si="1491"/>
        <v>57653</v>
      </c>
      <c r="K537" s="61">
        <f t="shared" si="1491"/>
        <v>830</v>
      </c>
      <c r="L537" s="61">
        <f t="shared" si="1491"/>
        <v>58483</v>
      </c>
      <c r="M537" s="61">
        <f t="shared" si="1491"/>
        <v>100497</v>
      </c>
      <c r="N537" s="62">
        <f t="shared" si="1443"/>
        <v>196.3155965</v>
      </c>
      <c r="O537" s="60">
        <f>SUM(O519:O536)</f>
        <v>126399</v>
      </c>
      <c r="P537" s="63">
        <f t="shared" si="1444"/>
        <v>0.7950774927</v>
      </c>
      <c r="Q537" s="64">
        <v>1.5</v>
      </c>
      <c r="R537" s="63">
        <f t="shared" si="1445"/>
        <v>0.5935252366</v>
      </c>
      <c r="S537" s="65">
        <f t="shared" si="1446"/>
        <v>0.8902878549</v>
      </c>
      <c r="T537" s="64">
        <f>SUM(T519:T536)</f>
        <v>4154.052498</v>
      </c>
      <c r="U537" s="64">
        <f t="shared" si="1447"/>
        <v>7.224439128</v>
      </c>
      <c r="V537" s="61">
        <f t="shared" si="1448"/>
        <v>174.7773913</v>
      </c>
      <c r="X537" s="31">
        <v>4.0</v>
      </c>
      <c r="Y537" s="31" t="s">
        <v>37</v>
      </c>
      <c r="Z537" s="31">
        <f t="shared" ref="Z537:AI537" si="1492">SUM(D528)</f>
        <v>30</v>
      </c>
      <c r="AA537" s="32">
        <f t="shared" si="1492"/>
        <v>29</v>
      </c>
      <c r="AB537" s="33">
        <f t="shared" si="1492"/>
        <v>5638.644</v>
      </c>
      <c r="AC537" s="32">
        <f t="shared" si="1492"/>
        <v>2081</v>
      </c>
      <c r="AD537" s="32">
        <f t="shared" si="1492"/>
        <v>0</v>
      </c>
      <c r="AE537" s="32">
        <f t="shared" si="1492"/>
        <v>2081</v>
      </c>
      <c r="AF537" s="32">
        <f t="shared" si="1492"/>
        <v>3158</v>
      </c>
      <c r="AG537" s="32">
        <f t="shared" si="1492"/>
        <v>0</v>
      </c>
      <c r="AH537" s="32">
        <f t="shared" si="1492"/>
        <v>3158</v>
      </c>
      <c r="AI537" s="32">
        <f t="shared" si="1492"/>
        <v>5239</v>
      </c>
      <c r="AJ537" s="34">
        <f t="shared" si="1483"/>
        <v>194.436</v>
      </c>
      <c r="AK537" s="31">
        <f t="shared" si="1493"/>
        <v>5887</v>
      </c>
      <c r="AL537" s="35">
        <f t="shared" si="1484"/>
        <v>0.8899269577</v>
      </c>
      <c r="AM537" s="36">
        <f t="shared" si="1494"/>
        <v>1.5</v>
      </c>
      <c r="AN537" s="35">
        <f t="shared" si="1485"/>
        <v>0.6194160629</v>
      </c>
      <c r="AO537" s="37">
        <f t="shared" si="1486"/>
        <v>0.9291240944</v>
      </c>
      <c r="AP537" s="36">
        <f t="shared" ref="AP537:AQ537" si="1495">SUM(T528)</f>
        <v>227.4380445</v>
      </c>
      <c r="AQ537" s="36">
        <f t="shared" si="1495"/>
        <v>7.842691191</v>
      </c>
      <c r="AR537" s="32">
        <f t="shared" si="1488"/>
        <v>180.6551724</v>
      </c>
    </row>
    <row r="538" ht="15.7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X538" s="31">
        <v>5.0</v>
      </c>
      <c r="Y538" s="31" t="s">
        <v>39</v>
      </c>
      <c r="Z538" s="31">
        <f t="shared" ref="Z538:AI538" si="1496">SUM(D529)</f>
        <v>28</v>
      </c>
      <c r="AA538" s="32">
        <f t="shared" si="1496"/>
        <v>27</v>
      </c>
      <c r="AB538" s="33">
        <f t="shared" si="1496"/>
        <v>5330.1</v>
      </c>
      <c r="AC538" s="32">
        <f t="shared" si="1496"/>
        <v>1159</v>
      </c>
      <c r="AD538" s="32">
        <f t="shared" si="1496"/>
        <v>0</v>
      </c>
      <c r="AE538" s="32">
        <f t="shared" si="1496"/>
        <v>1159</v>
      </c>
      <c r="AF538" s="32">
        <f t="shared" si="1496"/>
        <v>1763</v>
      </c>
      <c r="AG538" s="32">
        <f t="shared" si="1496"/>
        <v>0</v>
      </c>
      <c r="AH538" s="32">
        <f t="shared" si="1496"/>
        <v>1763</v>
      </c>
      <c r="AI538" s="32">
        <f t="shared" si="1496"/>
        <v>2922</v>
      </c>
      <c r="AJ538" s="34">
        <f t="shared" si="1483"/>
        <v>197.4111111</v>
      </c>
      <c r="AK538" s="31">
        <f t="shared" si="1493"/>
        <v>3569</v>
      </c>
      <c r="AL538" s="35">
        <f t="shared" si="1484"/>
        <v>0.8187167274</v>
      </c>
      <c r="AM538" s="36">
        <f t="shared" si="1494"/>
        <v>1.5</v>
      </c>
      <c r="AN538" s="35">
        <f t="shared" si="1485"/>
        <v>0.3654715671</v>
      </c>
      <c r="AO538" s="37">
        <f t="shared" si="1486"/>
        <v>0.5482073507</v>
      </c>
      <c r="AP538" s="36">
        <f t="shared" ref="AP538:AQ538" si="1497">SUM(T529)</f>
        <v>248.339002</v>
      </c>
      <c r="AQ538" s="36">
        <f t="shared" si="1497"/>
        <v>9.197740815</v>
      </c>
      <c r="AR538" s="32">
        <f t="shared" si="1488"/>
        <v>108.2222222</v>
      </c>
    </row>
    <row r="539" ht="15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X539" s="31">
        <v>6.0</v>
      </c>
      <c r="Y539" s="31" t="s">
        <v>41</v>
      </c>
      <c r="Z539" s="31">
        <f t="shared" ref="Z539:AI539" si="1498">SUM(D530)</f>
        <v>24</v>
      </c>
      <c r="AA539" s="32">
        <f t="shared" si="1498"/>
        <v>24</v>
      </c>
      <c r="AB539" s="33">
        <f t="shared" si="1498"/>
        <v>4750.356</v>
      </c>
      <c r="AC539" s="32">
        <f t="shared" si="1498"/>
        <v>1114</v>
      </c>
      <c r="AD539" s="32">
        <f t="shared" si="1498"/>
        <v>40</v>
      </c>
      <c r="AE539" s="32">
        <f t="shared" si="1498"/>
        <v>1154</v>
      </c>
      <c r="AF539" s="32">
        <f t="shared" si="1498"/>
        <v>1896</v>
      </c>
      <c r="AG539" s="32">
        <f t="shared" si="1498"/>
        <v>0</v>
      </c>
      <c r="AH539" s="32">
        <f t="shared" si="1498"/>
        <v>1896</v>
      </c>
      <c r="AI539" s="32">
        <f t="shared" si="1498"/>
        <v>3050</v>
      </c>
      <c r="AJ539" s="34">
        <f t="shared" si="1483"/>
        <v>197.9315</v>
      </c>
      <c r="AK539" s="31">
        <f t="shared" si="1493"/>
        <v>3801</v>
      </c>
      <c r="AL539" s="35">
        <f t="shared" si="1484"/>
        <v>0.8024204157</v>
      </c>
      <c r="AM539" s="36">
        <f t="shared" si="1494"/>
        <v>1.5</v>
      </c>
      <c r="AN539" s="35">
        <f t="shared" si="1485"/>
        <v>0.4280380951</v>
      </c>
      <c r="AO539" s="37">
        <f t="shared" si="1486"/>
        <v>0.6420571427</v>
      </c>
      <c r="AP539" s="36">
        <f t="shared" ref="AP539:AQ539" si="1499">SUM(T530)</f>
        <v>160.3333333</v>
      </c>
      <c r="AQ539" s="36">
        <f t="shared" si="1499"/>
        <v>6.680555556</v>
      </c>
      <c r="AR539" s="32">
        <f t="shared" si="1488"/>
        <v>127.0833333</v>
      </c>
    </row>
    <row r="540" ht="15.75" customHeight="1">
      <c r="A540" s="1" t="s">
        <v>45</v>
      </c>
      <c r="D540" s="2"/>
      <c r="X540" s="46" t="s">
        <v>33</v>
      </c>
      <c r="Y540" s="46">
        <v>6.0</v>
      </c>
      <c r="Z540" s="46">
        <f t="shared" ref="Z540:AI540" si="1500">SUM(Z534:Z539)</f>
        <v>173</v>
      </c>
      <c r="AA540" s="47">
        <f t="shared" si="1500"/>
        <v>170</v>
      </c>
      <c r="AB540" s="49">
        <f t="shared" si="1500"/>
        <v>33006.587</v>
      </c>
      <c r="AC540" s="47">
        <f t="shared" si="1500"/>
        <v>12105</v>
      </c>
      <c r="AD540" s="47">
        <f t="shared" si="1500"/>
        <v>40</v>
      </c>
      <c r="AE540" s="47">
        <f t="shared" si="1500"/>
        <v>12145</v>
      </c>
      <c r="AF540" s="47">
        <f t="shared" si="1500"/>
        <v>18120</v>
      </c>
      <c r="AG540" s="47">
        <f t="shared" si="1500"/>
        <v>0</v>
      </c>
      <c r="AH540" s="47">
        <f t="shared" si="1500"/>
        <v>18120</v>
      </c>
      <c r="AI540" s="47">
        <f t="shared" si="1500"/>
        <v>30265</v>
      </c>
      <c r="AJ540" s="49">
        <f t="shared" si="1483"/>
        <v>194.1563941</v>
      </c>
      <c r="AK540" s="46">
        <f>SUM(AK534:AK539)</f>
        <v>37031</v>
      </c>
      <c r="AL540" s="50">
        <f t="shared" si="1484"/>
        <v>0.817288218</v>
      </c>
      <c r="AM540" s="51">
        <v>1.5</v>
      </c>
      <c r="AN540" s="50">
        <f t="shared" si="1485"/>
        <v>0.6112921238</v>
      </c>
      <c r="AO540" s="52">
        <f t="shared" si="1486"/>
        <v>0.9169381857</v>
      </c>
      <c r="AP540" s="51">
        <f>SUM(AP534:AP539)</f>
        <v>1364.966453</v>
      </c>
      <c r="AQ540" s="51">
        <f>AP540/AA540</f>
        <v>8.02921443</v>
      </c>
      <c r="AR540" s="47">
        <f t="shared" si="1488"/>
        <v>178.0294118</v>
      </c>
    </row>
    <row r="541" ht="15.75" customHeight="1">
      <c r="A541" s="1" t="s">
        <v>45</v>
      </c>
      <c r="D541" s="2"/>
      <c r="X541" s="66" t="s">
        <v>1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6"/>
    </row>
    <row r="542" ht="15.75" customHeight="1">
      <c r="A542" s="7">
        <v>46255.0</v>
      </c>
      <c r="B542" s="8" t="s">
        <v>2</v>
      </c>
      <c r="C542" s="8" t="s">
        <v>3</v>
      </c>
      <c r="D542" s="8" t="s">
        <v>4</v>
      </c>
      <c r="E542" s="8" t="s">
        <v>5</v>
      </c>
      <c r="F542" s="9" t="s">
        <v>6</v>
      </c>
      <c r="G542" s="8" t="s">
        <v>7</v>
      </c>
      <c r="H542" s="8" t="s">
        <v>8</v>
      </c>
      <c r="I542" s="8" t="s">
        <v>9</v>
      </c>
      <c r="J542" s="8" t="s">
        <v>10</v>
      </c>
      <c r="K542" s="8" t="s">
        <v>11</v>
      </c>
      <c r="L542" s="8" t="s">
        <v>12</v>
      </c>
      <c r="M542" s="8" t="s">
        <v>13</v>
      </c>
      <c r="N542" s="9" t="s">
        <v>14</v>
      </c>
      <c r="O542" s="8" t="s">
        <v>15</v>
      </c>
      <c r="P542" s="8" t="s">
        <v>16</v>
      </c>
      <c r="Q542" s="8" t="s">
        <v>17</v>
      </c>
      <c r="R542" s="8" t="s">
        <v>18</v>
      </c>
      <c r="S542" s="11" t="s">
        <v>19</v>
      </c>
      <c r="T542" s="12" t="s">
        <v>20</v>
      </c>
      <c r="U542" s="12" t="s">
        <v>21</v>
      </c>
      <c r="V542" s="13" t="s">
        <v>22</v>
      </c>
      <c r="X542" s="14" t="s">
        <v>2</v>
      </c>
      <c r="Y542" s="14" t="s">
        <v>3</v>
      </c>
      <c r="Z542" s="14" t="s">
        <v>4</v>
      </c>
      <c r="AA542" s="14" t="s">
        <v>5</v>
      </c>
      <c r="AB542" s="15" t="s">
        <v>6</v>
      </c>
      <c r="AC542" s="14" t="s">
        <v>7</v>
      </c>
      <c r="AD542" s="14" t="s">
        <v>8</v>
      </c>
      <c r="AE542" s="14" t="s">
        <v>9</v>
      </c>
      <c r="AF542" s="14" t="s">
        <v>10</v>
      </c>
      <c r="AG542" s="14" t="s">
        <v>11</v>
      </c>
      <c r="AH542" s="14" t="s">
        <v>12</v>
      </c>
      <c r="AI542" s="14" t="s">
        <v>13</v>
      </c>
      <c r="AJ542" s="15" t="s">
        <v>14</v>
      </c>
      <c r="AK542" s="14" t="s">
        <v>15</v>
      </c>
      <c r="AL542" s="14" t="s">
        <v>16</v>
      </c>
      <c r="AM542" s="16" t="s">
        <v>17</v>
      </c>
      <c r="AN542" s="17" t="s">
        <v>18</v>
      </c>
      <c r="AO542" s="18" t="s">
        <v>19</v>
      </c>
      <c r="AP542" s="19" t="s">
        <v>20</v>
      </c>
      <c r="AQ542" s="19" t="s">
        <v>21</v>
      </c>
      <c r="AR542" s="20" t="s">
        <v>22</v>
      </c>
    </row>
    <row r="543" ht="15.7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X543" s="22">
        <v>1.0</v>
      </c>
      <c r="Y543" s="22" t="s">
        <v>23</v>
      </c>
      <c r="Z543" s="22">
        <f t="shared" ref="Z543:AI543" si="1501">SUM(D551)</f>
        <v>35</v>
      </c>
      <c r="AA543" s="23">
        <f t="shared" si="1501"/>
        <v>34</v>
      </c>
      <c r="AB543" s="24">
        <f t="shared" si="1501"/>
        <v>6545.56</v>
      </c>
      <c r="AC543" s="23">
        <f t="shared" si="1501"/>
        <v>1757</v>
      </c>
      <c r="AD543" s="23">
        <f t="shared" si="1501"/>
        <v>0</v>
      </c>
      <c r="AE543" s="23">
        <f t="shared" si="1501"/>
        <v>1757</v>
      </c>
      <c r="AF543" s="23">
        <f t="shared" si="1501"/>
        <v>3412</v>
      </c>
      <c r="AG543" s="23">
        <f t="shared" si="1501"/>
        <v>0</v>
      </c>
      <c r="AH543" s="23">
        <f t="shared" si="1501"/>
        <v>3412</v>
      </c>
      <c r="AI543" s="23">
        <f t="shared" si="1501"/>
        <v>5169</v>
      </c>
      <c r="AJ543" s="25">
        <f t="shared" ref="AJ543:AJ545" si="1504">AB543/AA543</f>
        <v>192.5164706</v>
      </c>
      <c r="AK543" s="22">
        <f>SUM(O551)</f>
        <v>6853</v>
      </c>
      <c r="AL543" s="26">
        <f t="shared" ref="AL543:AL549" si="1505">AI543/AK543</f>
        <v>0.7542682037</v>
      </c>
      <c r="AM543" s="27">
        <f t="shared" ref="AM543:AM545" si="1506">SUM(Q551)</f>
        <v>1.5</v>
      </c>
      <c r="AN543" s="26">
        <f t="shared" ref="AN543:AN549" si="1507">AO543/AM543</f>
        <v>0.5264637403</v>
      </c>
      <c r="AO543" s="28">
        <f t="shared" ref="AO543:AO549" si="1508">AI543/AB543</f>
        <v>0.7896956105</v>
      </c>
      <c r="AP543" s="27">
        <f t="shared" ref="AP543:AQ543" si="1502">SUM(T551)</f>
        <v>194</v>
      </c>
      <c r="AQ543" s="27">
        <f t="shared" si="1502"/>
        <v>5.705882353</v>
      </c>
      <c r="AR543" s="23">
        <f t="shared" ref="AR543:AR549" si="1510">AI543/AA543</f>
        <v>152.0294118</v>
      </c>
    </row>
    <row r="544" ht="15.7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X544" s="22">
        <v>2.0</v>
      </c>
      <c r="Y544" s="22" t="s">
        <v>24</v>
      </c>
      <c r="Z544" s="22">
        <f t="shared" ref="Z544:AI544" si="1503">SUM(D552)</f>
        <v>44</v>
      </c>
      <c r="AA544" s="23">
        <f t="shared" si="1503"/>
        <v>42</v>
      </c>
      <c r="AB544" s="24">
        <f t="shared" si="1503"/>
        <v>7810.699</v>
      </c>
      <c r="AC544" s="23">
        <f t="shared" si="1503"/>
        <v>1030</v>
      </c>
      <c r="AD544" s="23">
        <f t="shared" si="1503"/>
        <v>0</v>
      </c>
      <c r="AE544" s="23">
        <f t="shared" si="1503"/>
        <v>1030</v>
      </c>
      <c r="AF544" s="23">
        <f t="shared" si="1503"/>
        <v>1372</v>
      </c>
      <c r="AG544" s="23">
        <f t="shared" si="1503"/>
        <v>24</v>
      </c>
      <c r="AH544" s="23">
        <f t="shared" si="1503"/>
        <v>1396</v>
      </c>
      <c r="AI544" s="23">
        <f t="shared" si="1503"/>
        <v>2426</v>
      </c>
      <c r="AJ544" s="25">
        <f t="shared" si="1504"/>
        <v>185.9690238</v>
      </c>
      <c r="AK544" s="22">
        <v>1580.0</v>
      </c>
      <c r="AL544" s="29">
        <f t="shared" si="1505"/>
        <v>1.535443038</v>
      </c>
      <c r="AM544" s="27">
        <f t="shared" si="1506"/>
        <v>1.5</v>
      </c>
      <c r="AN544" s="26">
        <f t="shared" si="1507"/>
        <v>0.2070664013</v>
      </c>
      <c r="AO544" s="28">
        <f t="shared" si="1508"/>
        <v>0.3105996019</v>
      </c>
      <c r="AP544" s="27">
        <f t="shared" ref="AP544:AQ544" si="1509">SUM(T552)</f>
        <v>291.3896288</v>
      </c>
      <c r="AQ544" s="27">
        <f t="shared" si="1509"/>
        <v>6.937848305</v>
      </c>
      <c r="AR544" s="23">
        <f t="shared" si="1510"/>
        <v>57.76190476</v>
      </c>
    </row>
    <row r="545" ht="15.75" customHeight="1">
      <c r="A545" s="21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X545" s="31">
        <v>3.0</v>
      </c>
      <c r="Y545" s="31" t="s">
        <v>25</v>
      </c>
      <c r="Z545" s="31">
        <f t="shared" ref="Z545:AI545" si="1511">SUM(D553)</f>
        <v>32</v>
      </c>
      <c r="AA545" s="32">
        <f t="shared" si="1511"/>
        <v>30</v>
      </c>
      <c r="AB545" s="33">
        <f t="shared" si="1511"/>
        <v>6016.948</v>
      </c>
      <c r="AC545" s="32">
        <f t="shared" si="1511"/>
        <v>2243</v>
      </c>
      <c r="AD545" s="32">
        <f t="shared" si="1511"/>
        <v>372</v>
      </c>
      <c r="AE545" s="32">
        <f t="shared" si="1511"/>
        <v>2615</v>
      </c>
      <c r="AF545" s="32">
        <f t="shared" si="1511"/>
        <v>2772</v>
      </c>
      <c r="AG545" s="32">
        <f t="shared" si="1511"/>
        <v>392</v>
      </c>
      <c r="AH545" s="32">
        <f t="shared" si="1511"/>
        <v>3164</v>
      </c>
      <c r="AI545" s="32">
        <f t="shared" si="1511"/>
        <v>5779</v>
      </c>
      <c r="AJ545" s="34">
        <f t="shared" si="1504"/>
        <v>200.5649333</v>
      </c>
      <c r="AK545" s="31">
        <f>SUM(O553)</f>
        <v>6622</v>
      </c>
      <c r="AL545" s="35">
        <f t="shared" si="1505"/>
        <v>0.8726970704</v>
      </c>
      <c r="AM545" s="36">
        <f t="shared" si="1506"/>
        <v>1.5</v>
      </c>
      <c r="AN545" s="35">
        <f t="shared" si="1507"/>
        <v>0.6403024701</v>
      </c>
      <c r="AO545" s="37">
        <f t="shared" si="1508"/>
        <v>0.9604537051</v>
      </c>
      <c r="AP545" s="36">
        <f t="shared" ref="AP545:AQ545" si="1512">SUM(T553)</f>
        <v>252.3887584</v>
      </c>
      <c r="AQ545" s="36">
        <f t="shared" si="1512"/>
        <v>8.412958613</v>
      </c>
      <c r="AR545" s="32">
        <f t="shared" si="1510"/>
        <v>192.6333333</v>
      </c>
    </row>
    <row r="546" ht="15.75" customHeight="1">
      <c r="A546" s="21"/>
      <c r="B546" s="38">
        <v>1.0</v>
      </c>
      <c r="C546" s="38" t="s">
        <v>26</v>
      </c>
      <c r="D546" s="39">
        <v>20.0</v>
      </c>
      <c r="E546" s="40">
        <f>IFERROR(__xludf.DUMMYFUNCTION("COUNT(IMPORTRANGE(""https://docs.google.com/spreadsheets/d/1iVFEBQOAONhqDIMRa2hQ7WkCQv0dJWSAmc0AzfvSCMg/edit"",""21!d2:d21""))"),20.0)</f>
        <v>20</v>
      </c>
      <c r="F546" s="41">
        <f>IFERROR(__xludf.DUMMYFUNCTION("SUM(IMPORTRANGE(""https://docs.google.com/spreadsheets/d/1iVFEBQOAONhqDIMRa2hQ7WkCQv0dJWSAmc0AzfvSCMg/edit"",""21!Q2:Q21""))"),3676.284)</f>
        <v>3676.284</v>
      </c>
      <c r="G546" s="40">
        <f>IFERROR(__xludf.DUMMYFUNCTION("IMPORTRANGE(""https://docs.google.com/spreadsheets/d/1iVFEBQOAONhqDIMRa2hQ7WkCQv0dJWSAmc0AzfvSCMg/edit"",""21!e28"")"),1924.0)</f>
        <v>1924</v>
      </c>
      <c r="H546" s="40">
        <f>IFERROR(__xludf.DUMMYFUNCTION("IMPORTRANGE(""https://docs.google.com/spreadsheets/d/1iVFEBQOAONhqDIMRa2hQ7WkCQv0dJWSAmc0AzfvSCMg/edit"",""21!e29"")"),0.0)</f>
        <v>0</v>
      </c>
      <c r="I546" s="40">
        <f t="shared" ref="I546:I563" si="1515">SUM(G546:H546)</f>
        <v>1924</v>
      </c>
      <c r="J546" s="40">
        <f>IFERROR(__xludf.DUMMYFUNCTION("IMPORTRANGE(""https://docs.google.com/spreadsheets/d/1iVFEBQOAONhqDIMRa2hQ7WkCQv0dJWSAmc0AzfvSCMg/edit"",""21!e32"")"),2972.0)</f>
        <v>2972</v>
      </c>
      <c r="K546" s="40">
        <f>IFERROR(__xludf.DUMMYFUNCTION("IMPORTRANGE(""https://docs.google.com/spreadsheets/d/1iVFEBQOAONhqDIMRa2hQ7WkCQv0dJWSAmc0AzfvSCMg/edit"",""21!e33"")"),0.0)</f>
        <v>0</v>
      </c>
      <c r="L546" s="40">
        <f t="shared" ref="L546:L552" si="1516">SUM(J546:K546)</f>
        <v>2972</v>
      </c>
      <c r="M546" s="40">
        <f t="shared" ref="M546:M563" si="1517">SUM(I546+L546)</f>
        <v>4896</v>
      </c>
      <c r="N546" s="41">
        <f t="shared" ref="N546:N564" si="1518">F546/E546</f>
        <v>183.8142</v>
      </c>
      <c r="O546" s="38">
        <v>5161.0</v>
      </c>
      <c r="P546" s="42">
        <f t="shared" ref="P546:P564" si="1519">M546/O546</f>
        <v>0.9486533618</v>
      </c>
      <c r="Q546" s="43">
        <v>1.5</v>
      </c>
      <c r="R546" s="42">
        <f t="shared" ref="R546:R564" si="1520">S546/Q546</f>
        <v>0.8878530603</v>
      </c>
      <c r="S546" s="44">
        <f t="shared" ref="S546:S564" si="1521">M546/F546</f>
        <v>1.33177959</v>
      </c>
      <c r="T546" s="43">
        <f>F546/14.415</f>
        <v>255.0318418</v>
      </c>
      <c r="U546" s="43">
        <f t="shared" ref="U546:U564" si="1522">T546/E546</f>
        <v>12.75159209</v>
      </c>
      <c r="V546" s="40">
        <f t="shared" ref="V546:V564" si="1523">M546/E546</f>
        <v>244.8</v>
      </c>
      <c r="X546" s="22">
        <v>4.0</v>
      </c>
      <c r="Y546" s="22" t="s">
        <v>27</v>
      </c>
      <c r="Z546" s="22">
        <f t="shared" ref="Z546:AK546" si="1513">SUM(D559)</f>
        <v>30</v>
      </c>
      <c r="AA546" s="23">
        <f t="shared" si="1513"/>
        <v>29</v>
      </c>
      <c r="AB546" s="24">
        <f t="shared" si="1513"/>
        <v>5285.895</v>
      </c>
      <c r="AC546" s="23">
        <f t="shared" si="1513"/>
        <v>2432</v>
      </c>
      <c r="AD546" s="23">
        <f t="shared" si="1513"/>
        <v>0</v>
      </c>
      <c r="AE546" s="23">
        <f t="shared" si="1513"/>
        <v>2432</v>
      </c>
      <c r="AF546" s="23">
        <f t="shared" si="1513"/>
        <v>3237</v>
      </c>
      <c r="AG546" s="23">
        <f t="shared" si="1513"/>
        <v>0</v>
      </c>
      <c r="AH546" s="23">
        <f t="shared" si="1513"/>
        <v>3237</v>
      </c>
      <c r="AI546" s="23">
        <f t="shared" si="1513"/>
        <v>5669</v>
      </c>
      <c r="AJ546" s="25">
        <f t="shared" si="1513"/>
        <v>182.2722414</v>
      </c>
      <c r="AK546" s="22">
        <f t="shared" si="1513"/>
        <v>8101</v>
      </c>
      <c r="AL546" s="26">
        <f t="shared" si="1505"/>
        <v>0.6997901494</v>
      </c>
      <c r="AM546" s="27">
        <f>SUM(Q559)</f>
        <v>1.5</v>
      </c>
      <c r="AN546" s="26">
        <f t="shared" si="1507"/>
        <v>0.7149845643</v>
      </c>
      <c r="AO546" s="28">
        <f t="shared" si="1508"/>
        <v>1.072476846</v>
      </c>
      <c r="AP546" s="27">
        <f t="shared" ref="AP546:AQ546" si="1514">SUM(T559)</f>
        <v>264.4931198</v>
      </c>
      <c r="AQ546" s="27">
        <f t="shared" si="1514"/>
        <v>9.120452408</v>
      </c>
      <c r="AR546" s="23">
        <f t="shared" si="1510"/>
        <v>195.4827586</v>
      </c>
    </row>
    <row r="547" ht="15.75" customHeight="1">
      <c r="A547" s="21"/>
      <c r="B547" s="38">
        <v>2.0</v>
      </c>
      <c r="C547" s="38" t="s">
        <v>28</v>
      </c>
      <c r="D547" s="39">
        <v>33.0</v>
      </c>
      <c r="E547" s="40">
        <f>IFERROR(__xludf.DUMMYFUNCTION("COUNT(IMPORTRANGE(""https://docs.google.com/spreadsheets/d/1tJCeYclgeJZ4Dc78t_SkhVjtacKW-5-VGim8X1rzUzk/edit"",""21!d2:d34""))"),33.0)</f>
        <v>33</v>
      </c>
      <c r="F547" s="41">
        <f>IFERROR(__xludf.DUMMYFUNCTION("SUM(IMPORTRANGE(""https://docs.google.com/spreadsheets/d/1tJCeYclgeJZ4Dc78t_SkhVjtacKW-5-VGim8X1rzUzk/edit"",""21!Q2:Q34""))"),6405.244999999999)</f>
        <v>6405.245</v>
      </c>
      <c r="G547" s="40">
        <f>IFERROR(__xludf.DUMMYFUNCTION("IMPORTRANGE(""https://docs.google.com/spreadsheets/d/1tJCeYclgeJZ4Dc78t_SkhVjtacKW-5-VGim8X1rzUzk/edit"",""21!e41"")"),2850.0)</f>
        <v>2850</v>
      </c>
      <c r="H547" s="40">
        <f>IFERROR(__xludf.DUMMYFUNCTION("IMPORTRANGE(""https://docs.google.com/spreadsheets/d/1tJCeYclgeJZ4Dc78t_SkhVjtacKW-5-VGim8X1rzUzk/edit"",""21!e42"")"),183.0)</f>
        <v>183</v>
      </c>
      <c r="I547" s="40">
        <f t="shared" si="1515"/>
        <v>3033</v>
      </c>
      <c r="J547" s="40">
        <f>IFERROR(__xludf.DUMMYFUNCTION("IMPORTRANGE(""https://docs.google.com/spreadsheets/d/1tJCeYclgeJZ4Dc78t_SkhVjtacKW-5-VGim8X1rzUzk/edit"",""21!e45"")"),2857.0)</f>
        <v>2857</v>
      </c>
      <c r="K547" s="40">
        <f>IFERROR(__xludf.DUMMYFUNCTION("IMPORTRANGE(""https://docs.google.com/spreadsheets/d/1tJCeYclgeJZ4Dc78t_SkhVjtacKW-5-VGim8X1rzUzk/edit"",""21!e46"")"),220.0)</f>
        <v>220</v>
      </c>
      <c r="L547" s="40">
        <f t="shared" si="1516"/>
        <v>3077</v>
      </c>
      <c r="M547" s="40">
        <f t="shared" si="1517"/>
        <v>6110</v>
      </c>
      <c r="N547" s="41">
        <f t="shared" si="1518"/>
        <v>194.0983333</v>
      </c>
      <c r="O547" s="38">
        <v>7315.0</v>
      </c>
      <c r="P547" s="42">
        <f t="shared" si="1519"/>
        <v>0.8352699932</v>
      </c>
      <c r="Q547" s="43">
        <v>1.5</v>
      </c>
      <c r="R547" s="42">
        <f t="shared" si="1520"/>
        <v>0.635937163</v>
      </c>
      <c r="S547" s="44">
        <f t="shared" si="1521"/>
        <v>0.9539057444</v>
      </c>
      <c r="T547" s="43">
        <f>F547/30.897</f>
        <v>207.3096093</v>
      </c>
      <c r="U547" s="43">
        <f t="shared" si="1522"/>
        <v>6.282109374</v>
      </c>
      <c r="V547" s="40">
        <f t="shared" si="1523"/>
        <v>185.1515152</v>
      </c>
      <c r="X547" s="22">
        <v>5.0</v>
      </c>
      <c r="Y547" s="22" t="s">
        <v>29</v>
      </c>
      <c r="Z547" s="22">
        <f t="shared" ref="Z547:AI547" si="1524">SUM(D562)</f>
        <v>30</v>
      </c>
      <c r="AA547" s="23">
        <f t="shared" si="1524"/>
        <v>30</v>
      </c>
      <c r="AB547" s="24">
        <f t="shared" si="1524"/>
        <v>6119.421</v>
      </c>
      <c r="AC547" s="23">
        <f t="shared" si="1524"/>
        <v>2718</v>
      </c>
      <c r="AD547" s="23">
        <f t="shared" si="1524"/>
        <v>0</v>
      </c>
      <c r="AE547" s="23">
        <f t="shared" si="1524"/>
        <v>2718</v>
      </c>
      <c r="AF547" s="23">
        <f t="shared" si="1524"/>
        <v>4243</v>
      </c>
      <c r="AG547" s="23">
        <f t="shared" si="1524"/>
        <v>0</v>
      </c>
      <c r="AH547" s="23">
        <f t="shared" si="1524"/>
        <v>4243</v>
      </c>
      <c r="AI547" s="23">
        <f t="shared" si="1524"/>
        <v>6961</v>
      </c>
      <c r="AJ547" s="25">
        <f t="shared" ref="AJ547:AJ549" si="1527">AB547/AA547</f>
        <v>203.9807</v>
      </c>
      <c r="AK547" s="22">
        <f t="shared" ref="AK547:AK548" si="1528">SUM(O562)</f>
        <v>9201</v>
      </c>
      <c r="AL547" s="26">
        <f t="shared" si="1505"/>
        <v>0.7565482013</v>
      </c>
      <c r="AM547" s="27">
        <f t="shared" ref="AM547:AM548" si="1529">SUM(Q562)</f>
        <v>1.5</v>
      </c>
      <c r="AN547" s="26">
        <f t="shared" si="1507"/>
        <v>0.758350613</v>
      </c>
      <c r="AO547" s="28">
        <f t="shared" si="1508"/>
        <v>1.13752592</v>
      </c>
      <c r="AP547" s="27">
        <f t="shared" ref="AP547:AQ547" si="1525">SUM(T562)</f>
        <v>231</v>
      </c>
      <c r="AQ547" s="27">
        <f t="shared" si="1525"/>
        <v>7.7</v>
      </c>
      <c r="AR547" s="23">
        <f t="shared" si="1510"/>
        <v>232.0333333</v>
      </c>
    </row>
    <row r="548" ht="15.75" customHeight="1">
      <c r="A548" s="21"/>
      <c r="B548" s="38">
        <v>3.0</v>
      </c>
      <c r="C548" s="38" t="s">
        <v>30</v>
      </c>
      <c r="D548" s="39">
        <v>60.0</v>
      </c>
      <c r="E548" s="40">
        <f>IFERROR(__xludf.DUMMYFUNCTION("COUNT(IMPORTRANGE(""https://docs.google.com/spreadsheets/d/130gLEONC13J8KkQ6dk06x3bLRy_jCrAw2hXatQf2W50/edit"",""21!d2:d61""))"),58.0)</f>
        <v>58</v>
      </c>
      <c r="F548" s="45">
        <f>IFERROR(__xludf.DUMMYFUNCTION("SUM(IMPORTRANGE(""https://docs.google.com/spreadsheets/d/130gLEONC13J8KkQ6dk06x3bLRy_jCrAw2hXatQf2W50/edit"",""21!Q2:Q61""))"),11591.676999999987)</f>
        <v>11591.677</v>
      </c>
      <c r="G548" s="40">
        <f>IFERROR(__xludf.DUMMYFUNCTION("IMPORTRANGE(""https://docs.google.com/spreadsheets/d/130gLEONC13J8KkQ6dk06x3bLRy_jCrAw2hXatQf2W50/edit"",""21!e68"")"),3179.0)</f>
        <v>3179</v>
      </c>
      <c r="H548" s="40">
        <f>IFERROR(__xludf.DUMMYFUNCTION("IMPORTRANGE(""https://docs.google.com/spreadsheets/d/130gLEONC13J8KkQ6dk06x3bLRy_jCrAw2hXatQf2W50/edit"",""21!e69"")"),0.0)</f>
        <v>0</v>
      </c>
      <c r="I548" s="40">
        <f t="shared" si="1515"/>
        <v>3179</v>
      </c>
      <c r="J548" s="40">
        <f>IFERROR(__xludf.DUMMYFUNCTION("IMPORTRANGE(""https://docs.google.com/spreadsheets/d/130gLEONC13J8KkQ6dk06x3bLRy_jCrAw2hXatQf2W50/edit"",""21!e72"")"),5804.0)</f>
        <v>5804</v>
      </c>
      <c r="K548" s="40">
        <f>IFERROR(__xludf.DUMMYFUNCTION("IMPORTRANGE(""https://docs.google.com/spreadsheets/d/130gLEONC13J8KkQ6dk06x3bLRy_jCrAw2hXatQf2W50/edit"",""21!e73"")"),0.0)</f>
        <v>0</v>
      </c>
      <c r="L548" s="40">
        <f t="shared" si="1516"/>
        <v>5804</v>
      </c>
      <c r="M548" s="40">
        <f t="shared" si="1517"/>
        <v>8983</v>
      </c>
      <c r="N548" s="41">
        <f t="shared" si="1518"/>
        <v>199.8565</v>
      </c>
      <c r="O548" s="38">
        <v>11164.0</v>
      </c>
      <c r="P548" s="42">
        <f t="shared" si="1519"/>
        <v>0.804639914</v>
      </c>
      <c r="Q548" s="43">
        <v>1.5</v>
      </c>
      <c r="R548" s="42">
        <f t="shared" si="1520"/>
        <v>0.5166350535</v>
      </c>
      <c r="S548" s="44">
        <f t="shared" si="1521"/>
        <v>0.7749525802</v>
      </c>
      <c r="T548" s="43">
        <f>F548/29.603</f>
        <v>391.5710232</v>
      </c>
      <c r="U548" s="43">
        <f t="shared" si="1522"/>
        <v>6.751224538</v>
      </c>
      <c r="V548" s="40">
        <f t="shared" si="1523"/>
        <v>154.8793103</v>
      </c>
      <c r="X548" s="22">
        <v>6.0</v>
      </c>
      <c r="Y548" s="22" t="s">
        <v>31</v>
      </c>
      <c r="Z548" s="22">
        <f t="shared" ref="Z548:AI548" si="1526">SUM(D563)</f>
        <v>15</v>
      </c>
      <c r="AA548" s="23">
        <f t="shared" si="1526"/>
        <v>13</v>
      </c>
      <c r="AB548" s="25">
        <f t="shared" si="1526"/>
        <v>2607.9</v>
      </c>
      <c r="AC548" s="23">
        <f t="shared" si="1526"/>
        <v>864</v>
      </c>
      <c r="AD548" s="23">
        <f t="shared" si="1526"/>
        <v>9</v>
      </c>
      <c r="AE548" s="23">
        <f t="shared" si="1526"/>
        <v>873</v>
      </c>
      <c r="AF548" s="23">
        <f t="shared" si="1526"/>
        <v>1073</v>
      </c>
      <c r="AG548" s="23">
        <f t="shared" si="1526"/>
        <v>0</v>
      </c>
      <c r="AH548" s="23">
        <f t="shared" si="1526"/>
        <v>1073</v>
      </c>
      <c r="AI548" s="23">
        <f t="shared" si="1526"/>
        <v>1946</v>
      </c>
      <c r="AJ548" s="25">
        <f t="shared" si="1527"/>
        <v>200.6076923</v>
      </c>
      <c r="AK548" s="22">
        <f t="shared" si="1528"/>
        <v>2717</v>
      </c>
      <c r="AL548" s="26">
        <f t="shared" si="1505"/>
        <v>0.7162311373</v>
      </c>
      <c r="AM548" s="27">
        <f t="shared" si="1529"/>
        <v>1.5</v>
      </c>
      <c r="AN548" s="26">
        <f t="shared" si="1507"/>
        <v>0.4974628373</v>
      </c>
      <c r="AO548" s="28">
        <f t="shared" si="1508"/>
        <v>0.7461942559</v>
      </c>
      <c r="AP548" s="27">
        <f t="shared" ref="AP548:AQ548" si="1530">SUM(T563)</f>
        <v>60</v>
      </c>
      <c r="AQ548" s="27">
        <f t="shared" si="1530"/>
        <v>4.615384615</v>
      </c>
      <c r="AR548" s="23">
        <f t="shared" si="1510"/>
        <v>149.6923077</v>
      </c>
    </row>
    <row r="549" ht="15.75" customHeight="1">
      <c r="A549" s="21"/>
      <c r="B549" s="38">
        <v>4.0</v>
      </c>
      <c r="C549" s="38" t="s">
        <v>32</v>
      </c>
      <c r="D549" s="39">
        <v>42.0</v>
      </c>
      <c r="E549" s="40">
        <f>IFERROR(__xludf.DUMMYFUNCTION("COUNT(IMPORTRANGE(""https://docs.google.com/spreadsheets/d/1gYHli7FuKQLm2Q-5LMR0UtkD-gRRA_p8s-phLPLDLgc/edit"",""21!d2:d43""))"),40.0)</f>
        <v>40</v>
      </c>
      <c r="F549" s="45">
        <f>IFERROR(__xludf.DUMMYFUNCTION("SUM(IMPORTRANGE(""https://docs.google.com/spreadsheets/d/1gYHli7FuKQLm2Q-5LMR0UtkD-gRRA_p8s-phLPLDLgc/edit"",""21!Q2:Q43""))"),7829.916999999992)</f>
        <v>7829.917</v>
      </c>
      <c r="G549" s="38">
        <f>IFERROR(__xludf.DUMMYFUNCTION("IMPORTRANGE(""https://docs.google.com/spreadsheets/d/1gYHli7FuKQLm2Q-5LMR0UtkD-gRRA_p8s-phLPLDLgc/edit"",""21!e50"")"),4902.0)</f>
        <v>4902</v>
      </c>
      <c r="H549" s="38">
        <f>IFERROR(__xludf.DUMMYFUNCTION("IMPORTRANGE(""https://docs.google.com/spreadsheets/d/1gYHli7FuKQLm2Q-5LMR0UtkD-gRRA_p8s-phLPLDLgc/edit"",""21!e51"")"),60.0)</f>
        <v>60</v>
      </c>
      <c r="I549" s="40">
        <f t="shared" si="1515"/>
        <v>4962</v>
      </c>
      <c r="J549" s="38">
        <f>IFERROR(__xludf.DUMMYFUNCTION("IMPORTRANGE(""https://docs.google.com/spreadsheets/d/1gYHli7FuKQLm2Q-5LMR0UtkD-gRRA_p8s-phLPLDLgc/edit"",""21!e54"")"),5365.0)</f>
        <v>5365</v>
      </c>
      <c r="K549" s="38">
        <f>IFERROR(__xludf.DUMMYFUNCTION("IMPORTRANGE(""https://docs.google.com/spreadsheets/d/1gYHli7FuKQLm2Q-5LMR0UtkD-gRRA_p8s-phLPLDLgc/edit"",""21!e55"")"),0.0)</f>
        <v>0</v>
      </c>
      <c r="L549" s="40">
        <f t="shared" si="1516"/>
        <v>5365</v>
      </c>
      <c r="M549" s="40">
        <f t="shared" si="1517"/>
        <v>10327</v>
      </c>
      <c r="N549" s="41">
        <f t="shared" si="1518"/>
        <v>195.747925</v>
      </c>
      <c r="O549" s="38">
        <v>13817.0</v>
      </c>
      <c r="P549" s="42">
        <f t="shared" si="1519"/>
        <v>0.7474126077</v>
      </c>
      <c r="Q549" s="43">
        <v>1.5</v>
      </c>
      <c r="R549" s="42">
        <f t="shared" si="1520"/>
        <v>0.8792770941</v>
      </c>
      <c r="S549" s="44">
        <f t="shared" si="1521"/>
        <v>1.318915641</v>
      </c>
      <c r="T549" s="43">
        <f>F549/25.089</f>
        <v>312.0856551</v>
      </c>
      <c r="U549" s="43">
        <f t="shared" si="1522"/>
        <v>7.802141377</v>
      </c>
      <c r="V549" s="40">
        <f t="shared" si="1523"/>
        <v>258.175</v>
      </c>
      <c r="X549" s="46" t="s">
        <v>33</v>
      </c>
      <c r="Y549" s="46">
        <v>6.0</v>
      </c>
      <c r="Z549" s="46">
        <f t="shared" ref="Z549:AI549" si="1531">SUM(Z543:Z548)</f>
        <v>186</v>
      </c>
      <c r="AA549" s="47">
        <f t="shared" si="1531"/>
        <v>178</v>
      </c>
      <c r="AB549" s="48">
        <f t="shared" si="1531"/>
        <v>34386.423</v>
      </c>
      <c r="AC549" s="47">
        <f t="shared" si="1531"/>
        <v>11044</v>
      </c>
      <c r="AD549" s="47">
        <f t="shared" si="1531"/>
        <v>381</v>
      </c>
      <c r="AE549" s="47">
        <f t="shared" si="1531"/>
        <v>11425</v>
      </c>
      <c r="AF549" s="47">
        <f t="shared" si="1531"/>
        <v>16109</v>
      </c>
      <c r="AG549" s="47">
        <f t="shared" si="1531"/>
        <v>416</v>
      </c>
      <c r="AH549" s="47">
        <f t="shared" si="1531"/>
        <v>16525</v>
      </c>
      <c r="AI549" s="47">
        <f t="shared" si="1531"/>
        <v>27950</v>
      </c>
      <c r="AJ549" s="49">
        <f t="shared" si="1527"/>
        <v>193.1821517</v>
      </c>
      <c r="AK549" s="46">
        <f>SUM(AK543:AK548)</f>
        <v>35074</v>
      </c>
      <c r="AL549" s="50">
        <f t="shared" si="1505"/>
        <v>0.7968865827</v>
      </c>
      <c r="AM549" s="51">
        <v>1.5</v>
      </c>
      <c r="AN549" s="50">
        <f t="shared" si="1507"/>
        <v>0.5418805362</v>
      </c>
      <c r="AO549" s="52">
        <f t="shared" si="1508"/>
        <v>0.8128208043</v>
      </c>
      <c r="AP549" s="51">
        <f>SUM(AP543:AP548)</f>
        <v>1293.271507</v>
      </c>
      <c r="AQ549" s="51">
        <f>AP549/AA549</f>
        <v>7.265570264</v>
      </c>
      <c r="AR549" s="47">
        <f t="shared" si="1510"/>
        <v>157.0224719</v>
      </c>
    </row>
    <row r="550" ht="15.75" customHeight="1">
      <c r="A550" s="21"/>
      <c r="B550" s="38">
        <v>5.0</v>
      </c>
      <c r="C550" s="38" t="s">
        <v>34</v>
      </c>
      <c r="D550" s="39">
        <v>40.0</v>
      </c>
      <c r="E550" s="40">
        <f>IFERROR(__xludf.DUMMYFUNCTION("COUNT(IMPORTRANGE(""https://docs.google.com/spreadsheets/d/1ptS0qWBCKWkc9h2aXWT_YgMhN7yIv5WgAHRbF8l9Zpo/edit"",""21!d2:d41""))"),40.0)</f>
        <v>40</v>
      </c>
      <c r="F550" s="45">
        <f>IFERROR(__xludf.DUMMYFUNCTION("SUM(IMPORTRANGE(""https://docs.google.com/spreadsheets/d/1ptS0qWBCKWkc9h2aXWT_YgMhN7yIv5WgAHRbF8l9Zpo/edit"",""21!Q2:Q41""))"),7993.854000000002)</f>
        <v>7993.854</v>
      </c>
      <c r="G550" s="40">
        <f>IFERROR(__xludf.DUMMYFUNCTION("IMPORTRANGE(""https://docs.google.com/spreadsheets/d/1ptS0qWBCKWkc9h2aXWT_YgMhN7yIv5WgAHRbF8l9Zpo/edit"",""21!e48"")"),2763.0)</f>
        <v>2763</v>
      </c>
      <c r="H550" s="40">
        <f>IFERROR(__xludf.DUMMYFUNCTION("IMPORTRANGE(""https://docs.google.com/spreadsheets/d/1ptS0qWBCKWkc9h2aXWT_YgMhN7yIv5WgAHRbF8l9Zpo/edit"",""21!e49"")"),0.0)</f>
        <v>0</v>
      </c>
      <c r="I550" s="40">
        <f t="shared" si="1515"/>
        <v>2763</v>
      </c>
      <c r="J550" s="40">
        <f>IFERROR(__xludf.DUMMYFUNCTION("IMPORTRANGE(""https://docs.google.com/spreadsheets/d/1ptS0qWBCKWkc9h2aXWT_YgMhN7yIv5WgAHRbF8l9Zpo/edit"",""21!e52"")"),3294.0)</f>
        <v>3294</v>
      </c>
      <c r="K550" s="40">
        <f>IFERROR(__xludf.DUMMYFUNCTION("IMPORTRANGE(""https://docs.google.com/spreadsheets/d/1ptS0qWBCKWkc9h2aXWT_YgMhN7yIv5WgAHRbF8l9Zpo/edit"",""21!e53"")"),0.0)</f>
        <v>0</v>
      </c>
      <c r="L550" s="40">
        <f t="shared" si="1516"/>
        <v>3294</v>
      </c>
      <c r="M550" s="40">
        <f t="shared" si="1517"/>
        <v>6057</v>
      </c>
      <c r="N550" s="41">
        <f t="shared" si="1518"/>
        <v>199.84635</v>
      </c>
      <c r="O550" s="38">
        <v>9354.0</v>
      </c>
      <c r="P550" s="42">
        <f t="shared" si="1519"/>
        <v>0.6475304682</v>
      </c>
      <c r="Q550" s="43">
        <v>1.5</v>
      </c>
      <c r="R550" s="42">
        <f t="shared" si="1520"/>
        <v>0.5051380723</v>
      </c>
      <c r="S550" s="44">
        <f t="shared" si="1521"/>
        <v>0.7577071085</v>
      </c>
      <c r="T550" s="43">
        <f>F550/30.713</f>
        <v>260.2759092</v>
      </c>
      <c r="U550" s="43">
        <f t="shared" si="1522"/>
        <v>6.506897731</v>
      </c>
      <c r="V550" s="40">
        <f t="shared" si="1523"/>
        <v>151.425</v>
      </c>
      <c r="X550" s="53" t="s">
        <v>35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6"/>
    </row>
    <row r="551" ht="15.75" customHeight="1">
      <c r="A551" s="21"/>
      <c r="B551" s="38">
        <v>6.0</v>
      </c>
      <c r="C551" s="38" t="s">
        <v>23</v>
      </c>
      <c r="D551" s="39">
        <v>35.0</v>
      </c>
      <c r="E551" s="40">
        <f>IFERROR(__xludf.DUMMYFUNCTION("COUNT(IMPORTRANGE(""https://docs.google.com/spreadsheets/d/1829CoYW82aTBBUgqkPnJa94KlBWI-DowAnP4ENQCmaQ/edit"",""21!d2:d36""))"),34.0)</f>
        <v>34</v>
      </c>
      <c r="F551" s="45">
        <f>IFERROR(__xludf.DUMMYFUNCTION("SUM(IMPORTRANGE(""https://docs.google.com/spreadsheets/d/1829CoYW82aTBBUgqkPnJa94KlBWI-DowAnP4ENQCmaQ/edit"",""21!Q2:Q36""))"),6545.559999999997)</f>
        <v>6545.56</v>
      </c>
      <c r="G551" s="40">
        <f>IFERROR(__xludf.DUMMYFUNCTION("IMPORTRANGE(""https://docs.google.com/spreadsheets/d/1829CoYW82aTBBUgqkPnJa94KlBWI-DowAnP4ENQCmaQ/edit"",""21!e43"")"),1757.0)</f>
        <v>1757</v>
      </c>
      <c r="H551" s="40">
        <f>IFERROR(__xludf.DUMMYFUNCTION("IMPORTRANGE(""https://docs.google.com/spreadsheets/d/1829CoYW82aTBBUgqkPnJa94KlBWI-DowAnP4ENQCmaQ/edit"",""21!e44"")"),0.0)</f>
        <v>0</v>
      </c>
      <c r="I551" s="40">
        <f t="shared" si="1515"/>
        <v>1757</v>
      </c>
      <c r="J551" s="40">
        <f>IFERROR(__xludf.DUMMYFUNCTION("IMPORTRANGE(""https://docs.google.com/spreadsheets/d/1829CoYW82aTBBUgqkPnJa94KlBWI-DowAnP4ENQCmaQ/edit"",""21!e47"")"),3412.0)</f>
        <v>3412</v>
      </c>
      <c r="K551" s="40">
        <f>IFERROR(__xludf.DUMMYFUNCTION("IMPORTRANGE(""https://docs.google.com/spreadsheets/d/1829CoYW82aTBBUgqkPnJa94KlBWI-DowAnP4ENQCmaQ/edit"",""21!e48"")"),0.0)</f>
        <v>0</v>
      </c>
      <c r="L551" s="40">
        <f t="shared" si="1516"/>
        <v>3412</v>
      </c>
      <c r="M551" s="40">
        <f t="shared" si="1517"/>
        <v>5169</v>
      </c>
      <c r="N551" s="41">
        <f t="shared" si="1518"/>
        <v>192.5164706</v>
      </c>
      <c r="O551" s="38">
        <v>6853.0</v>
      </c>
      <c r="P551" s="42">
        <f t="shared" si="1519"/>
        <v>0.7542682037</v>
      </c>
      <c r="Q551" s="43">
        <v>1.5</v>
      </c>
      <c r="R551" s="42">
        <f t="shared" si="1520"/>
        <v>0.5264637403</v>
      </c>
      <c r="S551" s="44">
        <f t="shared" si="1521"/>
        <v>0.7896956105</v>
      </c>
      <c r="T551" s="43">
        <f>F551/33.74</f>
        <v>194</v>
      </c>
      <c r="U551" s="43">
        <f t="shared" si="1522"/>
        <v>5.705882353</v>
      </c>
      <c r="V551" s="40">
        <f t="shared" si="1523"/>
        <v>152.0294118</v>
      </c>
      <c r="X551" s="14" t="s">
        <v>2</v>
      </c>
      <c r="Y551" s="14" t="s">
        <v>3</v>
      </c>
      <c r="Z551" s="14" t="s">
        <v>4</v>
      </c>
      <c r="AA551" s="14" t="s">
        <v>5</v>
      </c>
      <c r="AB551" s="15" t="s">
        <v>6</v>
      </c>
      <c r="AC551" s="14" t="s">
        <v>7</v>
      </c>
      <c r="AD551" s="14" t="s">
        <v>8</v>
      </c>
      <c r="AE551" s="14" t="s">
        <v>9</v>
      </c>
      <c r="AF551" s="14" t="s">
        <v>10</v>
      </c>
      <c r="AG551" s="14" t="s">
        <v>11</v>
      </c>
      <c r="AH551" s="14" t="s">
        <v>12</v>
      </c>
      <c r="AI551" s="14" t="s">
        <v>13</v>
      </c>
      <c r="AJ551" s="15" t="s">
        <v>14</v>
      </c>
      <c r="AK551" s="14" t="s">
        <v>15</v>
      </c>
      <c r="AL551" s="14" t="s">
        <v>16</v>
      </c>
      <c r="AM551" s="16" t="s">
        <v>17</v>
      </c>
      <c r="AN551" s="17" t="s">
        <v>18</v>
      </c>
      <c r="AO551" s="18" t="s">
        <v>19</v>
      </c>
      <c r="AP551" s="19" t="s">
        <v>20</v>
      </c>
      <c r="AQ551" s="19" t="s">
        <v>21</v>
      </c>
      <c r="AR551" s="20" t="s">
        <v>22</v>
      </c>
    </row>
    <row r="552" ht="15.75" customHeight="1">
      <c r="A552" s="21"/>
      <c r="B552" s="38">
        <v>7.0</v>
      </c>
      <c r="C552" s="38" t="s">
        <v>24</v>
      </c>
      <c r="D552" s="39">
        <v>44.0</v>
      </c>
      <c r="E552" s="54">
        <f>IFERROR(__xludf.DUMMYFUNCTION("COUNT(IMPORTRANGE(""https://docs.google.com/spreadsheets/d/1E2x4oDZxEIsuC5nl-5Z0--MoN8b1dt9SbpRcCfNP84Q/edit"",""21!d2:d45""))"),42.0)</f>
        <v>42</v>
      </c>
      <c r="F552" s="55">
        <f>IFERROR(__xludf.DUMMYFUNCTION("SUM(IMPORTRANGE(""https://docs.google.com/spreadsheets/d/1E2x4oDZxEIsuC5nl-5Z0--MoN8b1dt9SbpRcCfNP84Q/edit"",""21!Q2:Q45""))"),7810.698999999993)</f>
        <v>7810.699</v>
      </c>
      <c r="G552" s="54">
        <f>IFERROR(__xludf.DUMMYFUNCTION("IMPORTRANGE(""https://docs.google.com/spreadsheets/d/1E2x4oDZxEIsuC5nl-5Z0--MoN8b1dt9SbpRcCfNP84Q/edit"",""21!e53"")"),1030.0)</f>
        <v>1030</v>
      </c>
      <c r="H552" s="54">
        <f>IFERROR(__xludf.DUMMYFUNCTION("IMPORTRANGE(""https://docs.google.com/spreadsheets/d/1E2x4oDZxEIsuC5nl-5Z0--MoN8b1dt9SbpRcCfNP84Q/edit"",""21!e54"")"),0.0)</f>
        <v>0</v>
      </c>
      <c r="I552" s="54">
        <f t="shared" si="1515"/>
        <v>1030</v>
      </c>
      <c r="J552" s="54">
        <f>IFERROR(__xludf.DUMMYFUNCTION("IMPORTRANGE(""https://docs.google.com/spreadsheets/d/1E2x4oDZxEIsuC5nl-5Z0--MoN8b1dt9SbpRcCfNP84Q/edit"",""21!e57"")"),1372.0)</f>
        <v>1372</v>
      </c>
      <c r="K552" s="54">
        <f>IFERROR(__xludf.DUMMYFUNCTION("IMPORTRANGE(""https://docs.google.com/spreadsheets/d/1E2x4oDZxEIsuC5nl-5Z0--MoN8b1dt9SbpRcCfNP84Q/edit"",""21!e58"")"),24.0)</f>
        <v>24</v>
      </c>
      <c r="L552" s="40">
        <f t="shared" si="1516"/>
        <v>1396</v>
      </c>
      <c r="M552" s="40">
        <f t="shared" si="1517"/>
        <v>2426</v>
      </c>
      <c r="N552" s="41">
        <f t="shared" si="1518"/>
        <v>185.9690238</v>
      </c>
      <c r="O552" s="38">
        <v>1580.0</v>
      </c>
      <c r="P552" s="56">
        <f t="shared" si="1519"/>
        <v>1.535443038</v>
      </c>
      <c r="Q552" s="43">
        <v>1.5</v>
      </c>
      <c r="R552" s="42">
        <f t="shared" si="1520"/>
        <v>0.2070664013</v>
      </c>
      <c r="S552" s="44">
        <f t="shared" si="1521"/>
        <v>0.3105996019</v>
      </c>
      <c r="T552" s="43">
        <f>F552/26.805</f>
        <v>291.3896288</v>
      </c>
      <c r="U552" s="43">
        <f t="shared" si="1522"/>
        <v>6.937848305</v>
      </c>
      <c r="V552" s="40">
        <f t="shared" si="1523"/>
        <v>57.76190476</v>
      </c>
      <c r="X552" s="22">
        <v>1.0</v>
      </c>
      <c r="Y552" s="22" t="s">
        <v>28</v>
      </c>
      <c r="Z552" s="22">
        <f t="shared" ref="Z552:AI552" si="1532">SUM(D547)</f>
        <v>33</v>
      </c>
      <c r="AA552" s="23">
        <f t="shared" si="1532"/>
        <v>33</v>
      </c>
      <c r="AB552" s="25">
        <f t="shared" si="1532"/>
        <v>6405.245</v>
      </c>
      <c r="AC552" s="23">
        <f t="shared" si="1532"/>
        <v>2850</v>
      </c>
      <c r="AD552" s="23">
        <f t="shared" si="1532"/>
        <v>183</v>
      </c>
      <c r="AE552" s="23">
        <f t="shared" si="1532"/>
        <v>3033</v>
      </c>
      <c r="AF552" s="23">
        <f t="shared" si="1532"/>
        <v>2857</v>
      </c>
      <c r="AG552" s="23">
        <f t="shared" si="1532"/>
        <v>220</v>
      </c>
      <c r="AH552" s="23">
        <f t="shared" si="1532"/>
        <v>3077</v>
      </c>
      <c r="AI552" s="23">
        <f t="shared" si="1532"/>
        <v>6110</v>
      </c>
      <c r="AJ552" s="25">
        <f t="shared" ref="AJ552:AJ558" si="1535">AB552/AA552</f>
        <v>194.0983333</v>
      </c>
      <c r="AK552" s="22">
        <f t="shared" ref="AK552:AK553" si="1536">SUM(O547)</f>
        <v>7315</v>
      </c>
      <c r="AL552" s="26">
        <f t="shared" ref="AL552:AL558" si="1537">AI552/AK552</f>
        <v>0.8352699932</v>
      </c>
      <c r="AM552" s="27">
        <f t="shared" ref="AM552:AM553" si="1538">SUM(Q547)</f>
        <v>1.5</v>
      </c>
      <c r="AN552" s="26">
        <f t="shared" ref="AN552:AN558" si="1539">AO552/AM552</f>
        <v>0.635937163</v>
      </c>
      <c r="AO552" s="28">
        <f t="shared" ref="AO552:AO558" si="1540">AI552/AB552</f>
        <v>0.9539057444</v>
      </c>
      <c r="AP552" s="27">
        <f t="shared" ref="AP552:AQ552" si="1533">SUM(T547)</f>
        <v>207.3096093</v>
      </c>
      <c r="AQ552" s="27">
        <f t="shared" si="1533"/>
        <v>6.282109374</v>
      </c>
      <c r="AR552" s="23">
        <f t="shared" ref="AR552:AR558" si="1542">AI552/AA552</f>
        <v>185.1515152</v>
      </c>
    </row>
    <row r="553" ht="15.75" customHeight="1">
      <c r="A553" s="21"/>
      <c r="B553" s="38">
        <v>8.0</v>
      </c>
      <c r="C553" s="38" t="s">
        <v>25</v>
      </c>
      <c r="D553" s="57">
        <v>32.0</v>
      </c>
      <c r="E553" s="40">
        <f>IFERROR(__xludf.DUMMYFUNCTION("COUNT(IMPORTRANGE(""https://docs.google.com/spreadsheets/d/1KbRFOEYB0B44J_NSh1MwYQ1sLDlZXUHI-wuMLcZDn5k/edit"",""21!d2:D33""))"),30.0)</f>
        <v>30</v>
      </c>
      <c r="F553" s="45">
        <f>IFERROR(__xludf.DUMMYFUNCTION("SUM(IMPORTRANGE(""https://docs.google.com/spreadsheets/d/1KbRFOEYB0B44J_NSh1MwYQ1sLDlZXUHI-wuMLcZDn5k/edit"",""21!Q2:Q33""))"),6016.948000000002)</f>
        <v>6016.948</v>
      </c>
      <c r="G553" s="40">
        <f>IFERROR(__xludf.DUMMYFUNCTION("IMPORTRANGE(""https://docs.google.com/spreadsheets/d/1KbRFOEYB0B44J_NSh1MwYQ1sLDlZXUHI-wuMLcZDn5k/edit"",""21!e40"")"),2243.0)</f>
        <v>2243</v>
      </c>
      <c r="H553" s="40">
        <f>IFERROR(__xludf.DUMMYFUNCTION("IMPORTRANGE(""https://docs.google.com/spreadsheets/d/1KbRFOEYB0B44J_NSh1MwYQ1sLDlZXUHI-wuMLcZDn5k/edit"",""21!e41"")"),372.0)</f>
        <v>372</v>
      </c>
      <c r="I553" s="40">
        <f t="shared" si="1515"/>
        <v>2615</v>
      </c>
      <c r="J553" s="40">
        <f>IFERROR(__xludf.DUMMYFUNCTION("IMPORTRANGE(""https://docs.google.com/spreadsheets/d/1KbRFOEYB0B44J_NSh1MwYQ1sLDlZXUHI-wuMLcZDn5k/edit"",""21!e44"")"),2772.0)</f>
        <v>2772</v>
      </c>
      <c r="K553" s="40">
        <f>IFERROR(__xludf.DUMMYFUNCTION("IMPORTRANGE(""https://docs.google.com/spreadsheets/d/1KbRFOEYB0B44J_NSh1MwYQ1sLDlZXUHI-wuMLcZDn5k/edit"",""21!e45"")"),392.0)</f>
        <v>392</v>
      </c>
      <c r="L553" s="40">
        <f>J553+K553</f>
        <v>3164</v>
      </c>
      <c r="M553" s="40">
        <f t="shared" si="1517"/>
        <v>5779</v>
      </c>
      <c r="N553" s="41">
        <f t="shared" si="1518"/>
        <v>200.5649333</v>
      </c>
      <c r="O553" s="38">
        <v>6622.0</v>
      </c>
      <c r="P553" s="42">
        <f t="shared" si="1519"/>
        <v>0.8726970704</v>
      </c>
      <c r="Q553" s="43">
        <v>1.5</v>
      </c>
      <c r="R553" s="42">
        <f t="shared" si="1520"/>
        <v>0.6403024701</v>
      </c>
      <c r="S553" s="44">
        <f t="shared" si="1521"/>
        <v>0.9604537051</v>
      </c>
      <c r="T553" s="43">
        <f>F553/23.84</f>
        <v>252.3887584</v>
      </c>
      <c r="U553" s="43">
        <f t="shared" si="1522"/>
        <v>8.412958613</v>
      </c>
      <c r="V553" s="40">
        <f t="shared" si="1523"/>
        <v>192.6333333</v>
      </c>
      <c r="X553" s="31">
        <v>2.0</v>
      </c>
      <c r="Y553" s="31" t="s">
        <v>30</v>
      </c>
      <c r="Z553" s="31">
        <f t="shared" ref="Z553:AI553" si="1534">SUM(D548)</f>
        <v>60</v>
      </c>
      <c r="AA553" s="32">
        <f t="shared" si="1534"/>
        <v>58</v>
      </c>
      <c r="AB553" s="33">
        <f t="shared" si="1534"/>
        <v>11591.677</v>
      </c>
      <c r="AC553" s="32">
        <f t="shared" si="1534"/>
        <v>3179</v>
      </c>
      <c r="AD553" s="32">
        <f t="shared" si="1534"/>
        <v>0</v>
      </c>
      <c r="AE553" s="32">
        <f t="shared" si="1534"/>
        <v>3179</v>
      </c>
      <c r="AF553" s="32">
        <f t="shared" si="1534"/>
        <v>5804</v>
      </c>
      <c r="AG553" s="32">
        <f t="shared" si="1534"/>
        <v>0</v>
      </c>
      <c r="AH553" s="32">
        <f t="shared" si="1534"/>
        <v>5804</v>
      </c>
      <c r="AI553" s="32">
        <f t="shared" si="1534"/>
        <v>8983</v>
      </c>
      <c r="AJ553" s="34">
        <f t="shared" si="1535"/>
        <v>199.8565</v>
      </c>
      <c r="AK553" s="31">
        <f t="shared" si="1536"/>
        <v>11164</v>
      </c>
      <c r="AL553" s="35">
        <f t="shared" si="1537"/>
        <v>0.804639914</v>
      </c>
      <c r="AM553" s="36">
        <f t="shared" si="1538"/>
        <v>1.5</v>
      </c>
      <c r="AN553" s="35">
        <f t="shared" si="1539"/>
        <v>0.5166350535</v>
      </c>
      <c r="AO553" s="37">
        <f t="shared" si="1540"/>
        <v>0.7749525802</v>
      </c>
      <c r="AP553" s="36">
        <f t="shared" ref="AP553:AQ553" si="1541">SUM(T548)</f>
        <v>391.5710232</v>
      </c>
      <c r="AQ553" s="36">
        <f t="shared" si="1541"/>
        <v>6.751224538</v>
      </c>
      <c r="AR553" s="32">
        <f t="shared" si="1542"/>
        <v>154.8793103</v>
      </c>
    </row>
    <row r="554" ht="15.75" customHeight="1">
      <c r="A554" s="21"/>
      <c r="B554" s="38">
        <v>9.0</v>
      </c>
      <c r="C554" s="38" t="s">
        <v>36</v>
      </c>
      <c r="D554" s="58">
        <v>29.0</v>
      </c>
      <c r="E554" s="40">
        <f>IFERROR(__xludf.DUMMYFUNCTION("COUNT(IMPORTRANGE(""https://docs.google.com/spreadsheets/d/1VqqqRGfmmkT0JC4ILJva2p8P11jjV0FX-TSKAaqOigw/edit"",""21!d2:d31""))"),29.0)</f>
        <v>29</v>
      </c>
      <c r="F554" s="45">
        <f>IFERROR(__xludf.DUMMYFUNCTION("SUM(IMPORTRANGE(""https://docs.google.com/spreadsheets/d/1VqqqRGfmmkT0JC4ILJva2p8P11jjV0FX-TSKAaqOigw/edit"",""21!Q2:Q31""))"),5641.533999999996)</f>
        <v>5641.534</v>
      </c>
      <c r="G554" s="40">
        <f>IFERROR(__xludf.DUMMYFUNCTION("IMPORTRANGE(""https://docs.google.com/spreadsheets/d/1VqqqRGfmmkT0JC4ILJva2p8P11jjV0FX-TSKAaqOigw/edit"",""21!e38"")"),1569.0)</f>
        <v>1569</v>
      </c>
      <c r="H554" s="40">
        <f>IFERROR(__xludf.DUMMYFUNCTION("IMPORTRANGE(""https://docs.google.com/spreadsheets/d/1VqqqRGfmmkT0JC4ILJva2p8P11jjV0FX-TSKAaqOigw/edit"",""21!e39"")"),0.0)</f>
        <v>0</v>
      </c>
      <c r="I554" s="40">
        <f t="shared" si="1515"/>
        <v>1569</v>
      </c>
      <c r="J554" s="40">
        <f>IFERROR(__xludf.DUMMYFUNCTION("IMPORTRANGE(""https://docs.google.com/spreadsheets/d/1VqqqRGfmmkT0JC4ILJva2p8P11jjV0FX-TSKAaqOigw/edit"",""21!e42"")"),2401.0)</f>
        <v>2401</v>
      </c>
      <c r="K554" s="40">
        <f>IFERROR(__xludf.DUMMYFUNCTION("IMPORTRANGE(""https://docs.google.com/spreadsheets/d/1VqqqRGfmmkT0JC4ILJva2p8P11jjV0FX-TSKAaqOigw/edit"",""2!e43"")"),0.0)</f>
        <v>0</v>
      </c>
      <c r="L554" s="40">
        <f t="shared" ref="L554:L563" si="1545">SUM(J554:K554)</f>
        <v>2401</v>
      </c>
      <c r="M554" s="40">
        <f t="shared" si="1517"/>
        <v>3970</v>
      </c>
      <c r="N554" s="41">
        <f t="shared" si="1518"/>
        <v>194.5356552</v>
      </c>
      <c r="O554" s="38">
        <v>4796.0</v>
      </c>
      <c r="P554" s="42">
        <f t="shared" si="1519"/>
        <v>0.8277731443</v>
      </c>
      <c r="Q554" s="43">
        <v>1.5</v>
      </c>
      <c r="R554" s="42">
        <f t="shared" si="1520"/>
        <v>0.4691395402</v>
      </c>
      <c r="S554" s="44">
        <f t="shared" si="1521"/>
        <v>0.7037093103</v>
      </c>
      <c r="T554" s="43">
        <f>F554/37.414</f>
        <v>150.7867109</v>
      </c>
      <c r="U554" s="43">
        <f t="shared" si="1522"/>
        <v>5.199541754</v>
      </c>
      <c r="V554" s="40">
        <f t="shared" si="1523"/>
        <v>136.8965517</v>
      </c>
      <c r="X554" s="22">
        <v>3.0</v>
      </c>
      <c r="Y554" s="22" t="s">
        <v>34</v>
      </c>
      <c r="Z554" s="22">
        <f t="shared" ref="Z554:AI554" si="1543">SUM(D550)</f>
        <v>40</v>
      </c>
      <c r="AA554" s="23">
        <f t="shared" si="1543"/>
        <v>40</v>
      </c>
      <c r="AB554" s="24">
        <f t="shared" si="1543"/>
        <v>7993.854</v>
      </c>
      <c r="AC554" s="23">
        <f t="shared" si="1543"/>
        <v>2763</v>
      </c>
      <c r="AD554" s="23">
        <f t="shared" si="1543"/>
        <v>0</v>
      </c>
      <c r="AE554" s="23">
        <f t="shared" si="1543"/>
        <v>2763</v>
      </c>
      <c r="AF554" s="23">
        <f t="shared" si="1543"/>
        <v>3294</v>
      </c>
      <c r="AG554" s="23">
        <f t="shared" si="1543"/>
        <v>0</v>
      </c>
      <c r="AH554" s="23">
        <f t="shared" si="1543"/>
        <v>3294</v>
      </c>
      <c r="AI554" s="23">
        <f t="shared" si="1543"/>
        <v>6057</v>
      </c>
      <c r="AJ554" s="25">
        <f t="shared" si="1535"/>
        <v>199.84635</v>
      </c>
      <c r="AK554" s="22">
        <f>SUM(O550)</f>
        <v>9354</v>
      </c>
      <c r="AL554" s="26">
        <f t="shared" si="1537"/>
        <v>0.6475304682</v>
      </c>
      <c r="AM554" s="27">
        <f>SUM(Q550)</f>
        <v>1.5</v>
      </c>
      <c r="AN554" s="26">
        <f t="shared" si="1539"/>
        <v>0.5051380723</v>
      </c>
      <c r="AO554" s="28">
        <f t="shared" si="1540"/>
        <v>0.7577071085</v>
      </c>
      <c r="AP554" s="27">
        <f t="shared" ref="AP554:AQ554" si="1544">SUM(T550)</f>
        <v>260.2759092</v>
      </c>
      <c r="AQ554" s="27">
        <f t="shared" si="1544"/>
        <v>6.506897731</v>
      </c>
      <c r="AR554" s="23">
        <f t="shared" si="1542"/>
        <v>151.425</v>
      </c>
    </row>
    <row r="555" ht="15.75" customHeight="1">
      <c r="A555" s="21"/>
      <c r="B555" s="38">
        <v>10.0</v>
      </c>
      <c r="C555" s="38" t="s">
        <v>37</v>
      </c>
      <c r="D555" s="39">
        <v>30.0</v>
      </c>
      <c r="E555" s="40">
        <f>IFERROR(__xludf.DUMMYFUNCTION("COUNT(IMPORTRANGE(""https://docs.google.com/spreadsheets/d/1IYeRjQd_D6MRqoBKNaky3aSEUloYCJc5XDnPAbdyetk/edit"",""21!d2:d31""))"),29.0)</f>
        <v>29</v>
      </c>
      <c r="F555" s="45">
        <f>IFERROR(__xludf.DUMMYFUNCTION("SUM(IMPORTRANGE(""https://docs.google.com/spreadsheets/d/1IYeRjQd_D6MRqoBKNaky3aSEUloYCJc5XDnPAbdyetk/edit"",""21!Q2:Q31""))"),5564.268000000002)</f>
        <v>5564.268</v>
      </c>
      <c r="G555" s="40">
        <f>IFERROR(__xludf.DUMMYFUNCTION("(IMPORTRANGE(""https://docs.google.com/spreadsheets/d/1IYeRjQd_D6MRqoBKNaky3aSEUloYCJc5XDnPAbdyetk/edit"",""21!e38""))"),2058.0)</f>
        <v>2058</v>
      </c>
      <c r="H555" s="40">
        <f>IFERROR(__xludf.DUMMYFUNCTION("(IMPORTRANGE(""https://docs.google.com/spreadsheets/d/1IYeRjQd_D6MRqoBKNaky3aSEUloYCJc5XDnPAbdyetk/edit"",""21!e39""))"),0.0)</f>
        <v>0</v>
      </c>
      <c r="I555" s="40">
        <f t="shared" si="1515"/>
        <v>2058</v>
      </c>
      <c r="J555" s="40">
        <f>IFERROR(__xludf.DUMMYFUNCTION("(IMPORTRANGE(""https://docs.google.com/spreadsheets/d/1IYeRjQd_D6MRqoBKNaky3aSEUloYCJc5XDnPAbdyetk/edit"",""21!e42""))"),3166.0)</f>
        <v>3166</v>
      </c>
      <c r="K555" s="40">
        <f>IFERROR(__xludf.DUMMYFUNCTION("(IMPORTRANGE(""https://docs.google.com/spreadsheets/d/1IYeRjQd_D6MRqoBKNaky3aSEUloYCJc5XDnPAbdyetk/edit"",""21!e43""))"),0.0)</f>
        <v>0</v>
      </c>
      <c r="L555" s="40">
        <f t="shared" si="1545"/>
        <v>3166</v>
      </c>
      <c r="M555" s="40">
        <f t="shared" si="1517"/>
        <v>5224</v>
      </c>
      <c r="N555" s="41">
        <f t="shared" si="1518"/>
        <v>191.8713103</v>
      </c>
      <c r="O555" s="38">
        <v>5887.0</v>
      </c>
      <c r="P555" s="42">
        <f t="shared" si="1519"/>
        <v>0.8873789706</v>
      </c>
      <c r="Q555" s="43">
        <v>1.5</v>
      </c>
      <c r="R555" s="42">
        <f t="shared" si="1520"/>
        <v>0.625898441</v>
      </c>
      <c r="S555" s="44">
        <f t="shared" si="1521"/>
        <v>0.9388476615</v>
      </c>
      <c r="T555" s="43">
        <f>F555/24.792</f>
        <v>224.4380445</v>
      </c>
      <c r="U555" s="43">
        <f t="shared" si="1522"/>
        <v>7.739242915</v>
      </c>
      <c r="V555" s="40">
        <f t="shared" si="1523"/>
        <v>180.137931</v>
      </c>
      <c r="X555" s="31">
        <v>4.0</v>
      </c>
      <c r="Y555" s="31" t="s">
        <v>38</v>
      </c>
      <c r="Z555" s="31">
        <f t="shared" ref="Z555:AI555" si="1546">SUM(D558)</f>
        <v>30</v>
      </c>
      <c r="AA555" s="32">
        <f t="shared" si="1546"/>
        <v>30</v>
      </c>
      <c r="AB555" s="33">
        <f t="shared" si="1546"/>
        <v>6450.129</v>
      </c>
      <c r="AC555" s="32">
        <f t="shared" si="1546"/>
        <v>2315</v>
      </c>
      <c r="AD555" s="32">
        <f t="shared" si="1546"/>
        <v>0</v>
      </c>
      <c r="AE555" s="32">
        <f t="shared" si="1546"/>
        <v>2315</v>
      </c>
      <c r="AF555" s="32">
        <f t="shared" si="1546"/>
        <v>3027</v>
      </c>
      <c r="AG555" s="32">
        <f t="shared" si="1546"/>
        <v>0</v>
      </c>
      <c r="AH555" s="32">
        <f t="shared" si="1546"/>
        <v>3027</v>
      </c>
      <c r="AI555" s="32">
        <f t="shared" si="1546"/>
        <v>5342</v>
      </c>
      <c r="AJ555" s="34">
        <f t="shared" si="1535"/>
        <v>215.0043</v>
      </c>
      <c r="AK555" s="31">
        <v>7324.0</v>
      </c>
      <c r="AL555" s="35">
        <f t="shared" si="1537"/>
        <v>0.7293828509</v>
      </c>
      <c r="AM555" s="36">
        <f>SUM(Q558)</f>
        <v>1.5</v>
      </c>
      <c r="AN555" s="35">
        <f t="shared" si="1539"/>
        <v>0.5521336602</v>
      </c>
      <c r="AO555" s="37">
        <f t="shared" si="1540"/>
        <v>0.8282004903</v>
      </c>
      <c r="AP555" s="36">
        <f t="shared" ref="AP555:AQ555" si="1547">SUM(T558)</f>
        <v>156.5375319</v>
      </c>
      <c r="AQ555" s="36">
        <f t="shared" si="1547"/>
        <v>5.217917728</v>
      </c>
      <c r="AR555" s="32">
        <f t="shared" si="1542"/>
        <v>178.0666667</v>
      </c>
    </row>
    <row r="556" ht="15.75" customHeight="1">
      <c r="A556" s="21"/>
      <c r="B556" s="38">
        <v>12.0</v>
      </c>
      <c r="C556" s="38" t="s">
        <v>39</v>
      </c>
      <c r="D556" s="39">
        <v>28.0</v>
      </c>
      <c r="E556" s="40">
        <f>IFERROR(__xludf.DUMMYFUNCTION("COUNT(IMPORTRANGE(""https://docs.google.com/spreadsheets/d/1TAY2D35yAzyl8a_p5CuZehQvmatfj0b0Q8ICl8GtJBY/edit"",""21!d2:d29""))"),28.0)</f>
        <v>28</v>
      </c>
      <c r="F556" s="45">
        <f>IFERROR(__xludf.DUMMYFUNCTION("SUM(IMPORTRANGE(""https://docs.google.com/spreadsheets/d/1TAY2D35yAzyl8a_p5CuZehQvmatfj0b0Q8ICl8GtJBY/edit"",""21!Q2:Q29""))"),5415.952000000003)</f>
        <v>5415.952</v>
      </c>
      <c r="G556" s="40">
        <f>IFERROR(__xludf.DUMMYFUNCTION("IMPORTRANGE(""https://docs.google.com/spreadsheets/d/1TAY2D35yAzyl8a_p5CuZehQvmatfj0b0Q8ICl8GtJBY/edit"",""21!e36"")"),1080.0)</f>
        <v>1080</v>
      </c>
      <c r="H556" s="40">
        <f>IFERROR(__xludf.DUMMYFUNCTION("(IMPORTRANGE(""https://docs.google.com/spreadsheets/d/1TAY2D35yAzyl8a_p5CuZehQvmatfj0b0Q8ICl8GtJBY/edit"",""21!e37""))"),72.0)</f>
        <v>72</v>
      </c>
      <c r="I556" s="40">
        <f t="shared" si="1515"/>
        <v>1152</v>
      </c>
      <c r="J556" s="40">
        <f>IFERROR(__xludf.DUMMYFUNCTION("IMPORTRANGE(""https://docs.google.com/spreadsheets/d/1TAY2D35yAzyl8a_p5CuZehQvmatfj0b0Q8ICl8GtJBY/edit"",""21!e40"")"),1873.0)</f>
        <v>1873</v>
      </c>
      <c r="K556" s="40">
        <f>IFERROR(__xludf.DUMMYFUNCTION("IMPORTRANGE(""https://docs.google.com/spreadsheets/d/1TAY2D35yAzyl8a_p5CuZehQvmatfj0b0Q8ICl8GtJBY/edit"",""21!e41"")"),43.0)</f>
        <v>43</v>
      </c>
      <c r="L556" s="40">
        <f t="shared" si="1545"/>
        <v>1916</v>
      </c>
      <c r="M556" s="40">
        <f t="shared" si="1517"/>
        <v>3068</v>
      </c>
      <c r="N556" s="41">
        <f t="shared" si="1518"/>
        <v>193.4268571</v>
      </c>
      <c r="O556" s="38">
        <v>3569.0</v>
      </c>
      <c r="P556" s="42">
        <f t="shared" si="1519"/>
        <v>0.8596245447</v>
      </c>
      <c r="Q556" s="43">
        <v>1.5</v>
      </c>
      <c r="R556" s="42">
        <f t="shared" si="1520"/>
        <v>0.3776498265</v>
      </c>
      <c r="S556" s="44">
        <f t="shared" si="1521"/>
        <v>0.5664747398</v>
      </c>
      <c r="T556" s="43">
        <f>F556/21.463</f>
        <v>252.339002</v>
      </c>
      <c r="U556" s="43">
        <f t="shared" si="1522"/>
        <v>9.012107214</v>
      </c>
      <c r="V556" s="40">
        <f t="shared" si="1523"/>
        <v>109.5714286</v>
      </c>
      <c r="X556" s="31">
        <v>5.0</v>
      </c>
      <c r="Y556" s="31" t="s">
        <v>40</v>
      </c>
      <c r="Z556" s="31">
        <f t="shared" ref="Z556:AI556" si="1548">SUM(D560)</f>
        <v>30</v>
      </c>
      <c r="AA556" s="32">
        <f t="shared" si="1548"/>
        <v>30</v>
      </c>
      <c r="AB556" s="33">
        <f t="shared" si="1548"/>
        <v>5815.927</v>
      </c>
      <c r="AC556" s="32">
        <f t="shared" si="1548"/>
        <v>4110</v>
      </c>
      <c r="AD556" s="32">
        <f t="shared" si="1548"/>
        <v>0</v>
      </c>
      <c r="AE556" s="32">
        <f t="shared" si="1548"/>
        <v>4110</v>
      </c>
      <c r="AF556" s="32">
        <f t="shared" si="1548"/>
        <v>3629</v>
      </c>
      <c r="AG556" s="32">
        <f t="shared" si="1548"/>
        <v>0</v>
      </c>
      <c r="AH556" s="32">
        <f t="shared" si="1548"/>
        <v>3629</v>
      </c>
      <c r="AI556" s="32">
        <f t="shared" si="1548"/>
        <v>7739</v>
      </c>
      <c r="AJ556" s="34">
        <f t="shared" si="1535"/>
        <v>193.8642333</v>
      </c>
      <c r="AK556" s="31">
        <f t="shared" ref="AK556:AK557" si="1551">SUM(O560)</f>
        <v>8239</v>
      </c>
      <c r="AL556" s="35">
        <f t="shared" si="1537"/>
        <v>0.9393130234</v>
      </c>
      <c r="AM556" s="36">
        <f t="shared" ref="AM556:AM557" si="1552">SUM(Q560)</f>
        <v>1.5</v>
      </c>
      <c r="AN556" s="35">
        <f t="shared" si="1539"/>
        <v>0.8871042111</v>
      </c>
      <c r="AO556" s="37">
        <f t="shared" si="1540"/>
        <v>1.330656317</v>
      </c>
      <c r="AP556" s="36">
        <f t="shared" ref="AP556:AQ556" si="1549">SUM(T560)</f>
        <v>204.4765672</v>
      </c>
      <c r="AQ556" s="36">
        <f t="shared" si="1549"/>
        <v>6.815885572</v>
      </c>
      <c r="AR556" s="32">
        <f t="shared" si="1542"/>
        <v>257.9666667</v>
      </c>
    </row>
    <row r="557" ht="15.75" customHeight="1">
      <c r="A557" s="21"/>
      <c r="B557" s="38">
        <v>12.0</v>
      </c>
      <c r="C557" s="38" t="s">
        <v>41</v>
      </c>
      <c r="D557" s="39">
        <v>24.0</v>
      </c>
      <c r="E557" s="40">
        <f>IFERROR(__xludf.DUMMYFUNCTION("COUNT(IMPORTRANGE(""https://docs.google.com/spreadsheets/d/1VAsUtLQHi7oV9NsI9EIHPnO1bcPJHeRgSbMoxSvPBME/edit"",""21!d2:d25""))"),24.0)</f>
        <v>24</v>
      </c>
      <c r="F557" s="45">
        <f>IFERROR(__xludf.DUMMYFUNCTION("SUM(IMPORTRANGE(""https://docs.google.com/spreadsheets/d/1VAsUtLQHi7oV9NsI9EIHPnO1bcPJHeRgSbMoxSvPBME/edit"",""21!Q2:Q25""))"),4763.524)</f>
        <v>4763.524</v>
      </c>
      <c r="G557" s="40">
        <f>IFERROR(__xludf.DUMMYFUNCTION("IMPORTRANGE(""https://docs.google.com/spreadsheets/d/1VAsUtLQHi7oV9NsI9EIHPnO1bcPJHeRgSbMoxSvPBME/edit"",""21!e32"")"),1281.0)</f>
        <v>1281</v>
      </c>
      <c r="H557" s="40">
        <f>IFERROR(__xludf.DUMMYFUNCTION("IMPORTRANGE(""https://docs.google.com/spreadsheets/d/1VAsUtLQHi7oV9NsI9EIHPnO1bcPJHeRgSbMoxSvPBME/edit"",""21!e33"")"),0.0)</f>
        <v>0</v>
      </c>
      <c r="I557" s="40">
        <f t="shared" si="1515"/>
        <v>1281</v>
      </c>
      <c r="J557" s="40">
        <f>IFERROR(__xludf.DUMMYFUNCTION("IMPORTRANGE(""https://docs.google.com/spreadsheets/d/1VAsUtLQHi7oV9NsI9EIHPnO1bcPJHeRgSbMoxSvPBME/edit"",""21!e36"")"),1718.0)</f>
        <v>1718</v>
      </c>
      <c r="K557" s="40">
        <f>IFERROR(__xludf.DUMMYFUNCTION("IMPORTRANGE(""https://docs.google.com/spreadsheets/d/1VAsUtLQHi7oV9NsI9EIHPnO1bcPJHeRgSbMoxSvPBME/edit"",""21!e37"")"),0.0)</f>
        <v>0</v>
      </c>
      <c r="L557" s="40">
        <f t="shared" si="1545"/>
        <v>1718</v>
      </c>
      <c r="M557" s="40">
        <f t="shared" si="1517"/>
        <v>2999</v>
      </c>
      <c r="N557" s="41">
        <f t="shared" si="1518"/>
        <v>198.4801667</v>
      </c>
      <c r="O557" s="38">
        <v>3801.0</v>
      </c>
      <c r="P557" s="42">
        <f t="shared" si="1519"/>
        <v>0.789002894</v>
      </c>
      <c r="Q557" s="43">
        <v>1.5</v>
      </c>
      <c r="R557" s="42">
        <f t="shared" si="1520"/>
        <v>0.4197172793</v>
      </c>
      <c r="S557" s="44">
        <f t="shared" si="1521"/>
        <v>0.629575919</v>
      </c>
      <c r="T557" s="43">
        <f>F557/29.628</f>
        <v>160.7777778</v>
      </c>
      <c r="U557" s="43">
        <f t="shared" si="1522"/>
        <v>6.699074074</v>
      </c>
      <c r="V557" s="40">
        <f t="shared" si="1523"/>
        <v>124.9583333</v>
      </c>
      <c r="X557" s="22">
        <v>6.0</v>
      </c>
      <c r="Y557" s="22" t="s">
        <v>42</v>
      </c>
      <c r="Z557" s="22">
        <f t="shared" ref="Z557:AI557" si="1550">SUM(D561)</f>
        <v>33</v>
      </c>
      <c r="AA557" s="23">
        <f t="shared" si="1550"/>
        <v>32</v>
      </c>
      <c r="AB557" s="24">
        <f t="shared" si="1550"/>
        <v>6354.127</v>
      </c>
      <c r="AC557" s="23">
        <f t="shared" si="1550"/>
        <v>3266</v>
      </c>
      <c r="AD557" s="23">
        <f t="shared" si="1550"/>
        <v>0</v>
      </c>
      <c r="AE557" s="23">
        <f t="shared" si="1550"/>
        <v>3266</v>
      </c>
      <c r="AF557" s="23">
        <f t="shared" si="1550"/>
        <v>4409</v>
      </c>
      <c r="AG557" s="23">
        <f t="shared" si="1550"/>
        <v>40</v>
      </c>
      <c r="AH557" s="23">
        <f t="shared" si="1550"/>
        <v>4449</v>
      </c>
      <c r="AI557" s="23">
        <f t="shared" si="1550"/>
        <v>7715</v>
      </c>
      <c r="AJ557" s="25">
        <f t="shared" si="1535"/>
        <v>198.5664688</v>
      </c>
      <c r="AK557" s="22">
        <f t="shared" si="1551"/>
        <v>9877</v>
      </c>
      <c r="AL557" s="26">
        <f t="shared" si="1537"/>
        <v>0.7811076238</v>
      </c>
      <c r="AM557" s="27">
        <f t="shared" si="1552"/>
        <v>1.5</v>
      </c>
      <c r="AN557" s="26">
        <f t="shared" si="1539"/>
        <v>0.809447676</v>
      </c>
      <c r="AO557" s="28">
        <f t="shared" si="1540"/>
        <v>1.214171514</v>
      </c>
      <c r="AP557" s="27">
        <f t="shared" ref="AP557:AQ557" si="1553">SUM(T561)</f>
        <v>242.9411967</v>
      </c>
      <c r="AQ557" s="27">
        <f t="shared" si="1553"/>
        <v>7.591912397</v>
      </c>
      <c r="AR557" s="23">
        <f t="shared" si="1542"/>
        <v>241.09375</v>
      </c>
    </row>
    <row r="558" ht="15.75" customHeight="1">
      <c r="A558" s="21"/>
      <c r="B558" s="38">
        <v>13.0</v>
      </c>
      <c r="C558" s="38" t="s">
        <v>43</v>
      </c>
      <c r="D558" s="39">
        <v>30.0</v>
      </c>
      <c r="E558" s="40">
        <f>IFERROR(__xludf.DUMMYFUNCTION("COUNT(IMPORTRANGE(""https://docs.google.com/spreadsheets/d/1p9Y_DGk7-TpRBFth-ljZceOIGCjQ0ylUeUq6xqnsZ-Q/edit"",""21!d2:d31""))"),30.0)</f>
        <v>30</v>
      </c>
      <c r="F558" s="45">
        <f>IFERROR(__xludf.DUMMYFUNCTION("SUM(IMPORTRANGE(""https://docs.google.com/spreadsheets/d/1p9Y_DGk7-TpRBFth-ljZceOIGCjQ0ylUeUq6xqnsZ-Q/edit"",""21!Q2:Q31""))"),6450.129000000001)</f>
        <v>6450.129</v>
      </c>
      <c r="G558" s="40">
        <f>IFERROR(__xludf.DUMMYFUNCTION("IMPORTRANGE(""https://docs.google.com/spreadsheets/d/1p9Y_DGk7-TpRBFth-ljZceOIGCjQ0ylUeUq6xqnsZ-Q/edit"",""21!e38"")"),2315.0)</f>
        <v>2315</v>
      </c>
      <c r="H558" s="40">
        <f>IFERROR(__xludf.DUMMYFUNCTION("IMPORTRANGE(""https://docs.google.com/spreadsheets/d/1p9Y_DGk7-TpRBFth-ljZceOIGCjQ0ylUeUq6xqnsZ-Q/edit"",""21!e39"")"),0.0)</f>
        <v>0</v>
      </c>
      <c r="I558" s="40">
        <f t="shared" si="1515"/>
        <v>2315</v>
      </c>
      <c r="J558" s="40">
        <f>IFERROR(__xludf.DUMMYFUNCTION("IMPORTRANGE(""https://docs.google.com/spreadsheets/d/1p9Y_DGk7-TpRBFth-ljZceOIGCjQ0ylUeUq6xqnsZ-Q/edit"",""21!e42"")"),3027.0)</f>
        <v>3027</v>
      </c>
      <c r="K558" s="40">
        <f>IFERROR(__xludf.DUMMYFUNCTION("IMPORTRANGE(""https://docs.google.com/spreadsheets/d/1p9Y_DGk7-TpRBFth-ljZceOIGCjQ0ylUeUq6xqnsZ-Q/edit"",""21!e43"")"),0.0)</f>
        <v>0</v>
      </c>
      <c r="L558" s="40">
        <f t="shared" si="1545"/>
        <v>3027</v>
      </c>
      <c r="M558" s="40">
        <f t="shared" si="1517"/>
        <v>5342</v>
      </c>
      <c r="N558" s="41">
        <f t="shared" si="1518"/>
        <v>215.0043</v>
      </c>
      <c r="O558" s="38">
        <v>8345.0</v>
      </c>
      <c r="P558" s="42">
        <f t="shared" si="1519"/>
        <v>0.6401437987</v>
      </c>
      <c r="Q558" s="43">
        <v>1.5</v>
      </c>
      <c r="R558" s="42">
        <f t="shared" si="1520"/>
        <v>0.5521336602</v>
      </c>
      <c r="S558" s="44">
        <f t="shared" si="1521"/>
        <v>0.8282004903</v>
      </c>
      <c r="T558" s="43">
        <f>F558/41.205</f>
        <v>156.5375319</v>
      </c>
      <c r="U558" s="43">
        <f t="shared" si="1522"/>
        <v>5.217917728</v>
      </c>
      <c r="V558" s="40">
        <f t="shared" si="1523"/>
        <v>178.0666667</v>
      </c>
      <c r="X558" s="46" t="s">
        <v>33</v>
      </c>
      <c r="Y558" s="46">
        <v>6.0</v>
      </c>
      <c r="Z558" s="46">
        <f t="shared" ref="Z558:AI558" si="1554">SUM(Z552:Z557)</f>
        <v>226</v>
      </c>
      <c r="AA558" s="47">
        <f t="shared" si="1554"/>
        <v>223</v>
      </c>
      <c r="AB558" s="49">
        <f t="shared" si="1554"/>
        <v>44610.959</v>
      </c>
      <c r="AC558" s="47">
        <f t="shared" si="1554"/>
        <v>18483</v>
      </c>
      <c r="AD558" s="47">
        <f t="shared" si="1554"/>
        <v>183</v>
      </c>
      <c r="AE558" s="47">
        <f t="shared" si="1554"/>
        <v>18666</v>
      </c>
      <c r="AF558" s="47">
        <f t="shared" si="1554"/>
        <v>23020</v>
      </c>
      <c r="AG558" s="47">
        <f t="shared" si="1554"/>
        <v>260</v>
      </c>
      <c r="AH558" s="47">
        <f t="shared" si="1554"/>
        <v>23280</v>
      </c>
      <c r="AI558" s="47">
        <f t="shared" si="1554"/>
        <v>41946</v>
      </c>
      <c r="AJ558" s="49">
        <f t="shared" si="1535"/>
        <v>200.0491435</v>
      </c>
      <c r="AK558" s="46">
        <f>SUM(AK552:AK557)</f>
        <v>53273</v>
      </c>
      <c r="AL558" s="50">
        <f t="shared" si="1537"/>
        <v>0.7873782216</v>
      </c>
      <c r="AM558" s="51">
        <v>1.5</v>
      </c>
      <c r="AN558" s="50">
        <f t="shared" si="1539"/>
        <v>0.6268414898</v>
      </c>
      <c r="AO558" s="52">
        <f t="shared" si="1540"/>
        <v>0.9402622347</v>
      </c>
      <c r="AP558" s="51">
        <f>SUM(AP552:AP557)</f>
        <v>1463.111838</v>
      </c>
      <c r="AQ558" s="51">
        <f>AP558/AA558</f>
        <v>6.56103963</v>
      </c>
      <c r="AR558" s="47">
        <f t="shared" si="1542"/>
        <v>188.0986547</v>
      </c>
    </row>
    <row r="559" ht="15.75" customHeight="1">
      <c r="A559" s="21"/>
      <c r="B559" s="38">
        <v>14.0</v>
      </c>
      <c r="C559" s="38" t="s">
        <v>27</v>
      </c>
      <c r="D559" s="39">
        <v>30.0</v>
      </c>
      <c r="E559" s="40">
        <f>IFERROR(__xludf.DUMMYFUNCTION("COUNT(IMPORTRANGE(""https://docs.google.com/spreadsheets/d/1zJUDEKztv_fercXA0LYNw155qdzS7TJGhWLhquaW5IY/edit"",""21!d2:d31""))"),29.0)</f>
        <v>29</v>
      </c>
      <c r="F559" s="45">
        <f>IFERROR(__xludf.DUMMYFUNCTION("SUM(IMPORTRANGE(""https://docs.google.com/spreadsheets/d/1zJUDEKztv_fercXA0LYNw155qdzS7TJGhWLhquaW5IY/edit"",""21!Q2:Q31""))"),5285.8949999999995)</f>
        <v>5285.895</v>
      </c>
      <c r="G559" s="40">
        <f>IFERROR(__xludf.DUMMYFUNCTION("IMPORTRANGE(""https://docs.google.com/spreadsheets/d/1zJUDEKztv_fercXA0LYNw155qdzS7TJGhWLhquaW5IY/edit"",""21!e38"")"),2432.0)</f>
        <v>2432</v>
      </c>
      <c r="H559" s="40">
        <f>IFERROR(__xludf.DUMMYFUNCTION("IMPORTRANGE(""https://docs.google.com/spreadsheets/d/1zJUDEKztv_fercXA0LYNw155qdzS7TJGhWLhquaW5IY/edit"",""21!e39"")"),0.0)</f>
        <v>0</v>
      </c>
      <c r="I559" s="40">
        <f t="shared" si="1515"/>
        <v>2432</v>
      </c>
      <c r="J559" s="40">
        <f>IFERROR(__xludf.DUMMYFUNCTION("IMPORTRANGE(""https://docs.google.com/spreadsheets/d/1zJUDEKztv_fercXA0LYNw155qdzS7TJGhWLhquaW5IY/edit"",""21!e42"")"),3237.0)</f>
        <v>3237</v>
      </c>
      <c r="K559" s="40">
        <f>IFERROR(__xludf.DUMMYFUNCTION("IMPORTRANGE(""https://docs.google.com/spreadsheets/d/1zJUDEKztv_fercXA0LYNw155qdzS7TJGhWLhquaW5IY/edit"",""21!e43"")"),0.0)</f>
        <v>0</v>
      </c>
      <c r="L559" s="40">
        <f t="shared" si="1545"/>
        <v>3237</v>
      </c>
      <c r="M559" s="40">
        <f t="shared" si="1517"/>
        <v>5669</v>
      </c>
      <c r="N559" s="41">
        <f t="shared" si="1518"/>
        <v>182.2722414</v>
      </c>
      <c r="O559" s="38">
        <v>8101.0</v>
      </c>
      <c r="P559" s="42">
        <f t="shared" si="1519"/>
        <v>0.6997901494</v>
      </c>
      <c r="Q559" s="43">
        <v>1.5</v>
      </c>
      <c r="R559" s="42">
        <f t="shared" si="1520"/>
        <v>0.7149845643</v>
      </c>
      <c r="S559" s="44">
        <f t="shared" si="1521"/>
        <v>1.072476846</v>
      </c>
      <c r="T559" s="43">
        <f>F559/19.985</f>
        <v>264.4931198</v>
      </c>
      <c r="U559" s="43">
        <f t="shared" si="1522"/>
        <v>9.120452408</v>
      </c>
      <c r="V559" s="40">
        <f t="shared" si="1523"/>
        <v>195.4827586</v>
      </c>
      <c r="X559" s="59" t="s">
        <v>44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6"/>
    </row>
    <row r="560" ht="15.75" customHeight="1">
      <c r="A560" s="21"/>
      <c r="B560" s="38">
        <v>15.0</v>
      </c>
      <c r="C560" s="38" t="s">
        <v>40</v>
      </c>
      <c r="D560" s="39">
        <v>30.0</v>
      </c>
      <c r="E560" s="40">
        <f>IFERROR(__xludf.DUMMYFUNCTION("COUNT(IMPORTRANGE(""https://docs.google.com/spreadsheets/d/15GJA66Ucb-8RQ5vWVpq5HYaWoZZFX82SCeHChBujbrI/edit"",""21!d2:d31""))"),30.0)</f>
        <v>30</v>
      </c>
      <c r="F560" s="45">
        <f>IFERROR(__xludf.DUMMYFUNCTION("SUM(IMPORTRANGE(""https://docs.google.com/spreadsheets/d/15GJA66Ucb-8RQ5vWVpq5HYaWoZZFX82SCeHChBujbrI/edit"",""21!Q2:Q31""))"),5815.926999999999)</f>
        <v>5815.927</v>
      </c>
      <c r="G560" s="40">
        <f>IFERROR(__xludf.DUMMYFUNCTION("IMPORTRANGE(""https://docs.google.com/spreadsheets/d/15GJA66Ucb-8RQ5vWVpq5HYaWoZZFX82SCeHChBujbrI/edit"",""21!e38"")"),4110.0)</f>
        <v>4110</v>
      </c>
      <c r="H560" s="40">
        <f>IFERROR(__xludf.DUMMYFUNCTION("IMPORTRANGE(""https://docs.google.com/spreadsheets/d/15GJA66Ucb-8RQ5vWVpq5HYaWoZZFX82SCeHChBujbrI/edit"",""21!e39"")"),0.0)</f>
        <v>0</v>
      </c>
      <c r="I560" s="40">
        <f t="shared" si="1515"/>
        <v>4110</v>
      </c>
      <c r="J560" s="40">
        <f>IFERROR(__xludf.DUMMYFUNCTION("IMPORTRANGE(""https://docs.google.com/spreadsheets/d/15GJA66Ucb-8RQ5vWVpq5HYaWoZZFX82SCeHChBujbrI/edit"",""21!e42"")"),3629.0)</f>
        <v>3629</v>
      </c>
      <c r="K560" s="40">
        <f>IFERROR(__xludf.DUMMYFUNCTION("IMPORTRANGE(""https://docs.google.com/spreadsheets/d/15GJA66Ucb-8RQ5vWVpq5HYaWoZZFX82SCeHChBujbrI/edit"",""21!e43"")"),0.0)</f>
        <v>0</v>
      </c>
      <c r="L560" s="40">
        <f t="shared" si="1545"/>
        <v>3629</v>
      </c>
      <c r="M560" s="40">
        <f t="shared" si="1517"/>
        <v>7739</v>
      </c>
      <c r="N560" s="41">
        <f t="shared" si="1518"/>
        <v>193.8642333</v>
      </c>
      <c r="O560" s="38">
        <v>8239.0</v>
      </c>
      <c r="P560" s="42">
        <f t="shared" si="1519"/>
        <v>0.9393130234</v>
      </c>
      <c r="Q560" s="43">
        <v>1.5</v>
      </c>
      <c r="R560" s="42">
        <f t="shared" si="1520"/>
        <v>0.8871042111</v>
      </c>
      <c r="S560" s="44">
        <f t="shared" si="1521"/>
        <v>1.330656317</v>
      </c>
      <c r="T560" s="43">
        <f>F560/28.443</f>
        <v>204.4765672</v>
      </c>
      <c r="U560" s="43">
        <f t="shared" si="1522"/>
        <v>6.815885572</v>
      </c>
      <c r="V560" s="40">
        <f t="shared" si="1523"/>
        <v>257.9666667</v>
      </c>
      <c r="X560" s="14" t="s">
        <v>2</v>
      </c>
      <c r="Y560" s="14" t="s">
        <v>3</v>
      </c>
      <c r="Z560" s="14" t="s">
        <v>4</v>
      </c>
      <c r="AA560" s="14" t="s">
        <v>5</v>
      </c>
      <c r="AB560" s="15" t="s">
        <v>6</v>
      </c>
      <c r="AC560" s="14" t="s">
        <v>7</v>
      </c>
      <c r="AD560" s="14" t="s">
        <v>8</v>
      </c>
      <c r="AE560" s="14" t="s">
        <v>9</v>
      </c>
      <c r="AF560" s="14" t="s">
        <v>10</v>
      </c>
      <c r="AG560" s="14" t="s">
        <v>11</v>
      </c>
      <c r="AH560" s="14" t="s">
        <v>12</v>
      </c>
      <c r="AI560" s="14" t="s">
        <v>13</v>
      </c>
      <c r="AJ560" s="15" t="s">
        <v>14</v>
      </c>
      <c r="AK560" s="14" t="s">
        <v>15</v>
      </c>
      <c r="AL560" s="14" t="s">
        <v>16</v>
      </c>
      <c r="AM560" s="16" t="s">
        <v>17</v>
      </c>
      <c r="AN560" s="17" t="s">
        <v>18</v>
      </c>
      <c r="AO560" s="18" t="s">
        <v>19</v>
      </c>
      <c r="AP560" s="19" t="s">
        <v>20</v>
      </c>
      <c r="AQ560" s="19" t="s">
        <v>21</v>
      </c>
      <c r="AR560" s="20" t="s">
        <v>22</v>
      </c>
    </row>
    <row r="561" ht="15.75" customHeight="1">
      <c r="A561" s="21"/>
      <c r="B561" s="38">
        <v>16.0</v>
      </c>
      <c r="C561" s="38" t="s">
        <v>42</v>
      </c>
      <c r="D561" s="39">
        <v>33.0</v>
      </c>
      <c r="E561" s="40">
        <f>IFERROR(__xludf.DUMMYFUNCTION("COUNT(IMPORTRANGE(""https://docs.google.com/spreadsheets/d/14Tu_jFPEdrIQ6DHYu6vRvJKQsbXr-48NY1tKy4-8JKI/edit"",""21!d2:d34""))"),32.0)</f>
        <v>32</v>
      </c>
      <c r="F561" s="45">
        <f>IFERROR(__xludf.DUMMYFUNCTION("SUM(IMPORTRANGE(""https://docs.google.com/spreadsheets/d/14Tu_jFPEdrIQ6DHYu6vRvJKQsbXr-48NY1tKy4-8JKI/edit"",""21!Q2:Q34""))"),6354.126999999998)</f>
        <v>6354.127</v>
      </c>
      <c r="G561" s="40">
        <f>IFERROR(__xludf.DUMMYFUNCTION("IMPORTRANGE(""https://docs.google.com/spreadsheets/d/14Tu_jFPEdrIQ6DHYu6vRvJKQsbXr-48NY1tKy4-8JKI/edit"",""21!e41"")"),3266.0)</f>
        <v>3266</v>
      </c>
      <c r="H561" s="40">
        <f>IFERROR(__xludf.DUMMYFUNCTION("IMPORTRANGE(""https://docs.google.com/spreadsheets/d/14Tu_jFPEdrIQ6DHYu6vRvJKQsbXr-48NY1tKy4-8JKI/edit"",""21!e42"")"),0.0)</f>
        <v>0</v>
      </c>
      <c r="I561" s="40">
        <f t="shared" si="1515"/>
        <v>3266</v>
      </c>
      <c r="J561" s="40">
        <f>IFERROR(__xludf.DUMMYFUNCTION("IMPORTRANGE(""https://docs.google.com/spreadsheets/d/14Tu_jFPEdrIQ6DHYu6vRvJKQsbXr-48NY1tKy4-8JKI/edit"",""21!e45"")"),4409.0)</f>
        <v>4409</v>
      </c>
      <c r="K561" s="40">
        <f>IFERROR(__xludf.DUMMYFUNCTION("IMPORTRANGE(""https://docs.google.com/spreadsheets/d/14Tu_jFPEdrIQ6DHYu6vRvJKQsbXr-48NY1tKy4-8JKI/edit"",""21!e46"")"),40.0)</f>
        <v>40</v>
      </c>
      <c r="L561" s="40">
        <f t="shared" si="1545"/>
        <v>4449</v>
      </c>
      <c r="M561" s="40">
        <f t="shared" si="1517"/>
        <v>7715</v>
      </c>
      <c r="N561" s="41">
        <f t="shared" si="1518"/>
        <v>198.5664688</v>
      </c>
      <c r="O561" s="38">
        <v>9877.0</v>
      </c>
      <c r="P561" s="42">
        <f t="shared" si="1519"/>
        <v>0.7811076238</v>
      </c>
      <c r="Q561" s="43">
        <v>1.5</v>
      </c>
      <c r="R561" s="42">
        <f t="shared" si="1520"/>
        <v>0.809447676</v>
      </c>
      <c r="S561" s="44">
        <f t="shared" si="1521"/>
        <v>1.214171514</v>
      </c>
      <c r="T561" s="43">
        <f>F561/26.155</f>
        <v>242.9411967</v>
      </c>
      <c r="U561" s="43">
        <f t="shared" si="1522"/>
        <v>7.591912397</v>
      </c>
      <c r="V561" s="40">
        <f t="shared" si="1523"/>
        <v>241.09375</v>
      </c>
      <c r="X561" s="31">
        <v>1.0</v>
      </c>
      <c r="Y561" s="31" t="s">
        <v>26</v>
      </c>
      <c r="Z561" s="31">
        <f t="shared" ref="Z561:AI561" si="1555">SUM(D546)</f>
        <v>20</v>
      </c>
      <c r="AA561" s="32">
        <f t="shared" si="1555"/>
        <v>20</v>
      </c>
      <c r="AB561" s="34">
        <f t="shared" si="1555"/>
        <v>3676.284</v>
      </c>
      <c r="AC561" s="32">
        <f t="shared" si="1555"/>
        <v>1924</v>
      </c>
      <c r="AD561" s="32">
        <f t="shared" si="1555"/>
        <v>0</v>
      </c>
      <c r="AE561" s="32">
        <f t="shared" si="1555"/>
        <v>1924</v>
      </c>
      <c r="AF561" s="32">
        <f t="shared" si="1555"/>
        <v>2972</v>
      </c>
      <c r="AG561" s="32">
        <f t="shared" si="1555"/>
        <v>0</v>
      </c>
      <c r="AH561" s="32">
        <f t="shared" si="1555"/>
        <v>2972</v>
      </c>
      <c r="AI561" s="32">
        <f t="shared" si="1555"/>
        <v>4896</v>
      </c>
      <c r="AJ561" s="34">
        <f t="shared" ref="AJ561:AJ567" si="1558">AB561/AA561</f>
        <v>183.8142</v>
      </c>
      <c r="AK561" s="31">
        <f>SUM(O546)</f>
        <v>5161</v>
      </c>
      <c r="AL561" s="35">
        <f t="shared" ref="AL561:AL567" si="1559">AI561/AK561</f>
        <v>0.9486533618</v>
      </c>
      <c r="AM561" s="36">
        <f>SUM(Q546)</f>
        <v>1.5</v>
      </c>
      <c r="AN561" s="35">
        <f t="shared" ref="AN561:AN567" si="1560">AO561/AM561</f>
        <v>0.8878530603</v>
      </c>
      <c r="AO561" s="37">
        <f t="shared" ref="AO561:AO567" si="1561">AI561/AB561</f>
        <v>1.33177959</v>
      </c>
      <c r="AP561" s="36">
        <f t="shared" ref="AP561:AQ561" si="1556">SUM(T546)</f>
        <v>255.0318418</v>
      </c>
      <c r="AQ561" s="36">
        <f t="shared" si="1556"/>
        <v>12.75159209</v>
      </c>
      <c r="AR561" s="32">
        <f t="shared" ref="AR561:AR567" si="1563">AI561/AA561</f>
        <v>244.8</v>
      </c>
    </row>
    <row r="562" ht="15.75" customHeight="1">
      <c r="A562" s="21"/>
      <c r="B562" s="38">
        <v>17.0</v>
      </c>
      <c r="C562" s="38" t="s">
        <v>29</v>
      </c>
      <c r="D562" s="39">
        <v>30.0</v>
      </c>
      <c r="E562" s="40">
        <f>IFERROR(__xludf.DUMMYFUNCTION("COUNT(IMPORTRANGE(""https://docs.google.com/spreadsheets/d/1ja_RQYsP0p5wRrACHojay4CW1wLx0QdS5tSwp-vYQ-s/edit"",""21!d2:d31""))"),30.0)</f>
        <v>30</v>
      </c>
      <c r="F562" s="45">
        <f>IFERROR(__xludf.DUMMYFUNCTION("SUM(IMPORTRANGE(""https://docs.google.com/spreadsheets/d/1ja_RQYsP0p5wRrACHojay4CW1wLx0QdS5tSwp-vYQ-s/edit"",""21!Q2:Q31""))"),6119.420999999998)</f>
        <v>6119.421</v>
      </c>
      <c r="G562" s="40">
        <f>IFERROR(__xludf.DUMMYFUNCTION("IMPORTRANGE(""https://docs.google.com/spreadsheets/d/1ja_RQYsP0p5wRrACHojay4CW1wLx0QdS5tSwp-vYQ-s/edit"",""21!e38"")"),2718.0)</f>
        <v>2718</v>
      </c>
      <c r="H562" s="40">
        <f>IFERROR(__xludf.DUMMYFUNCTION("IMPORTRANGE(""https://docs.google.com/spreadsheets/d/1ja_RQYsP0p5wRrACHojay4CW1wLx0QdS5tSwp-vYQ-s/edit"",""21!e39"")"),0.0)</f>
        <v>0</v>
      </c>
      <c r="I562" s="40">
        <f t="shared" si="1515"/>
        <v>2718</v>
      </c>
      <c r="J562" s="40">
        <f>IFERROR(__xludf.DUMMYFUNCTION("IMPORTRANGE(""https://docs.google.com/spreadsheets/d/1ja_RQYsP0p5wRrACHojay4CW1wLx0QdS5tSwp-vYQ-s/edit"",""21!e42"")"),4243.0)</f>
        <v>4243</v>
      </c>
      <c r="K562" s="40">
        <f>IFERROR(__xludf.DUMMYFUNCTION("IMPORTRANGE(""https://docs.google.com/spreadsheets/d/1ja_RQYsP0p5wRrACHojay4CW1wLx0QdS5tSwp-vYQ-s/edit"",""21!e43"")"),0.0)</f>
        <v>0</v>
      </c>
      <c r="L562" s="40">
        <f t="shared" si="1545"/>
        <v>4243</v>
      </c>
      <c r="M562" s="40">
        <f t="shared" si="1517"/>
        <v>6961</v>
      </c>
      <c r="N562" s="41">
        <f t="shared" si="1518"/>
        <v>203.9807</v>
      </c>
      <c r="O562" s="38">
        <v>9201.0</v>
      </c>
      <c r="P562" s="42">
        <f t="shared" si="1519"/>
        <v>0.7565482013</v>
      </c>
      <c r="Q562" s="43">
        <v>1.5</v>
      </c>
      <c r="R562" s="42">
        <f t="shared" si="1520"/>
        <v>0.758350613</v>
      </c>
      <c r="S562" s="44">
        <f t="shared" si="1521"/>
        <v>1.13752592</v>
      </c>
      <c r="T562" s="43">
        <f>F562/26.491</f>
        <v>231</v>
      </c>
      <c r="U562" s="43">
        <f t="shared" si="1522"/>
        <v>7.7</v>
      </c>
      <c r="V562" s="40">
        <f t="shared" si="1523"/>
        <v>232.0333333</v>
      </c>
      <c r="X562" s="31">
        <v>2.0</v>
      </c>
      <c r="Y562" s="31" t="s">
        <v>32</v>
      </c>
      <c r="Z562" s="31">
        <f t="shared" ref="Z562:AI562" si="1557">SUM(D549)</f>
        <v>42</v>
      </c>
      <c r="AA562" s="32">
        <f t="shared" si="1557"/>
        <v>40</v>
      </c>
      <c r="AB562" s="33">
        <f t="shared" si="1557"/>
        <v>7829.917</v>
      </c>
      <c r="AC562" s="31">
        <f t="shared" si="1557"/>
        <v>4902</v>
      </c>
      <c r="AD562" s="31">
        <f t="shared" si="1557"/>
        <v>60</v>
      </c>
      <c r="AE562" s="32">
        <f t="shared" si="1557"/>
        <v>4962</v>
      </c>
      <c r="AF562" s="31">
        <f t="shared" si="1557"/>
        <v>5365</v>
      </c>
      <c r="AG562" s="31">
        <f t="shared" si="1557"/>
        <v>0</v>
      </c>
      <c r="AH562" s="32">
        <f t="shared" si="1557"/>
        <v>5365</v>
      </c>
      <c r="AI562" s="32">
        <f t="shared" si="1557"/>
        <v>10327</v>
      </c>
      <c r="AJ562" s="34">
        <f t="shared" si="1558"/>
        <v>195.747925</v>
      </c>
      <c r="AK562" s="31">
        <f>SUM(O549)</f>
        <v>13817</v>
      </c>
      <c r="AL562" s="35">
        <f t="shared" si="1559"/>
        <v>0.7474126077</v>
      </c>
      <c r="AM562" s="36">
        <f>SUM(Q549)</f>
        <v>1.5</v>
      </c>
      <c r="AN562" s="35">
        <f t="shared" si="1560"/>
        <v>0.8792770941</v>
      </c>
      <c r="AO562" s="37">
        <f t="shared" si="1561"/>
        <v>1.318915641</v>
      </c>
      <c r="AP562" s="36">
        <f t="shared" ref="AP562:AQ562" si="1562">SUM(T549)</f>
        <v>312.0856551</v>
      </c>
      <c r="AQ562" s="36">
        <f t="shared" si="1562"/>
        <v>7.802141377</v>
      </c>
      <c r="AR562" s="32">
        <f t="shared" si="1563"/>
        <v>258.175</v>
      </c>
    </row>
    <row r="563" ht="15.75" customHeight="1">
      <c r="A563" s="21"/>
      <c r="B563" s="38">
        <v>18.0</v>
      </c>
      <c r="C563" s="38" t="s">
        <v>31</v>
      </c>
      <c r="D563" s="39">
        <v>15.0</v>
      </c>
      <c r="E563" s="40">
        <f>IFERROR(__xludf.DUMMYFUNCTION("COUNT(IMPORTRANGE(""https://docs.google.com/spreadsheets/d/1ObnK1oSznTOmyW9Zcd2kxExl7TOnO2MNq_0giEKc_mE/edit"",""21!d2:d16""))"),13.0)</f>
        <v>13</v>
      </c>
      <c r="F563" s="41">
        <f>IFERROR(__xludf.DUMMYFUNCTION("SUM(IMPORTRANGE(""https://docs.google.com/spreadsheets/d/1ObnK1oSznTOmyW9Zcd2kxExl7TOnO2MNq_0giEKc_mE/edit"",""21!Q2:Q16""))"),2607.8999999999996)</f>
        <v>2607.9</v>
      </c>
      <c r="G563" s="40">
        <f>IFERROR(__xludf.DUMMYFUNCTION("IMPORTRANGE(""https://docs.google.com/spreadsheets/d/1ObnK1oSznTOmyW9Zcd2kxExl7TOnO2MNq_0giEKc_mE/edit"",""21!e23"")"),864.0)</f>
        <v>864</v>
      </c>
      <c r="H563" s="40">
        <f>IFERROR(__xludf.DUMMYFUNCTION("IMPORTRANGE(""https://docs.google.com/spreadsheets/d/1ObnK1oSznTOmyW9Zcd2kxExl7TOnO2MNq_0giEKc_mE/edit"",""21!e24"")"),9.0)</f>
        <v>9</v>
      </c>
      <c r="I563" s="40">
        <f t="shared" si="1515"/>
        <v>873</v>
      </c>
      <c r="J563" s="40">
        <f>IFERROR(__xludf.DUMMYFUNCTION("IMPORTRANGE(""https://docs.google.com/spreadsheets/d/1ObnK1oSznTOmyW9Zcd2kxExl7TOnO2MNq_0giEKc_mE/edit"",""21!e27"")"),1073.0)</f>
        <v>1073</v>
      </c>
      <c r="K563" s="40">
        <f>IFERROR(__xludf.DUMMYFUNCTION("IMPORTRANGE(""https://docs.google.com/spreadsheets/d/1ObnK1oSznTOmyW9Zcd2kxExl7TOnO2MNq_0giEKc_mE/edit"",""21!e28"")"),0.0)</f>
        <v>0</v>
      </c>
      <c r="L563" s="40">
        <f t="shared" si="1545"/>
        <v>1073</v>
      </c>
      <c r="M563" s="40">
        <f t="shared" si="1517"/>
        <v>1946</v>
      </c>
      <c r="N563" s="41">
        <f t="shared" si="1518"/>
        <v>200.6076923</v>
      </c>
      <c r="O563" s="38">
        <v>2717.0</v>
      </c>
      <c r="P563" s="42">
        <f t="shared" si="1519"/>
        <v>0.7162311373</v>
      </c>
      <c r="Q563" s="43">
        <v>1.5</v>
      </c>
      <c r="R563" s="42">
        <f t="shared" si="1520"/>
        <v>0.4974628373</v>
      </c>
      <c r="S563" s="44">
        <f t="shared" si="1521"/>
        <v>0.7461942559</v>
      </c>
      <c r="T563" s="43">
        <f>F563/43.465</f>
        <v>60</v>
      </c>
      <c r="U563" s="43">
        <f t="shared" si="1522"/>
        <v>4.615384615</v>
      </c>
      <c r="V563" s="40">
        <f t="shared" si="1523"/>
        <v>149.6923077</v>
      </c>
      <c r="X563" s="31">
        <v>3.0</v>
      </c>
      <c r="Y563" s="31" t="s">
        <v>36</v>
      </c>
      <c r="Z563" s="31">
        <f t="shared" ref="Z563:AI563" si="1564">SUM(D554)</f>
        <v>29</v>
      </c>
      <c r="AA563" s="32">
        <f t="shared" si="1564"/>
        <v>29</v>
      </c>
      <c r="AB563" s="33">
        <f t="shared" si="1564"/>
        <v>5641.534</v>
      </c>
      <c r="AC563" s="32">
        <f t="shared" si="1564"/>
        <v>1569</v>
      </c>
      <c r="AD563" s="32">
        <f t="shared" si="1564"/>
        <v>0</v>
      </c>
      <c r="AE563" s="32">
        <f t="shared" si="1564"/>
        <v>1569</v>
      </c>
      <c r="AF563" s="32">
        <f t="shared" si="1564"/>
        <v>2401</v>
      </c>
      <c r="AG563" s="32">
        <f t="shared" si="1564"/>
        <v>0</v>
      </c>
      <c r="AH563" s="32">
        <f t="shared" si="1564"/>
        <v>2401</v>
      </c>
      <c r="AI563" s="32">
        <f t="shared" si="1564"/>
        <v>3970</v>
      </c>
      <c r="AJ563" s="34">
        <f t="shared" si="1558"/>
        <v>194.5356552</v>
      </c>
      <c r="AK563" s="31">
        <f t="shared" ref="AK563:AK566" si="1568">SUM(O554)</f>
        <v>4796</v>
      </c>
      <c r="AL563" s="35">
        <f t="shared" si="1559"/>
        <v>0.8277731443</v>
      </c>
      <c r="AM563" s="36">
        <f t="shared" ref="AM563:AM566" si="1569">SUM(Q554)</f>
        <v>1.5</v>
      </c>
      <c r="AN563" s="35">
        <f t="shared" si="1560"/>
        <v>0.4691395402</v>
      </c>
      <c r="AO563" s="37">
        <f t="shared" si="1561"/>
        <v>0.7037093103</v>
      </c>
      <c r="AP563" s="36">
        <f t="shared" ref="AP563:AQ563" si="1565">SUM(T554)</f>
        <v>150.7867109</v>
      </c>
      <c r="AQ563" s="36">
        <f t="shared" si="1565"/>
        <v>5.199541754</v>
      </c>
      <c r="AR563" s="32">
        <f t="shared" si="1563"/>
        <v>136.8965517</v>
      </c>
    </row>
    <row r="564" ht="15.75" customHeight="1">
      <c r="A564" s="21"/>
      <c r="B564" s="60" t="s">
        <v>33</v>
      </c>
      <c r="C564" s="60">
        <v>18.0</v>
      </c>
      <c r="D564" s="60">
        <f t="shared" ref="D564:M564" si="1566">SUM(D546:D563)</f>
        <v>585</v>
      </c>
      <c r="E564" s="61">
        <f t="shared" si="1566"/>
        <v>571</v>
      </c>
      <c r="F564" s="62">
        <f t="shared" si="1566"/>
        <v>111888.861</v>
      </c>
      <c r="G564" s="61">
        <f t="shared" si="1566"/>
        <v>42341</v>
      </c>
      <c r="H564" s="61">
        <f t="shared" si="1566"/>
        <v>696</v>
      </c>
      <c r="I564" s="61">
        <f t="shared" si="1566"/>
        <v>43037</v>
      </c>
      <c r="J564" s="61">
        <f t="shared" si="1566"/>
        <v>56624</v>
      </c>
      <c r="K564" s="61">
        <f t="shared" si="1566"/>
        <v>719</v>
      </c>
      <c r="L564" s="61">
        <f t="shared" si="1566"/>
        <v>57343</v>
      </c>
      <c r="M564" s="61">
        <f t="shared" si="1566"/>
        <v>100380</v>
      </c>
      <c r="N564" s="62">
        <f t="shared" si="1518"/>
        <v>195.9524711</v>
      </c>
      <c r="O564" s="60">
        <f>SUM(O546:O563)</f>
        <v>126399</v>
      </c>
      <c r="P564" s="63">
        <f t="shared" si="1519"/>
        <v>0.7941518525</v>
      </c>
      <c r="Q564" s="64">
        <v>1.5</v>
      </c>
      <c r="R564" s="63">
        <f t="shared" si="1520"/>
        <v>0.5980934957</v>
      </c>
      <c r="S564" s="65">
        <f t="shared" si="1521"/>
        <v>0.8971402435</v>
      </c>
      <c r="T564" s="64">
        <f>SUM(T546:T563)</f>
        <v>4111.842377</v>
      </c>
      <c r="U564" s="64">
        <f t="shared" si="1522"/>
        <v>7.201125003</v>
      </c>
      <c r="V564" s="61">
        <f t="shared" si="1523"/>
        <v>175.7968476</v>
      </c>
      <c r="X564" s="31">
        <v>4.0</v>
      </c>
      <c r="Y564" s="31" t="s">
        <v>37</v>
      </c>
      <c r="Z564" s="31">
        <f t="shared" ref="Z564:AI564" si="1567">SUM(D555)</f>
        <v>30</v>
      </c>
      <c r="AA564" s="32">
        <f t="shared" si="1567"/>
        <v>29</v>
      </c>
      <c r="AB564" s="33">
        <f t="shared" si="1567"/>
        <v>5564.268</v>
      </c>
      <c r="AC564" s="32">
        <f t="shared" si="1567"/>
        <v>2058</v>
      </c>
      <c r="AD564" s="32">
        <f t="shared" si="1567"/>
        <v>0</v>
      </c>
      <c r="AE564" s="32">
        <f t="shared" si="1567"/>
        <v>2058</v>
      </c>
      <c r="AF564" s="32">
        <f t="shared" si="1567"/>
        <v>3166</v>
      </c>
      <c r="AG564" s="32">
        <f t="shared" si="1567"/>
        <v>0</v>
      </c>
      <c r="AH564" s="32">
        <f t="shared" si="1567"/>
        <v>3166</v>
      </c>
      <c r="AI564" s="32">
        <f t="shared" si="1567"/>
        <v>5224</v>
      </c>
      <c r="AJ564" s="34">
        <f t="shared" si="1558"/>
        <v>191.8713103</v>
      </c>
      <c r="AK564" s="31">
        <f t="shared" si="1568"/>
        <v>5887</v>
      </c>
      <c r="AL564" s="35">
        <f t="shared" si="1559"/>
        <v>0.8873789706</v>
      </c>
      <c r="AM564" s="36">
        <f t="shared" si="1569"/>
        <v>1.5</v>
      </c>
      <c r="AN564" s="35">
        <f t="shared" si="1560"/>
        <v>0.625898441</v>
      </c>
      <c r="AO564" s="37">
        <f t="shared" si="1561"/>
        <v>0.9388476615</v>
      </c>
      <c r="AP564" s="36">
        <f t="shared" ref="AP564:AQ564" si="1570">SUM(T555)</f>
        <v>224.4380445</v>
      </c>
      <c r="AQ564" s="36">
        <f t="shared" si="1570"/>
        <v>7.739242915</v>
      </c>
      <c r="AR564" s="32">
        <f t="shared" si="1563"/>
        <v>180.137931</v>
      </c>
    </row>
    <row r="565" ht="15.7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X565" s="31">
        <v>5.0</v>
      </c>
      <c r="Y565" s="31" t="s">
        <v>39</v>
      </c>
      <c r="Z565" s="31">
        <f t="shared" ref="Z565:AI565" si="1571">SUM(D556)</f>
        <v>28</v>
      </c>
      <c r="AA565" s="32">
        <f t="shared" si="1571"/>
        <v>28</v>
      </c>
      <c r="AB565" s="33">
        <f t="shared" si="1571"/>
        <v>5415.952</v>
      </c>
      <c r="AC565" s="32">
        <f t="shared" si="1571"/>
        <v>1080</v>
      </c>
      <c r="AD565" s="32">
        <f t="shared" si="1571"/>
        <v>72</v>
      </c>
      <c r="AE565" s="32">
        <f t="shared" si="1571"/>
        <v>1152</v>
      </c>
      <c r="AF565" s="32">
        <f t="shared" si="1571"/>
        <v>1873</v>
      </c>
      <c r="AG565" s="32">
        <f t="shared" si="1571"/>
        <v>43</v>
      </c>
      <c r="AH565" s="32">
        <f t="shared" si="1571"/>
        <v>1916</v>
      </c>
      <c r="AI565" s="32">
        <f t="shared" si="1571"/>
        <v>3068</v>
      </c>
      <c r="AJ565" s="34">
        <f t="shared" si="1558"/>
        <v>193.4268571</v>
      </c>
      <c r="AK565" s="31">
        <f t="shared" si="1568"/>
        <v>3569</v>
      </c>
      <c r="AL565" s="35">
        <f t="shared" si="1559"/>
        <v>0.8596245447</v>
      </c>
      <c r="AM565" s="36">
        <f t="shared" si="1569"/>
        <v>1.5</v>
      </c>
      <c r="AN565" s="35">
        <f t="shared" si="1560"/>
        <v>0.3776498265</v>
      </c>
      <c r="AO565" s="37">
        <f t="shared" si="1561"/>
        <v>0.5664747398</v>
      </c>
      <c r="AP565" s="36">
        <f t="shared" ref="AP565:AQ565" si="1572">SUM(T556)</f>
        <v>252.339002</v>
      </c>
      <c r="AQ565" s="36">
        <f t="shared" si="1572"/>
        <v>9.012107214</v>
      </c>
      <c r="AR565" s="32">
        <f t="shared" si="1563"/>
        <v>109.5714286</v>
      </c>
    </row>
    <row r="566" ht="15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X566" s="31">
        <v>6.0</v>
      </c>
      <c r="Y566" s="31" t="s">
        <v>41</v>
      </c>
      <c r="Z566" s="31">
        <f t="shared" ref="Z566:AI566" si="1573">SUM(D557)</f>
        <v>24</v>
      </c>
      <c r="AA566" s="32">
        <f t="shared" si="1573"/>
        <v>24</v>
      </c>
      <c r="AB566" s="33">
        <f t="shared" si="1573"/>
        <v>4763.524</v>
      </c>
      <c r="AC566" s="32">
        <f t="shared" si="1573"/>
        <v>1281</v>
      </c>
      <c r="AD566" s="32">
        <f t="shared" si="1573"/>
        <v>0</v>
      </c>
      <c r="AE566" s="32">
        <f t="shared" si="1573"/>
        <v>1281</v>
      </c>
      <c r="AF566" s="32">
        <f t="shared" si="1573"/>
        <v>1718</v>
      </c>
      <c r="AG566" s="32">
        <f t="shared" si="1573"/>
        <v>0</v>
      </c>
      <c r="AH566" s="32">
        <f t="shared" si="1573"/>
        <v>1718</v>
      </c>
      <c r="AI566" s="32">
        <f t="shared" si="1573"/>
        <v>2999</v>
      </c>
      <c r="AJ566" s="34">
        <f t="shared" si="1558"/>
        <v>198.4801667</v>
      </c>
      <c r="AK566" s="31">
        <f t="shared" si="1568"/>
        <v>3801</v>
      </c>
      <c r="AL566" s="35">
        <f t="shared" si="1559"/>
        <v>0.789002894</v>
      </c>
      <c r="AM566" s="36">
        <f t="shared" si="1569"/>
        <v>1.5</v>
      </c>
      <c r="AN566" s="35">
        <f t="shared" si="1560"/>
        <v>0.4197172793</v>
      </c>
      <c r="AO566" s="37">
        <f t="shared" si="1561"/>
        <v>0.629575919</v>
      </c>
      <c r="AP566" s="36">
        <f t="shared" ref="AP566:AQ566" si="1574">SUM(T557)</f>
        <v>160.7777778</v>
      </c>
      <c r="AQ566" s="36">
        <f t="shared" si="1574"/>
        <v>6.699074074</v>
      </c>
      <c r="AR566" s="32">
        <f t="shared" si="1563"/>
        <v>124.9583333</v>
      </c>
    </row>
    <row r="567" ht="15.75" customHeight="1">
      <c r="A567" s="1" t="s">
        <v>45</v>
      </c>
      <c r="D567" s="2"/>
      <c r="X567" s="46" t="s">
        <v>33</v>
      </c>
      <c r="Y567" s="46">
        <v>6.0</v>
      </c>
      <c r="Z567" s="46">
        <f t="shared" ref="Z567:AI567" si="1575">SUM(Z561:Z566)</f>
        <v>173</v>
      </c>
      <c r="AA567" s="47">
        <f t="shared" si="1575"/>
        <v>170</v>
      </c>
      <c r="AB567" s="49">
        <f t="shared" si="1575"/>
        <v>32891.479</v>
      </c>
      <c r="AC567" s="47">
        <f t="shared" si="1575"/>
        <v>12814</v>
      </c>
      <c r="AD567" s="47">
        <f t="shared" si="1575"/>
        <v>132</v>
      </c>
      <c r="AE567" s="47">
        <f t="shared" si="1575"/>
        <v>12946</v>
      </c>
      <c r="AF567" s="47">
        <f t="shared" si="1575"/>
        <v>17495</v>
      </c>
      <c r="AG567" s="47">
        <f t="shared" si="1575"/>
        <v>43</v>
      </c>
      <c r="AH567" s="47">
        <f t="shared" si="1575"/>
        <v>17538</v>
      </c>
      <c r="AI567" s="47">
        <f t="shared" si="1575"/>
        <v>30484</v>
      </c>
      <c r="AJ567" s="49">
        <f t="shared" si="1558"/>
        <v>193.4792882</v>
      </c>
      <c r="AK567" s="46">
        <f>SUM(AK561:AK566)</f>
        <v>37031</v>
      </c>
      <c r="AL567" s="50">
        <f t="shared" si="1559"/>
        <v>0.823202182</v>
      </c>
      <c r="AM567" s="51">
        <v>1.5</v>
      </c>
      <c r="AN567" s="50">
        <f t="shared" si="1560"/>
        <v>0.6178702595</v>
      </c>
      <c r="AO567" s="52">
        <f t="shared" si="1561"/>
        <v>0.9268053893</v>
      </c>
      <c r="AP567" s="51">
        <f>SUM(AP561:AP566)</f>
        <v>1355.459032</v>
      </c>
      <c r="AQ567" s="51">
        <f>AP567/AA567</f>
        <v>7.973288424</v>
      </c>
      <c r="AR567" s="47">
        <f t="shared" si="1563"/>
        <v>179.3176471</v>
      </c>
    </row>
    <row r="568" ht="15.75" customHeight="1">
      <c r="A568" s="1" t="s">
        <v>45</v>
      </c>
      <c r="D568" s="2"/>
      <c r="X568" s="66" t="s">
        <v>1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6"/>
    </row>
    <row r="569" ht="15.75" customHeight="1">
      <c r="A569" s="10">
        <v>46256.0</v>
      </c>
      <c r="B569" s="8" t="s">
        <v>2</v>
      </c>
      <c r="C569" s="8" t="s">
        <v>3</v>
      </c>
      <c r="D569" s="8" t="s">
        <v>4</v>
      </c>
      <c r="E569" s="8" t="s">
        <v>5</v>
      </c>
      <c r="F569" s="9" t="s">
        <v>6</v>
      </c>
      <c r="G569" s="8" t="s">
        <v>7</v>
      </c>
      <c r="H569" s="8" t="s">
        <v>8</v>
      </c>
      <c r="I569" s="8" t="s">
        <v>9</v>
      </c>
      <c r="J569" s="8" t="s">
        <v>10</v>
      </c>
      <c r="K569" s="8" t="s">
        <v>11</v>
      </c>
      <c r="L569" s="8" t="s">
        <v>12</v>
      </c>
      <c r="M569" s="8" t="s">
        <v>13</v>
      </c>
      <c r="N569" s="9" t="s">
        <v>14</v>
      </c>
      <c r="O569" s="8" t="s">
        <v>15</v>
      </c>
      <c r="P569" s="8" t="s">
        <v>16</v>
      </c>
      <c r="Q569" s="8" t="s">
        <v>17</v>
      </c>
      <c r="R569" s="8" t="s">
        <v>18</v>
      </c>
      <c r="S569" s="11" t="s">
        <v>19</v>
      </c>
      <c r="T569" s="12" t="s">
        <v>20</v>
      </c>
      <c r="U569" s="12" t="s">
        <v>21</v>
      </c>
      <c r="V569" s="13" t="s">
        <v>22</v>
      </c>
      <c r="X569" s="14" t="s">
        <v>2</v>
      </c>
      <c r="Y569" s="14" t="s">
        <v>3</v>
      </c>
      <c r="Z569" s="14" t="s">
        <v>4</v>
      </c>
      <c r="AA569" s="14" t="s">
        <v>5</v>
      </c>
      <c r="AB569" s="15" t="s">
        <v>6</v>
      </c>
      <c r="AC569" s="14" t="s">
        <v>7</v>
      </c>
      <c r="AD569" s="14" t="s">
        <v>8</v>
      </c>
      <c r="AE569" s="14" t="s">
        <v>9</v>
      </c>
      <c r="AF569" s="14" t="s">
        <v>10</v>
      </c>
      <c r="AG569" s="14" t="s">
        <v>11</v>
      </c>
      <c r="AH569" s="14" t="s">
        <v>12</v>
      </c>
      <c r="AI569" s="14" t="s">
        <v>13</v>
      </c>
      <c r="AJ569" s="15" t="s">
        <v>14</v>
      </c>
      <c r="AK569" s="14" t="s">
        <v>15</v>
      </c>
      <c r="AL569" s="14" t="s">
        <v>16</v>
      </c>
      <c r="AM569" s="16" t="s">
        <v>17</v>
      </c>
      <c r="AN569" s="17" t="s">
        <v>18</v>
      </c>
      <c r="AO569" s="18" t="s">
        <v>19</v>
      </c>
      <c r="AP569" s="19" t="s">
        <v>20</v>
      </c>
      <c r="AQ569" s="19" t="s">
        <v>21</v>
      </c>
      <c r="AR569" s="20" t="s">
        <v>22</v>
      </c>
    </row>
    <row r="570" ht="15.7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X570" s="22">
        <v>1.0</v>
      </c>
      <c r="Y570" s="22" t="s">
        <v>23</v>
      </c>
      <c r="Z570" s="22">
        <f t="shared" ref="Z570:AI570" si="1576">SUM(D578)</f>
        <v>28</v>
      </c>
      <c r="AA570" s="23">
        <f t="shared" si="1576"/>
        <v>28</v>
      </c>
      <c r="AB570" s="24">
        <f t="shared" si="1576"/>
        <v>5398.4</v>
      </c>
      <c r="AC570" s="23">
        <f t="shared" si="1576"/>
        <v>1256</v>
      </c>
      <c r="AD570" s="23">
        <f t="shared" si="1576"/>
        <v>0</v>
      </c>
      <c r="AE570" s="23">
        <f t="shared" si="1576"/>
        <v>1256</v>
      </c>
      <c r="AF570" s="23">
        <f t="shared" si="1576"/>
        <v>2376</v>
      </c>
      <c r="AG570" s="23">
        <f t="shared" si="1576"/>
        <v>0</v>
      </c>
      <c r="AH570" s="23">
        <f t="shared" si="1576"/>
        <v>2376</v>
      </c>
      <c r="AI570" s="23">
        <f t="shared" si="1576"/>
        <v>3632</v>
      </c>
      <c r="AJ570" s="25">
        <f t="shared" ref="AJ570:AJ572" si="1579">AB570/AA570</f>
        <v>192.8</v>
      </c>
      <c r="AK570" s="22">
        <f>SUM(O578)</f>
        <v>6853</v>
      </c>
      <c r="AL570" s="26">
        <f t="shared" ref="AL570:AL576" si="1580">AI570/AK570</f>
        <v>0.5299868671</v>
      </c>
      <c r="AM570" s="27">
        <f t="shared" ref="AM570:AM572" si="1581">SUM(Q578)</f>
        <v>1.5</v>
      </c>
      <c r="AN570" s="26">
        <f t="shared" ref="AN570:AN576" si="1582">AO570/AM570</f>
        <v>0.4485279589</v>
      </c>
      <c r="AO570" s="28">
        <f t="shared" ref="AO570:AO576" si="1583">AI570/AB570</f>
        <v>0.6727919384</v>
      </c>
      <c r="AP570" s="27">
        <f t="shared" ref="AP570:AQ570" si="1577">SUM(T578)</f>
        <v>160</v>
      </c>
      <c r="AQ570" s="27">
        <f t="shared" si="1577"/>
        <v>5.714285714</v>
      </c>
      <c r="AR570" s="23">
        <f t="shared" ref="AR570:AR576" si="1585">AI570/AA570</f>
        <v>129.7142857</v>
      </c>
    </row>
    <row r="571" ht="15.7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X571" s="22">
        <v>2.0</v>
      </c>
      <c r="Y571" s="22" t="s">
        <v>24</v>
      </c>
      <c r="Z571" s="22">
        <f t="shared" ref="Z571:AI571" si="1578">SUM(D579)</f>
        <v>37</v>
      </c>
      <c r="AA571" s="23">
        <f t="shared" si="1578"/>
        <v>37</v>
      </c>
      <c r="AB571" s="24">
        <f t="shared" si="1578"/>
        <v>7252.805</v>
      </c>
      <c r="AC571" s="23">
        <f t="shared" si="1578"/>
        <v>717</v>
      </c>
      <c r="AD571" s="23">
        <f t="shared" si="1578"/>
        <v>0</v>
      </c>
      <c r="AE571" s="23">
        <f t="shared" si="1578"/>
        <v>717</v>
      </c>
      <c r="AF571" s="23">
        <f t="shared" si="1578"/>
        <v>1161</v>
      </c>
      <c r="AG571" s="23">
        <f t="shared" si="1578"/>
        <v>0</v>
      </c>
      <c r="AH571" s="23">
        <f t="shared" si="1578"/>
        <v>1161</v>
      </c>
      <c r="AI571" s="23">
        <f t="shared" si="1578"/>
        <v>1878</v>
      </c>
      <c r="AJ571" s="25">
        <f t="shared" si="1579"/>
        <v>196.0217568</v>
      </c>
      <c r="AK571" s="22">
        <v>1580.0</v>
      </c>
      <c r="AL571" s="29">
        <f t="shared" si="1580"/>
        <v>1.188607595</v>
      </c>
      <c r="AM571" s="27">
        <f t="shared" si="1581"/>
        <v>1.5</v>
      </c>
      <c r="AN571" s="26">
        <f t="shared" si="1582"/>
        <v>0.172622868</v>
      </c>
      <c r="AO571" s="28">
        <f t="shared" si="1583"/>
        <v>0.258934302</v>
      </c>
      <c r="AP571" s="27">
        <f t="shared" ref="AP571:AQ571" si="1584">SUM(T579)</f>
        <v>270.5765715</v>
      </c>
      <c r="AQ571" s="27">
        <f t="shared" si="1584"/>
        <v>7.312880312</v>
      </c>
      <c r="AR571" s="23">
        <f t="shared" si="1585"/>
        <v>50.75675676</v>
      </c>
    </row>
    <row r="572" ht="15.75" customHeight="1">
      <c r="A572" s="21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X572" s="31">
        <v>3.0</v>
      </c>
      <c r="Y572" s="31" t="s">
        <v>25</v>
      </c>
      <c r="Z572" s="31">
        <f t="shared" ref="Z572:AI572" si="1586">SUM(D580)</f>
        <v>27</v>
      </c>
      <c r="AA572" s="32">
        <f t="shared" si="1586"/>
        <v>26</v>
      </c>
      <c r="AB572" s="33">
        <f t="shared" si="1586"/>
        <v>4860.736</v>
      </c>
      <c r="AC572" s="32">
        <f t="shared" si="1586"/>
        <v>1765</v>
      </c>
      <c r="AD572" s="32">
        <f t="shared" si="1586"/>
        <v>420</v>
      </c>
      <c r="AE572" s="32">
        <f t="shared" si="1586"/>
        <v>2185</v>
      </c>
      <c r="AF572" s="32">
        <f t="shared" si="1586"/>
        <v>2334</v>
      </c>
      <c r="AG572" s="32">
        <f t="shared" si="1586"/>
        <v>253</v>
      </c>
      <c r="AH572" s="32">
        <f t="shared" si="1586"/>
        <v>2587</v>
      </c>
      <c r="AI572" s="32">
        <f t="shared" si="1586"/>
        <v>4772</v>
      </c>
      <c r="AJ572" s="34">
        <f t="shared" si="1579"/>
        <v>186.9513846</v>
      </c>
      <c r="AK572" s="31">
        <f>SUM(O580)</f>
        <v>6622</v>
      </c>
      <c r="AL572" s="35">
        <f t="shared" si="1580"/>
        <v>0.720628209</v>
      </c>
      <c r="AM572" s="36">
        <f t="shared" si="1581"/>
        <v>1.5</v>
      </c>
      <c r="AN572" s="35">
        <f t="shared" si="1582"/>
        <v>0.654496219</v>
      </c>
      <c r="AO572" s="37">
        <f t="shared" si="1583"/>
        <v>0.9817443284</v>
      </c>
      <c r="AP572" s="36">
        <f t="shared" ref="AP572:AQ572" si="1587">SUM(T580)</f>
        <v>203.8899329</v>
      </c>
      <c r="AQ572" s="36">
        <f t="shared" si="1587"/>
        <v>7.841920496</v>
      </c>
      <c r="AR572" s="32">
        <f t="shared" si="1585"/>
        <v>183.5384615</v>
      </c>
    </row>
    <row r="573" ht="15.75" customHeight="1">
      <c r="A573" s="21"/>
      <c r="B573" s="38">
        <v>1.0</v>
      </c>
      <c r="C573" s="38" t="s">
        <v>26</v>
      </c>
      <c r="D573" s="39">
        <v>16.0</v>
      </c>
      <c r="E573" s="40">
        <f>IFERROR(__xludf.DUMMYFUNCTION("COUNT(IMPORTRANGE(""https://docs.google.com/spreadsheets/d/1iVFEBQOAONhqDIMRa2hQ7WkCQv0dJWSAmc0AzfvSCMg/edit"",""22!d2:d21""))"),16.0)</f>
        <v>16</v>
      </c>
      <c r="F573" s="41">
        <f>IFERROR(__xludf.DUMMYFUNCTION("SUM(IMPORTRANGE(""https://docs.google.com/spreadsheets/d/1iVFEBQOAONhqDIMRa2hQ7WkCQv0dJWSAmc0AzfvSCMg/edit"",""22!Q2:Q21""))"),3179.043)</f>
        <v>3179.043</v>
      </c>
      <c r="G573" s="40">
        <f>IFERROR(__xludf.DUMMYFUNCTION("IMPORTRANGE(""https://docs.google.com/spreadsheets/d/1iVFEBQOAONhqDIMRa2hQ7WkCQv0dJWSAmc0AzfvSCMg/edit"",""22!e28"")"),1522.0)</f>
        <v>1522</v>
      </c>
      <c r="H573" s="40">
        <f>IFERROR(__xludf.DUMMYFUNCTION("IMPORTRANGE(""https://docs.google.com/spreadsheets/d/1iVFEBQOAONhqDIMRa2hQ7WkCQv0dJWSAmc0AzfvSCMg/edit"",""22!e29"")"),0.0)</f>
        <v>0</v>
      </c>
      <c r="I573" s="40">
        <f t="shared" ref="I573:I590" si="1590">SUM(G573:H573)</f>
        <v>1522</v>
      </c>
      <c r="J573" s="40">
        <f>IFERROR(__xludf.DUMMYFUNCTION("IMPORTRANGE(""https://docs.google.com/spreadsheets/d/1iVFEBQOAONhqDIMRa2hQ7WkCQv0dJWSAmc0AzfvSCMg/edit"",""22!e32"")"),2117.0)</f>
        <v>2117</v>
      </c>
      <c r="K573" s="40">
        <f>IFERROR(__xludf.DUMMYFUNCTION("IMPORTRANGE(""https://docs.google.com/spreadsheets/d/1iVFEBQOAONhqDIMRa2hQ7WkCQv0dJWSAmc0AzfvSCMg/edit"",""22!e33"")"),0.0)</f>
        <v>0</v>
      </c>
      <c r="L573" s="40">
        <f t="shared" ref="L573:L579" si="1591">SUM(J573:K573)</f>
        <v>2117</v>
      </c>
      <c r="M573" s="40">
        <f t="shared" ref="M573:M590" si="1592">SUM(I573+L573)</f>
        <v>3639</v>
      </c>
      <c r="N573" s="41">
        <f t="shared" ref="N573:N591" si="1593">F573/E573</f>
        <v>198.6901875</v>
      </c>
      <c r="O573" s="38">
        <v>5161.0</v>
      </c>
      <c r="P573" s="42">
        <f t="shared" ref="P573:P591" si="1594">M573/O573</f>
        <v>0.7050959116</v>
      </c>
      <c r="Q573" s="43">
        <v>1.5</v>
      </c>
      <c r="R573" s="42">
        <f t="shared" ref="R573:R591" si="1595">S573/Q573</f>
        <v>0.7631227385</v>
      </c>
      <c r="S573" s="44">
        <f t="shared" ref="S573:S591" si="1596">M573/F573</f>
        <v>1.144684108</v>
      </c>
      <c r="T573" s="43">
        <f>F573/14.415</f>
        <v>220.5371488</v>
      </c>
      <c r="U573" s="43">
        <f t="shared" ref="U573:U591" si="1597">T573/E573</f>
        <v>13.7835718</v>
      </c>
      <c r="V573" s="40">
        <f t="shared" ref="V573:V591" si="1598">M573/E573</f>
        <v>227.4375</v>
      </c>
      <c r="X573" s="22">
        <v>4.0</v>
      </c>
      <c r="Y573" s="22" t="s">
        <v>27</v>
      </c>
      <c r="Z573" s="22">
        <f t="shared" ref="Z573:AK573" si="1588">SUM(D586)</f>
        <v>24</v>
      </c>
      <c r="AA573" s="23">
        <f t="shared" si="1588"/>
        <v>22</v>
      </c>
      <c r="AB573" s="24">
        <f t="shared" si="1588"/>
        <v>4086.795</v>
      </c>
      <c r="AC573" s="23">
        <f t="shared" si="1588"/>
        <v>1703</v>
      </c>
      <c r="AD573" s="23">
        <f t="shared" si="1588"/>
        <v>0</v>
      </c>
      <c r="AE573" s="23">
        <f t="shared" si="1588"/>
        <v>1703</v>
      </c>
      <c r="AF573" s="23">
        <f t="shared" si="1588"/>
        <v>2290</v>
      </c>
      <c r="AG573" s="23">
        <f t="shared" si="1588"/>
        <v>0</v>
      </c>
      <c r="AH573" s="23">
        <f t="shared" si="1588"/>
        <v>2290</v>
      </c>
      <c r="AI573" s="23">
        <f t="shared" si="1588"/>
        <v>3993</v>
      </c>
      <c r="AJ573" s="25">
        <f t="shared" si="1588"/>
        <v>185.7634091</v>
      </c>
      <c r="AK573" s="22">
        <f t="shared" si="1588"/>
        <v>8101</v>
      </c>
      <c r="AL573" s="26">
        <f t="shared" si="1580"/>
        <v>0.4929021109</v>
      </c>
      <c r="AM573" s="27">
        <f>SUM(Q586)</f>
        <v>1.5</v>
      </c>
      <c r="AN573" s="26">
        <f t="shared" si="1582"/>
        <v>0.6513661684</v>
      </c>
      <c r="AO573" s="28">
        <f t="shared" si="1583"/>
        <v>0.9770492525</v>
      </c>
      <c r="AP573" s="27">
        <f t="shared" ref="AP573:AQ573" si="1589">SUM(T586)</f>
        <v>204.4931198</v>
      </c>
      <c r="AQ573" s="27">
        <f t="shared" si="1589"/>
        <v>9.295141811</v>
      </c>
      <c r="AR573" s="23">
        <f t="shared" si="1585"/>
        <v>181.5</v>
      </c>
    </row>
    <row r="574" ht="15.75" customHeight="1">
      <c r="A574" s="21"/>
      <c r="B574" s="38">
        <v>2.0</v>
      </c>
      <c r="C574" s="38" t="s">
        <v>28</v>
      </c>
      <c r="D574" s="39">
        <v>26.0</v>
      </c>
      <c r="E574" s="40">
        <f>IFERROR(__xludf.DUMMYFUNCTION("COUNT(IMPORTRANGE(""https://docs.google.com/spreadsheets/d/1tJCeYclgeJZ4Dc78t_SkhVjtacKW-5-VGim8X1rzUzk/edit"",""22!d2:d34""))"),26.0)</f>
        <v>26</v>
      </c>
      <c r="F574" s="41">
        <f>IFERROR(__xludf.DUMMYFUNCTION("SUM(IMPORTRANGE(""https://docs.google.com/spreadsheets/d/1tJCeYclgeJZ4Dc78t_SkhVjtacKW-5-VGim8X1rzUzk/edit"",""22!Q2:Q34""))"),4938.814)</f>
        <v>4938.814</v>
      </c>
      <c r="G574" s="40">
        <f>IFERROR(__xludf.DUMMYFUNCTION("IMPORTRANGE(""https://docs.google.com/spreadsheets/d/1tJCeYclgeJZ4Dc78t_SkhVjtacKW-5-VGim8X1rzUzk/edit"",""22!e41"")"),1990.0)</f>
        <v>1990</v>
      </c>
      <c r="H574" s="40">
        <f>IFERROR(__xludf.DUMMYFUNCTION("IMPORTRANGE(""https://docs.google.com/spreadsheets/d/1tJCeYclgeJZ4Dc78t_SkhVjtacKW-5-VGim8X1rzUzk/edit"",""22!e42"")"),78.0)</f>
        <v>78</v>
      </c>
      <c r="I574" s="40">
        <f t="shared" si="1590"/>
        <v>2068</v>
      </c>
      <c r="J574" s="40">
        <f>IFERROR(__xludf.DUMMYFUNCTION("IMPORTRANGE(""https://docs.google.com/spreadsheets/d/1tJCeYclgeJZ4Dc78t_SkhVjtacKW-5-VGim8X1rzUzk/edit"",""22!e45"")"),2079.0)</f>
        <v>2079</v>
      </c>
      <c r="K574" s="40">
        <f>IFERROR(__xludf.DUMMYFUNCTION("IMPORTRANGE(""https://docs.google.com/spreadsheets/d/1tJCeYclgeJZ4Dc78t_SkhVjtacKW-5-VGim8X1rzUzk/edit"",""22!e46"")"),53.0)</f>
        <v>53</v>
      </c>
      <c r="L574" s="40">
        <f t="shared" si="1591"/>
        <v>2132</v>
      </c>
      <c r="M574" s="40">
        <f t="shared" si="1592"/>
        <v>4200</v>
      </c>
      <c r="N574" s="41">
        <f t="shared" si="1593"/>
        <v>189.9543846</v>
      </c>
      <c r="O574" s="38">
        <v>7315.0</v>
      </c>
      <c r="P574" s="42">
        <f t="shared" si="1594"/>
        <v>0.5741626794</v>
      </c>
      <c r="Q574" s="43">
        <v>1.5</v>
      </c>
      <c r="R574" s="42">
        <f t="shared" si="1595"/>
        <v>0.5669377304</v>
      </c>
      <c r="S574" s="44">
        <f t="shared" si="1596"/>
        <v>0.8504065956</v>
      </c>
      <c r="T574" s="43">
        <f>F574/30.897</f>
        <v>159.8476875</v>
      </c>
      <c r="U574" s="43">
        <f t="shared" si="1597"/>
        <v>6.14798798</v>
      </c>
      <c r="V574" s="40">
        <f t="shared" si="1598"/>
        <v>161.5384615</v>
      </c>
      <c r="X574" s="22">
        <v>5.0</v>
      </c>
      <c r="Y574" s="22" t="s">
        <v>29</v>
      </c>
      <c r="Z574" s="22">
        <f t="shared" ref="Z574:AI574" si="1599">SUM(D589)</f>
        <v>24</v>
      </c>
      <c r="AA574" s="23">
        <f t="shared" si="1599"/>
        <v>24</v>
      </c>
      <c r="AB574" s="24">
        <f t="shared" si="1599"/>
        <v>4874.344</v>
      </c>
      <c r="AC574" s="23">
        <f t="shared" si="1599"/>
        <v>2077</v>
      </c>
      <c r="AD574" s="23">
        <f t="shared" si="1599"/>
        <v>0</v>
      </c>
      <c r="AE574" s="23">
        <f t="shared" si="1599"/>
        <v>2077</v>
      </c>
      <c r="AF574" s="23">
        <f t="shared" si="1599"/>
        <v>3033</v>
      </c>
      <c r="AG574" s="23">
        <f t="shared" si="1599"/>
        <v>0</v>
      </c>
      <c r="AH574" s="23">
        <f t="shared" si="1599"/>
        <v>3033</v>
      </c>
      <c r="AI574" s="23">
        <f t="shared" si="1599"/>
        <v>5110</v>
      </c>
      <c r="AJ574" s="25">
        <f t="shared" ref="AJ574:AJ576" si="1602">AB574/AA574</f>
        <v>203.0976667</v>
      </c>
      <c r="AK574" s="22">
        <f t="shared" ref="AK574:AK575" si="1603">SUM(O589)</f>
        <v>9201</v>
      </c>
      <c r="AL574" s="26">
        <f t="shared" si="1580"/>
        <v>0.5553744158</v>
      </c>
      <c r="AM574" s="27">
        <f t="shared" ref="AM574:AM575" si="1604">SUM(Q589)</f>
        <v>1.5</v>
      </c>
      <c r="AN574" s="26">
        <f t="shared" si="1582"/>
        <v>0.6988974653</v>
      </c>
      <c r="AO574" s="28">
        <f t="shared" si="1583"/>
        <v>1.048346198</v>
      </c>
      <c r="AP574" s="27">
        <f t="shared" ref="AP574:AQ574" si="1600">SUM(T589)</f>
        <v>184</v>
      </c>
      <c r="AQ574" s="27">
        <f t="shared" si="1600"/>
        <v>7.666666667</v>
      </c>
      <c r="AR574" s="23">
        <f t="shared" si="1585"/>
        <v>212.9166667</v>
      </c>
    </row>
    <row r="575" ht="15.75" customHeight="1">
      <c r="A575" s="21"/>
      <c r="B575" s="38">
        <v>3.0</v>
      </c>
      <c r="C575" s="38" t="s">
        <v>30</v>
      </c>
      <c r="D575" s="39">
        <v>48.0</v>
      </c>
      <c r="E575" s="40">
        <f>IFERROR(__xludf.DUMMYFUNCTION("COUNT(IMPORTRANGE(""https://docs.google.com/spreadsheets/d/130gLEONC13J8KkQ6dk06x3bLRy_jCrAw2hXatQf2W50/edit"",""22!d2:d61""))"),47.0)</f>
        <v>47</v>
      </c>
      <c r="F575" s="45">
        <f>IFERROR(__xludf.DUMMYFUNCTION("SUM(IMPORTRANGE(""https://docs.google.com/spreadsheets/d/130gLEONC13J8KkQ6dk06x3bLRy_jCrAw2hXatQf2W50/edit"",""22!Q2:Q61""))"),9396.765999999992)</f>
        <v>9396.766</v>
      </c>
      <c r="G575" s="40">
        <f>IFERROR(__xludf.DUMMYFUNCTION("IMPORTRANGE(""https://docs.google.com/spreadsheets/d/130gLEONC13J8KkQ6dk06x3bLRy_jCrAw2hXatQf2W50/edit"",""22!e68"")"),2224.0)</f>
        <v>2224</v>
      </c>
      <c r="H575" s="40">
        <f>IFERROR(__xludf.DUMMYFUNCTION("IMPORTRANGE(""https://docs.google.com/spreadsheets/d/130gLEONC13J8KkQ6dk06x3bLRy_jCrAw2hXatQf2W50/edit"",""22!e69"")"),0.0)</f>
        <v>0</v>
      </c>
      <c r="I575" s="40">
        <f t="shared" si="1590"/>
        <v>2224</v>
      </c>
      <c r="J575" s="40">
        <f>IFERROR(__xludf.DUMMYFUNCTION("IMPORTRANGE(""https://docs.google.com/spreadsheets/d/130gLEONC13J8KkQ6dk06x3bLRy_jCrAw2hXatQf2W50/edit"",""22!e72"")"),4257.0)</f>
        <v>4257</v>
      </c>
      <c r="K575" s="40">
        <f>IFERROR(__xludf.DUMMYFUNCTION("IMPORTRANGE(""https://docs.google.com/spreadsheets/d/130gLEONC13J8KkQ6dk06x3bLRy_jCrAw2hXatQf2W50/edit"",""22!e73"")"),0.0)</f>
        <v>0</v>
      </c>
      <c r="L575" s="40">
        <f t="shared" si="1591"/>
        <v>4257</v>
      </c>
      <c r="M575" s="40">
        <f t="shared" si="1592"/>
        <v>6481</v>
      </c>
      <c r="N575" s="41">
        <f t="shared" si="1593"/>
        <v>199.9311915</v>
      </c>
      <c r="O575" s="38">
        <v>11164.0</v>
      </c>
      <c r="P575" s="42">
        <f t="shared" si="1594"/>
        <v>0.5805266929</v>
      </c>
      <c r="Q575" s="43">
        <v>1.5</v>
      </c>
      <c r="R575" s="42">
        <f t="shared" si="1595"/>
        <v>0.4598035821</v>
      </c>
      <c r="S575" s="44">
        <f t="shared" si="1596"/>
        <v>0.6897053731</v>
      </c>
      <c r="T575" s="43">
        <f>F575/29.603</f>
        <v>317.4261392</v>
      </c>
      <c r="U575" s="43">
        <f t="shared" si="1597"/>
        <v>6.753747643</v>
      </c>
      <c r="V575" s="40">
        <f t="shared" si="1598"/>
        <v>137.893617</v>
      </c>
      <c r="X575" s="22">
        <v>6.0</v>
      </c>
      <c r="Y575" s="22" t="s">
        <v>31</v>
      </c>
      <c r="Z575" s="22">
        <f t="shared" ref="Z575:AI575" si="1601">SUM(D590)</f>
        <v>12</v>
      </c>
      <c r="AA575" s="23">
        <f t="shared" si="1601"/>
        <v>12</v>
      </c>
      <c r="AB575" s="25">
        <f t="shared" si="1601"/>
        <v>2303.645</v>
      </c>
      <c r="AC575" s="23">
        <f t="shared" si="1601"/>
        <v>736</v>
      </c>
      <c r="AD575" s="23">
        <f t="shared" si="1601"/>
        <v>10</v>
      </c>
      <c r="AE575" s="23">
        <f t="shared" si="1601"/>
        <v>746</v>
      </c>
      <c r="AF575" s="23">
        <f t="shared" si="1601"/>
        <v>794</v>
      </c>
      <c r="AG575" s="23">
        <f t="shared" si="1601"/>
        <v>0</v>
      </c>
      <c r="AH575" s="23">
        <f t="shared" si="1601"/>
        <v>794</v>
      </c>
      <c r="AI575" s="23">
        <f t="shared" si="1601"/>
        <v>1540</v>
      </c>
      <c r="AJ575" s="25">
        <f t="shared" si="1602"/>
        <v>191.9704167</v>
      </c>
      <c r="AK575" s="22">
        <f t="shared" si="1603"/>
        <v>2717</v>
      </c>
      <c r="AL575" s="26">
        <f t="shared" si="1580"/>
        <v>0.5668016194</v>
      </c>
      <c r="AM575" s="27">
        <f t="shared" si="1604"/>
        <v>1.5</v>
      </c>
      <c r="AN575" s="26">
        <f t="shared" si="1582"/>
        <v>0.4456705207</v>
      </c>
      <c r="AO575" s="28">
        <f t="shared" si="1583"/>
        <v>0.6685057811</v>
      </c>
      <c r="AP575" s="27">
        <f t="shared" ref="AP575:AQ575" si="1605">SUM(T590)</f>
        <v>53</v>
      </c>
      <c r="AQ575" s="27">
        <f t="shared" si="1605"/>
        <v>4.416666667</v>
      </c>
      <c r="AR575" s="23">
        <f t="shared" si="1585"/>
        <v>128.3333333</v>
      </c>
    </row>
    <row r="576" ht="15.75" customHeight="1">
      <c r="A576" s="21"/>
      <c r="B576" s="38">
        <v>4.0</v>
      </c>
      <c r="C576" s="38" t="s">
        <v>32</v>
      </c>
      <c r="D576" s="39">
        <v>33.0</v>
      </c>
      <c r="E576" s="40">
        <f>IFERROR(__xludf.DUMMYFUNCTION("COUNT(IMPORTRANGE(""https://docs.google.com/spreadsheets/d/1gYHli7FuKQLm2Q-5LMR0UtkD-gRRA_p8s-phLPLDLgc/edit"",""22!d2:d43""))"),32.0)</f>
        <v>32</v>
      </c>
      <c r="F576" s="45">
        <f>IFERROR(__xludf.DUMMYFUNCTION("SUM(IMPORTRANGE(""https://docs.google.com/spreadsheets/d/1gYHli7FuKQLm2Q-5LMR0UtkD-gRRA_p8s-phLPLDLgc/edit"",""22!Q2:Q43""))"),5946.092999999995)</f>
        <v>5946.093</v>
      </c>
      <c r="G576" s="38">
        <f>IFERROR(__xludf.DUMMYFUNCTION("IMPORTRANGE(""https://docs.google.com/spreadsheets/d/1gYHli7FuKQLm2Q-5LMR0UtkD-gRRA_p8s-phLPLDLgc/edit"",""22!e50"")"),3355.0)</f>
        <v>3355</v>
      </c>
      <c r="H576" s="38">
        <f>IFERROR(__xludf.DUMMYFUNCTION("IMPORTRANGE(""https://docs.google.com/spreadsheets/d/1gYHli7FuKQLm2Q-5LMR0UtkD-gRRA_p8s-phLPLDLgc/edit"",""22!e51"")"),0.0)</f>
        <v>0</v>
      </c>
      <c r="I576" s="40">
        <f t="shared" si="1590"/>
        <v>3355</v>
      </c>
      <c r="J576" s="38">
        <f>IFERROR(__xludf.DUMMYFUNCTION("IMPORTRANGE(""https://docs.google.com/spreadsheets/d/1gYHli7FuKQLm2Q-5LMR0UtkD-gRRA_p8s-phLPLDLgc/edit"",""22!e54"")"),4134.0)</f>
        <v>4134</v>
      </c>
      <c r="K576" s="38">
        <f>IFERROR(__xludf.DUMMYFUNCTION("IMPORTRANGE(""https://docs.google.com/spreadsheets/d/1gYHli7FuKQLm2Q-5LMR0UtkD-gRRA_p8s-phLPLDLgc/edit"",""22!e55"")"),100.0)</f>
        <v>100</v>
      </c>
      <c r="L576" s="40">
        <f t="shared" si="1591"/>
        <v>4234</v>
      </c>
      <c r="M576" s="40">
        <f t="shared" si="1592"/>
        <v>7589</v>
      </c>
      <c r="N576" s="41">
        <f t="shared" si="1593"/>
        <v>185.8154063</v>
      </c>
      <c r="O576" s="38">
        <v>13817.0</v>
      </c>
      <c r="P576" s="42">
        <f t="shared" si="1594"/>
        <v>0.5492509228</v>
      </c>
      <c r="Q576" s="43">
        <v>1.5</v>
      </c>
      <c r="R576" s="42">
        <f t="shared" si="1595"/>
        <v>0.8508668353</v>
      </c>
      <c r="S576" s="44">
        <f t="shared" si="1596"/>
        <v>1.276300253</v>
      </c>
      <c r="T576" s="43">
        <f>F576/25.089</f>
        <v>237</v>
      </c>
      <c r="U576" s="43">
        <f t="shared" si="1597"/>
        <v>7.40625</v>
      </c>
      <c r="V576" s="40">
        <f t="shared" si="1598"/>
        <v>237.15625</v>
      </c>
      <c r="X576" s="46" t="s">
        <v>33</v>
      </c>
      <c r="Y576" s="46">
        <v>6.0</v>
      </c>
      <c r="Z576" s="46">
        <f t="shared" ref="Z576:AI576" si="1606">SUM(Z570:Z575)</f>
        <v>152</v>
      </c>
      <c r="AA576" s="47">
        <f t="shared" si="1606"/>
        <v>149</v>
      </c>
      <c r="AB576" s="48">
        <f t="shared" si="1606"/>
        <v>28776.725</v>
      </c>
      <c r="AC576" s="47">
        <f t="shared" si="1606"/>
        <v>8254</v>
      </c>
      <c r="AD576" s="47">
        <f t="shared" si="1606"/>
        <v>430</v>
      </c>
      <c r="AE576" s="47">
        <f t="shared" si="1606"/>
        <v>8684</v>
      </c>
      <c r="AF576" s="47">
        <f t="shared" si="1606"/>
        <v>11988</v>
      </c>
      <c r="AG576" s="47">
        <f t="shared" si="1606"/>
        <v>253</v>
      </c>
      <c r="AH576" s="47">
        <f t="shared" si="1606"/>
        <v>12241</v>
      </c>
      <c r="AI576" s="47">
        <f t="shared" si="1606"/>
        <v>20925</v>
      </c>
      <c r="AJ576" s="49">
        <f t="shared" si="1602"/>
        <v>193.1323826</v>
      </c>
      <c r="AK576" s="46">
        <f>SUM(AK570:AK575)</f>
        <v>35074</v>
      </c>
      <c r="AL576" s="50">
        <f t="shared" si="1580"/>
        <v>0.5965957689</v>
      </c>
      <c r="AM576" s="51">
        <v>1.5</v>
      </c>
      <c r="AN576" s="50">
        <f t="shared" si="1582"/>
        <v>0.484766769</v>
      </c>
      <c r="AO576" s="52">
        <f t="shared" si="1583"/>
        <v>0.7271501535</v>
      </c>
      <c r="AP576" s="51">
        <f>SUM(AP570:AP575)</f>
        <v>1075.959624</v>
      </c>
      <c r="AQ576" s="51">
        <f>AP576/AA576</f>
        <v>7.221205532</v>
      </c>
      <c r="AR576" s="47">
        <f t="shared" si="1585"/>
        <v>140.4362416</v>
      </c>
    </row>
    <row r="577" ht="15.75" customHeight="1">
      <c r="A577" s="21"/>
      <c r="B577" s="38">
        <v>5.0</v>
      </c>
      <c r="C577" s="38" t="s">
        <v>34</v>
      </c>
      <c r="D577" s="39">
        <v>32.0</v>
      </c>
      <c r="E577" s="40">
        <f>IFERROR(__xludf.DUMMYFUNCTION("COUNT(IMPORTRANGE(""https://docs.google.com/spreadsheets/d/1ptS0qWBCKWkc9h2aXWT_YgMhN7yIv5WgAHRbF8l9Zpo/edit"",""22!d2:d41""))"),31.0)</f>
        <v>31</v>
      </c>
      <c r="F577" s="45">
        <f>IFERROR(__xludf.DUMMYFUNCTION("SUM(IMPORTRANGE(""https://docs.google.com/spreadsheets/d/1ptS0qWBCKWkc9h2aXWT_YgMhN7yIv5WgAHRbF8l9Zpo/edit"",""22!Q2:Q41""))"),5994.687000000003)</f>
        <v>5994.687</v>
      </c>
      <c r="G577" s="40">
        <f>IFERROR(__xludf.DUMMYFUNCTION("IMPORTRANGE(""https://docs.google.com/spreadsheets/d/1ptS0qWBCKWkc9h2aXWT_YgMhN7yIv5WgAHRbF8l9Zpo/edit"",""22!e48"")"),1904.0)</f>
        <v>1904</v>
      </c>
      <c r="H577" s="40">
        <f>IFERROR(__xludf.DUMMYFUNCTION("IMPORTRANGE(""https://docs.google.com/spreadsheets/d/1ptS0qWBCKWkc9h2aXWT_YgMhN7yIv5WgAHRbF8l9Zpo/edit"",""22!e49"")"),86.0)</f>
        <v>86</v>
      </c>
      <c r="I577" s="40">
        <f t="shared" si="1590"/>
        <v>1990</v>
      </c>
      <c r="J577" s="40">
        <f>IFERROR(__xludf.DUMMYFUNCTION("IMPORTRANGE(""https://docs.google.com/spreadsheets/d/1ptS0qWBCKWkc9h2aXWT_YgMhN7yIv5WgAHRbF8l9Zpo/edit"",""22!e52"")"),2232.0)</f>
        <v>2232</v>
      </c>
      <c r="K577" s="40">
        <f>IFERROR(__xludf.DUMMYFUNCTION("IMPORTRANGE(""https://docs.google.com/spreadsheets/d/1ptS0qWBCKWkc9h2aXWT_YgMhN7yIv5WgAHRbF8l9Zpo/edit"",""22!e53"")"),0.0)</f>
        <v>0</v>
      </c>
      <c r="L577" s="40">
        <f t="shared" si="1591"/>
        <v>2232</v>
      </c>
      <c r="M577" s="40">
        <f t="shared" si="1592"/>
        <v>4222</v>
      </c>
      <c r="N577" s="41">
        <f t="shared" si="1593"/>
        <v>193.377</v>
      </c>
      <c r="O577" s="38">
        <v>9354.0</v>
      </c>
      <c r="P577" s="42">
        <f t="shared" si="1594"/>
        <v>0.4513577079</v>
      </c>
      <c r="Q577" s="43">
        <v>1.5</v>
      </c>
      <c r="R577" s="42">
        <f t="shared" si="1595"/>
        <v>0.4695268772</v>
      </c>
      <c r="S577" s="44">
        <f t="shared" si="1596"/>
        <v>0.7042903157</v>
      </c>
      <c r="T577" s="43">
        <f>F577/30.713</f>
        <v>195.1840263</v>
      </c>
      <c r="U577" s="43">
        <f t="shared" si="1597"/>
        <v>6.296258913</v>
      </c>
      <c r="V577" s="40">
        <f t="shared" si="1598"/>
        <v>136.1935484</v>
      </c>
      <c r="X577" s="53" t="s">
        <v>35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6"/>
    </row>
    <row r="578" ht="15.75" customHeight="1">
      <c r="A578" s="21"/>
      <c r="B578" s="38">
        <v>6.0</v>
      </c>
      <c r="C578" s="38" t="s">
        <v>23</v>
      </c>
      <c r="D578" s="39">
        <v>28.0</v>
      </c>
      <c r="E578" s="40">
        <f>IFERROR(__xludf.DUMMYFUNCTION("COUNT(IMPORTRANGE(""https://docs.google.com/spreadsheets/d/1829CoYW82aTBBUgqkPnJa94KlBWI-DowAnP4ENQCmaQ/edit"",""22!d2:d36""))"),28.0)</f>
        <v>28</v>
      </c>
      <c r="F578" s="45">
        <f>IFERROR(__xludf.DUMMYFUNCTION("SUM(IMPORTRANGE(""https://docs.google.com/spreadsheets/d/1829CoYW82aTBBUgqkPnJa94KlBWI-DowAnP4ENQCmaQ/edit"",""22!Q2:Q36""))"),5398.399999999998)</f>
        <v>5398.4</v>
      </c>
      <c r="G578" s="40">
        <f>IFERROR(__xludf.DUMMYFUNCTION("IMPORTRANGE(""https://docs.google.com/spreadsheets/d/1829CoYW82aTBBUgqkPnJa94KlBWI-DowAnP4ENQCmaQ/edit"",""22!e43"")"),1256.0)</f>
        <v>1256</v>
      </c>
      <c r="H578" s="40">
        <f>IFERROR(__xludf.DUMMYFUNCTION("IMPORTRANGE(""https://docs.google.com/spreadsheets/d/1829CoYW82aTBBUgqkPnJa94KlBWI-DowAnP4ENQCmaQ/edit"",""22!e44"")"),0.0)</f>
        <v>0</v>
      </c>
      <c r="I578" s="40">
        <f t="shared" si="1590"/>
        <v>1256</v>
      </c>
      <c r="J578" s="40">
        <f>IFERROR(__xludf.DUMMYFUNCTION("IMPORTRANGE(""https://docs.google.com/spreadsheets/d/1829CoYW82aTBBUgqkPnJa94KlBWI-DowAnP4ENQCmaQ/edit"",""22!e47"")"),2376.0)</f>
        <v>2376</v>
      </c>
      <c r="K578" s="40">
        <f>IFERROR(__xludf.DUMMYFUNCTION("IMPORTRANGE(""https://docs.google.com/spreadsheets/d/1829CoYW82aTBBUgqkPnJa94KlBWI-DowAnP4ENQCmaQ/edit"",""22!e48"")"),0.0)</f>
        <v>0</v>
      </c>
      <c r="L578" s="40">
        <f t="shared" si="1591"/>
        <v>2376</v>
      </c>
      <c r="M578" s="40">
        <f t="shared" si="1592"/>
        <v>3632</v>
      </c>
      <c r="N578" s="41">
        <f t="shared" si="1593"/>
        <v>192.8</v>
      </c>
      <c r="O578" s="38">
        <v>6853.0</v>
      </c>
      <c r="P578" s="42">
        <f t="shared" si="1594"/>
        <v>0.5299868671</v>
      </c>
      <c r="Q578" s="43">
        <v>1.5</v>
      </c>
      <c r="R578" s="42">
        <f t="shared" si="1595"/>
        <v>0.4485279589</v>
      </c>
      <c r="S578" s="44">
        <f t="shared" si="1596"/>
        <v>0.6727919384</v>
      </c>
      <c r="T578" s="43">
        <f>F578/33.74</f>
        <v>160</v>
      </c>
      <c r="U578" s="43">
        <f t="shared" si="1597"/>
        <v>5.714285714</v>
      </c>
      <c r="V578" s="40">
        <f t="shared" si="1598"/>
        <v>129.7142857</v>
      </c>
      <c r="X578" s="14" t="s">
        <v>2</v>
      </c>
      <c r="Y578" s="14" t="s">
        <v>3</v>
      </c>
      <c r="Z578" s="14" t="s">
        <v>4</v>
      </c>
      <c r="AA578" s="14" t="s">
        <v>5</v>
      </c>
      <c r="AB578" s="15" t="s">
        <v>6</v>
      </c>
      <c r="AC578" s="14" t="s">
        <v>7</v>
      </c>
      <c r="AD578" s="14" t="s">
        <v>8</v>
      </c>
      <c r="AE578" s="14" t="s">
        <v>9</v>
      </c>
      <c r="AF578" s="14" t="s">
        <v>10</v>
      </c>
      <c r="AG578" s="14" t="s">
        <v>11</v>
      </c>
      <c r="AH578" s="14" t="s">
        <v>12</v>
      </c>
      <c r="AI578" s="14" t="s">
        <v>13</v>
      </c>
      <c r="AJ578" s="15" t="s">
        <v>14</v>
      </c>
      <c r="AK578" s="14" t="s">
        <v>15</v>
      </c>
      <c r="AL578" s="14" t="s">
        <v>16</v>
      </c>
      <c r="AM578" s="16" t="s">
        <v>17</v>
      </c>
      <c r="AN578" s="17" t="s">
        <v>18</v>
      </c>
      <c r="AO578" s="18" t="s">
        <v>19</v>
      </c>
      <c r="AP578" s="19" t="s">
        <v>20</v>
      </c>
      <c r="AQ578" s="19" t="s">
        <v>21</v>
      </c>
      <c r="AR578" s="20" t="s">
        <v>22</v>
      </c>
    </row>
    <row r="579" ht="15.75" customHeight="1">
      <c r="A579" s="21"/>
      <c r="B579" s="38">
        <v>7.0</v>
      </c>
      <c r="C579" s="38" t="s">
        <v>24</v>
      </c>
      <c r="D579" s="39">
        <v>37.0</v>
      </c>
      <c r="E579" s="54">
        <f>IFERROR(__xludf.DUMMYFUNCTION("COUNT(IMPORTRANGE(""https://docs.google.com/spreadsheets/d/1E2x4oDZxEIsuC5nl-5Z0--MoN8b1dt9SbpRcCfNP84Q/edit"",""22!d2:d45""))"),37.0)</f>
        <v>37</v>
      </c>
      <c r="F579" s="55">
        <f>IFERROR(__xludf.DUMMYFUNCTION("SUM(IMPORTRANGE(""https://docs.google.com/spreadsheets/d/1E2x4oDZxEIsuC5nl-5Z0--MoN8b1dt9SbpRcCfNP84Q/edit"",""22!Q2:Q45""))"),7252.804999999995)</f>
        <v>7252.805</v>
      </c>
      <c r="G579" s="54">
        <f>IFERROR(__xludf.DUMMYFUNCTION("IMPORTRANGE(""https://docs.google.com/spreadsheets/d/1E2x4oDZxEIsuC5nl-5Z0--MoN8b1dt9SbpRcCfNP84Q/edit"",""22!e53"")"),717.0)</f>
        <v>717</v>
      </c>
      <c r="H579" s="54">
        <f>IFERROR(__xludf.DUMMYFUNCTION("IMPORTRANGE(""https://docs.google.com/spreadsheets/d/1E2x4oDZxEIsuC5nl-5Z0--MoN8b1dt9SbpRcCfNP84Q/edit"",""22!e54"")"),0.0)</f>
        <v>0</v>
      </c>
      <c r="I579" s="54">
        <f t="shared" si="1590"/>
        <v>717</v>
      </c>
      <c r="J579" s="54">
        <f>IFERROR(__xludf.DUMMYFUNCTION("IMPORTRANGE(""https://docs.google.com/spreadsheets/d/1E2x4oDZxEIsuC5nl-5Z0--MoN8b1dt9SbpRcCfNP84Q/edit"",""22!e57"")"),1161.0)</f>
        <v>1161</v>
      </c>
      <c r="K579" s="54">
        <f>IFERROR(__xludf.DUMMYFUNCTION("IMPORTRANGE(""https://docs.google.com/spreadsheets/d/1E2x4oDZxEIsuC5nl-5Z0--MoN8b1dt9SbpRcCfNP84Q/edit"",""22!e58"")"),0.0)</f>
        <v>0</v>
      </c>
      <c r="L579" s="40">
        <f t="shared" si="1591"/>
        <v>1161</v>
      </c>
      <c r="M579" s="40">
        <f t="shared" si="1592"/>
        <v>1878</v>
      </c>
      <c r="N579" s="41">
        <f t="shared" si="1593"/>
        <v>196.0217568</v>
      </c>
      <c r="O579" s="38">
        <v>1580.0</v>
      </c>
      <c r="P579" s="56">
        <f t="shared" si="1594"/>
        <v>1.188607595</v>
      </c>
      <c r="Q579" s="43">
        <v>1.5</v>
      </c>
      <c r="R579" s="42">
        <f t="shared" si="1595"/>
        <v>0.172622868</v>
      </c>
      <c r="S579" s="44">
        <f t="shared" si="1596"/>
        <v>0.258934302</v>
      </c>
      <c r="T579" s="43">
        <f>F579/26.805</f>
        <v>270.5765715</v>
      </c>
      <c r="U579" s="43">
        <f t="shared" si="1597"/>
        <v>7.312880312</v>
      </c>
      <c r="V579" s="40">
        <f t="shared" si="1598"/>
        <v>50.75675676</v>
      </c>
      <c r="X579" s="22">
        <v>1.0</v>
      </c>
      <c r="Y579" s="22" t="s">
        <v>28</v>
      </c>
      <c r="Z579" s="22">
        <f t="shared" ref="Z579:AI579" si="1607">SUM(D574)</f>
        <v>26</v>
      </c>
      <c r="AA579" s="23">
        <f t="shared" si="1607"/>
        <v>26</v>
      </c>
      <c r="AB579" s="25">
        <f t="shared" si="1607"/>
        <v>4938.814</v>
      </c>
      <c r="AC579" s="23">
        <f t="shared" si="1607"/>
        <v>1990</v>
      </c>
      <c r="AD579" s="23">
        <f t="shared" si="1607"/>
        <v>78</v>
      </c>
      <c r="AE579" s="23">
        <f t="shared" si="1607"/>
        <v>2068</v>
      </c>
      <c r="AF579" s="23">
        <f t="shared" si="1607"/>
        <v>2079</v>
      </c>
      <c r="AG579" s="23">
        <f t="shared" si="1607"/>
        <v>53</v>
      </c>
      <c r="AH579" s="23">
        <f t="shared" si="1607"/>
        <v>2132</v>
      </c>
      <c r="AI579" s="23">
        <f t="shared" si="1607"/>
        <v>4200</v>
      </c>
      <c r="AJ579" s="25">
        <f t="shared" ref="AJ579:AJ585" si="1610">AB579/AA579</f>
        <v>189.9543846</v>
      </c>
      <c r="AK579" s="22">
        <f t="shared" ref="AK579:AK580" si="1611">SUM(O574)</f>
        <v>7315</v>
      </c>
      <c r="AL579" s="26">
        <f t="shared" ref="AL579:AL585" si="1612">AI579/AK579</f>
        <v>0.5741626794</v>
      </c>
      <c r="AM579" s="27">
        <f t="shared" ref="AM579:AM580" si="1613">SUM(Q574)</f>
        <v>1.5</v>
      </c>
      <c r="AN579" s="26">
        <f t="shared" ref="AN579:AN585" si="1614">AO579/AM579</f>
        <v>0.5669377304</v>
      </c>
      <c r="AO579" s="28">
        <f t="shared" ref="AO579:AO585" si="1615">AI579/AB579</f>
        <v>0.8504065956</v>
      </c>
      <c r="AP579" s="27">
        <f t="shared" ref="AP579:AQ579" si="1608">SUM(T574)</f>
        <v>159.8476875</v>
      </c>
      <c r="AQ579" s="27">
        <f t="shared" si="1608"/>
        <v>6.14798798</v>
      </c>
      <c r="AR579" s="23">
        <f t="shared" ref="AR579:AR585" si="1617">AI579/AA579</f>
        <v>161.5384615</v>
      </c>
    </row>
    <row r="580" ht="15.75" customHeight="1">
      <c r="A580" s="21"/>
      <c r="B580" s="38">
        <v>8.0</v>
      </c>
      <c r="C580" s="38" t="s">
        <v>25</v>
      </c>
      <c r="D580" s="57">
        <v>27.0</v>
      </c>
      <c r="E580" s="40">
        <f>IFERROR(__xludf.DUMMYFUNCTION("COUNT(IMPORTRANGE(""https://docs.google.com/spreadsheets/d/1KbRFOEYB0B44J_NSh1MwYQ1sLDlZXUHI-wuMLcZDn5k/edit"",""22!d2:D33""))"),26.0)</f>
        <v>26</v>
      </c>
      <c r="F580" s="45">
        <f>IFERROR(__xludf.DUMMYFUNCTION("SUM(IMPORTRANGE(""https://docs.google.com/spreadsheets/d/1KbRFOEYB0B44J_NSh1MwYQ1sLDlZXUHI-wuMLcZDn5k/edit"",""22!Q2:Q33""))"),4860.736)</f>
        <v>4860.736</v>
      </c>
      <c r="G580" s="40">
        <f>IFERROR(__xludf.DUMMYFUNCTION("IMPORTRANGE(""https://docs.google.com/spreadsheets/d/1KbRFOEYB0B44J_NSh1MwYQ1sLDlZXUHI-wuMLcZDn5k/edit"",""22!e40"")"),1765.0)</f>
        <v>1765</v>
      </c>
      <c r="H580" s="40">
        <f>IFERROR(__xludf.DUMMYFUNCTION("IMPORTRANGE(""https://docs.google.com/spreadsheets/d/1KbRFOEYB0B44J_NSh1MwYQ1sLDlZXUHI-wuMLcZDn5k/edit"",""22!e41"")"),420.0)</f>
        <v>420</v>
      </c>
      <c r="I580" s="40">
        <f t="shared" si="1590"/>
        <v>2185</v>
      </c>
      <c r="J580" s="40">
        <f>IFERROR(__xludf.DUMMYFUNCTION("IMPORTRANGE(""https://docs.google.com/spreadsheets/d/1KbRFOEYB0B44J_NSh1MwYQ1sLDlZXUHI-wuMLcZDn5k/edit"",""22!e44"")"),2334.0)</f>
        <v>2334</v>
      </c>
      <c r="K580" s="40">
        <f>IFERROR(__xludf.DUMMYFUNCTION("IMPORTRANGE(""https://docs.google.com/spreadsheets/d/1KbRFOEYB0B44J_NSh1MwYQ1sLDlZXUHI-wuMLcZDn5k/edit"",""22!e45"")"),253.0)</f>
        <v>253</v>
      </c>
      <c r="L580" s="40">
        <f>J580+K580</f>
        <v>2587</v>
      </c>
      <c r="M580" s="40">
        <f t="shared" si="1592"/>
        <v>4772</v>
      </c>
      <c r="N580" s="41">
        <f t="shared" si="1593"/>
        <v>186.9513846</v>
      </c>
      <c r="O580" s="38">
        <v>6622.0</v>
      </c>
      <c r="P580" s="42">
        <f t="shared" si="1594"/>
        <v>0.720628209</v>
      </c>
      <c r="Q580" s="43">
        <v>1.5</v>
      </c>
      <c r="R580" s="42">
        <f t="shared" si="1595"/>
        <v>0.654496219</v>
      </c>
      <c r="S580" s="44">
        <f t="shared" si="1596"/>
        <v>0.9817443284</v>
      </c>
      <c r="T580" s="43">
        <f>F580/23.84</f>
        <v>203.8899329</v>
      </c>
      <c r="U580" s="43">
        <f t="shared" si="1597"/>
        <v>7.841920496</v>
      </c>
      <c r="V580" s="40">
        <f t="shared" si="1598"/>
        <v>183.5384615</v>
      </c>
      <c r="X580" s="31">
        <v>2.0</v>
      </c>
      <c r="Y580" s="31" t="s">
        <v>30</v>
      </c>
      <c r="Z580" s="31">
        <f t="shared" ref="Z580:AI580" si="1609">SUM(D575)</f>
        <v>48</v>
      </c>
      <c r="AA580" s="32">
        <f t="shared" si="1609"/>
        <v>47</v>
      </c>
      <c r="AB580" s="33">
        <f t="shared" si="1609"/>
        <v>9396.766</v>
      </c>
      <c r="AC580" s="32">
        <f t="shared" si="1609"/>
        <v>2224</v>
      </c>
      <c r="AD580" s="32">
        <f t="shared" si="1609"/>
        <v>0</v>
      </c>
      <c r="AE580" s="32">
        <f t="shared" si="1609"/>
        <v>2224</v>
      </c>
      <c r="AF580" s="32">
        <f t="shared" si="1609"/>
        <v>4257</v>
      </c>
      <c r="AG580" s="32">
        <f t="shared" si="1609"/>
        <v>0</v>
      </c>
      <c r="AH580" s="32">
        <f t="shared" si="1609"/>
        <v>4257</v>
      </c>
      <c r="AI580" s="32">
        <f t="shared" si="1609"/>
        <v>6481</v>
      </c>
      <c r="AJ580" s="34">
        <f t="shared" si="1610"/>
        <v>199.9311915</v>
      </c>
      <c r="AK580" s="31">
        <f t="shared" si="1611"/>
        <v>11164</v>
      </c>
      <c r="AL580" s="35">
        <f t="shared" si="1612"/>
        <v>0.5805266929</v>
      </c>
      <c r="AM580" s="36">
        <f t="shared" si="1613"/>
        <v>1.5</v>
      </c>
      <c r="AN580" s="35">
        <f t="shared" si="1614"/>
        <v>0.4598035821</v>
      </c>
      <c r="AO580" s="37">
        <f t="shared" si="1615"/>
        <v>0.6897053731</v>
      </c>
      <c r="AP580" s="36">
        <f t="shared" ref="AP580:AQ580" si="1616">SUM(T575)</f>
        <v>317.4261392</v>
      </c>
      <c r="AQ580" s="36">
        <f t="shared" si="1616"/>
        <v>6.753747643</v>
      </c>
      <c r="AR580" s="32">
        <f t="shared" si="1617"/>
        <v>137.893617</v>
      </c>
    </row>
    <row r="581" ht="15.75" customHeight="1">
      <c r="A581" s="21"/>
      <c r="B581" s="38">
        <v>9.0</v>
      </c>
      <c r="C581" s="38" t="s">
        <v>36</v>
      </c>
      <c r="D581" s="58">
        <v>23.0</v>
      </c>
      <c r="E581" s="40">
        <f>IFERROR(__xludf.DUMMYFUNCTION("COUNT(IMPORTRANGE(""https://docs.google.com/spreadsheets/d/1VqqqRGfmmkT0JC4ILJva2p8P11jjV0FX-TSKAaqOigw/edit"",""22!d2:d31""))"),23.0)</f>
        <v>23</v>
      </c>
      <c r="F581" s="45">
        <f>IFERROR(__xludf.DUMMYFUNCTION("SUM(IMPORTRANGE(""https://docs.google.com/spreadsheets/d/1VqqqRGfmmkT0JC4ILJva2p8P11jjV0FX-TSKAaqOigw/edit"",""22!Q2:Q31""))"),4540.214999999999)</f>
        <v>4540.215</v>
      </c>
      <c r="G581" s="40">
        <f>IFERROR(__xludf.DUMMYFUNCTION("IMPORTRANGE(""https://docs.google.com/spreadsheets/d/1VqqqRGfmmkT0JC4ILJva2p8P11jjV0FX-TSKAaqOigw/edit"",""22!e38"")"),1080.0)</f>
        <v>1080</v>
      </c>
      <c r="H581" s="40">
        <f>IFERROR(__xludf.DUMMYFUNCTION("IMPORTRANGE(""https://docs.google.com/spreadsheets/d/1VqqqRGfmmkT0JC4ILJva2p8P11jjV0FX-TSKAaqOigw/edit"",""22!e39"")"),0.0)</f>
        <v>0</v>
      </c>
      <c r="I581" s="40">
        <f t="shared" si="1590"/>
        <v>1080</v>
      </c>
      <c r="J581" s="40">
        <f>IFERROR(__xludf.DUMMYFUNCTION("IMPORTRANGE(""https://docs.google.com/spreadsheets/d/1VqqqRGfmmkT0JC4ILJva2p8P11jjV0FX-TSKAaqOigw/edit"",""22!e42"")"),1731.0)</f>
        <v>1731</v>
      </c>
      <c r="K581" s="40">
        <f>IFERROR(__xludf.DUMMYFUNCTION("IMPORTRANGE(""https://docs.google.com/spreadsheets/d/1VqqqRGfmmkT0JC4ILJva2p8P11jjV0FX-TSKAaqOigw/edit"",""22!e43"")"),0.0)</f>
        <v>0</v>
      </c>
      <c r="L581" s="40">
        <f t="shared" ref="L581:L590" si="1620">SUM(J581:K581)</f>
        <v>1731</v>
      </c>
      <c r="M581" s="40">
        <f t="shared" si="1592"/>
        <v>2811</v>
      </c>
      <c r="N581" s="41">
        <f t="shared" si="1593"/>
        <v>197.4006522</v>
      </c>
      <c r="O581" s="38">
        <v>4796.0</v>
      </c>
      <c r="P581" s="42">
        <f t="shared" si="1594"/>
        <v>0.5861134279</v>
      </c>
      <c r="Q581" s="43">
        <v>1.5</v>
      </c>
      <c r="R581" s="42">
        <f t="shared" si="1595"/>
        <v>0.4127557836</v>
      </c>
      <c r="S581" s="44">
        <f t="shared" si="1596"/>
        <v>0.6191336754</v>
      </c>
      <c r="T581" s="43">
        <f>F581/37.414</f>
        <v>121.3506976</v>
      </c>
      <c r="U581" s="43">
        <f t="shared" si="1597"/>
        <v>5.276117287</v>
      </c>
      <c r="V581" s="40">
        <f t="shared" si="1598"/>
        <v>122.2173913</v>
      </c>
      <c r="X581" s="22">
        <v>3.0</v>
      </c>
      <c r="Y581" s="22" t="s">
        <v>34</v>
      </c>
      <c r="Z581" s="22">
        <f t="shared" ref="Z581:AI581" si="1618">SUM(D577)</f>
        <v>32</v>
      </c>
      <c r="AA581" s="23">
        <f t="shared" si="1618"/>
        <v>31</v>
      </c>
      <c r="AB581" s="24">
        <f t="shared" si="1618"/>
        <v>5994.687</v>
      </c>
      <c r="AC581" s="23">
        <f t="shared" si="1618"/>
        <v>1904</v>
      </c>
      <c r="AD581" s="23">
        <f t="shared" si="1618"/>
        <v>86</v>
      </c>
      <c r="AE581" s="23">
        <f t="shared" si="1618"/>
        <v>1990</v>
      </c>
      <c r="AF581" s="23">
        <f t="shared" si="1618"/>
        <v>2232</v>
      </c>
      <c r="AG581" s="23">
        <f t="shared" si="1618"/>
        <v>0</v>
      </c>
      <c r="AH581" s="23">
        <f t="shared" si="1618"/>
        <v>2232</v>
      </c>
      <c r="AI581" s="23">
        <f t="shared" si="1618"/>
        <v>4222</v>
      </c>
      <c r="AJ581" s="25">
        <f t="shared" si="1610"/>
        <v>193.377</v>
      </c>
      <c r="AK581" s="22">
        <f>SUM(O577)</f>
        <v>9354</v>
      </c>
      <c r="AL581" s="26">
        <f t="shared" si="1612"/>
        <v>0.4513577079</v>
      </c>
      <c r="AM581" s="27">
        <f>SUM(Q577)</f>
        <v>1.5</v>
      </c>
      <c r="AN581" s="26">
        <f t="shared" si="1614"/>
        <v>0.4695268772</v>
      </c>
      <c r="AO581" s="28">
        <f t="shared" si="1615"/>
        <v>0.7042903157</v>
      </c>
      <c r="AP581" s="27">
        <f t="shared" ref="AP581:AQ581" si="1619">SUM(T577)</f>
        <v>195.1840263</v>
      </c>
      <c r="AQ581" s="27">
        <f t="shared" si="1619"/>
        <v>6.296258913</v>
      </c>
      <c r="AR581" s="23">
        <f t="shared" si="1617"/>
        <v>136.1935484</v>
      </c>
    </row>
    <row r="582" ht="15.75" customHeight="1">
      <c r="A582" s="21"/>
      <c r="B582" s="38">
        <v>10.0</v>
      </c>
      <c r="C582" s="38" t="s">
        <v>37</v>
      </c>
      <c r="D582" s="39">
        <v>24.0</v>
      </c>
      <c r="E582" s="40">
        <f>IFERROR(__xludf.DUMMYFUNCTION("COUNT(IMPORTRANGE(""https://docs.google.com/spreadsheets/d/1IYeRjQd_D6MRqoBKNaky3aSEUloYCJc5XDnPAbdyetk/edit"",""22!d2:d31""))"),23.0)</f>
        <v>23</v>
      </c>
      <c r="F582" s="45">
        <f>IFERROR(__xludf.DUMMYFUNCTION("SUM(IMPORTRANGE(""https://docs.google.com/spreadsheets/d/1IYeRjQd_D6MRqoBKNaky3aSEUloYCJc5XDnPAbdyetk/edit"",""22!Q2:Q31""))"),4459.938)</f>
        <v>4459.938</v>
      </c>
      <c r="G582" s="40">
        <f>IFERROR(__xludf.DUMMYFUNCTION("(IMPORTRANGE(""https://docs.google.com/spreadsheets/d/1IYeRjQd_D6MRqoBKNaky3aSEUloYCJc5XDnPAbdyetk/edit"",""22!e38""))"),1195.0)</f>
        <v>1195</v>
      </c>
      <c r="H582" s="40">
        <f>IFERROR(__xludf.DUMMYFUNCTION("(IMPORTRANGE(""https://docs.google.com/spreadsheets/d/1IYeRjQd_D6MRqoBKNaky3aSEUloYCJc5XDnPAbdyetk/edit"",""22!e39""))"),65.0)</f>
        <v>65</v>
      </c>
      <c r="I582" s="40">
        <f t="shared" si="1590"/>
        <v>1260</v>
      </c>
      <c r="J582" s="40">
        <f>IFERROR(__xludf.DUMMYFUNCTION("(IMPORTRANGE(""https://docs.google.com/spreadsheets/d/1IYeRjQd_D6MRqoBKNaky3aSEUloYCJc5XDnPAbdyetk/edit"",""22!e42""))"),2620.0)</f>
        <v>2620</v>
      </c>
      <c r="K582" s="40">
        <f>IFERROR(__xludf.DUMMYFUNCTION("(IMPORTRANGE(""https://docs.google.com/spreadsheets/d/1IYeRjQd_D6MRqoBKNaky3aSEUloYCJc5XDnPAbdyetk/edit"",""22!e43""))"),0.0)</f>
        <v>0</v>
      </c>
      <c r="L582" s="40">
        <f t="shared" si="1620"/>
        <v>2620</v>
      </c>
      <c r="M582" s="40">
        <f t="shared" si="1592"/>
        <v>3880</v>
      </c>
      <c r="N582" s="41">
        <f t="shared" si="1593"/>
        <v>193.9103478</v>
      </c>
      <c r="O582" s="38">
        <v>5887.0</v>
      </c>
      <c r="P582" s="42">
        <f t="shared" si="1594"/>
        <v>0.6590793273</v>
      </c>
      <c r="Q582" s="43">
        <v>1.5</v>
      </c>
      <c r="R582" s="42">
        <f t="shared" si="1595"/>
        <v>0.5799781671</v>
      </c>
      <c r="S582" s="44">
        <f t="shared" si="1596"/>
        <v>0.8699672507</v>
      </c>
      <c r="T582" s="43">
        <f>F582/24.792</f>
        <v>179.8942401</v>
      </c>
      <c r="U582" s="43">
        <f t="shared" si="1597"/>
        <v>7.821488699</v>
      </c>
      <c r="V582" s="40">
        <f t="shared" si="1598"/>
        <v>168.6956522</v>
      </c>
      <c r="X582" s="31">
        <v>4.0</v>
      </c>
      <c r="Y582" s="31" t="s">
        <v>38</v>
      </c>
      <c r="Z582" s="31">
        <f t="shared" ref="Z582:AI582" si="1621">SUM(D585)</f>
        <v>24</v>
      </c>
      <c r="AA582" s="32">
        <f t="shared" si="1621"/>
        <v>24</v>
      </c>
      <c r="AB582" s="33">
        <f t="shared" si="1621"/>
        <v>4759.693</v>
      </c>
      <c r="AC582" s="32">
        <f t="shared" si="1621"/>
        <v>1332</v>
      </c>
      <c r="AD582" s="32">
        <f t="shared" si="1621"/>
        <v>0</v>
      </c>
      <c r="AE582" s="32">
        <f t="shared" si="1621"/>
        <v>1332</v>
      </c>
      <c r="AF582" s="32">
        <f t="shared" si="1621"/>
        <v>2547</v>
      </c>
      <c r="AG582" s="32">
        <f t="shared" si="1621"/>
        <v>134</v>
      </c>
      <c r="AH582" s="32">
        <f t="shared" si="1621"/>
        <v>2681</v>
      </c>
      <c r="AI582" s="32">
        <f t="shared" si="1621"/>
        <v>4013</v>
      </c>
      <c r="AJ582" s="34">
        <f t="shared" si="1610"/>
        <v>198.3205417</v>
      </c>
      <c r="AK582" s="31">
        <v>7324.0</v>
      </c>
      <c r="AL582" s="35">
        <f t="shared" si="1612"/>
        <v>0.5479246313</v>
      </c>
      <c r="AM582" s="36">
        <f>SUM(Q585)</f>
        <v>1.5</v>
      </c>
      <c r="AN582" s="35">
        <f t="shared" si="1614"/>
        <v>0.5620810698</v>
      </c>
      <c r="AO582" s="37">
        <f t="shared" si="1615"/>
        <v>0.8431216047</v>
      </c>
      <c r="AP582" s="36">
        <f t="shared" ref="AP582:AQ582" si="1622">SUM(T585)</f>
        <v>115.5125106</v>
      </c>
      <c r="AQ582" s="36">
        <f t="shared" si="1622"/>
        <v>4.813021276</v>
      </c>
      <c r="AR582" s="32">
        <f t="shared" si="1617"/>
        <v>167.2083333</v>
      </c>
    </row>
    <row r="583" ht="15.75" customHeight="1">
      <c r="A583" s="21"/>
      <c r="B583" s="38">
        <v>12.0</v>
      </c>
      <c r="C583" s="38" t="s">
        <v>39</v>
      </c>
      <c r="D583" s="39">
        <v>22.0</v>
      </c>
      <c r="E583" s="40">
        <f>IFERROR(__xludf.DUMMYFUNCTION("COUNT(IMPORTRANGE(""https://docs.google.com/spreadsheets/d/1TAY2D35yAzyl8a_p5CuZehQvmatfj0b0Q8ICl8GtJBY/edit"",""22!d2:d29""))"),22.0)</f>
        <v>22</v>
      </c>
      <c r="F583" s="45">
        <f>IFERROR(__xludf.DUMMYFUNCTION("SUM(IMPORTRANGE(""https://docs.google.com/spreadsheets/d/1TAY2D35yAzyl8a_p5CuZehQvmatfj0b0Q8ICl8GtJBY/edit"",""22!Q2:Q29""))"),4255.131)</f>
        <v>4255.131</v>
      </c>
      <c r="G583" s="40">
        <f>IFERROR(__xludf.DUMMYFUNCTION("IMPORTRANGE(""https://docs.google.com/spreadsheets/d/1TAY2D35yAzyl8a_p5CuZehQvmatfj0b0Q8ICl8GtJBY/edit"",""22!e36"")"),1031.0)</f>
        <v>1031</v>
      </c>
      <c r="H583" s="40">
        <f>IFERROR(__xludf.DUMMYFUNCTION("(IMPORTRANGE(""https://docs.google.com/spreadsheets/d/1TAY2D35yAzyl8a_p5CuZehQvmatfj0b0Q8ICl8GtJBY/edit"",""22!e37""))"),0.0)</f>
        <v>0</v>
      </c>
      <c r="I583" s="40">
        <f t="shared" si="1590"/>
        <v>1031</v>
      </c>
      <c r="J583" s="40">
        <f>IFERROR(__xludf.DUMMYFUNCTION("IMPORTRANGE(""https://docs.google.com/spreadsheets/d/1TAY2D35yAzyl8a_p5CuZehQvmatfj0b0Q8ICl8GtJBY/edit"",""22!e40"")"),1781.0)</f>
        <v>1781</v>
      </c>
      <c r="K583" s="40">
        <f>IFERROR(__xludf.DUMMYFUNCTION("IMPORTRANGE(""https://docs.google.com/spreadsheets/d/1TAY2D35yAzyl8a_p5CuZehQvmatfj0b0Q8ICl8GtJBY/edit"",""22!e41"")"),0.0)</f>
        <v>0</v>
      </c>
      <c r="L583" s="40">
        <f t="shared" si="1620"/>
        <v>1781</v>
      </c>
      <c r="M583" s="40">
        <f t="shared" si="1592"/>
        <v>2812</v>
      </c>
      <c r="N583" s="41">
        <f t="shared" si="1593"/>
        <v>193.4150455</v>
      </c>
      <c r="O583" s="38">
        <v>3569.0</v>
      </c>
      <c r="P583" s="42">
        <f t="shared" si="1594"/>
        <v>0.7878957691</v>
      </c>
      <c r="Q583" s="43">
        <v>1.5</v>
      </c>
      <c r="R583" s="42">
        <f t="shared" si="1595"/>
        <v>0.4405661463</v>
      </c>
      <c r="S583" s="44">
        <f t="shared" si="1596"/>
        <v>0.6608492194</v>
      </c>
      <c r="T583" s="43">
        <f>F583/21.463</f>
        <v>198.2542515</v>
      </c>
      <c r="U583" s="43">
        <f t="shared" si="1597"/>
        <v>9.011556886</v>
      </c>
      <c r="V583" s="40">
        <f t="shared" si="1598"/>
        <v>127.8181818</v>
      </c>
      <c r="X583" s="31">
        <v>5.0</v>
      </c>
      <c r="Y583" s="31" t="s">
        <v>40</v>
      </c>
      <c r="Z583" s="31">
        <f t="shared" ref="Z583:AI583" si="1623">SUM(D587)</f>
        <v>24</v>
      </c>
      <c r="AA583" s="32">
        <f t="shared" si="1623"/>
        <v>24</v>
      </c>
      <c r="AB583" s="33">
        <f t="shared" si="1623"/>
        <v>4366.667</v>
      </c>
      <c r="AC583" s="32">
        <f t="shared" si="1623"/>
        <v>2521</v>
      </c>
      <c r="AD583" s="32">
        <f t="shared" si="1623"/>
        <v>0</v>
      </c>
      <c r="AE583" s="32">
        <f t="shared" si="1623"/>
        <v>2521</v>
      </c>
      <c r="AF583" s="32">
        <f t="shared" si="1623"/>
        <v>3317</v>
      </c>
      <c r="AG583" s="32">
        <f t="shared" si="1623"/>
        <v>0</v>
      </c>
      <c r="AH583" s="32">
        <f t="shared" si="1623"/>
        <v>3317</v>
      </c>
      <c r="AI583" s="32">
        <f t="shared" si="1623"/>
        <v>5838</v>
      </c>
      <c r="AJ583" s="34">
        <f t="shared" si="1610"/>
        <v>181.9444583</v>
      </c>
      <c r="AK583" s="31">
        <f t="shared" ref="AK583:AK584" si="1626">SUM(O587)</f>
        <v>8239</v>
      </c>
      <c r="AL583" s="35">
        <f t="shared" si="1612"/>
        <v>0.7085811385</v>
      </c>
      <c r="AM583" s="36">
        <f t="shared" ref="AM583:AM584" si="1627">SUM(Q587)</f>
        <v>1.5</v>
      </c>
      <c r="AN583" s="35">
        <f t="shared" si="1614"/>
        <v>0.8912976419</v>
      </c>
      <c r="AO583" s="37">
        <f t="shared" si="1615"/>
        <v>1.336946463</v>
      </c>
      <c r="AP583" s="36">
        <f t="shared" ref="AP583:AQ583" si="1624">SUM(T587)</f>
        <v>153.5234328</v>
      </c>
      <c r="AQ583" s="36">
        <f t="shared" si="1624"/>
        <v>6.396809701</v>
      </c>
      <c r="AR583" s="32">
        <f t="shared" si="1617"/>
        <v>243.25</v>
      </c>
    </row>
    <row r="584" ht="15.75" customHeight="1">
      <c r="A584" s="21"/>
      <c r="B584" s="38">
        <v>12.0</v>
      </c>
      <c r="C584" s="38" t="s">
        <v>41</v>
      </c>
      <c r="D584" s="39">
        <v>20.0</v>
      </c>
      <c r="E584" s="40">
        <f>IFERROR(__xludf.DUMMYFUNCTION("COUNT(IMPORTRANGE(""https://docs.google.com/spreadsheets/d/1VAsUtLQHi7oV9NsI9EIHPnO1bcPJHeRgSbMoxSvPBME/edit"",""22!d2:d25""))"),20.0)</f>
        <v>20</v>
      </c>
      <c r="F584" s="45">
        <f>IFERROR(__xludf.DUMMYFUNCTION("SUM(IMPORTRANGE(""https://docs.google.com/spreadsheets/d/1VAsUtLQHi7oV9NsI9EIHPnO1bcPJHeRgSbMoxSvPBME/edit"",""22!Q2:Q25""))"),3904.3120000000013)</f>
        <v>3904.312</v>
      </c>
      <c r="G584" s="40">
        <f>IFERROR(__xludf.DUMMYFUNCTION("IMPORTRANGE(""https://docs.google.com/spreadsheets/d/1VAsUtLQHi7oV9NsI9EIHPnO1bcPJHeRgSbMoxSvPBME/edit"",""22!e32"")"),841.0)</f>
        <v>841</v>
      </c>
      <c r="H584" s="40">
        <f>IFERROR(__xludf.DUMMYFUNCTION("IMPORTRANGE(""https://docs.google.com/spreadsheets/d/1VAsUtLQHi7oV9NsI9EIHPnO1bcPJHeRgSbMoxSvPBME/edit"",""22!e33"")"),0.0)</f>
        <v>0</v>
      </c>
      <c r="I584" s="40">
        <f t="shared" si="1590"/>
        <v>841</v>
      </c>
      <c r="J584" s="40">
        <f>IFERROR(__xludf.DUMMYFUNCTION("IMPORTRANGE(""https://docs.google.com/spreadsheets/d/1VAsUtLQHi7oV9NsI9EIHPnO1bcPJHeRgSbMoxSvPBME/edit"",""22!e36"")"),1274.0)</f>
        <v>1274</v>
      </c>
      <c r="K584" s="40">
        <f>IFERROR(__xludf.DUMMYFUNCTION("IMPORTRANGE(""https://docs.google.com/spreadsheets/d/1VAsUtLQHi7oV9NsI9EIHPnO1bcPJHeRgSbMoxSvPBME/edit"",""22!e37"")"),0.0)</f>
        <v>0</v>
      </c>
      <c r="L584" s="40">
        <f t="shared" si="1620"/>
        <v>1274</v>
      </c>
      <c r="M584" s="40">
        <f t="shared" si="1592"/>
        <v>2115</v>
      </c>
      <c r="N584" s="41">
        <f t="shared" si="1593"/>
        <v>195.2156</v>
      </c>
      <c r="O584" s="38">
        <v>3801.0</v>
      </c>
      <c r="P584" s="42">
        <f t="shared" si="1594"/>
        <v>0.5564325178</v>
      </c>
      <c r="Q584" s="43">
        <v>1.5</v>
      </c>
      <c r="R584" s="42">
        <f t="shared" si="1595"/>
        <v>0.3611391713</v>
      </c>
      <c r="S584" s="44">
        <f t="shared" si="1596"/>
        <v>0.5417087569</v>
      </c>
      <c r="T584" s="43">
        <f>F584/29.628</f>
        <v>131.7777778</v>
      </c>
      <c r="U584" s="43">
        <f t="shared" si="1597"/>
        <v>6.588888889</v>
      </c>
      <c r="V584" s="40">
        <f t="shared" si="1598"/>
        <v>105.75</v>
      </c>
      <c r="X584" s="22">
        <v>6.0</v>
      </c>
      <c r="Y584" s="22" t="s">
        <v>42</v>
      </c>
      <c r="Z584" s="22">
        <f t="shared" ref="Z584:AI584" si="1625">SUM(D588)</f>
        <v>26</v>
      </c>
      <c r="AA584" s="23">
        <f t="shared" si="1625"/>
        <v>26</v>
      </c>
      <c r="AB584" s="24">
        <f t="shared" si="1625"/>
        <v>5118.687</v>
      </c>
      <c r="AC584" s="23">
        <f t="shared" si="1625"/>
        <v>2226</v>
      </c>
      <c r="AD584" s="23">
        <f t="shared" si="1625"/>
        <v>0</v>
      </c>
      <c r="AE584" s="23">
        <f t="shared" si="1625"/>
        <v>2226</v>
      </c>
      <c r="AF584" s="23">
        <f t="shared" si="1625"/>
        <v>3245</v>
      </c>
      <c r="AG584" s="23">
        <f t="shared" si="1625"/>
        <v>0</v>
      </c>
      <c r="AH584" s="23">
        <f t="shared" si="1625"/>
        <v>3245</v>
      </c>
      <c r="AI584" s="23">
        <f t="shared" si="1625"/>
        <v>5471</v>
      </c>
      <c r="AJ584" s="25">
        <f t="shared" si="1610"/>
        <v>196.8725769</v>
      </c>
      <c r="AK584" s="22">
        <f t="shared" si="1626"/>
        <v>9877</v>
      </c>
      <c r="AL584" s="26">
        <f t="shared" si="1612"/>
        <v>0.5539131315</v>
      </c>
      <c r="AM584" s="27">
        <f t="shared" si="1627"/>
        <v>1.5</v>
      </c>
      <c r="AN584" s="26">
        <f t="shared" si="1614"/>
        <v>0.7125525224</v>
      </c>
      <c r="AO584" s="28">
        <f t="shared" si="1615"/>
        <v>1.068828784</v>
      </c>
      <c r="AP584" s="27">
        <f t="shared" ref="AP584:AQ584" si="1628">SUM(T588)</f>
        <v>195.7058689</v>
      </c>
      <c r="AQ584" s="27">
        <f t="shared" si="1628"/>
        <v>7.527148802</v>
      </c>
      <c r="AR584" s="23">
        <f t="shared" si="1617"/>
        <v>210.4230769</v>
      </c>
    </row>
    <row r="585" ht="15.75" customHeight="1">
      <c r="A585" s="21"/>
      <c r="B585" s="38">
        <v>13.0</v>
      </c>
      <c r="C585" s="38" t="s">
        <v>43</v>
      </c>
      <c r="D585" s="39">
        <v>24.0</v>
      </c>
      <c r="E585" s="40">
        <f>IFERROR(__xludf.DUMMYFUNCTION("COUNT(IMPORTRANGE(""https://docs.google.com/spreadsheets/d/1p9Y_DGk7-TpRBFth-ljZceOIGCjQ0ylUeUq6xqnsZ-Q/edit"",""22!d2:d31""))"),24.0)</f>
        <v>24</v>
      </c>
      <c r="F585" s="45">
        <f>IFERROR(__xludf.DUMMYFUNCTION("SUM(IMPORTRANGE(""https://docs.google.com/spreadsheets/d/1p9Y_DGk7-TpRBFth-ljZceOIGCjQ0ylUeUq6xqnsZ-Q/edit"",""22!Q2:Q31""))"),4759.693)</f>
        <v>4759.693</v>
      </c>
      <c r="G585" s="40">
        <f>IFERROR(__xludf.DUMMYFUNCTION("IMPORTRANGE(""https://docs.google.com/spreadsheets/d/1p9Y_DGk7-TpRBFth-ljZceOIGCjQ0ylUeUq6xqnsZ-Q/edit"",""22!e38"")"),1332.0)</f>
        <v>1332</v>
      </c>
      <c r="H585" s="40">
        <f>IFERROR(__xludf.DUMMYFUNCTION("IMPORTRANGE(""https://docs.google.com/spreadsheets/d/1p9Y_DGk7-TpRBFth-ljZceOIGCjQ0ylUeUq6xqnsZ-Q/edit"",""22!e39"")"),0.0)</f>
        <v>0</v>
      </c>
      <c r="I585" s="40">
        <f t="shared" si="1590"/>
        <v>1332</v>
      </c>
      <c r="J585" s="40">
        <f>IFERROR(__xludf.DUMMYFUNCTION("IMPORTRANGE(""https://docs.google.com/spreadsheets/d/1p9Y_DGk7-TpRBFth-ljZceOIGCjQ0ylUeUq6xqnsZ-Q/edit"",""22!e42"")"),2547.0)</f>
        <v>2547</v>
      </c>
      <c r="K585" s="40">
        <f>IFERROR(__xludf.DUMMYFUNCTION("IMPORTRANGE(""https://docs.google.com/spreadsheets/d/1p9Y_DGk7-TpRBFth-ljZceOIGCjQ0ylUeUq6xqnsZ-Q/edit"",""22!e43"")"),134.0)</f>
        <v>134</v>
      </c>
      <c r="L585" s="40">
        <f t="shared" si="1620"/>
        <v>2681</v>
      </c>
      <c r="M585" s="40">
        <f t="shared" si="1592"/>
        <v>4013</v>
      </c>
      <c r="N585" s="41">
        <f t="shared" si="1593"/>
        <v>198.3205417</v>
      </c>
      <c r="O585" s="38">
        <v>8345.0</v>
      </c>
      <c r="P585" s="42">
        <f t="shared" si="1594"/>
        <v>0.4808867585</v>
      </c>
      <c r="Q585" s="43">
        <v>1.5</v>
      </c>
      <c r="R585" s="42">
        <f t="shared" si="1595"/>
        <v>0.5620810698</v>
      </c>
      <c r="S585" s="44">
        <f t="shared" si="1596"/>
        <v>0.8431216047</v>
      </c>
      <c r="T585" s="43">
        <f>F585/41.205</f>
        <v>115.5125106</v>
      </c>
      <c r="U585" s="43">
        <f t="shared" si="1597"/>
        <v>4.813021276</v>
      </c>
      <c r="V585" s="40">
        <f t="shared" si="1598"/>
        <v>167.2083333</v>
      </c>
      <c r="X585" s="46" t="s">
        <v>33</v>
      </c>
      <c r="Y585" s="46">
        <v>6.0</v>
      </c>
      <c r="Z585" s="46">
        <f t="shared" ref="Z585:AI585" si="1629">SUM(Z579:Z584)</f>
        <v>180</v>
      </c>
      <c r="AA585" s="47">
        <f t="shared" si="1629"/>
        <v>178</v>
      </c>
      <c r="AB585" s="49">
        <f t="shared" si="1629"/>
        <v>34575.314</v>
      </c>
      <c r="AC585" s="47">
        <f t="shared" si="1629"/>
        <v>12197</v>
      </c>
      <c r="AD585" s="47">
        <f t="shared" si="1629"/>
        <v>164</v>
      </c>
      <c r="AE585" s="47">
        <f t="shared" si="1629"/>
        <v>12361</v>
      </c>
      <c r="AF585" s="47">
        <f t="shared" si="1629"/>
        <v>17677</v>
      </c>
      <c r="AG585" s="47">
        <f t="shared" si="1629"/>
        <v>187</v>
      </c>
      <c r="AH585" s="47">
        <f t="shared" si="1629"/>
        <v>17864</v>
      </c>
      <c r="AI585" s="47">
        <f t="shared" si="1629"/>
        <v>30225</v>
      </c>
      <c r="AJ585" s="49">
        <f t="shared" si="1610"/>
        <v>194.2433371</v>
      </c>
      <c r="AK585" s="46">
        <f>SUM(AK579:AK584)</f>
        <v>53273</v>
      </c>
      <c r="AL585" s="50">
        <f t="shared" si="1612"/>
        <v>0.5673605767</v>
      </c>
      <c r="AM585" s="51">
        <v>1.5</v>
      </c>
      <c r="AN585" s="50">
        <f t="shared" si="1614"/>
        <v>0.5827857413</v>
      </c>
      <c r="AO585" s="52">
        <f t="shared" si="1615"/>
        <v>0.8741786119</v>
      </c>
      <c r="AP585" s="51">
        <f>SUM(AP579:AP584)</f>
        <v>1137.199665</v>
      </c>
      <c r="AQ585" s="51">
        <f>AP585/AA585</f>
        <v>6.388762165</v>
      </c>
      <c r="AR585" s="47">
        <f t="shared" si="1617"/>
        <v>169.8033708</v>
      </c>
    </row>
    <row r="586" ht="15.75" customHeight="1">
      <c r="A586" s="21"/>
      <c r="B586" s="38">
        <v>14.0</v>
      </c>
      <c r="C586" s="38" t="s">
        <v>27</v>
      </c>
      <c r="D586" s="39">
        <v>24.0</v>
      </c>
      <c r="E586" s="40">
        <f>IFERROR(__xludf.DUMMYFUNCTION("COUNT(IMPORTRANGE(""https://docs.google.com/spreadsheets/d/1zJUDEKztv_fercXA0LYNw155qdzS7TJGhWLhquaW5IY/edit"",""22!d2:d31""))"),22.0)</f>
        <v>22</v>
      </c>
      <c r="F586" s="45">
        <f>IFERROR(__xludf.DUMMYFUNCTION("SUM(IMPORTRANGE(""https://docs.google.com/spreadsheets/d/1zJUDEKztv_fercXA0LYNw155qdzS7TJGhWLhquaW5IY/edit"",""22!Q2:Q31""))"),4086.794999999999)</f>
        <v>4086.795</v>
      </c>
      <c r="G586" s="40">
        <f>IFERROR(__xludf.DUMMYFUNCTION("IMPORTRANGE(""https://docs.google.com/spreadsheets/d/1zJUDEKztv_fercXA0LYNw155qdzS7TJGhWLhquaW5IY/edit"",""22!e38"")"),1703.0)</f>
        <v>1703</v>
      </c>
      <c r="H586" s="40">
        <f>IFERROR(__xludf.DUMMYFUNCTION("IMPORTRANGE(""https://docs.google.com/spreadsheets/d/1zJUDEKztv_fercXA0LYNw155qdzS7TJGhWLhquaW5IY/edit"",""22!e39"")"),0.0)</f>
        <v>0</v>
      </c>
      <c r="I586" s="40">
        <f t="shared" si="1590"/>
        <v>1703</v>
      </c>
      <c r="J586" s="40">
        <f>IFERROR(__xludf.DUMMYFUNCTION("IMPORTRANGE(""https://docs.google.com/spreadsheets/d/1zJUDEKztv_fercXA0LYNw155qdzS7TJGhWLhquaW5IY/edit"",""22!e42"")"),2290.0)</f>
        <v>2290</v>
      </c>
      <c r="K586" s="40">
        <f>IFERROR(__xludf.DUMMYFUNCTION("IMPORTRANGE(""https://docs.google.com/spreadsheets/d/1zJUDEKztv_fercXA0LYNw155qdzS7TJGhWLhquaW5IY/edit"",""22!e43"")"),0.0)</f>
        <v>0</v>
      </c>
      <c r="L586" s="40">
        <f t="shared" si="1620"/>
        <v>2290</v>
      </c>
      <c r="M586" s="40">
        <f t="shared" si="1592"/>
        <v>3993</v>
      </c>
      <c r="N586" s="41">
        <f t="shared" si="1593"/>
        <v>185.7634091</v>
      </c>
      <c r="O586" s="38">
        <v>8101.0</v>
      </c>
      <c r="P586" s="42">
        <f t="shared" si="1594"/>
        <v>0.4929021109</v>
      </c>
      <c r="Q586" s="43">
        <v>1.5</v>
      </c>
      <c r="R586" s="42">
        <f t="shared" si="1595"/>
        <v>0.6513661684</v>
      </c>
      <c r="S586" s="44">
        <f t="shared" si="1596"/>
        <v>0.9770492525</v>
      </c>
      <c r="T586" s="43">
        <f>F586/19.985</f>
        <v>204.4931198</v>
      </c>
      <c r="U586" s="43">
        <f t="shared" si="1597"/>
        <v>9.295141811</v>
      </c>
      <c r="V586" s="40">
        <f t="shared" si="1598"/>
        <v>181.5</v>
      </c>
      <c r="X586" s="59" t="s">
        <v>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6"/>
    </row>
    <row r="587" ht="15.75" customHeight="1">
      <c r="A587" s="21"/>
      <c r="B587" s="38">
        <v>15.0</v>
      </c>
      <c r="C587" s="38" t="s">
        <v>40</v>
      </c>
      <c r="D587" s="39">
        <v>24.0</v>
      </c>
      <c r="E587" s="40">
        <f>IFERROR(__xludf.DUMMYFUNCTION("COUNT(IMPORTRANGE(""https://docs.google.com/spreadsheets/d/15GJA66Ucb-8RQ5vWVpq5HYaWoZZFX82SCeHChBujbrI/edit"",""22!d2:d31""))"),24.0)</f>
        <v>24</v>
      </c>
      <c r="F587" s="45">
        <f>IFERROR(__xludf.DUMMYFUNCTION("SUM(IMPORTRANGE(""https://docs.google.com/spreadsheets/d/15GJA66Ucb-8RQ5vWVpq5HYaWoZZFX82SCeHChBujbrI/edit"",""22!Q2:Q31""))"),4366.667)</f>
        <v>4366.667</v>
      </c>
      <c r="G587" s="40">
        <f>IFERROR(__xludf.DUMMYFUNCTION("IMPORTRANGE(""https://docs.google.com/spreadsheets/d/15GJA66Ucb-8RQ5vWVpq5HYaWoZZFX82SCeHChBujbrI/edit"",""22!e38"")"),2521.0)</f>
        <v>2521</v>
      </c>
      <c r="H587" s="40">
        <f>IFERROR(__xludf.DUMMYFUNCTION("IMPORTRANGE(""https://docs.google.com/spreadsheets/d/15GJA66Ucb-8RQ5vWVpq5HYaWoZZFX82SCeHChBujbrI/edit"",""22!e39"")"),0.0)</f>
        <v>0</v>
      </c>
      <c r="I587" s="40">
        <f t="shared" si="1590"/>
        <v>2521</v>
      </c>
      <c r="J587" s="40">
        <f>IFERROR(__xludf.DUMMYFUNCTION("IMPORTRANGE(""https://docs.google.com/spreadsheets/d/15GJA66Ucb-8RQ5vWVpq5HYaWoZZFX82SCeHChBujbrI/edit"",""22!e42"")"),3317.0)</f>
        <v>3317</v>
      </c>
      <c r="K587" s="40">
        <f>IFERROR(__xludf.DUMMYFUNCTION("IMPORTRANGE(""https://docs.google.com/spreadsheets/d/15GJA66Ucb-8RQ5vWVpq5HYaWoZZFX82SCeHChBujbrI/edit"",""22!e43"")"),0.0)</f>
        <v>0</v>
      </c>
      <c r="L587" s="40">
        <f t="shared" si="1620"/>
        <v>3317</v>
      </c>
      <c r="M587" s="40">
        <f t="shared" si="1592"/>
        <v>5838</v>
      </c>
      <c r="N587" s="41">
        <f t="shared" si="1593"/>
        <v>181.9444583</v>
      </c>
      <c r="O587" s="38">
        <v>8239.0</v>
      </c>
      <c r="P587" s="42">
        <f t="shared" si="1594"/>
        <v>0.7085811385</v>
      </c>
      <c r="Q587" s="43">
        <v>1.5</v>
      </c>
      <c r="R587" s="42">
        <f t="shared" si="1595"/>
        <v>0.8912976419</v>
      </c>
      <c r="S587" s="44">
        <f t="shared" si="1596"/>
        <v>1.336946463</v>
      </c>
      <c r="T587" s="43">
        <f>F587/28.443</f>
        <v>153.5234328</v>
      </c>
      <c r="U587" s="43">
        <f t="shared" si="1597"/>
        <v>6.396809701</v>
      </c>
      <c r="V587" s="40">
        <f t="shared" si="1598"/>
        <v>243.25</v>
      </c>
      <c r="X587" s="14" t="s">
        <v>2</v>
      </c>
      <c r="Y587" s="14" t="s">
        <v>3</v>
      </c>
      <c r="Z587" s="14" t="s">
        <v>4</v>
      </c>
      <c r="AA587" s="14" t="s">
        <v>5</v>
      </c>
      <c r="AB587" s="15" t="s">
        <v>6</v>
      </c>
      <c r="AC587" s="14" t="s">
        <v>7</v>
      </c>
      <c r="AD587" s="14" t="s">
        <v>8</v>
      </c>
      <c r="AE587" s="14" t="s">
        <v>9</v>
      </c>
      <c r="AF587" s="14" t="s">
        <v>10</v>
      </c>
      <c r="AG587" s="14" t="s">
        <v>11</v>
      </c>
      <c r="AH587" s="14" t="s">
        <v>12</v>
      </c>
      <c r="AI587" s="14" t="s">
        <v>13</v>
      </c>
      <c r="AJ587" s="15" t="s">
        <v>14</v>
      </c>
      <c r="AK587" s="14" t="s">
        <v>15</v>
      </c>
      <c r="AL587" s="14" t="s">
        <v>16</v>
      </c>
      <c r="AM587" s="16" t="s">
        <v>17</v>
      </c>
      <c r="AN587" s="17" t="s">
        <v>18</v>
      </c>
      <c r="AO587" s="18" t="s">
        <v>19</v>
      </c>
      <c r="AP587" s="19" t="s">
        <v>20</v>
      </c>
      <c r="AQ587" s="19" t="s">
        <v>21</v>
      </c>
      <c r="AR587" s="20" t="s">
        <v>22</v>
      </c>
    </row>
    <row r="588" ht="15.75" customHeight="1">
      <c r="A588" s="21"/>
      <c r="B588" s="38">
        <v>16.0</v>
      </c>
      <c r="C588" s="38" t="s">
        <v>42</v>
      </c>
      <c r="D588" s="39">
        <v>26.0</v>
      </c>
      <c r="E588" s="40">
        <f>IFERROR(__xludf.DUMMYFUNCTION("COUNT(IMPORTRANGE(""https://docs.google.com/spreadsheets/d/14Tu_jFPEdrIQ6DHYu6vRvJKQsbXr-48NY1tKy4-8JKI/edit"",""22!d2:d34""))"),26.0)</f>
        <v>26</v>
      </c>
      <c r="F588" s="45">
        <f>IFERROR(__xludf.DUMMYFUNCTION("SUM(IMPORTRANGE(""https://docs.google.com/spreadsheets/d/14Tu_jFPEdrIQ6DHYu6vRvJKQsbXr-48NY1tKy4-8JKI/edit"",""22!Q2:Q34""))"),5118.686999999998)</f>
        <v>5118.687</v>
      </c>
      <c r="G588" s="40">
        <f>IFERROR(__xludf.DUMMYFUNCTION("IMPORTRANGE(""https://docs.google.com/spreadsheets/d/14Tu_jFPEdrIQ6DHYu6vRvJKQsbXr-48NY1tKy4-8JKI/edit"",""22!e41"")"),2226.0)</f>
        <v>2226</v>
      </c>
      <c r="H588" s="40">
        <f>IFERROR(__xludf.DUMMYFUNCTION("IMPORTRANGE(""https://docs.google.com/spreadsheets/d/14Tu_jFPEdrIQ6DHYu6vRvJKQsbXr-48NY1tKy4-8JKI/edit"",""22!e42"")"),0.0)</f>
        <v>0</v>
      </c>
      <c r="I588" s="40">
        <f t="shared" si="1590"/>
        <v>2226</v>
      </c>
      <c r="J588" s="40">
        <f>IFERROR(__xludf.DUMMYFUNCTION("IMPORTRANGE(""https://docs.google.com/spreadsheets/d/14Tu_jFPEdrIQ6DHYu6vRvJKQsbXr-48NY1tKy4-8JKI/edit"",""22!e45"")"),3245.0)</f>
        <v>3245</v>
      </c>
      <c r="K588" s="40">
        <f>IFERROR(__xludf.DUMMYFUNCTION("IMPORTRANGE(""https://docs.google.com/spreadsheets/d/14Tu_jFPEdrIQ6DHYu6vRvJKQsbXr-48NY1tKy4-8JKI/edit"",""22!e46"")"),0.0)</f>
        <v>0</v>
      </c>
      <c r="L588" s="40">
        <f t="shared" si="1620"/>
        <v>3245</v>
      </c>
      <c r="M588" s="40">
        <f t="shared" si="1592"/>
        <v>5471</v>
      </c>
      <c r="N588" s="41">
        <f t="shared" si="1593"/>
        <v>196.8725769</v>
      </c>
      <c r="O588" s="38">
        <v>9877.0</v>
      </c>
      <c r="P588" s="42">
        <f t="shared" si="1594"/>
        <v>0.5539131315</v>
      </c>
      <c r="Q588" s="43">
        <v>1.5</v>
      </c>
      <c r="R588" s="42">
        <f t="shared" si="1595"/>
        <v>0.7125525224</v>
      </c>
      <c r="S588" s="44">
        <f t="shared" si="1596"/>
        <v>1.068828784</v>
      </c>
      <c r="T588" s="43">
        <f>F588/26.155</f>
        <v>195.7058689</v>
      </c>
      <c r="U588" s="43">
        <f t="shared" si="1597"/>
        <v>7.527148802</v>
      </c>
      <c r="V588" s="40">
        <f t="shared" si="1598"/>
        <v>210.4230769</v>
      </c>
      <c r="X588" s="31">
        <v>1.0</v>
      </c>
      <c r="Y588" s="31" t="s">
        <v>26</v>
      </c>
      <c r="Z588" s="31">
        <f t="shared" ref="Z588:AI588" si="1630">SUM(D573)</f>
        <v>16</v>
      </c>
      <c r="AA588" s="32">
        <f t="shared" si="1630"/>
        <v>16</v>
      </c>
      <c r="AB588" s="34">
        <f t="shared" si="1630"/>
        <v>3179.043</v>
      </c>
      <c r="AC588" s="32">
        <f t="shared" si="1630"/>
        <v>1522</v>
      </c>
      <c r="AD588" s="32">
        <f t="shared" si="1630"/>
        <v>0</v>
      </c>
      <c r="AE588" s="32">
        <f t="shared" si="1630"/>
        <v>1522</v>
      </c>
      <c r="AF588" s="32">
        <f t="shared" si="1630"/>
        <v>2117</v>
      </c>
      <c r="AG588" s="32">
        <f t="shared" si="1630"/>
        <v>0</v>
      </c>
      <c r="AH588" s="32">
        <f t="shared" si="1630"/>
        <v>2117</v>
      </c>
      <c r="AI588" s="32">
        <f t="shared" si="1630"/>
        <v>3639</v>
      </c>
      <c r="AJ588" s="34">
        <f t="shared" ref="AJ588:AJ594" si="1633">AB588/AA588</f>
        <v>198.6901875</v>
      </c>
      <c r="AK588" s="31">
        <f>SUM(O573)</f>
        <v>5161</v>
      </c>
      <c r="AL588" s="35">
        <f t="shared" ref="AL588:AL594" si="1634">AI588/AK588</f>
        <v>0.7050959116</v>
      </c>
      <c r="AM588" s="36">
        <f>SUM(Q573)</f>
        <v>1.5</v>
      </c>
      <c r="AN588" s="35">
        <f t="shared" ref="AN588:AN594" si="1635">AO588/AM588</f>
        <v>0.7631227385</v>
      </c>
      <c r="AO588" s="37">
        <f t="shared" ref="AO588:AO594" si="1636">AI588/AB588</f>
        <v>1.144684108</v>
      </c>
      <c r="AP588" s="36">
        <f t="shared" ref="AP588:AQ588" si="1631">SUM(T573)</f>
        <v>220.5371488</v>
      </c>
      <c r="AQ588" s="36">
        <f t="shared" si="1631"/>
        <v>13.7835718</v>
      </c>
      <c r="AR588" s="32">
        <f t="shared" ref="AR588:AR594" si="1638">AI588/AA588</f>
        <v>227.4375</v>
      </c>
    </row>
    <row r="589" ht="15.75" customHeight="1">
      <c r="A589" s="21"/>
      <c r="B589" s="38">
        <v>17.0</v>
      </c>
      <c r="C589" s="38" t="s">
        <v>29</v>
      </c>
      <c r="D589" s="39">
        <v>24.0</v>
      </c>
      <c r="E589" s="40">
        <f>IFERROR(__xludf.DUMMYFUNCTION("COUNT(IMPORTRANGE(""https://docs.google.com/spreadsheets/d/1ja_RQYsP0p5wRrACHojay4CW1wLx0QdS5tSwp-vYQ-s/edit"",""22!d2:d31""))"),24.0)</f>
        <v>24</v>
      </c>
      <c r="F589" s="45">
        <f>IFERROR(__xludf.DUMMYFUNCTION("SUM(IMPORTRANGE(""https://docs.google.com/spreadsheets/d/1ja_RQYsP0p5wRrACHojay4CW1wLx0QdS5tSwp-vYQ-s/edit"",""22!Q2:Q31""))"),4874.343999999998)</f>
        <v>4874.344</v>
      </c>
      <c r="G589" s="40">
        <f>IFERROR(__xludf.DUMMYFUNCTION("IMPORTRANGE(""https://docs.google.com/spreadsheets/d/1ja_RQYsP0p5wRrACHojay4CW1wLx0QdS5tSwp-vYQ-s/edit"",""22!e38"")"),2077.0)</f>
        <v>2077</v>
      </c>
      <c r="H589" s="40">
        <f>IFERROR(__xludf.DUMMYFUNCTION("IMPORTRANGE(""https://docs.google.com/spreadsheets/d/1ja_RQYsP0p5wRrACHojay4CW1wLx0QdS5tSwp-vYQ-s/edit"",""22!e39"")"),0.0)</f>
        <v>0</v>
      </c>
      <c r="I589" s="40">
        <f t="shared" si="1590"/>
        <v>2077</v>
      </c>
      <c r="J589" s="40">
        <f>IFERROR(__xludf.DUMMYFUNCTION("IMPORTRANGE(""https://docs.google.com/spreadsheets/d/1ja_RQYsP0p5wRrACHojay4CW1wLx0QdS5tSwp-vYQ-s/edit"",""22!e42"")"),3033.0)</f>
        <v>3033</v>
      </c>
      <c r="K589" s="40">
        <f>IFERROR(__xludf.DUMMYFUNCTION("IMPORTRANGE(""https://docs.google.com/spreadsheets/d/1ja_RQYsP0p5wRrACHojay4CW1wLx0QdS5tSwp-vYQ-s/edit"",""22!e43"")"),0.0)</f>
        <v>0</v>
      </c>
      <c r="L589" s="40">
        <f t="shared" si="1620"/>
        <v>3033</v>
      </c>
      <c r="M589" s="40">
        <f t="shared" si="1592"/>
        <v>5110</v>
      </c>
      <c r="N589" s="41">
        <f t="shared" si="1593"/>
        <v>203.0976667</v>
      </c>
      <c r="O589" s="38">
        <v>9201.0</v>
      </c>
      <c r="P589" s="42">
        <f t="shared" si="1594"/>
        <v>0.5553744158</v>
      </c>
      <c r="Q589" s="43">
        <v>1.5</v>
      </c>
      <c r="R589" s="42">
        <f t="shared" si="1595"/>
        <v>0.6988974653</v>
      </c>
      <c r="S589" s="44">
        <f t="shared" si="1596"/>
        <v>1.048346198</v>
      </c>
      <c r="T589" s="43">
        <f>F589/26.491</f>
        <v>184</v>
      </c>
      <c r="U589" s="43">
        <f t="shared" si="1597"/>
        <v>7.666666667</v>
      </c>
      <c r="V589" s="40">
        <f t="shared" si="1598"/>
        <v>212.9166667</v>
      </c>
      <c r="X589" s="31">
        <v>2.0</v>
      </c>
      <c r="Y589" s="31" t="s">
        <v>32</v>
      </c>
      <c r="Z589" s="31">
        <f t="shared" ref="Z589:AI589" si="1632">SUM(D576)</f>
        <v>33</v>
      </c>
      <c r="AA589" s="32">
        <f t="shared" si="1632"/>
        <v>32</v>
      </c>
      <c r="AB589" s="33">
        <f t="shared" si="1632"/>
        <v>5946.093</v>
      </c>
      <c r="AC589" s="31">
        <f t="shared" si="1632"/>
        <v>3355</v>
      </c>
      <c r="AD589" s="31">
        <f t="shared" si="1632"/>
        <v>0</v>
      </c>
      <c r="AE589" s="32">
        <f t="shared" si="1632"/>
        <v>3355</v>
      </c>
      <c r="AF589" s="31">
        <f t="shared" si="1632"/>
        <v>4134</v>
      </c>
      <c r="AG589" s="31">
        <f t="shared" si="1632"/>
        <v>100</v>
      </c>
      <c r="AH589" s="32">
        <f t="shared" si="1632"/>
        <v>4234</v>
      </c>
      <c r="AI589" s="32">
        <f t="shared" si="1632"/>
        <v>7589</v>
      </c>
      <c r="AJ589" s="34">
        <f t="shared" si="1633"/>
        <v>185.8154063</v>
      </c>
      <c r="AK589" s="31">
        <f>SUM(O576)</f>
        <v>13817</v>
      </c>
      <c r="AL589" s="35">
        <f t="shared" si="1634"/>
        <v>0.5492509228</v>
      </c>
      <c r="AM589" s="36">
        <f>SUM(Q576)</f>
        <v>1.5</v>
      </c>
      <c r="AN589" s="35">
        <f t="shared" si="1635"/>
        <v>0.8508668353</v>
      </c>
      <c r="AO589" s="37">
        <f t="shared" si="1636"/>
        <v>1.276300253</v>
      </c>
      <c r="AP589" s="36">
        <f t="shared" ref="AP589:AQ589" si="1637">SUM(T576)</f>
        <v>237</v>
      </c>
      <c r="AQ589" s="36">
        <f t="shared" si="1637"/>
        <v>7.40625</v>
      </c>
      <c r="AR589" s="32">
        <f t="shared" si="1638"/>
        <v>237.15625</v>
      </c>
    </row>
    <row r="590" ht="15.75" customHeight="1">
      <c r="A590" s="21"/>
      <c r="B590" s="38">
        <v>18.0</v>
      </c>
      <c r="C590" s="38" t="s">
        <v>31</v>
      </c>
      <c r="D590" s="39">
        <v>12.0</v>
      </c>
      <c r="E590" s="40">
        <f>IFERROR(__xludf.DUMMYFUNCTION("COUNT(IMPORTRANGE(""https://docs.google.com/spreadsheets/d/1ObnK1oSznTOmyW9Zcd2kxExl7TOnO2MNq_0giEKc_mE/edit"",""22!d2:d16""))"),12.0)</f>
        <v>12</v>
      </c>
      <c r="F590" s="41">
        <f>IFERROR(__xludf.DUMMYFUNCTION("SUM(IMPORTRANGE(""https://docs.google.com/spreadsheets/d/1ObnK1oSznTOmyW9Zcd2kxExl7TOnO2MNq_0giEKc_mE/edit"",""22!Q2:Q16""))"),2303.645)</f>
        <v>2303.645</v>
      </c>
      <c r="G590" s="40">
        <f>IFERROR(__xludf.DUMMYFUNCTION("IMPORTRANGE(""https://docs.google.com/spreadsheets/d/1ObnK1oSznTOmyW9Zcd2kxExl7TOnO2MNq_0giEKc_mE/edit"",""22!e23"")"),736.0)</f>
        <v>736</v>
      </c>
      <c r="H590" s="40">
        <f>IFERROR(__xludf.DUMMYFUNCTION("IMPORTRANGE(""https://docs.google.com/spreadsheets/d/1ObnK1oSznTOmyW9Zcd2kxExl7TOnO2MNq_0giEKc_mE/edit"",""22!e24"")"),10.0)</f>
        <v>10</v>
      </c>
      <c r="I590" s="40">
        <f t="shared" si="1590"/>
        <v>746</v>
      </c>
      <c r="J590" s="40">
        <f>IFERROR(__xludf.DUMMYFUNCTION("IMPORTRANGE(""https://docs.google.com/spreadsheets/d/1ObnK1oSznTOmyW9Zcd2kxExl7TOnO2MNq_0giEKc_mE/edit"",""22!e27"")"),794.0)</f>
        <v>794</v>
      </c>
      <c r="K590" s="40">
        <f>IFERROR(__xludf.DUMMYFUNCTION("IMPORTRANGE(""https://docs.google.com/spreadsheets/d/1ObnK1oSznTOmyW9Zcd2kxExl7TOnO2MNq_0giEKc_mE/edit"",""22!e28"")"),0.0)</f>
        <v>0</v>
      </c>
      <c r="L590" s="40">
        <f t="shared" si="1620"/>
        <v>794</v>
      </c>
      <c r="M590" s="40">
        <f t="shared" si="1592"/>
        <v>1540</v>
      </c>
      <c r="N590" s="41">
        <f t="shared" si="1593"/>
        <v>191.9704167</v>
      </c>
      <c r="O590" s="38">
        <v>2717.0</v>
      </c>
      <c r="P590" s="42">
        <f t="shared" si="1594"/>
        <v>0.5668016194</v>
      </c>
      <c r="Q590" s="43">
        <v>1.5</v>
      </c>
      <c r="R590" s="42">
        <f t="shared" si="1595"/>
        <v>0.4456705207</v>
      </c>
      <c r="S590" s="44">
        <f t="shared" si="1596"/>
        <v>0.6685057811</v>
      </c>
      <c r="T590" s="43">
        <f>F590/43.465</f>
        <v>53</v>
      </c>
      <c r="U590" s="43">
        <f t="shared" si="1597"/>
        <v>4.416666667</v>
      </c>
      <c r="V590" s="40">
        <f t="shared" si="1598"/>
        <v>128.3333333</v>
      </c>
      <c r="X590" s="31">
        <v>3.0</v>
      </c>
      <c r="Y590" s="31" t="s">
        <v>36</v>
      </c>
      <c r="Z590" s="31">
        <f t="shared" ref="Z590:AI590" si="1639">SUM(D581)</f>
        <v>23</v>
      </c>
      <c r="AA590" s="32">
        <f t="shared" si="1639"/>
        <v>23</v>
      </c>
      <c r="AB590" s="33">
        <f t="shared" si="1639"/>
        <v>4540.215</v>
      </c>
      <c r="AC590" s="32">
        <f t="shared" si="1639"/>
        <v>1080</v>
      </c>
      <c r="AD590" s="32">
        <f t="shared" si="1639"/>
        <v>0</v>
      </c>
      <c r="AE590" s="32">
        <f t="shared" si="1639"/>
        <v>1080</v>
      </c>
      <c r="AF590" s="32">
        <f t="shared" si="1639"/>
        <v>1731</v>
      </c>
      <c r="AG590" s="32">
        <f t="shared" si="1639"/>
        <v>0</v>
      </c>
      <c r="AH590" s="32">
        <f t="shared" si="1639"/>
        <v>1731</v>
      </c>
      <c r="AI590" s="32">
        <f t="shared" si="1639"/>
        <v>2811</v>
      </c>
      <c r="AJ590" s="34">
        <f t="shared" si="1633"/>
        <v>197.4006522</v>
      </c>
      <c r="AK590" s="31">
        <f t="shared" ref="AK590:AK593" si="1643">SUM(O581)</f>
        <v>4796</v>
      </c>
      <c r="AL590" s="35">
        <f t="shared" si="1634"/>
        <v>0.5861134279</v>
      </c>
      <c r="AM590" s="36">
        <f t="shared" ref="AM590:AM593" si="1644">SUM(Q581)</f>
        <v>1.5</v>
      </c>
      <c r="AN590" s="35">
        <f t="shared" si="1635"/>
        <v>0.4127557836</v>
      </c>
      <c r="AO590" s="37">
        <f t="shared" si="1636"/>
        <v>0.6191336754</v>
      </c>
      <c r="AP590" s="36">
        <f t="shared" ref="AP590:AQ590" si="1640">SUM(T581)</f>
        <v>121.3506976</v>
      </c>
      <c r="AQ590" s="36">
        <f t="shared" si="1640"/>
        <v>5.276117287</v>
      </c>
      <c r="AR590" s="32">
        <f t="shared" si="1638"/>
        <v>122.2173913</v>
      </c>
    </row>
    <row r="591" ht="15.75" customHeight="1">
      <c r="A591" s="21"/>
      <c r="B591" s="60" t="s">
        <v>33</v>
      </c>
      <c r="C591" s="60">
        <v>18.0</v>
      </c>
      <c r="D591" s="60">
        <f t="shared" ref="D591:M591" si="1641">SUM(D573:D590)</f>
        <v>470</v>
      </c>
      <c r="E591" s="61">
        <f t="shared" si="1641"/>
        <v>463</v>
      </c>
      <c r="F591" s="62">
        <f t="shared" si="1641"/>
        <v>89636.771</v>
      </c>
      <c r="G591" s="61">
        <f t="shared" si="1641"/>
        <v>29475</v>
      </c>
      <c r="H591" s="61">
        <f t="shared" si="1641"/>
        <v>659</v>
      </c>
      <c r="I591" s="61">
        <f t="shared" si="1641"/>
        <v>30134</v>
      </c>
      <c r="J591" s="61">
        <f t="shared" si="1641"/>
        <v>43322</v>
      </c>
      <c r="K591" s="61">
        <f t="shared" si="1641"/>
        <v>540</v>
      </c>
      <c r="L591" s="61">
        <f t="shared" si="1641"/>
        <v>43862</v>
      </c>
      <c r="M591" s="61">
        <f t="shared" si="1641"/>
        <v>73996</v>
      </c>
      <c r="N591" s="62">
        <f t="shared" si="1593"/>
        <v>193.5999374</v>
      </c>
      <c r="O591" s="60">
        <f>SUM(O573:O590)</f>
        <v>126399</v>
      </c>
      <c r="P591" s="63">
        <f t="shared" si="1594"/>
        <v>0.5854160239</v>
      </c>
      <c r="Q591" s="64">
        <v>1.5</v>
      </c>
      <c r="R591" s="63">
        <f t="shared" si="1595"/>
        <v>0.550339622</v>
      </c>
      <c r="S591" s="65">
        <f t="shared" si="1596"/>
        <v>0.825509433</v>
      </c>
      <c r="T591" s="64">
        <f>SUM(T573:T590)</f>
        <v>3301.973405</v>
      </c>
      <c r="U591" s="64">
        <f t="shared" si="1597"/>
        <v>7.13169202</v>
      </c>
      <c r="V591" s="61">
        <f t="shared" si="1598"/>
        <v>159.8185745</v>
      </c>
      <c r="X591" s="31">
        <v>4.0</v>
      </c>
      <c r="Y591" s="31" t="s">
        <v>37</v>
      </c>
      <c r="Z591" s="31">
        <f t="shared" ref="Z591:AI591" si="1642">SUM(D582)</f>
        <v>24</v>
      </c>
      <c r="AA591" s="32">
        <f t="shared" si="1642"/>
        <v>23</v>
      </c>
      <c r="AB591" s="33">
        <f t="shared" si="1642"/>
        <v>4459.938</v>
      </c>
      <c r="AC591" s="32">
        <f t="shared" si="1642"/>
        <v>1195</v>
      </c>
      <c r="AD591" s="32">
        <f t="shared" si="1642"/>
        <v>65</v>
      </c>
      <c r="AE591" s="32">
        <f t="shared" si="1642"/>
        <v>1260</v>
      </c>
      <c r="AF591" s="32">
        <f t="shared" si="1642"/>
        <v>2620</v>
      </c>
      <c r="AG591" s="32">
        <f t="shared" si="1642"/>
        <v>0</v>
      </c>
      <c r="AH591" s="32">
        <f t="shared" si="1642"/>
        <v>2620</v>
      </c>
      <c r="AI591" s="32">
        <f t="shared" si="1642"/>
        <v>3880</v>
      </c>
      <c r="AJ591" s="34">
        <f t="shared" si="1633"/>
        <v>193.9103478</v>
      </c>
      <c r="AK591" s="31">
        <f t="shared" si="1643"/>
        <v>5887</v>
      </c>
      <c r="AL591" s="35">
        <f t="shared" si="1634"/>
        <v>0.6590793273</v>
      </c>
      <c r="AM591" s="36">
        <f t="shared" si="1644"/>
        <v>1.5</v>
      </c>
      <c r="AN591" s="35">
        <f t="shared" si="1635"/>
        <v>0.5799781671</v>
      </c>
      <c r="AO591" s="37">
        <f t="shared" si="1636"/>
        <v>0.8699672507</v>
      </c>
      <c r="AP591" s="36">
        <f t="shared" ref="AP591:AQ591" si="1645">SUM(T582)</f>
        <v>179.8942401</v>
      </c>
      <c r="AQ591" s="36">
        <f t="shared" si="1645"/>
        <v>7.821488699</v>
      </c>
      <c r="AR591" s="32">
        <f t="shared" si="1638"/>
        <v>168.6956522</v>
      </c>
    </row>
    <row r="592" ht="15.7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X592" s="31">
        <v>5.0</v>
      </c>
      <c r="Y592" s="31" t="s">
        <v>39</v>
      </c>
      <c r="Z592" s="31">
        <f t="shared" ref="Z592:AI592" si="1646">SUM(D583)</f>
        <v>22</v>
      </c>
      <c r="AA592" s="32">
        <f t="shared" si="1646"/>
        <v>22</v>
      </c>
      <c r="AB592" s="33">
        <f t="shared" si="1646"/>
        <v>4255.131</v>
      </c>
      <c r="AC592" s="32">
        <f t="shared" si="1646"/>
        <v>1031</v>
      </c>
      <c r="AD592" s="32">
        <f t="shared" si="1646"/>
        <v>0</v>
      </c>
      <c r="AE592" s="32">
        <f t="shared" si="1646"/>
        <v>1031</v>
      </c>
      <c r="AF592" s="32">
        <f t="shared" si="1646"/>
        <v>1781</v>
      </c>
      <c r="AG592" s="32">
        <f t="shared" si="1646"/>
        <v>0</v>
      </c>
      <c r="AH592" s="32">
        <f t="shared" si="1646"/>
        <v>1781</v>
      </c>
      <c r="AI592" s="32">
        <f t="shared" si="1646"/>
        <v>2812</v>
      </c>
      <c r="AJ592" s="34">
        <f t="shared" si="1633"/>
        <v>193.4150455</v>
      </c>
      <c r="AK592" s="31">
        <f t="shared" si="1643"/>
        <v>3569</v>
      </c>
      <c r="AL592" s="35">
        <f t="shared" si="1634"/>
        <v>0.7878957691</v>
      </c>
      <c r="AM592" s="36">
        <f t="shared" si="1644"/>
        <v>1.5</v>
      </c>
      <c r="AN592" s="35">
        <f t="shared" si="1635"/>
        <v>0.4405661463</v>
      </c>
      <c r="AO592" s="37">
        <f t="shared" si="1636"/>
        <v>0.6608492194</v>
      </c>
      <c r="AP592" s="36">
        <f t="shared" ref="AP592:AQ592" si="1647">SUM(T583)</f>
        <v>198.2542515</v>
      </c>
      <c r="AQ592" s="36">
        <f t="shared" si="1647"/>
        <v>9.011556886</v>
      </c>
      <c r="AR592" s="32">
        <f t="shared" si="1638"/>
        <v>127.8181818</v>
      </c>
    </row>
    <row r="593" ht="15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X593" s="31">
        <v>6.0</v>
      </c>
      <c r="Y593" s="31" t="s">
        <v>41</v>
      </c>
      <c r="Z593" s="31">
        <f t="shared" ref="Z593:AI593" si="1648">SUM(D584)</f>
        <v>20</v>
      </c>
      <c r="AA593" s="32">
        <f t="shared" si="1648"/>
        <v>20</v>
      </c>
      <c r="AB593" s="33">
        <f t="shared" si="1648"/>
        <v>3904.312</v>
      </c>
      <c r="AC593" s="32">
        <f t="shared" si="1648"/>
        <v>841</v>
      </c>
      <c r="AD593" s="32">
        <f t="shared" si="1648"/>
        <v>0</v>
      </c>
      <c r="AE593" s="32">
        <f t="shared" si="1648"/>
        <v>841</v>
      </c>
      <c r="AF593" s="32">
        <f t="shared" si="1648"/>
        <v>1274</v>
      </c>
      <c r="AG593" s="32">
        <f t="shared" si="1648"/>
        <v>0</v>
      </c>
      <c r="AH593" s="32">
        <f t="shared" si="1648"/>
        <v>1274</v>
      </c>
      <c r="AI593" s="32">
        <f t="shared" si="1648"/>
        <v>2115</v>
      </c>
      <c r="AJ593" s="34">
        <f t="shared" si="1633"/>
        <v>195.2156</v>
      </c>
      <c r="AK593" s="31">
        <f t="shared" si="1643"/>
        <v>3801</v>
      </c>
      <c r="AL593" s="35">
        <f t="shared" si="1634"/>
        <v>0.5564325178</v>
      </c>
      <c r="AM593" s="36">
        <f t="shared" si="1644"/>
        <v>1.5</v>
      </c>
      <c r="AN593" s="35">
        <f t="shared" si="1635"/>
        <v>0.3611391713</v>
      </c>
      <c r="AO593" s="37">
        <f t="shared" si="1636"/>
        <v>0.5417087569</v>
      </c>
      <c r="AP593" s="36">
        <f t="shared" ref="AP593:AQ593" si="1649">SUM(T584)</f>
        <v>131.7777778</v>
      </c>
      <c r="AQ593" s="36">
        <f t="shared" si="1649"/>
        <v>6.588888889</v>
      </c>
      <c r="AR593" s="32">
        <f t="shared" si="1638"/>
        <v>105.75</v>
      </c>
    </row>
    <row r="594" ht="15.75" customHeight="1">
      <c r="A594" s="1" t="s">
        <v>45</v>
      </c>
      <c r="D594" s="2"/>
      <c r="X594" s="46" t="s">
        <v>33</v>
      </c>
      <c r="Y594" s="46">
        <v>6.0</v>
      </c>
      <c r="Z594" s="46">
        <f t="shared" ref="Z594:AI594" si="1650">SUM(Z588:Z593)</f>
        <v>138</v>
      </c>
      <c r="AA594" s="47">
        <f t="shared" si="1650"/>
        <v>136</v>
      </c>
      <c r="AB594" s="49">
        <f t="shared" si="1650"/>
        <v>26284.732</v>
      </c>
      <c r="AC594" s="47">
        <f t="shared" si="1650"/>
        <v>9024</v>
      </c>
      <c r="AD594" s="47">
        <f t="shared" si="1650"/>
        <v>65</v>
      </c>
      <c r="AE594" s="47">
        <f t="shared" si="1650"/>
        <v>9089</v>
      </c>
      <c r="AF594" s="47">
        <f t="shared" si="1650"/>
        <v>13657</v>
      </c>
      <c r="AG594" s="47">
        <f t="shared" si="1650"/>
        <v>100</v>
      </c>
      <c r="AH594" s="47">
        <f t="shared" si="1650"/>
        <v>13757</v>
      </c>
      <c r="AI594" s="47">
        <f t="shared" si="1650"/>
        <v>22846</v>
      </c>
      <c r="AJ594" s="49">
        <f t="shared" si="1633"/>
        <v>193.2700882</v>
      </c>
      <c r="AK594" s="46">
        <f>SUM(AK588:AK593)</f>
        <v>37031</v>
      </c>
      <c r="AL594" s="50">
        <f t="shared" si="1634"/>
        <v>0.6169425616</v>
      </c>
      <c r="AM594" s="51">
        <v>1.5</v>
      </c>
      <c r="AN594" s="50">
        <f t="shared" si="1635"/>
        <v>0.57944919</v>
      </c>
      <c r="AO594" s="52">
        <f t="shared" si="1636"/>
        <v>0.869173785</v>
      </c>
      <c r="AP594" s="51">
        <f>SUM(AP588:AP593)</f>
        <v>1088.814116</v>
      </c>
      <c r="AQ594" s="51">
        <f>AP594/AA594</f>
        <v>8.005986145</v>
      </c>
      <c r="AR594" s="47">
        <f t="shared" si="1638"/>
        <v>167.9852941</v>
      </c>
    </row>
    <row r="595" ht="15.75" customHeight="1">
      <c r="A595" s="1" t="s">
        <v>45</v>
      </c>
      <c r="D595" s="2"/>
      <c r="X595" s="66" t="s">
        <v>1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6"/>
    </row>
    <row r="596" ht="15.75" customHeight="1">
      <c r="A596" s="10">
        <v>46257.0</v>
      </c>
      <c r="B596" s="8" t="s">
        <v>2</v>
      </c>
      <c r="C596" s="8" t="s">
        <v>3</v>
      </c>
      <c r="D596" s="8" t="s">
        <v>4</v>
      </c>
      <c r="E596" s="8" t="s">
        <v>5</v>
      </c>
      <c r="F596" s="9" t="s">
        <v>6</v>
      </c>
      <c r="G596" s="8" t="s">
        <v>7</v>
      </c>
      <c r="H596" s="8" t="s">
        <v>8</v>
      </c>
      <c r="I596" s="8" t="s">
        <v>9</v>
      </c>
      <c r="J596" s="8" t="s">
        <v>10</v>
      </c>
      <c r="K596" s="8" t="s">
        <v>11</v>
      </c>
      <c r="L596" s="8" t="s">
        <v>12</v>
      </c>
      <c r="M596" s="8" t="s">
        <v>13</v>
      </c>
      <c r="N596" s="9" t="s">
        <v>14</v>
      </c>
      <c r="O596" s="8" t="s">
        <v>15</v>
      </c>
      <c r="P596" s="8" t="s">
        <v>16</v>
      </c>
      <c r="Q596" s="8" t="s">
        <v>17</v>
      </c>
      <c r="R596" s="8" t="s">
        <v>18</v>
      </c>
      <c r="S596" s="11" t="s">
        <v>19</v>
      </c>
      <c r="T596" s="12" t="s">
        <v>20</v>
      </c>
      <c r="U596" s="12" t="s">
        <v>21</v>
      </c>
      <c r="V596" s="13" t="s">
        <v>22</v>
      </c>
      <c r="X596" s="14" t="s">
        <v>2</v>
      </c>
      <c r="Y596" s="14" t="s">
        <v>3</v>
      </c>
      <c r="Z596" s="14" t="s">
        <v>4</v>
      </c>
      <c r="AA596" s="14" t="s">
        <v>5</v>
      </c>
      <c r="AB596" s="15" t="s">
        <v>6</v>
      </c>
      <c r="AC596" s="14" t="s">
        <v>7</v>
      </c>
      <c r="AD596" s="14" t="s">
        <v>8</v>
      </c>
      <c r="AE596" s="14" t="s">
        <v>9</v>
      </c>
      <c r="AF596" s="14" t="s">
        <v>10</v>
      </c>
      <c r="AG596" s="14" t="s">
        <v>11</v>
      </c>
      <c r="AH596" s="14" t="s">
        <v>12</v>
      </c>
      <c r="AI596" s="14" t="s">
        <v>13</v>
      </c>
      <c r="AJ596" s="15" t="s">
        <v>14</v>
      </c>
      <c r="AK596" s="14" t="s">
        <v>15</v>
      </c>
      <c r="AL596" s="14" t="s">
        <v>16</v>
      </c>
      <c r="AM596" s="16" t="s">
        <v>17</v>
      </c>
      <c r="AN596" s="17" t="s">
        <v>18</v>
      </c>
      <c r="AO596" s="18" t="s">
        <v>19</v>
      </c>
      <c r="AP596" s="19" t="s">
        <v>20</v>
      </c>
      <c r="AQ596" s="19" t="s">
        <v>21</v>
      </c>
      <c r="AR596" s="20" t="s">
        <v>22</v>
      </c>
    </row>
    <row r="597" ht="15.7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X597" s="22">
        <v>1.0</v>
      </c>
      <c r="Y597" s="22" t="s">
        <v>23</v>
      </c>
      <c r="Z597" s="22">
        <f t="shared" ref="Z597:AI597" si="1651">SUM(D605)</f>
        <v>26</v>
      </c>
      <c r="AA597" s="23">
        <f t="shared" si="1651"/>
        <v>25</v>
      </c>
      <c r="AB597" s="24">
        <f t="shared" si="1651"/>
        <v>4993.52</v>
      </c>
      <c r="AC597" s="23">
        <f t="shared" si="1651"/>
        <v>892</v>
      </c>
      <c r="AD597" s="23">
        <f t="shared" si="1651"/>
        <v>0</v>
      </c>
      <c r="AE597" s="23">
        <f t="shared" si="1651"/>
        <v>892</v>
      </c>
      <c r="AF597" s="23">
        <f t="shared" si="1651"/>
        <v>2155</v>
      </c>
      <c r="AG597" s="23">
        <f t="shared" si="1651"/>
        <v>0</v>
      </c>
      <c r="AH597" s="23">
        <f t="shared" si="1651"/>
        <v>2155</v>
      </c>
      <c r="AI597" s="23">
        <f t="shared" si="1651"/>
        <v>3047</v>
      </c>
      <c r="AJ597" s="25">
        <f t="shared" ref="AJ597:AJ599" si="1654">AB597/AA597</f>
        <v>199.7408</v>
      </c>
      <c r="AK597" s="22">
        <f>SUM(O605)</f>
        <v>6853</v>
      </c>
      <c r="AL597" s="26">
        <f t="shared" ref="AL597:AL603" si="1655">AI597/AK597</f>
        <v>0.4446227929</v>
      </c>
      <c r="AM597" s="27">
        <f t="shared" ref="AM597:AM599" si="1656">SUM(Q605)</f>
        <v>1.5</v>
      </c>
      <c r="AN597" s="26">
        <f t="shared" ref="AN597:AN603" si="1657">AO597/AM597</f>
        <v>0.4067938715</v>
      </c>
      <c r="AO597" s="28">
        <f t="shared" ref="AO597:AO603" si="1658">AI597/AB597</f>
        <v>0.6101908073</v>
      </c>
      <c r="AP597" s="27">
        <f t="shared" ref="AP597:AQ597" si="1652">SUM(T605)</f>
        <v>148</v>
      </c>
      <c r="AQ597" s="27">
        <f t="shared" si="1652"/>
        <v>5.92</v>
      </c>
      <c r="AR597" s="23">
        <f t="shared" ref="AR597:AR603" si="1660">AI597/AA597</f>
        <v>121.88</v>
      </c>
    </row>
    <row r="598" ht="15.7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X598" s="22">
        <v>2.0</v>
      </c>
      <c r="Y598" s="22" t="s">
        <v>24</v>
      </c>
      <c r="Z598" s="22">
        <f t="shared" ref="Z598:AI598" si="1653">SUM(D606)</f>
        <v>35</v>
      </c>
      <c r="AA598" s="23">
        <f t="shared" si="1653"/>
        <v>35</v>
      </c>
      <c r="AB598" s="24">
        <f t="shared" si="1653"/>
        <v>6759.386</v>
      </c>
      <c r="AC598" s="23">
        <f t="shared" si="1653"/>
        <v>640</v>
      </c>
      <c r="AD598" s="23">
        <f t="shared" si="1653"/>
        <v>0</v>
      </c>
      <c r="AE598" s="23">
        <f t="shared" si="1653"/>
        <v>640</v>
      </c>
      <c r="AF598" s="23">
        <f t="shared" si="1653"/>
        <v>821</v>
      </c>
      <c r="AG598" s="23">
        <f t="shared" si="1653"/>
        <v>0</v>
      </c>
      <c r="AH598" s="23">
        <f t="shared" si="1653"/>
        <v>821</v>
      </c>
      <c r="AI598" s="23">
        <f t="shared" si="1653"/>
        <v>1461</v>
      </c>
      <c r="AJ598" s="25">
        <f t="shared" si="1654"/>
        <v>193.1253143</v>
      </c>
      <c r="AK598" s="22">
        <v>1580.0</v>
      </c>
      <c r="AL598" s="26">
        <f t="shared" si="1655"/>
        <v>0.9246835443</v>
      </c>
      <c r="AM598" s="27">
        <f t="shared" si="1656"/>
        <v>1.5</v>
      </c>
      <c r="AN598" s="26">
        <f t="shared" si="1657"/>
        <v>0.1440959282</v>
      </c>
      <c r="AO598" s="28">
        <f t="shared" si="1658"/>
        <v>0.2161438924</v>
      </c>
      <c r="AP598" s="27">
        <f t="shared" ref="AP598:AQ598" si="1659">SUM(T606)</f>
        <v>252.1688491</v>
      </c>
      <c r="AQ598" s="27">
        <f t="shared" si="1659"/>
        <v>7.20482426</v>
      </c>
      <c r="AR598" s="23">
        <f t="shared" si="1660"/>
        <v>41.74285714</v>
      </c>
    </row>
    <row r="599" ht="15.75" customHeight="1">
      <c r="A599" s="21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X599" s="31">
        <v>3.0</v>
      </c>
      <c r="Y599" s="31" t="s">
        <v>25</v>
      </c>
      <c r="Z599" s="31">
        <f t="shared" ref="Z599:AI599" si="1661">SUM(D607)</f>
        <v>26</v>
      </c>
      <c r="AA599" s="32">
        <f t="shared" si="1661"/>
        <v>25</v>
      </c>
      <c r="AB599" s="33">
        <f t="shared" si="1661"/>
        <v>4884.576</v>
      </c>
      <c r="AC599" s="32">
        <f t="shared" si="1661"/>
        <v>1370</v>
      </c>
      <c r="AD599" s="32">
        <f t="shared" si="1661"/>
        <v>212</v>
      </c>
      <c r="AE599" s="32">
        <f t="shared" si="1661"/>
        <v>1582</v>
      </c>
      <c r="AF599" s="32">
        <f t="shared" si="1661"/>
        <v>1902</v>
      </c>
      <c r="AG599" s="32">
        <f t="shared" si="1661"/>
        <v>285</v>
      </c>
      <c r="AH599" s="32">
        <f t="shared" si="1661"/>
        <v>2187</v>
      </c>
      <c r="AI599" s="32">
        <f t="shared" si="1661"/>
        <v>3769</v>
      </c>
      <c r="AJ599" s="34">
        <f t="shared" si="1654"/>
        <v>195.38304</v>
      </c>
      <c r="AK599" s="31">
        <f>SUM(O607)</f>
        <v>6622</v>
      </c>
      <c r="AL599" s="35">
        <f t="shared" si="1655"/>
        <v>0.5691633947</v>
      </c>
      <c r="AM599" s="36">
        <f t="shared" si="1656"/>
        <v>1.5</v>
      </c>
      <c r="AN599" s="35">
        <f t="shared" si="1657"/>
        <v>0.5144083471</v>
      </c>
      <c r="AO599" s="37">
        <f t="shared" si="1658"/>
        <v>0.7716125207</v>
      </c>
      <c r="AP599" s="36">
        <f t="shared" ref="AP599:AQ599" si="1662">SUM(T607)</f>
        <v>204.8899329</v>
      </c>
      <c r="AQ599" s="36">
        <f t="shared" si="1662"/>
        <v>8.195597315</v>
      </c>
      <c r="AR599" s="32">
        <f t="shared" si="1660"/>
        <v>150.76</v>
      </c>
    </row>
    <row r="600" ht="15.75" customHeight="1">
      <c r="A600" s="21"/>
      <c r="B600" s="38">
        <v>1.0</v>
      </c>
      <c r="C600" s="38" t="s">
        <v>26</v>
      </c>
      <c r="D600" s="39">
        <v>15.0</v>
      </c>
      <c r="E600" s="40">
        <f>IFERROR(__xludf.DUMMYFUNCTION("COUNT(IMPORTRANGE(""https://docs.google.com/spreadsheets/d/1iVFEBQOAONhqDIMRa2hQ7WkCQv0dJWSAmc0AzfvSCMg/edit"",""23!d2:d21""))"),14.0)</f>
        <v>14</v>
      </c>
      <c r="F600" s="41">
        <f>IFERROR(__xludf.DUMMYFUNCTION("SUM(IMPORTRANGE(""https://docs.google.com/spreadsheets/d/1iVFEBQOAONhqDIMRa2hQ7WkCQv0dJWSAmc0AzfvSCMg/edit"",""23!Q2:Q21""))"),2775.27)</f>
        <v>2775.27</v>
      </c>
      <c r="G600" s="40">
        <f>IFERROR(__xludf.DUMMYFUNCTION("IMPORTRANGE(""https://docs.google.com/spreadsheets/d/1iVFEBQOAONhqDIMRa2hQ7WkCQv0dJWSAmc0AzfvSCMg/edit"",""23!e28"")"),1096.0)</f>
        <v>1096</v>
      </c>
      <c r="H600" s="40">
        <f>IFERROR(__xludf.DUMMYFUNCTION("IMPORTRANGE(""https://docs.google.com/spreadsheets/d/1iVFEBQOAONhqDIMRa2hQ7WkCQv0dJWSAmc0AzfvSCMg/edit"",""23!e29"")"),0.0)</f>
        <v>0</v>
      </c>
      <c r="I600" s="40">
        <f t="shared" ref="I600:I617" si="1665">SUM(G600:H600)</f>
        <v>1096</v>
      </c>
      <c r="J600" s="40">
        <f>IFERROR(__xludf.DUMMYFUNCTION("IMPORTRANGE(""https://docs.google.com/spreadsheets/d/1iVFEBQOAONhqDIMRa2hQ7WkCQv0dJWSAmc0AzfvSCMg/edit"",""23!e32"")"),1914.0)</f>
        <v>1914</v>
      </c>
      <c r="K600" s="40">
        <f>IFERROR(__xludf.DUMMYFUNCTION("IMPORTRANGE(""https://docs.google.com/spreadsheets/d/1iVFEBQOAONhqDIMRa2hQ7WkCQv0dJWSAmc0AzfvSCMg/edit"",""23!e33"")"),0.0)</f>
        <v>0</v>
      </c>
      <c r="L600" s="40">
        <f t="shared" ref="L600:L606" si="1666">SUM(J600:K600)</f>
        <v>1914</v>
      </c>
      <c r="M600" s="40">
        <f t="shared" ref="M600:M617" si="1667">SUM(I600+L600)</f>
        <v>3010</v>
      </c>
      <c r="N600" s="41">
        <f t="shared" ref="N600:N618" si="1668">F600/E600</f>
        <v>198.2335714</v>
      </c>
      <c r="O600" s="38">
        <v>5161.0</v>
      </c>
      <c r="P600" s="42">
        <f t="shared" ref="P600:P618" si="1669">M600/O600</f>
        <v>0.5832203061</v>
      </c>
      <c r="Q600" s="43">
        <v>1.5</v>
      </c>
      <c r="R600" s="42">
        <f t="shared" ref="R600:R618" si="1670">S600/Q600</f>
        <v>0.723052772</v>
      </c>
      <c r="S600" s="44">
        <f t="shared" ref="S600:S618" si="1671">M600/F600</f>
        <v>1.084579158</v>
      </c>
      <c r="T600" s="43">
        <f>F600/14.415</f>
        <v>192.5265349</v>
      </c>
      <c r="U600" s="43">
        <f t="shared" ref="U600:U618" si="1672">T600/E600</f>
        <v>13.75189535</v>
      </c>
      <c r="V600" s="40">
        <f t="shared" ref="V600:V618" si="1673">M600/E600</f>
        <v>215</v>
      </c>
      <c r="X600" s="22">
        <v>4.0</v>
      </c>
      <c r="Y600" s="22" t="s">
        <v>27</v>
      </c>
      <c r="Z600" s="22">
        <f t="shared" ref="Z600:AK600" si="1663">SUM(D613)</f>
        <v>23</v>
      </c>
      <c r="AA600" s="23">
        <f t="shared" si="1663"/>
        <v>22</v>
      </c>
      <c r="AB600" s="24">
        <f t="shared" si="1663"/>
        <v>4086.795</v>
      </c>
      <c r="AC600" s="23">
        <f t="shared" si="1663"/>
        <v>1457</v>
      </c>
      <c r="AD600" s="23">
        <f t="shared" si="1663"/>
        <v>0</v>
      </c>
      <c r="AE600" s="23">
        <f t="shared" si="1663"/>
        <v>1457</v>
      </c>
      <c r="AF600" s="23">
        <f t="shared" si="1663"/>
        <v>2069</v>
      </c>
      <c r="AG600" s="23">
        <f t="shared" si="1663"/>
        <v>0</v>
      </c>
      <c r="AH600" s="23">
        <f t="shared" si="1663"/>
        <v>2069</v>
      </c>
      <c r="AI600" s="23">
        <f t="shared" si="1663"/>
        <v>3526</v>
      </c>
      <c r="AJ600" s="25">
        <f t="shared" si="1663"/>
        <v>185.7634091</v>
      </c>
      <c r="AK600" s="22">
        <f t="shared" si="1663"/>
        <v>8101</v>
      </c>
      <c r="AL600" s="26">
        <f t="shared" si="1655"/>
        <v>0.4352549068</v>
      </c>
      <c r="AM600" s="27">
        <f>SUM(Q613)</f>
        <v>1.5</v>
      </c>
      <c r="AN600" s="26">
        <f t="shared" si="1657"/>
        <v>0.5751858526</v>
      </c>
      <c r="AO600" s="28">
        <f t="shared" si="1658"/>
        <v>0.862778779</v>
      </c>
      <c r="AP600" s="27">
        <f t="shared" ref="AP600:AQ600" si="1664">SUM(T613)</f>
        <v>204.4931198</v>
      </c>
      <c r="AQ600" s="27">
        <f t="shared" si="1664"/>
        <v>9.295141811</v>
      </c>
      <c r="AR600" s="23">
        <f t="shared" si="1660"/>
        <v>160.2727273</v>
      </c>
    </row>
    <row r="601" ht="15.75" customHeight="1">
      <c r="A601" s="21"/>
      <c r="B601" s="38">
        <v>2.0</v>
      </c>
      <c r="C601" s="38" t="s">
        <v>28</v>
      </c>
      <c r="D601" s="39">
        <v>24.0</v>
      </c>
      <c r="E601" s="40">
        <f>IFERROR(__xludf.DUMMYFUNCTION("COUNT(IMPORTRANGE(""https://docs.google.com/spreadsheets/d/1tJCeYclgeJZ4Dc78t_SkhVjtacKW-5-VGim8X1rzUzk/edit"",""23!d2:d34""))"),24.0)</f>
        <v>24</v>
      </c>
      <c r="F601" s="41">
        <f>IFERROR(__xludf.DUMMYFUNCTION("SUM(IMPORTRANGE(""https://docs.google.com/spreadsheets/d/1tJCeYclgeJZ4Dc78t_SkhVjtacKW-5-VGim8X1rzUzk/edit"",""23!Q2:Q34""))"),4675.012999999999)</f>
        <v>4675.013</v>
      </c>
      <c r="G601" s="40">
        <f>IFERROR(__xludf.DUMMYFUNCTION("IMPORTRANGE(""https://docs.google.com/spreadsheets/d/1tJCeYclgeJZ4Dc78t_SkhVjtacKW-5-VGim8X1rzUzk/edit"",""23!e41"")"),1553.0)</f>
        <v>1553</v>
      </c>
      <c r="H601" s="40">
        <f>IFERROR(__xludf.DUMMYFUNCTION("IMPORTRANGE(""https://docs.google.com/spreadsheets/d/1tJCeYclgeJZ4Dc78t_SkhVjtacKW-5-VGim8X1rzUzk/edit"",""23!e42"")"),101.0)</f>
        <v>101</v>
      </c>
      <c r="I601" s="40">
        <f t="shared" si="1665"/>
        <v>1654</v>
      </c>
      <c r="J601" s="40">
        <f>IFERROR(__xludf.DUMMYFUNCTION("IMPORTRANGE(""https://docs.google.com/spreadsheets/d/1tJCeYclgeJZ4Dc78t_SkhVjtacKW-5-VGim8X1rzUzk/edit"",""23!e45"")"),1576.0)</f>
        <v>1576</v>
      </c>
      <c r="K601" s="40">
        <f>IFERROR(__xludf.DUMMYFUNCTION("IMPORTRANGE(""https://docs.google.com/spreadsheets/d/1tJCeYclgeJZ4Dc78t_SkhVjtacKW-5-VGim8X1rzUzk/edit"",""23!e46"")"),130.0)</f>
        <v>130</v>
      </c>
      <c r="L601" s="40">
        <f t="shared" si="1666"/>
        <v>1706</v>
      </c>
      <c r="M601" s="40">
        <f t="shared" si="1667"/>
        <v>3360</v>
      </c>
      <c r="N601" s="41">
        <f t="shared" si="1668"/>
        <v>194.7922083</v>
      </c>
      <c r="O601" s="38">
        <v>7315.0</v>
      </c>
      <c r="P601" s="42">
        <f t="shared" si="1669"/>
        <v>0.4593301435</v>
      </c>
      <c r="Q601" s="43">
        <v>1.5</v>
      </c>
      <c r="R601" s="42">
        <f t="shared" si="1670"/>
        <v>0.4791430527</v>
      </c>
      <c r="S601" s="44">
        <f t="shared" si="1671"/>
        <v>0.718714579</v>
      </c>
      <c r="T601" s="43">
        <f>F601/30.897</f>
        <v>151.3096093</v>
      </c>
      <c r="U601" s="43">
        <f t="shared" si="1672"/>
        <v>6.304567056</v>
      </c>
      <c r="V601" s="40">
        <f t="shared" si="1673"/>
        <v>140</v>
      </c>
      <c r="X601" s="22">
        <v>5.0</v>
      </c>
      <c r="Y601" s="22" t="s">
        <v>29</v>
      </c>
      <c r="Z601" s="22">
        <f t="shared" ref="Z601:AI601" si="1674">SUM(D616)</f>
        <v>23</v>
      </c>
      <c r="AA601" s="23">
        <f t="shared" si="1674"/>
        <v>23</v>
      </c>
      <c r="AB601" s="24">
        <f t="shared" si="1674"/>
        <v>4662.416</v>
      </c>
      <c r="AC601" s="23">
        <f t="shared" si="1674"/>
        <v>1568</v>
      </c>
      <c r="AD601" s="23">
        <f t="shared" si="1674"/>
        <v>45</v>
      </c>
      <c r="AE601" s="23">
        <f t="shared" si="1674"/>
        <v>1613</v>
      </c>
      <c r="AF601" s="23">
        <f t="shared" si="1674"/>
        <v>2297</v>
      </c>
      <c r="AG601" s="23">
        <f t="shared" si="1674"/>
        <v>90</v>
      </c>
      <c r="AH601" s="23">
        <f t="shared" si="1674"/>
        <v>2387</v>
      </c>
      <c r="AI601" s="23">
        <f t="shared" si="1674"/>
        <v>4000</v>
      </c>
      <c r="AJ601" s="25">
        <f t="shared" ref="AJ601:AJ603" si="1677">AB601/AA601</f>
        <v>202.7137391</v>
      </c>
      <c r="AK601" s="22">
        <f t="shared" ref="AK601:AK602" si="1678">SUM(O616)</f>
        <v>9201</v>
      </c>
      <c r="AL601" s="26">
        <f t="shared" si="1655"/>
        <v>0.4347353549</v>
      </c>
      <c r="AM601" s="27">
        <f t="shared" ref="AM601:AM602" si="1679">SUM(Q616)</f>
        <v>1.5</v>
      </c>
      <c r="AN601" s="26">
        <f t="shared" si="1657"/>
        <v>0.5719495357</v>
      </c>
      <c r="AO601" s="28">
        <f t="shared" si="1658"/>
        <v>0.8579243036</v>
      </c>
      <c r="AP601" s="27">
        <f t="shared" ref="AP601:AQ601" si="1675">SUM(T616)</f>
        <v>176</v>
      </c>
      <c r="AQ601" s="27">
        <f t="shared" si="1675"/>
        <v>7.652173913</v>
      </c>
      <c r="AR601" s="23">
        <f t="shared" si="1660"/>
        <v>173.9130435</v>
      </c>
    </row>
    <row r="602" ht="15.75" customHeight="1">
      <c r="A602" s="21"/>
      <c r="B602" s="38">
        <v>3.0</v>
      </c>
      <c r="C602" s="38" t="s">
        <v>30</v>
      </c>
      <c r="D602" s="39">
        <v>45.0</v>
      </c>
      <c r="E602" s="40">
        <f>IFERROR(__xludf.DUMMYFUNCTION("COUNT(IMPORTRANGE(""https://docs.google.com/spreadsheets/d/130gLEONC13J8KkQ6dk06x3bLRy_jCrAw2hXatQf2W50/edit"",""23!d2:d61""))"),45.0)</f>
        <v>45</v>
      </c>
      <c r="F602" s="45">
        <f>IFERROR(__xludf.DUMMYFUNCTION("SUM(IMPORTRANGE(""https://docs.google.com/spreadsheets/d/130gLEONC13J8KkQ6dk06x3bLRy_jCrAw2hXatQf2W50/edit"",""23!Q2:Q61""))"),8986.612999999994)</f>
        <v>8986.613</v>
      </c>
      <c r="G602" s="40">
        <f>IFERROR(__xludf.DUMMYFUNCTION("IMPORTRANGE(""https://docs.google.com/spreadsheets/d/130gLEONC13J8KkQ6dk06x3bLRy_jCrAw2hXatQf2W50/edit"",""23!e68"")"),1759.0)</f>
        <v>1759</v>
      </c>
      <c r="H602" s="40">
        <f>IFERROR(__xludf.DUMMYFUNCTION("IMPORTRANGE(""https://docs.google.com/spreadsheets/d/130gLEONC13J8KkQ6dk06x3bLRy_jCrAw2hXatQf2W50/edit"",""23!e69"")"),0.0)</f>
        <v>0</v>
      </c>
      <c r="I602" s="40">
        <f t="shared" si="1665"/>
        <v>1759</v>
      </c>
      <c r="J602" s="40">
        <f>IFERROR(__xludf.DUMMYFUNCTION("IMPORTRANGE(""https://docs.google.com/spreadsheets/d/130gLEONC13J8KkQ6dk06x3bLRy_jCrAw2hXatQf2W50/edit"",""23!e72"")"),3756.0)</f>
        <v>3756</v>
      </c>
      <c r="K602" s="40">
        <f>IFERROR(__xludf.DUMMYFUNCTION("IMPORTRANGE(""https://docs.google.com/spreadsheets/d/130gLEONC13J8KkQ6dk06x3bLRy_jCrAw2hXatQf2W50/edit"",""23!e73"")"),88.0)</f>
        <v>88</v>
      </c>
      <c r="L602" s="40">
        <f t="shared" si="1666"/>
        <v>3844</v>
      </c>
      <c r="M602" s="40">
        <f t="shared" si="1667"/>
        <v>5603</v>
      </c>
      <c r="N602" s="41">
        <f t="shared" si="1668"/>
        <v>199.7025111</v>
      </c>
      <c r="O602" s="38">
        <v>11164.0</v>
      </c>
      <c r="P602" s="42">
        <f t="shared" si="1669"/>
        <v>0.5018810462</v>
      </c>
      <c r="Q602" s="43">
        <v>1.5</v>
      </c>
      <c r="R602" s="42">
        <f t="shared" si="1670"/>
        <v>0.4156553012</v>
      </c>
      <c r="S602" s="44">
        <f t="shared" si="1671"/>
        <v>0.6234829518</v>
      </c>
      <c r="T602" s="43">
        <f>F602/29.603</f>
        <v>303.5710232</v>
      </c>
      <c r="U602" s="43">
        <f t="shared" si="1672"/>
        <v>6.746022738</v>
      </c>
      <c r="V602" s="40">
        <f t="shared" si="1673"/>
        <v>124.5111111</v>
      </c>
      <c r="X602" s="22">
        <v>6.0</v>
      </c>
      <c r="Y602" s="22" t="s">
        <v>31</v>
      </c>
      <c r="Z602" s="22">
        <f t="shared" ref="Z602:AI602" si="1676">SUM(D617)</f>
        <v>11</v>
      </c>
      <c r="AA602" s="23">
        <f t="shared" si="1676"/>
        <v>11</v>
      </c>
      <c r="AB602" s="25">
        <f t="shared" si="1676"/>
        <v>2129.785</v>
      </c>
      <c r="AC602" s="23">
        <f t="shared" si="1676"/>
        <v>424</v>
      </c>
      <c r="AD602" s="23">
        <f t="shared" si="1676"/>
        <v>0</v>
      </c>
      <c r="AE602" s="23">
        <f t="shared" si="1676"/>
        <v>424</v>
      </c>
      <c r="AF602" s="23">
        <f t="shared" si="1676"/>
        <v>563</v>
      </c>
      <c r="AG602" s="23">
        <f t="shared" si="1676"/>
        <v>0</v>
      </c>
      <c r="AH602" s="23">
        <f t="shared" si="1676"/>
        <v>563</v>
      </c>
      <c r="AI602" s="23">
        <f t="shared" si="1676"/>
        <v>987</v>
      </c>
      <c r="AJ602" s="25">
        <f t="shared" si="1677"/>
        <v>193.6168182</v>
      </c>
      <c r="AK602" s="22">
        <f t="shared" si="1678"/>
        <v>2717</v>
      </c>
      <c r="AL602" s="26">
        <f t="shared" si="1655"/>
        <v>0.3632683106</v>
      </c>
      <c r="AM602" s="27">
        <f t="shared" si="1679"/>
        <v>1.5</v>
      </c>
      <c r="AN602" s="26">
        <f t="shared" si="1657"/>
        <v>0.308951373</v>
      </c>
      <c r="AO602" s="28">
        <f t="shared" si="1658"/>
        <v>0.4634270595</v>
      </c>
      <c r="AP602" s="27">
        <f t="shared" ref="AP602:AQ602" si="1680">SUM(T617)</f>
        <v>49</v>
      </c>
      <c r="AQ602" s="27">
        <f t="shared" si="1680"/>
        <v>4.454545455</v>
      </c>
      <c r="AR602" s="23">
        <f t="shared" si="1660"/>
        <v>89.72727273</v>
      </c>
    </row>
    <row r="603" ht="15.75" customHeight="1">
      <c r="A603" s="21"/>
      <c r="B603" s="38">
        <v>4.0</v>
      </c>
      <c r="C603" s="38" t="s">
        <v>32</v>
      </c>
      <c r="D603" s="39">
        <v>32.0</v>
      </c>
      <c r="E603" s="40">
        <f>IFERROR(__xludf.DUMMYFUNCTION("COUNT(IMPORTRANGE(""https://docs.google.com/spreadsheets/d/1gYHli7FuKQLm2Q-5LMR0UtkD-gRRA_p8s-phLPLDLgc/edit"",""23!d2:d43""))"),31.0)</f>
        <v>31</v>
      </c>
      <c r="F603" s="45">
        <f>IFERROR(__xludf.DUMMYFUNCTION("SUM(IMPORTRANGE(""https://docs.google.com/spreadsheets/d/1gYHli7FuKQLm2Q-5LMR0UtkD-gRRA_p8s-phLPLDLgc/edit"",""23!Q2:Q43""))"),6034.978999999996)</f>
        <v>6034.979</v>
      </c>
      <c r="G603" s="38">
        <f>IFERROR(__xludf.DUMMYFUNCTION("IMPORTRANGE(""https://docs.google.com/spreadsheets/d/1gYHli7FuKQLm2Q-5LMR0UtkD-gRRA_p8s-phLPLDLgc/edit"",""23!e50"")"),2816.0)</f>
        <v>2816</v>
      </c>
      <c r="H603" s="38">
        <f>IFERROR(__xludf.DUMMYFUNCTION("IMPORTRANGE(""https://docs.google.com/spreadsheets/d/1gYHli7FuKQLm2Q-5LMR0UtkD-gRRA_p8s-phLPLDLgc/edit"",""23!e51"")"),0.0)</f>
        <v>0</v>
      </c>
      <c r="I603" s="40">
        <f t="shared" si="1665"/>
        <v>2816</v>
      </c>
      <c r="J603" s="38">
        <f>IFERROR(__xludf.DUMMYFUNCTION("IMPORTRANGE(""https://docs.google.com/spreadsheets/d/1gYHli7FuKQLm2Q-5LMR0UtkD-gRRA_p8s-phLPLDLgc/edit"",""23!e54"")"),3456.0)</f>
        <v>3456</v>
      </c>
      <c r="K603" s="38">
        <f>IFERROR(__xludf.DUMMYFUNCTION("IMPORTRANGE(""https://docs.google.com/spreadsheets/d/1gYHli7FuKQLm2Q-5LMR0UtkD-gRRA_p8s-phLPLDLgc/edit"",""23!e55"")"),89.0)</f>
        <v>89</v>
      </c>
      <c r="L603" s="40">
        <f t="shared" si="1666"/>
        <v>3545</v>
      </c>
      <c r="M603" s="40">
        <f t="shared" si="1667"/>
        <v>6361</v>
      </c>
      <c r="N603" s="41">
        <f t="shared" si="1668"/>
        <v>194.6767419</v>
      </c>
      <c r="O603" s="38">
        <v>13817.0</v>
      </c>
      <c r="P603" s="42">
        <f t="shared" si="1669"/>
        <v>0.4603749005</v>
      </c>
      <c r="Q603" s="43">
        <v>1.5</v>
      </c>
      <c r="R603" s="42">
        <f t="shared" si="1670"/>
        <v>0.7026812631</v>
      </c>
      <c r="S603" s="44">
        <f t="shared" si="1671"/>
        <v>1.054021895</v>
      </c>
      <c r="T603" s="43">
        <f>F603/25.089</f>
        <v>240.5428275</v>
      </c>
      <c r="U603" s="43">
        <f t="shared" si="1672"/>
        <v>7.759446049</v>
      </c>
      <c r="V603" s="40">
        <f t="shared" si="1673"/>
        <v>205.1935484</v>
      </c>
      <c r="X603" s="46" t="s">
        <v>33</v>
      </c>
      <c r="Y603" s="46">
        <v>6.0</v>
      </c>
      <c r="Z603" s="46">
        <f t="shared" ref="Z603:AI603" si="1681">SUM(Z597:Z602)</f>
        <v>144</v>
      </c>
      <c r="AA603" s="47">
        <f t="shared" si="1681"/>
        <v>141</v>
      </c>
      <c r="AB603" s="48">
        <f t="shared" si="1681"/>
        <v>27516.478</v>
      </c>
      <c r="AC603" s="47">
        <f t="shared" si="1681"/>
        <v>6351</v>
      </c>
      <c r="AD603" s="47">
        <f t="shared" si="1681"/>
        <v>257</v>
      </c>
      <c r="AE603" s="47">
        <f t="shared" si="1681"/>
        <v>6608</v>
      </c>
      <c r="AF603" s="47">
        <f t="shared" si="1681"/>
        <v>9807</v>
      </c>
      <c r="AG603" s="47">
        <f t="shared" si="1681"/>
        <v>375</v>
      </c>
      <c r="AH603" s="47">
        <f t="shared" si="1681"/>
        <v>10182</v>
      </c>
      <c r="AI603" s="47">
        <f t="shared" si="1681"/>
        <v>16790</v>
      </c>
      <c r="AJ603" s="49">
        <f t="shared" si="1677"/>
        <v>195.1523262</v>
      </c>
      <c r="AK603" s="46">
        <f>SUM(AK597:AK602)</f>
        <v>35074</v>
      </c>
      <c r="AL603" s="50">
        <f t="shared" si="1655"/>
        <v>0.4787021725</v>
      </c>
      <c r="AM603" s="51">
        <v>1.5</v>
      </c>
      <c r="AN603" s="50">
        <f t="shared" si="1657"/>
        <v>0.4067865565</v>
      </c>
      <c r="AO603" s="52">
        <f t="shared" si="1658"/>
        <v>0.6101798348</v>
      </c>
      <c r="AP603" s="51">
        <f>SUM(AP597:AP602)</f>
        <v>1034.551902</v>
      </c>
      <c r="AQ603" s="51">
        <f>AP603/AA603</f>
        <v>7.337247531</v>
      </c>
      <c r="AR603" s="47">
        <f t="shared" si="1660"/>
        <v>119.0780142</v>
      </c>
    </row>
    <row r="604" ht="15.75" customHeight="1">
      <c r="A604" s="21"/>
      <c r="B604" s="38">
        <v>5.0</v>
      </c>
      <c r="C604" s="38" t="s">
        <v>34</v>
      </c>
      <c r="D604" s="39">
        <v>30.0</v>
      </c>
      <c r="E604" s="40">
        <f>IFERROR(__xludf.DUMMYFUNCTION("COUNT(IMPORTRANGE(""https://docs.google.com/spreadsheets/d/1ptS0qWBCKWkc9h2aXWT_YgMhN7yIv5WgAHRbF8l9Zpo/edit"",""23!d2:d41""))"),29.0)</f>
        <v>29</v>
      </c>
      <c r="F604" s="45">
        <f>IFERROR(__xludf.DUMMYFUNCTION("SUM(IMPORTRANGE(""https://docs.google.com/spreadsheets/d/1ptS0qWBCKWkc9h2aXWT_YgMhN7yIv5WgAHRbF8l9Zpo/edit"",""23!Q2:Q41""))"),5711.217000000002)</f>
        <v>5711.217</v>
      </c>
      <c r="G604" s="40">
        <f>IFERROR(__xludf.DUMMYFUNCTION("IMPORTRANGE(""https://docs.google.com/spreadsheets/d/1ptS0qWBCKWkc9h2aXWT_YgMhN7yIv5WgAHRbF8l9Zpo/edit"",""23!e48"")"),1682.0)</f>
        <v>1682</v>
      </c>
      <c r="H604" s="40">
        <f>IFERROR(__xludf.DUMMYFUNCTION("IMPORTRANGE(""https://docs.google.com/spreadsheets/d/1ptS0qWBCKWkc9h2aXWT_YgMhN7yIv5WgAHRbF8l9Zpo/edit"",""23!e49"")"),0.0)</f>
        <v>0</v>
      </c>
      <c r="I604" s="40">
        <f t="shared" si="1665"/>
        <v>1682</v>
      </c>
      <c r="J604" s="40">
        <f>IFERROR(__xludf.DUMMYFUNCTION("IMPORTRANGE(""https://docs.google.com/spreadsheets/d/1ptS0qWBCKWkc9h2aXWT_YgMhN7yIv5WgAHRbF8l9Zpo/edit"",""23!e52"")"),2298.0)</f>
        <v>2298</v>
      </c>
      <c r="K604" s="40">
        <f>IFERROR(__xludf.DUMMYFUNCTION("IMPORTRANGE(""https://docs.google.com/spreadsheets/d/1ptS0qWBCKWkc9h2aXWT_YgMhN7yIv5WgAHRbF8l9Zpo/edit"",""23!e53"")"),0.0)</f>
        <v>0</v>
      </c>
      <c r="L604" s="40">
        <f t="shared" si="1666"/>
        <v>2298</v>
      </c>
      <c r="M604" s="40">
        <f t="shared" si="1667"/>
        <v>3980</v>
      </c>
      <c r="N604" s="41">
        <f t="shared" si="1668"/>
        <v>196.9385172</v>
      </c>
      <c r="O604" s="38">
        <v>9354.0</v>
      </c>
      <c r="P604" s="42">
        <f t="shared" si="1669"/>
        <v>0.4254864229</v>
      </c>
      <c r="Q604" s="43">
        <v>1.5</v>
      </c>
      <c r="R604" s="42">
        <f t="shared" si="1670"/>
        <v>0.4645828259</v>
      </c>
      <c r="S604" s="44">
        <f t="shared" si="1671"/>
        <v>0.6968742389</v>
      </c>
      <c r="T604" s="43">
        <f>F604/30.713</f>
        <v>185.9543841</v>
      </c>
      <c r="U604" s="43">
        <f t="shared" si="1672"/>
        <v>6.412220143</v>
      </c>
      <c r="V604" s="40">
        <f t="shared" si="1673"/>
        <v>137.2413793</v>
      </c>
      <c r="X604" s="53" t="s">
        <v>35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6"/>
    </row>
    <row r="605" ht="15.75" customHeight="1">
      <c r="A605" s="21"/>
      <c r="B605" s="38">
        <v>6.0</v>
      </c>
      <c r="C605" s="38" t="s">
        <v>23</v>
      </c>
      <c r="D605" s="39">
        <v>26.0</v>
      </c>
      <c r="E605" s="40">
        <f>IFERROR(__xludf.DUMMYFUNCTION("COUNT(IMPORTRANGE(""https://docs.google.com/spreadsheets/d/1829CoYW82aTBBUgqkPnJa94KlBWI-DowAnP4ENQCmaQ/edit"",""23!d2:d36""))"),25.0)</f>
        <v>25</v>
      </c>
      <c r="F605" s="45">
        <f>IFERROR(__xludf.DUMMYFUNCTION("SUM(IMPORTRANGE(""https://docs.google.com/spreadsheets/d/1829CoYW82aTBBUgqkPnJa94KlBWI-DowAnP4ENQCmaQ/edit"",""23!Q2:Q36""))"),4993.519999999999)</f>
        <v>4993.52</v>
      </c>
      <c r="G605" s="40">
        <f>IFERROR(__xludf.DUMMYFUNCTION("IMPORTRANGE(""https://docs.google.com/spreadsheets/d/1829CoYW82aTBBUgqkPnJa94KlBWI-DowAnP4ENQCmaQ/edit"",""23!e43"")"),892.0)</f>
        <v>892</v>
      </c>
      <c r="H605" s="40">
        <f>IFERROR(__xludf.DUMMYFUNCTION("IMPORTRANGE(""https://docs.google.com/spreadsheets/d/1829CoYW82aTBBUgqkPnJa94KlBWI-DowAnP4ENQCmaQ/edit"",""23!e44"")"),0.0)</f>
        <v>0</v>
      </c>
      <c r="I605" s="40">
        <f t="shared" si="1665"/>
        <v>892</v>
      </c>
      <c r="J605" s="40">
        <f>IFERROR(__xludf.DUMMYFUNCTION("IMPORTRANGE(""https://docs.google.com/spreadsheets/d/1829CoYW82aTBBUgqkPnJa94KlBWI-DowAnP4ENQCmaQ/edit"",""23!e47"")"),2155.0)</f>
        <v>2155</v>
      </c>
      <c r="K605" s="40">
        <f>IFERROR(__xludf.DUMMYFUNCTION("IMPORTRANGE(""https://docs.google.com/spreadsheets/d/1829CoYW82aTBBUgqkPnJa94KlBWI-DowAnP4ENQCmaQ/edit"",""23!e48"")"),0.0)</f>
        <v>0</v>
      </c>
      <c r="L605" s="40">
        <f t="shared" si="1666"/>
        <v>2155</v>
      </c>
      <c r="M605" s="40">
        <f t="shared" si="1667"/>
        <v>3047</v>
      </c>
      <c r="N605" s="41">
        <f t="shared" si="1668"/>
        <v>199.7408</v>
      </c>
      <c r="O605" s="38">
        <v>6853.0</v>
      </c>
      <c r="P605" s="42">
        <f t="shared" si="1669"/>
        <v>0.4446227929</v>
      </c>
      <c r="Q605" s="43">
        <v>1.5</v>
      </c>
      <c r="R605" s="42">
        <f t="shared" si="1670"/>
        <v>0.4067938715</v>
      </c>
      <c r="S605" s="44">
        <f t="shared" si="1671"/>
        <v>0.6101908073</v>
      </c>
      <c r="T605" s="43">
        <f>F605/33.74</f>
        <v>148</v>
      </c>
      <c r="U605" s="43">
        <f t="shared" si="1672"/>
        <v>5.92</v>
      </c>
      <c r="V605" s="40">
        <f t="shared" si="1673"/>
        <v>121.88</v>
      </c>
      <c r="X605" s="14" t="s">
        <v>2</v>
      </c>
      <c r="Y605" s="14" t="s">
        <v>3</v>
      </c>
      <c r="Z605" s="14" t="s">
        <v>4</v>
      </c>
      <c r="AA605" s="14" t="s">
        <v>5</v>
      </c>
      <c r="AB605" s="15" t="s">
        <v>6</v>
      </c>
      <c r="AC605" s="14" t="s">
        <v>7</v>
      </c>
      <c r="AD605" s="14" t="s">
        <v>8</v>
      </c>
      <c r="AE605" s="14" t="s">
        <v>9</v>
      </c>
      <c r="AF605" s="14" t="s">
        <v>10</v>
      </c>
      <c r="AG605" s="14" t="s">
        <v>11</v>
      </c>
      <c r="AH605" s="14" t="s">
        <v>12</v>
      </c>
      <c r="AI605" s="14" t="s">
        <v>13</v>
      </c>
      <c r="AJ605" s="15" t="s">
        <v>14</v>
      </c>
      <c r="AK605" s="14" t="s">
        <v>15</v>
      </c>
      <c r="AL605" s="14" t="s">
        <v>16</v>
      </c>
      <c r="AM605" s="16" t="s">
        <v>17</v>
      </c>
      <c r="AN605" s="17" t="s">
        <v>18</v>
      </c>
      <c r="AO605" s="18" t="s">
        <v>19</v>
      </c>
      <c r="AP605" s="19" t="s">
        <v>20</v>
      </c>
      <c r="AQ605" s="19" t="s">
        <v>21</v>
      </c>
      <c r="AR605" s="20" t="s">
        <v>22</v>
      </c>
    </row>
    <row r="606" ht="15.75" customHeight="1">
      <c r="A606" s="21"/>
      <c r="B606" s="38">
        <v>7.0</v>
      </c>
      <c r="C606" s="38" t="s">
        <v>24</v>
      </c>
      <c r="D606" s="39">
        <v>35.0</v>
      </c>
      <c r="E606" s="54">
        <f>IFERROR(__xludf.DUMMYFUNCTION("COUNT(IMPORTRANGE(""https://docs.google.com/spreadsheets/d/1E2x4oDZxEIsuC5nl-5Z0--MoN8b1dt9SbpRcCfNP84Q/edit"",""23!d2:d45""))"),35.0)</f>
        <v>35</v>
      </c>
      <c r="F606" s="55">
        <f>IFERROR(__xludf.DUMMYFUNCTION("SUM(IMPORTRANGE(""https://docs.google.com/spreadsheets/d/1E2x4oDZxEIsuC5nl-5Z0--MoN8b1dt9SbpRcCfNP84Q/edit"",""23!Q2:Q45""))"),6759.385999999995)</f>
        <v>6759.386</v>
      </c>
      <c r="G606" s="54">
        <f>IFERROR(__xludf.DUMMYFUNCTION("IMPORTRANGE(""https://docs.google.com/spreadsheets/d/1E2x4oDZxEIsuC5nl-5Z0--MoN8b1dt9SbpRcCfNP84Q/edit"",""23!e53"")"),640.0)</f>
        <v>640</v>
      </c>
      <c r="H606" s="54">
        <f>IFERROR(__xludf.DUMMYFUNCTION("IMPORTRANGE(""https://docs.google.com/spreadsheets/d/1E2x4oDZxEIsuC5nl-5Z0--MoN8b1dt9SbpRcCfNP84Q/edit"",""23!e54"")"),0.0)</f>
        <v>0</v>
      </c>
      <c r="I606" s="54">
        <f t="shared" si="1665"/>
        <v>640</v>
      </c>
      <c r="J606" s="54">
        <f>IFERROR(__xludf.DUMMYFUNCTION("IMPORTRANGE(""https://docs.google.com/spreadsheets/d/1E2x4oDZxEIsuC5nl-5Z0--MoN8b1dt9SbpRcCfNP84Q/edit"",""23!e57"")"),821.0)</f>
        <v>821</v>
      </c>
      <c r="K606" s="54">
        <f>IFERROR(__xludf.DUMMYFUNCTION("IMPORTRANGE(""https://docs.google.com/spreadsheets/d/1E2x4oDZxEIsuC5nl-5Z0--MoN8b1dt9SbpRcCfNP84Q/edit"",""23!e58"")"),0.0)</f>
        <v>0</v>
      </c>
      <c r="L606" s="40">
        <f t="shared" si="1666"/>
        <v>821</v>
      </c>
      <c r="M606" s="40">
        <f t="shared" si="1667"/>
        <v>1461</v>
      </c>
      <c r="N606" s="41">
        <f t="shared" si="1668"/>
        <v>193.1253143</v>
      </c>
      <c r="O606" s="38">
        <v>1580.0</v>
      </c>
      <c r="P606" s="42">
        <f t="shared" si="1669"/>
        <v>0.9246835443</v>
      </c>
      <c r="Q606" s="43">
        <v>1.5</v>
      </c>
      <c r="R606" s="42">
        <f t="shared" si="1670"/>
        <v>0.1440959282</v>
      </c>
      <c r="S606" s="44">
        <f t="shared" si="1671"/>
        <v>0.2161438924</v>
      </c>
      <c r="T606" s="43">
        <f>F606/26.805</f>
        <v>252.1688491</v>
      </c>
      <c r="U606" s="43">
        <f t="shared" si="1672"/>
        <v>7.20482426</v>
      </c>
      <c r="V606" s="40">
        <f t="shared" si="1673"/>
        <v>41.74285714</v>
      </c>
      <c r="X606" s="22">
        <v>1.0</v>
      </c>
      <c r="Y606" s="22" t="s">
        <v>28</v>
      </c>
      <c r="Z606" s="22">
        <f t="shared" ref="Z606:AI606" si="1682">SUM(D601)</f>
        <v>24</v>
      </c>
      <c r="AA606" s="23">
        <f t="shared" si="1682"/>
        <v>24</v>
      </c>
      <c r="AB606" s="25">
        <f t="shared" si="1682"/>
        <v>4675.013</v>
      </c>
      <c r="AC606" s="23">
        <f t="shared" si="1682"/>
        <v>1553</v>
      </c>
      <c r="AD606" s="23">
        <f t="shared" si="1682"/>
        <v>101</v>
      </c>
      <c r="AE606" s="23">
        <f t="shared" si="1682"/>
        <v>1654</v>
      </c>
      <c r="AF606" s="23">
        <f t="shared" si="1682"/>
        <v>1576</v>
      </c>
      <c r="AG606" s="23">
        <f t="shared" si="1682"/>
        <v>130</v>
      </c>
      <c r="AH606" s="23">
        <f t="shared" si="1682"/>
        <v>1706</v>
      </c>
      <c r="AI606" s="23">
        <f t="shared" si="1682"/>
        <v>3360</v>
      </c>
      <c r="AJ606" s="25">
        <f t="shared" ref="AJ606:AJ612" si="1685">AB606/AA606</f>
        <v>194.7922083</v>
      </c>
      <c r="AK606" s="22">
        <f t="shared" ref="AK606:AK607" si="1686">SUM(O601)</f>
        <v>7315</v>
      </c>
      <c r="AL606" s="26">
        <f t="shared" ref="AL606:AL612" si="1687">AI606/AK606</f>
        <v>0.4593301435</v>
      </c>
      <c r="AM606" s="27">
        <f t="shared" ref="AM606:AM607" si="1688">SUM(Q601)</f>
        <v>1.5</v>
      </c>
      <c r="AN606" s="26">
        <f t="shared" ref="AN606:AN612" si="1689">AO606/AM606</f>
        <v>0.4791430527</v>
      </c>
      <c r="AO606" s="28">
        <f t="shared" ref="AO606:AO612" si="1690">AI606/AB606</f>
        <v>0.718714579</v>
      </c>
      <c r="AP606" s="27">
        <f t="shared" ref="AP606:AQ606" si="1683">SUM(T601)</f>
        <v>151.3096093</v>
      </c>
      <c r="AQ606" s="27">
        <f t="shared" si="1683"/>
        <v>6.304567056</v>
      </c>
      <c r="AR606" s="23">
        <f t="shared" ref="AR606:AR612" si="1692">AI606/AA606</f>
        <v>140</v>
      </c>
    </row>
    <row r="607" ht="15.75" customHeight="1">
      <c r="A607" s="21"/>
      <c r="B607" s="38">
        <v>8.0</v>
      </c>
      <c r="C607" s="38" t="s">
        <v>25</v>
      </c>
      <c r="D607" s="57">
        <v>26.0</v>
      </c>
      <c r="E607" s="40">
        <f>IFERROR(__xludf.DUMMYFUNCTION("COUNT(IMPORTRANGE(""https://docs.google.com/spreadsheets/d/1KbRFOEYB0B44J_NSh1MwYQ1sLDlZXUHI-wuMLcZDn5k/edit"",""23!d2:D33""))"),25.0)</f>
        <v>25</v>
      </c>
      <c r="F607" s="45">
        <f>IFERROR(__xludf.DUMMYFUNCTION("SUM(IMPORTRANGE(""https://docs.google.com/spreadsheets/d/1KbRFOEYB0B44J_NSh1MwYQ1sLDlZXUHI-wuMLcZDn5k/edit"",""23!Q2:Q33""))"),4884.576)</f>
        <v>4884.576</v>
      </c>
      <c r="G607" s="40">
        <f>IFERROR(__xludf.DUMMYFUNCTION("IMPORTRANGE(""https://docs.google.com/spreadsheets/d/1KbRFOEYB0B44J_NSh1MwYQ1sLDlZXUHI-wuMLcZDn5k/edit"",""23!e40"")"),1370.0)</f>
        <v>1370</v>
      </c>
      <c r="H607" s="40">
        <f>IFERROR(__xludf.DUMMYFUNCTION("IMPORTRANGE(""https://docs.google.com/spreadsheets/d/1KbRFOEYB0B44J_NSh1MwYQ1sLDlZXUHI-wuMLcZDn5k/edit"",""23!e41"")"),212.0)</f>
        <v>212</v>
      </c>
      <c r="I607" s="40">
        <f t="shared" si="1665"/>
        <v>1582</v>
      </c>
      <c r="J607" s="40">
        <f>IFERROR(__xludf.DUMMYFUNCTION("IMPORTRANGE(""https://docs.google.com/spreadsheets/d/1KbRFOEYB0B44J_NSh1MwYQ1sLDlZXUHI-wuMLcZDn5k/edit"",""23!e44"")"),1902.0)</f>
        <v>1902</v>
      </c>
      <c r="K607" s="40">
        <f>IFERROR(__xludf.DUMMYFUNCTION("IMPORTRANGE(""https://docs.google.com/spreadsheets/d/1KbRFOEYB0B44J_NSh1MwYQ1sLDlZXUHI-wuMLcZDn5k/edit"",""23!e45"")"),285.0)</f>
        <v>285</v>
      </c>
      <c r="L607" s="40">
        <f>J607+K607</f>
        <v>2187</v>
      </c>
      <c r="M607" s="40">
        <f t="shared" si="1667"/>
        <v>3769</v>
      </c>
      <c r="N607" s="41">
        <f t="shared" si="1668"/>
        <v>195.38304</v>
      </c>
      <c r="O607" s="38">
        <v>6622.0</v>
      </c>
      <c r="P607" s="42">
        <f t="shared" si="1669"/>
        <v>0.5691633947</v>
      </c>
      <c r="Q607" s="43">
        <v>1.5</v>
      </c>
      <c r="R607" s="42">
        <f t="shared" si="1670"/>
        <v>0.5144083471</v>
      </c>
      <c r="S607" s="44">
        <f t="shared" si="1671"/>
        <v>0.7716125207</v>
      </c>
      <c r="T607" s="43">
        <f>F607/23.84</f>
        <v>204.8899329</v>
      </c>
      <c r="U607" s="43">
        <f t="shared" si="1672"/>
        <v>8.195597315</v>
      </c>
      <c r="V607" s="40">
        <f t="shared" si="1673"/>
        <v>150.76</v>
      </c>
      <c r="X607" s="31">
        <v>2.0</v>
      </c>
      <c r="Y607" s="31" t="s">
        <v>30</v>
      </c>
      <c r="Z607" s="31">
        <f t="shared" ref="Z607:AI607" si="1684">SUM(D602)</f>
        <v>45</v>
      </c>
      <c r="AA607" s="32">
        <f t="shared" si="1684"/>
        <v>45</v>
      </c>
      <c r="AB607" s="33">
        <f t="shared" si="1684"/>
        <v>8986.613</v>
      </c>
      <c r="AC607" s="32">
        <f t="shared" si="1684"/>
        <v>1759</v>
      </c>
      <c r="AD607" s="32">
        <f t="shared" si="1684"/>
        <v>0</v>
      </c>
      <c r="AE607" s="32">
        <f t="shared" si="1684"/>
        <v>1759</v>
      </c>
      <c r="AF607" s="32">
        <f t="shared" si="1684"/>
        <v>3756</v>
      </c>
      <c r="AG607" s="32">
        <f t="shared" si="1684"/>
        <v>88</v>
      </c>
      <c r="AH607" s="32">
        <f t="shared" si="1684"/>
        <v>3844</v>
      </c>
      <c r="AI607" s="32">
        <f t="shared" si="1684"/>
        <v>5603</v>
      </c>
      <c r="AJ607" s="34">
        <f t="shared" si="1685"/>
        <v>199.7025111</v>
      </c>
      <c r="AK607" s="31">
        <f t="shared" si="1686"/>
        <v>11164</v>
      </c>
      <c r="AL607" s="35">
        <f t="shared" si="1687"/>
        <v>0.5018810462</v>
      </c>
      <c r="AM607" s="36">
        <f t="shared" si="1688"/>
        <v>1.5</v>
      </c>
      <c r="AN607" s="35">
        <f t="shared" si="1689"/>
        <v>0.4156553012</v>
      </c>
      <c r="AO607" s="37">
        <f t="shared" si="1690"/>
        <v>0.6234829518</v>
      </c>
      <c r="AP607" s="36">
        <f t="shared" ref="AP607:AQ607" si="1691">SUM(T602)</f>
        <v>303.5710232</v>
      </c>
      <c r="AQ607" s="36">
        <f t="shared" si="1691"/>
        <v>6.746022738</v>
      </c>
      <c r="AR607" s="32">
        <f t="shared" si="1692"/>
        <v>124.5111111</v>
      </c>
    </row>
    <row r="608" ht="15.75" customHeight="1">
      <c r="A608" s="21"/>
      <c r="B608" s="38">
        <v>9.0</v>
      </c>
      <c r="C608" s="38" t="s">
        <v>36</v>
      </c>
      <c r="D608" s="58">
        <v>22.0</v>
      </c>
      <c r="E608" s="40">
        <f>IFERROR(__xludf.DUMMYFUNCTION("COUNT(IMPORTRANGE(""https://docs.google.com/spreadsheets/d/1VqqqRGfmmkT0JC4ILJva2p8P11jjV0FX-TSKAaqOigw/edit"",""23!d2:d31""))"),22.0)</f>
        <v>22</v>
      </c>
      <c r="F608" s="45">
        <f>IFERROR(__xludf.DUMMYFUNCTION("SUM(IMPORTRANGE(""https://docs.google.com/spreadsheets/d/1VqqqRGfmmkT0JC4ILJva2p8P11jjV0FX-TSKAaqOigw/edit"",""23!Q2:Q31""))"),4315.731)</f>
        <v>4315.731</v>
      </c>
      <c r="G608" s="40">
        <f>IFERROR(__xludf.DUMMYFUNCTION("IMPORTRANGE(""https://docs.google.com/spreadsheets/d/1VqqqRGfmmkT0JC4ILJva2p8P11jjV0FX-TSKAaqOigw/edit"",""23!e38"")"),903.0)</f>
        <v>903</v>
      </c>
      <c r="H608" s="40">
        <f>IFERROR(__xludf.DUMMYFUNCTION("IMPORTRANGE(""https://docs.google.com/spreadsheets/d/1VqqqRGfmmkT0JC4ILJva2p8P11jjV0FX-TSKAaqOigw/edit"",""23!e39"")"),0.0)</f>
        <v>0</v>
      </c>
      <c r="I608" s="40">
        <f t="shared" si="1665"/>
        <v>903</v>
      </c>
      <c r="J608" s="40">
        <f>IFERROR(__xludf.DUMMYFUNCTION("IMPORTRANGE(""https://docs.google.com/spreadsheets/d/1VqqqRGfmmkT0JC4ILJva2p8P11jjV0FX-TSKAaqOigw/edit"",""23!e42"")"),1635.0)</f>
        <v>1635</v>
      </c>
      <c r="K608" s="40">
        <f>IFERROR(__xludf.DUMMYFUNCTION("IMPORTRANGE(""https://docs.google.com/spreadsheets/d/1VqqqRGfmmkT0JC4ILJva2p8P11jjV0FX-TSKAaqOigw/edit"",""23!e43"")"),0.0)</f>
        <v>0</v>
      </c>
      <c r="L608" s="40">
        <f t="shared" ref="L608:L617" si="1695">SUM(J608:K608)</f>
        <v>1635</v>
      </c>
      <c r="M608" s="40">
        <f t="shared" si="1667"/>
        <v>2538</v>
      </c>
      <c r="N608" s="41">
        <f t="shared" si="1668"/>
        <v>196.1695909</v>
      </c>
      <c r="O608" s="38">
        <v>4796.0</v>
      </c>
      <c r="P608" s="42">
        <f t="shared" si="1669"/>
        <v>0.5291909925</v>
      </c>
      <c r="Q608" s="43">
        <v>1.5</v>
      </c>
      <c r="R608" s="42">
        <f t="shared" si="1670"/>
        <v>0.3920540923</v>
      </c>
      <c r="S608" s="44">
        <f t="shared" si="1671"/>
        <v>0.5880811385</v>
      </c>
      <c r="T608" s="43">
        <f>F608/37.414</f>
        <v>115.3506976</v>
      </c>
      <c r="U608" s="43">
        <f t="shared" si="1672"/>
        <v>5.243213527</v>
      </c>
      <c r="V608" s="40">
        <f t="shared" si="1673"/>
        <v>115.3636364</v>
      </c>
      <c r="X608" s="22">
        <v>3.0</v>
      </c>
      <c r="Y608" s="22" t="s">
        <v>34</v>
      </c>
      <c r="Z608" s="22">
        <f t="shared" ref="Z608:AI608" si="1693">SUM(D604)</f>
        <v>30</v>
      </c>
      <c r="AA608" s="23">
        <f t="shared" si="1693"/>
        <v>29</v>
      </c>
      <c r="AB608" s="24">
        <f t="shared" si="1693"/>
        <v>5711.217</v>
      </c>
      <c r="AC608" s="23">
        <f t="shared" si="1693"/>
        <v>1682</v>
      </c>
      <c r="AD608" s="23">
        <f t="shared" si="1693"/>
        <v>0</v>
      </c>
      <c r="AE608" s="23">
        <f t="shared" si="1693"/>
        <v>1682</v>
      </c>
      <c r="AF608" s="23">
        <f t="shared" si="1693"/>
        <v>2298</v>
      </c>
      <c r="AG608" s="23">
        <f t="shared" si="1693"/>
        <v>0</v>
      </c>
      <c r="AH608" s="23">
        <f t="shared" si="1693"/>
        <v>2298</v>
      </c>
      <c r="AI608" s="23">
        <f t="shared" si="1693"/>
        <v>3980</v>
      </c>
      <c r="AJ608" s="25">
        <f t="shared" si="1685"/>
        <v>196.9385172</v>
      </c>
      <c r="AK608" s="22">
        <f>SUM(O604)</f>
        <v>9354</v>
      </c>
      <c r="AL608" s="26">
        <f t="shared" si="1687"/>
        <v>0.4254864229</v>
      </c>
      <c r="AM608" s="27">
        <f>SUM(Q604)</f>
        <v>1.5</v>
      </c>
      <c r="AN608" s="26">
        <f t="shared" si="1689"/>
        <v>0.4645828259</v>
      </c>
      <c r="AO608" s="28">
        <f t="shared" si="1690"/>
        <v>0.6968742389</v>
      </c>
      <c r="AP608" s="27">
        <f t="shared" ref="AP608:AQ608" si="1694">SUM(T604)</f>
        <v>185.9543841</v>
      </c>
      <c r="AQ608" s="27">
        <f t="shared" si="1694"/>
        <v>6.412220143</v>
      </c>
      <c r="AR608" s="23">
        <f t="shared" si="1692"/>
        <v>137.2413793</v>
      </c>
    </row>
    <row r="609" ht="15.75" customHeight="1">
      <c r="A609" s="21"/>
      <c r="B609" s="38">
        <v>10.0</v>
      </c>
      <c r="C609" s="38" t="s">
        <v>37</v>
      </c>
      <c r="D609" s="39">
        <v>23.0</v>
      </c>
      <c r="E609" s="40">
        <f>IFERROR(__xludf.DUMMYFUNCTION("COUNT(IMPORTRANGE(""https://docs.google.com/spreadsheets/d/1IYeRjQd_D6MRqoBKNaky3aSEUloYCJc5XDnPAbdyetk/edit"",""23!d2:d31""))"),22.0)</f>
        <v>22</v>
      </c>
      <c r="F609" s="45">
        <f>IFERROR(__xludf.DUMMYFUNCTION("SUM(IMPORTRANGE(""https://docs.google.com/spreadsheets/d/1IYeRjQd_D6MRqoBKNaky3aSEUloYCJc5XDnPAbdyetk/edit"",""23!Q2:Q31""))"),4399.044)</f>
        <v>4399.044</v>
      </c>
      <c r="G609" s="40">
        <f>IFERROR(__xludf.DUMMYFUNCTION("(IMPORTRANGE(""https://docs.google.com/spreadsheets/d/1IYeRjQd_D6MRqoBKNaky3aSEUloYCJc5XDnPAbdyetk/edit"",""23!e38""))"),892.0)</f>
        <v>892</v>
      </c>
      <c r="H609" s="40">
        <f>IFERROR(__xludf.DUMMYFUNCTION("(IMPORTRANGE(""https://docs.google.com/spreadsheets/d/1IYeRjQd_D6MRqoBKNaky3aSEUloYCJc5XDnPAbdyetk/edit"",""23!e39""))"),0.0)</f>
        <v>0</v>
      </c>
      <c r="I609" s="40">
        <f t="shared" si="1665"/>
        <v>892</v>
      </c>
      <c r="J609" s="40">
        <f>IFERROR(__xludf.DUMMYFUNCTION("(IMPORTRANGE(""https://docs.google.com/spreadsheets/d/1IYeRjQd_D6MRqoBKNaky3aSEUloYCJc5XDnPAbdyetk/edit"",""23!e42""))"),1878.0)</f>
        <v>1878</v>
      </c>
      <c r="K609" s="40">
        <f>IFERROR(__xludf.DUMMYFUNCTION("(IMPORTRANGE(""https://docs.google.com/spreadsheets/d/1IYeRjQd_D6MRqoBKNaky3aSEUloYCJc5XDnPAbdyetk/edit"",""23!e43""))"),0.0)</f>
        <v>0</v>
      </c>
      <c r="L609" s="40">
        <f t="shared" si="1695"/>
        <v>1878</v>
      </c>
      <c r="M609" s="40">
        <f t="shared" si="1667"/>
        <v>2770</v>
      </c>
      <c r="N609" s="41">
        <f t="shared" si="1668"/>
        <v>199.9565455</v>
      </c>
      <c r="O609" s="38">
        <v>5887.0</v>
      </c>
      <c r="P609" s="42">
        <f t="shared" si="1669"/>
        <v>0.4705282827</v>
      </c>
      <c r="Q609" s="43">
        <v>1.5</v>
      </c>
      <c r="R609" s="42">
        <f t="shared" si="1670"/>
        <v>0.4197881782</v>
      </c>
      <c r="S609" s="44">
        <f t="shared" si="1671"/>
        <v>0.6296822673</v>
      </c>
      <c r="T609" s="43">
        <f>F609/24.792</f>
        <v>177.4380445</v>
      </c>
      <c r="U609" s="43">
        <f t="shared" si="1672"/>
        <v>8.06536566</v>
      </c>
      <c r="V609" s="40">
        <f t="shared" si="1673"/>
        <v>125.9090909</v>
      </c>
      <c r="X609" s="31">
        <v>4.0</v>
      </c>
      <c r="Y609" s="31" t="s">
        <v>38</v>
      </c>
      <c r="Z609" s="31">
        <f t="shared" ref="Z609:AI609" si="1696">SUM(D612)</f>
        <v>23</v>
      </c>
      <c r="AA609" s="32">
        <f t="shared" si="1696"/>
        <v>23</v>
      </c>
      <c r="AB609" s="33">
        <f t="shared" si="1696"/>
        <v>4573.755</v>
      </c>
      <c r="AC609" s="32">
        <f t="shared" si="1696"/>
        <v>1384</v>
      </c>
      <c r="AD609" s="32">
        <f t="shared" si="1696"/>
        <v>0</v>
      </c>
      <c r="AE609" s="32">
        <f t="shared" si="1696"/>
        <v>1384</v>
      </c>
      <c r="AF609" s="32">
        <f t="shared" si="1696"/>
        <v>2110</v>
      </c>
      <c r="AG609" s="32">
        <f t="shared" si="1696"/>
        <v>216</v>
      </c>
      <c r="AH609" s="32">
        <f t="shared" si="1696"/>
        <v>2326</v>
      </c>
      <c r="AI609" s="32">
        <f t="shared" si="1696"/>
        <v>3710</v>
      </c>
      <c r="AJ609" s="34">
        <f t="shared" si="1685"/>
        <v>198.858913</v>
      </c>
      <c r="AK609" s="31">
        <v>7324.0</v>
      </c>
      <c r="AL609" s="35">
        <f t="shared" si="1687"/>
        <v>0.5065537957</v>
      </c>
      <c r="AM609" s="36">
        <f>SUM(Q612)</f>
        <v>1.5</v>
      </c>
      <c r="AN609" s="35">
        <f t="shared" si="1689"/>
        <v>0.5407664672</v>
      </c>
      <c r="AO609" s="37">
        <f t="shared" si="1690"/>
        <v>0.8111497008</v>
      </c>
      <c r="AP609" s="36">
        <f t="shared" ref="AP609:AQ609" si="1697">SUM(T612)</f>
        <v>111</v>
      </c>
      <c r="AQ609" s="36">
        <f t="shared" si="1697"/>
        <v>4.826086957</v>
      </c>
      <c r="AR609" s="32">
        <f t="shared" si="1692"/>
        <v>161.3043478</v>
      </c>
    </row>
    <row r="610" ht="15.75" customHeight="1">
      <c r="A610" s="21"/>
      <c r="B610" s="38">
        <v>12.0</v>
      </c>
      <c r="C610" s="38" t="s">
        <v>39</v>
      </c>
      <c r="D610" s="39">
        <v>21.0</v>
      </c>
      <c r="E610" s="40">
        <f>IFERROR(__xludf.DUMMYFUNCTION("COUNT(IMPORTRANGE(""https://docs.google.com/spreadsheets/d/1TAY2D35yAzyl8a_p5CuZehQvmatfj0b0Q8ICl8GtJBY/edit"",""23!d2:d29""))"),21.0)</f>
        <v>21</v>
      </c>
      <c r="F610" s="45">
        <f>IFERROR(__xludf.DUMMYFUNCTION("SUM(IMPORTRANGE(""https://docs.google.com/spreadsheets/d/1TAY2D35yAzyl8a_p5CuZehQvmatfj0b0Q8ICl8GtJBY/edit"",""23!Q2:Q29""))"),4136.175)</f>
        <v>4136.175</v>
      </c>
      <c r="G610" s="40">
        <f>IFERROR(__xludf.DUMMYFUNCTION("IMPORTRANGE(""https://docs.google.com/spreadsheets/d/1TAY2D35yAzyl8a_p5CuZehQvmatfj0b0Q8ICl8GtJBY/edit"",""23!e36"")"),804.0)</f>
        <v>804</v>
      </c>
      <c r="H610" s="40">
        <f>IFERROR(__xludf.DUMMYFUNCTION("(IMPORTRANGE(""https://docs.google.com/spreadsheets/d/1TAY2D35yAzyl8a_p5CuZehQvmatfj0b0Q8ICl8GtJBY/edit"",""23!e37""))"),0.0)</f>
        <v>0</v>
      </c>
      <c r="I610" s="40">
        <f t="shared" si="1665"/>
        <v>804</v>
      </c>
      <c r="J610" s="40">
        <f>IFERROR(__xludf.DUMMYFUNCTION("IMPORTRANGE(""https://docs.google.com/spreadsheets/d/1TAY2D35yAzyl8a_p5CuZehQvmatfj0b0Q8ICl8GtJBY/edit"",""23!e40"")"),1431.0)</f>
        <v>1431</v>
      </c>
      <c r="K610" s="40">
        <f>IFERROR(__xludf.DUMMYFUNCTION("IMPORTRANGE(""https://docs.google.com/spreadsheets/d/1TAY2D35yAzyl8a_p5CuZehQvmatfj0b0Q8ICl8GtJBY/edit"",""23!e41"")"),0.0)</f>
        <v>0</v>
      </c>
      <c r="L610" s="40">
        <f t="shared" si="1695"/>
        <v>1431</v>
      </c>
      <c r="M610" s="40">
        <f t="shared" si="1667"/>
        <v>2235</v>
      </c>
      <c r="N610" s="41">
        <f t="shared" si="1668"/>
        <v>196.9607143</v>
      </c>
      <c r="O610" s="38">
        <v>3569.0</v>
      </c>
      <c r="P610" s="42">
        <f t="shared" si="1669"/>
        <v>0.6262258336</v>
      </c>
      <c r="Q610" s="43">
        <v>1.5</v>
      </c>
      <c r="R610" s="42">
        <f t="shared" si="1670"/>
        <v>0.3602362086</v>
      </c>
      <c r="S610" s="44">
        <f t="shared" si="1671"/>
        <v>0.5403543129</v>
      </c>
      <c r="T610" s="43">
        <f>F610/21.463</f>
        <v>192.7118763</v>
      </c>
      <c r="U610" s="43">
        <f t="shared" si="1672"/>
        <v>9.176756012</v>
      </c>
      <c r="V610" s="40">
        <f t="shared" si="1673"/>
        <v>106.4285714</v>
      </c>
      <c r="X610" s="31">
        <v>5.0</v>
      </c>
      <c r="Y610" s="31" t="s">
        <v>40</v>
      </c>
      <c r="Z610" s="31">
        <f t="shared" ref="Z610:AI610" si="1698">SUM(D614)</f>
        <v>23</v>
      </c>
      <c r="AA610" s="32">
        <f t="shared" si="1698"/>
        <v>23</v>
      </c>
      <c r="AB610" s="33">
        <f t="shared" si="1698"/>
        <v>4380.222</v>
      </c>
      <c r="AC610" s="32">
        <f t="shared" si="1698"/>
        <v>1973</v>
      </c>
      <c r="AD610" s="32">
        <f t="shared" si="1698"/>
        <v>0</v>
      </c>
      <c r="AE610" s="32">
        <f t="shared" si="1698"/>
        <v>1973</v>
      </c>
      <c r="AF610" s="32">
        <f t="shared" si="1698"/>
        <v>2749</v>
      </c>
      <c r="AG610" s="32">
        <f t="shared" si="1698"/>
        <v>35</v>
      </c>
      <c r="AH610" s="32">
        <f t="shared" si="1698"/>
        <v>2784</v>
      </c>
      <c r="AI610" s="32">
        <f t="shared" si="1698"/>
        <v>4757</v>
      </c>
      <c r="AJ610" s="34">
        <f t="shared" si="1685"/>
        <v>190.4444348</v>
      </c>
      <c r="AK610" s="31">
        <f t="shared" ref="AK610:AK611" si="1701">SUM(O614)</f>
        <v>8239</v>
      </c>
      <c r="AL610" s="35">
        <f t="shared" si="1687"/>
        <v>0.5773758951</v>
      </c>
      <c r="AM610" s="36">
        <f t="shared" ref="AM610:AM611" si="1702">SUM(Q614)</f>
        <v>1.5</v>
      </c>
      <c r="AN610" s="35">
        <f t="shared" si="1689"/>
        <v>0.7240120097</v>
      </c>
      <c r="AO610" s="37">
        <f t="shared" si="1690"/>
        <v>1.086018015</v>
      </c>
      <c r="AP610" s="36">
        <f t="shared" ref="AP610:AQ610" si="1699">SUM(T614)</f>
        <v>154</v>
      </c>
      <c r="AQ610" s="36">
        <f t="shared" si="1699"/>
        <v>6.695652174</v>
      </c>
      <c r="AR610" s="32">
        <f t="shared" si="1692"/>
        <v>206.826087</v>
      </c>
    </row>
    <row r="611" ht="15.75" customHeight="1">
      <c r="A611" s="21"/>
      <c r="B611" s="38">
        <v>12.0</v>
      </c>
      <c r="C611" s="38" t="s">
        <v>41</v>
      </c>
      <c r="D611" s="39">
        <v>19.0</v>
      </c>
      <c r="E611" s="40">
        <f>IFERROR(__xludf.DUMMYFUNCTION("COUNT(IMPORTRANGE(""https://docs.google.com/spreadsheets/d/1VAsUtLQHi7oV9NsI9EIHPnO1bcPJHeRgSbMoxSvPBME/edit"",""23!d2:d25""))"),19.0)</f>
        <v>19</v>
      </c>
      <c r="F611" s="45">
        <f>IFERROR(__xludf.DUMMYFUNCTION("SUM(IMPORTRANGE(""https://docs.google.com/spreadsheets/d/1VAsUtLQHi7oV9NsI9EIHPnO1bcPJHeRgSbMoxSvPBME/edit"",""23!Q2:Q25""))"),3802.260000000001)</f>
        <v>3802.26</v>
      </c>
      <c r="G611" s="40">
        <f>IFERROR(__xludf.DUMMYFUNCTION("IMPORTRANGE(""https://docs.google.com/spreadsheets/d/1VAsUtLQHi7oV9NsI9EIHPnO1bcPJHeRgSbMoxSvPBME/edit"",""23!e32"")"),725.0)</f>
        <v>725</v>
      </c>
      <c r="H611" s="40">
        <f>IFERROR(__xludf.DUMMYFUNCTION("IMPORTRANGE(""https://docs.google.com/spreadsheets/d/1VAsUtLQHi7oV9NsI9EIHPnO1bcPJHeRgSbMoxSvPBME/edit"",""23!e33"")"),0.0)</f>
        <v>0</v>
      </c>
      <c r="I611" s="40">
        <f t="shared" si="1665"/>
        <v>725</v>
      </c>
      <c r="J611" s="40">
        <f>IFERROR(__xludf.DUMMYFUNCTION("IMPORTRANGE(""https://docs.google.com/spreadsheets/d/1VAsUtLQHi7oV9NsI9EIHPnO1bcPJHeRgSbMoxSvPBME/edit"",""23!e36"")"),1070.0)</f>
        <v>1070</v>
      </c>
      <c r="K611" s="40">
        <f>IFERROR(__xludf.DUMMYFUNCTION("IMPORTRANGE(""https://docs.google.com/spreadsheets/d/1VAsUtLQHi7oV9NsI9EIHPnO1bcPJHeRgSbMoxSvPBME/edit"",""23!e37"")"),0.0)</f>
        <v>0</v>
      </c>
      <c r="L611" s="40">
        <f t="shared" si="1695"/>
        <v>1070</v>
      </c>
      <c r="M611" s="40">
        <f t="shared" si="1667"/>
        <v>1795</v>
      </c>
      <c r="N611" s="41">
        <f t="shared" si="1668"/>
        <v>200.1189474</v>
      </c>
      <c r="O611" s="38">
        <v>3801.0</v>
      </c>
      <c r="P611" s="42">
        <f t="shared" si="1669"/>
        <v>0.4722441463</v>
      </c>
      <c r="Q611" s="43">
        <v>1.5</v>
      </c>
      <c r="R611" s="42">
        <f t="shared" si="1670"/>
        <v>0.3147251021</v>
      </c>
      <c r="S611" s="44">
        <f t="shared" si="1671"/>
        <v>0.4720876531</v>
      </c>
      <c r="T611" s="43">
        <f>F611/29.628</f>
        <v>128.3333333</v>
      </c>
      <c r="U611" s="43">
        <f t="shared" si="1672"/>
        <v>6.754385965</v>
      </c>
      <c r="V611" s="40">
        <f t="shared" si="1673"/>
        <v>94.47368421</v>
      </c>
      <c r="X611" s="22">
        <v>6.0</v>
      </c>
      <c r="Y611" s="22" t="s">
        <v>42</v>
      </c>
      <c r="Z611" s="22">
        <f t="shared" ref="Z611:AI611" si="1700">SUM(D615)</f>
        <v>24</v>
      </c>
      <c r="AA611" s="23">
        <f t="shared" si="1700"/>
        <v>23</v>
      </c>
      <c r="AB611" s="24">
        <f t="shared" si="1700"/>
        <v>4489.429</v>
      </c>
      <c r="AC611" s="23">
        <f t="shared" si="1700"/>
        <v>2128</v>
      </c>
      <c r="AD611" s="23">
        <f t="shared" si="1700"/>
        <v>0</v>
      </c>
      <c r="AE611" s="23">
        <f t="shared" si="1700"/>
        <v>2128</v>
      </c>
      <c r="AF611" s="23">
        <f t="shared" si="1700"/>
        <v>2492</v>
      </c>
      <c r="AG611" s="23">
        <f t="shared" si="1700"/>
        <v>176</v>
      </c>
      <c r="AH611" s="23">
        <f t="shared" si="1700"/>
        <v>2668</v>
      </c>
      <c r="AI611" s="23">
        <f t="shared" si="1700"/>
        <v>4796</v>
      </c>
      <c r="AJ611" s="25">
        <f t="shared" si="1685"/>
        <v>195.1925652</v>
      </c>
      <c r="AK611" s="22">
        <f t="shared" si="1701"/>
        <v>9877</v>
      </c>
      <c r="AL611" s="26">
        <f t="shared" si="1687"/>
        <v>0.4855725423</v>
      </c>
      <c r="AM611" s="27">
        <f t="shared" si="1702"/>
        <v>1.5</v>
      </c>
      <c r="AN611" s="26">
        <f t="shared" si="1689"/>
        <v>0.7121915356</v>
      </c>
      <c r="AO611" s="28">
        <f t="shared" si="1690"/>
        <v>1.068287303</v>
      </c>
      <c r="AP611" s="27">
        <f t="shared" ref="AP611:AQ611" si="1703">SUM(T615)</f>
        <v>171.6470656</v>
      </c>
      <c r="AQ611" s="27">
        <f t="shared" si="1703"/>
        <v>7.462915894</v>
      </c>
      <c r="AR611" s="23">
        <f t="shared" si="1692"/>
        <v>208.5217391</v>
      </c>
    </row>
    <row r="612" ht="15.75" customHeight="1">
      <c r="A612" s="21"/>
      <c r="B612" s="38">
        <v>13.0</v>
      </c>
      <c r="C612" s="38" t="s">
        <v>43</v>
      </c>
      <c r="D612" s="39">
        <v>23.0</v>
      </c>
      <c r="E612" s="40">
        <f>IFERROR(__xludf.DUMMYFUNCTION("COUNT(IMPORTRANGE(""https://docs.google.com/spreadsheets/d/1p9Y_DGk7-TpRBFth-ljZceOIGCjQ0ylUeUq6xqnsZ-Q/edit"",""23!d2:d31""))"),23.0)</f>
        <v>23</v>
      </c>
      <c r="F612" s="45">
        <f>IFERROR(__xludf.DUMMYFUNCTION("SUM(IMPORTRANGE(""https://docs.google.com/spreadsheets/d/1p9Y_DGk7-TpRBFth-ljZceOIGCjQ0ylUeUq6xqnsZ-Q/edit"",""23!Q2:Q31""))"),4573.755)</f>
        <v>4573.755</v>
      </c>
      <c r="G612" s="40">
        <f>IFERROR(__xludf.DUMMYFUNCTION("IMPORTRANGE(""https://docs.google.com/spreadsheets/d/1p9Y_DGk7-TpRBFth-ljZceOIGCjQ0ylUeUq6xqnsZ-Q/edit"",""23!e38"")"),1384.0)</f>
        <v>1384</v>
      </c>
      <c r="H612" s="40">
        <f>IFERROR(__xludf.DUMMYFUNCTION("IMPORTRANGE(""https://docs.google.com/spreadsheets/d/1p9Y_DGk7-TpRBFth-ljZceOIGCjQ0ylUeUq6xqnsZ-Q/edit"",""23!e39"")"),0.0)</f>
        <v>0</v>
      </c>
      <c r="I612" s="40">
        <f t="shared" si="1665"/>
        <v>1384</v>
      </c>
      <c r="J612" s="40">
        <f>IFERROR(__xludf.DUMMYFUNCTION("IMPORTRANGE(""https://docs.google.com/spreadsheets/d/1p9Y_DGk7-TpRBFth-ljZceOIGCjQ0ylUeUq6xqnsZ-Q/edit"",""23!e42"")"),2110.0)</f>
        <v>2110</v>
      </c>
      <c r="K612" s="40">
        <f>IFERROR(__xludf.DUMMYFUNCTION("IMPORTRANGE(""https://docs.google.com/spreadsheets/d/1p9Y_DGk7-TpRBFth-ljZceOIGCjQ0ylUeUq6xqnsZ-Q/edit"",""23!e43"")"),216.0)</f>
        <v>216</v>
      </c>
      <c r="L612" s="40">
        <f t="shared" si="1695"/>
        <v>2326</v>
      </c>
      <c r="M612" s="40">
        <f t="shared" si="1667"/>
        <v>3710</v>
      </c>
      <c r="N612" s="41">
        <f t="shared" si="1668"/>
        <v>198.858913</v>
      </c>
      <c r="O612" s="38">
        <v>8345.0</v>
      </c>
      <c r="P612" s="42">
        <f t="shared" si="1669"/>
        <v>0.4445775914</v>
      </c>
      <c r="Q612" s="43">
        <v>1.5</v>
      </c>
      <c r="R612" s="42">
        <f t="shared" si="1670"/>
        <v>0.5407664672</v>
      </c>
      <c r="S612" s="44">
        <f t="shared" si="1671"/>
        <v>0.8111497008</v>
      </c>
      <c r="T612" s="43">
        <f>F612/41.205</f>
        <v>111</v>
      </c>
      <c r="U612" s="43">
        <f t="shared" si="1672"/>
        <v>4.826086957</v>
      </c>
      <c r="V612" s="40">
        <f t="shared" si="1673"/>
        <v>161.3043478</v>
      </c>
      <c r="X612" s="46" t="s">
        <v>33</v>
      </c>
      <c r="Y612" s="46">
        <v>6.0</v>
      </c>
      <c r="Z612" s="46">
        <f t="shared" ref="Z612:AI612" si="1704">SUM(Z606:Z611)</f>
        <v>169</v>
      </c>
      <c r="AA612" s="47">
        <f t="shared" si="1704"/>
        <v>167</v>
      </c>
      <c r="AB612" s="49">
        <f t="shared" si="1704"/>
        <v>32816.249</v>
      </c>
      <c r="AC612" s="47">
        <f t="shared" si="1704"/>
        <v>10479</v>
      </c>
      <c r="AD612" s="47">
        <f t="shared" si="1704"/>
        <v>101</v>
      </c>
      <c r="AE612" s="47">
        <f t="shared" si="1704"/>
        <v>10580</v>
      </c>
      <c r="AF612" s="47">
        <f t="shared" si="1704"/>
        <v>14981</v>
      </c>
      <c r="AG612" s="47">
        <f t="shared" si="1704"/>
        <v>645</v>
      </c>
      <c r="AH612" s="47">
        <f t="shared" si="1704"/>
        <v>15626</v>
      </c>
      <c r="AI612" s="47">
        <f t="shared" si="1704"/>
        <v>26206</v>
      </c>
      <c r="AJ612" s="49">
        <f t="shared" si="1685"/>
        <v>196.504485</v>
      </c>
      <c r="AK612" s="46">
        <f>SUM(AK606:AK611)</f>
        <v>53273</v>
      </c>
      <c r="AL612" s="50">
        <f t="shared" si="1687"/>
        <v>0.4919189833</v>
      </c>
      <c r="AM612" s="51">
        <v>1.5</v>
      </c>
      <c r="AN612" s="50">
        <f t="shared" si="1689"/>
        <v>0.532378538</v>
      </c>
      <c r="AO612" s="52">
        <f t="shared" si="1690"/>
        <v>0.7985678071</v>
      </c>
      <c r="AP612" s="51">
        <f>SUM(AP606:AP611)</f>
        <v>1077.482082</v>
      </c>
      <c r="AQ612" s="51">
        <f>AP612/AA612</f>
        <v>6.451988517</v>
      </c>
      <c r="AR612" s="47">
        <f t="shared" si="1692"/>
        <v>156.9221557</v>
      </c>
    </row>
    <row r="613" ht="15.75" customHeight="1">
      <c r="A613" s="21"/>
      <c r="B613" s="38">
        <v>14.0</v>
      </c>
      <c r="C613" s="38" t="s">
        <v>27</v>
      </c>
      <c r="D613" s="39">
        <v>23.0</v>
      </c>
      <c r="E613" s="40">
        <f>IFERROR(__xludf.DUMMYFUNCTION("COUNT(IMPORTRANGE(""https://docs.google.com/spreadsheets/d/1zJUDEKztv_fercXA0LYNw155qdzS7TJGhWLhquaW5IY/edit"",""23!d2:d31""))"),22.0)</f>
        <v>22</v>
      </c>
      <c r="F613" s="45">
        <f>IFERROR(__xludf.DUMMYFUNCTION("SUM(IMPORTRANGE(""https://docs.google.com/spreadsheets/d/1zJUDEKztv_fercXA0LYNw155qdzS7TJGhWLhquaW5IY/edit"",""23!Q2:Q31""))"),4086.7949999999987)</f>
        <v>4086.795</v>
      </c>
      <c r="G613" s="40">
        <f>IFERROR(__xludf.DUMMYFUNCTION("IMPORTRANGE(""https://docs.google.com/spreadsheets/d/1zJUDEKztv_fercXA0LYNw155qdzS7TJGhWLhquaW5IY/edit"",""23!e38"")"),1457.0)</f>
        <v>1457</v>
      </c>
      <c r="H613" s="40">
        <f>IFERROR(__xludf.DUMMYFUNCTION("IMPORTRANGE(""https://docs.google.com/spreadsheets/d/1zJUDEKztv_fercXA0LYNw155qdzS7TJGhWLhquaW5IY/edit"",""23!e39"")"),0.0)</f>
        <v>0</v>
      </c>
      <c r="I613" s="40">
        <f t="shared" si="1665"/>
        <v>1457</v>
      </c>
      <c r="J613" s="40">
        <f>IFERROR(__xludf.DUMMYFUNCTION("IMPORTRANGE(""https://docs.google.com/spreadsheets/d/1zJUDEKztv_fercXA0LYNw155qdzS7TJGhWLhquaW5IY/edit"",""23!e42"")"),2069.0)</f>
        <v>2069</v>
      </c>
      <c r="K613" s="40">
        <f>IFERROR(__xludf.DUMMYFUNCTION("IMPORTRANGE(""https://docs.google.com/spreadsheets/d/1zJUDEKztv_fercXA0LYNw155qdzS7TJGhWLhquaW5IY/edit"",""23!e43"")"),0.0)</f>
        <v>0</v>
      </c>
      <c r="L613" s="40">
        <f t="shared" si="1695"/>
        <v>2069</v>
      </c>
      <c r="M613" s="40">
        <f t="shared" si="1667"/>
        <v>3526</v>
      </c>
      <c r="N613" s="41">
        <f t="shared" si="1668"/>
        <v>185.7634091</v>
      </c>
      <c r="O613" s="38">
        <v>8101.0</v>
      </c>
      <c r="P613" s="42">
        <f t="shared" si="1669"/>
        <v>0.4352549068</v>
      </c>
      <c r="Q613" s="43">
        <v>1.5</v>
      </c>
      <c r="R613" s="42">
        <f t="shared" si="1670"/>
        <v>0.5751858526</v>
      </c>
      <c r="S613" s="44">
        <f t="shared" si="1671"/>
        <v>0.862778779</v>
      </c>
      <c r="T613" s="43">
        <f>F613/19.985</f>
        <v>204.4931198</v>
      </c>
      <c r="U613" s="43">
        <f t="shared" si="1672"/>
        <v>9.295141811</v>
      </c>
      <c r="V613" s="40">
        <f t="shared" si="1673"/>
        <v>160.2727273</v>
      </c>
      <c r="X613" s="59" t="s">
        <v>44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6"/>
    </row>
    <row r="614" ht="15.75" customHeight="1">
      <c r="A614" s="21"/>
      <c r="B614" s="38">
        <v>15.0</v>
      </c>
      <c r="C614" s="38" t="s">
        <v>40</v>
      </c>
      <c r="D614" s="39">
        <v>23.0</v>
      </c>
      <c r="E614" s="40">
        <f>IFERROR(__xludf.DUMMYFUNCTION("COUNT(IMPORTRANGE(""https://docs.google.com/spreadsheets/d/15GJA66Ucb-8RQ5vWVpq5HYaWoZZFX82SCeHChBujbrI/edit"",""23!d2:d31""))"),23.0)</f>
        <v>23</v>
      </c>
      <c r="F614" s="45">
        <f>IFERROR(__xludf.DUMMYFUNCTION("SUM(IMPORTRANGE(""https://docs.google.com/spreadsheets/d/15GJA66Ucb-8RQ5vWVpq5HYaWoZZFX82SCeHChBujbrI/edit"",""23!Q2:Q31""))"),4380.222000000001)</f>
        <v>4380.222</v>
      </c>
      <c r="G614" s="40">
        <f>IFERROR(__xludf.DUMMYFUNCTION("IMPORTRANGE(""https://docs.google.com/spreadsheets/d/15GJA66Ucb-8RQ5vWVpq5HYaWoZZFX82SCeHChBujbrI/edit"",""23!e38"")"),1973.0)</f>
        <v>1973</v>
      </c>
      <c r="H614" s="40">
        <f>IFERROR(__xludf.DUMMYFUNCTION("IMPORTRANGE(""https://docs.google.com/spreadsheets/d/15GJA66Ucb-8RQ5vWVpq5HYaWoZZFX82SCeHChBujbrI/edit"",""23!e39"")"),0.0)</f>
        <v>0</v>
      </c>
      <c r="I614" s="40">
        <f t="shared" si="1665"/>
        <v>1973</v>
      </c>
      <c r="J614" s="40">
        <f>IFERROR(__xludf.DUMMYFUNCTION("IMPORTRANGE(""https://docs.google.com/spreadsheets/d/15GJA66Ucb-8RQ5vWVpq5HYaWoZZFX82SCeHChBujbrI/edit"",""23!e42"")"),2749.0)</f>
        <v>2749</v>
      </c>
      <c r="K614" s="40">
        <f>IFERROR(__xludf.DUMMYFUNCTION("IMPORTRANGE(""https://docs.google.com/spreadsheets/d/15GJA66Ucb-8RQ5vWVpq5HYaWoZZFX82SCeHChBujbrI/edit"",""23!e43"")"),35.0)</f>
        <v>35</v>
      </c>
      <c r="L614" s="40">
        <f t="shared" si="1695"/>
        <v>2784</v>
      </c>
      <c r="M614" s="40">
        <f t="shared" si="1667"/>
        <v>4757</v>
      </c>
      <c r="N614" s="41">
        <f t="shared" si="1668"/>
        <v>190.4444348</v>
      </c>
      <c r="O614" s="38">
        <v>8239.0</v>
      </c>
      <c r="P614" s="42">
        <f t="shared" si="1669"/>
        <v>0.5773758951</v>
      </c>
      <c r="Q614" s="43">
        <v>1.5</v>
      </c>
      <c r="R614" s="42">
        <f t="shared" si="1670"/>
        <v>0.7240120097</v>
      </c>
      <c r="S614" s="44">
        <f t="shared" si="1671"/>
        <v>1.086018015</v>
      </c>
      <c r="T614" s="43">
        <f>F614/28.443</f>
        <v>154</v>
      </c>
      <c r="U614" s="43">
        <f t="shared" si="1672"/>
        <v>6.695652174</v>
      </c>
      <c r="V614" s="40">
        <f t="shared" si="1673"/>
        <v>206.826087</v>
      </c>
      <c r="X614" s="14" t="s">
        <v>2</v>
      </c>
      <c r="Y614" s="14" t="s">
        <v>3</v>
      </c>
      <c r="Z614" s="14" t="s">
        <v>4</v>
      </c>
      <c r="AA614" s="14" t="s">
        <v>5</v>
      </c>
      <c r="AB614" s="15" t="s">
        <v>6</v>
      </c>
      <c r="AC614" s="14" t="s">
        <v>7</v>
      </c>
      <c r="AD614" s="14" t="s">
        <v>8</v>
      </c>
      <c r="AE614" s="14" t="s">
        <v>9</v>
      </c>
      <c r="AF614" s="14" t="s">
        <v>10</v>
      </c>
      <c r="AG614" s="14" t="s">
        <v>11</v>
      </c>
      <c r="AH614" s="14" t="s">
        <v>12</v>
      </c>
      <c r="AI614" s="14" t="s">
        <v>13</v>
      </c>
      <c r="AJ614" s="15" t="s">
        <v>14</v>
      </c>
      <c r="AK614" s="14" t="s">
        <v>15</v>
      </c>
      <c r="AL614" s="14" t="s">
        <v>16</v>
      </c>
      <c r="AM614" s="16" t="s">
        <v>17</v>
      </c>
      <c r="AN614" s="17" t="s">
        <v>18</v>
      </c>
      <c r="AO614" s="18" t="s">
        <v>19</v>
      </c>
      <c r="AP614" s="19" t="s">
        <v>20</v>
      </c>
      <c r="AQ614" s="19" t="s">
        <v>21</v>
      </c>
      <c r="AR614" s="20" t="s">
        <v>22</v>
      </c>
    </row>
    <row r="615" ht="15.75" customHeight="1">
      <c r="A615" s="21"/>
      <c r="B615" s="38">
        <v>16.0</v>
      </c>
      <c r="C615" s="38" t="s">
        <v>42</v>
      </c>
      <c r="D615" s="39">
        <v>24.0</v>
      </c>
      <c r="E615" s="40">
        <f>IFERROR(__xludf.DUMMYFUNCTION("COUNT(IMPORTRANGE(""https://docs.google.com/spreadsheets/d/14Tu_jFPEdrIQ6DHYu6vRvJKQsbXr-48NY1tKy4-8JKI/edit"",""23!d2:d34""))"),23.0)</f>
        <v>23</v>
      </c>
      <c r="F615" s="45">
        <f>IFERROR(__xludf.DUMMYFUNCTION("SUM(IMPORTRANGE(""https://docs.google.com/spreadsheets/d/14Tu_jFPEdrIQ6DHYu6vRvJKQsbXr-48NY1tKy4-8JKI/edit"",""23!Q2:Q34""))"),4489.428999999998)</f>
        <v>4489.429</v>
      </c>
      <c r="G615" s="40">
        <f>IFERROR(__xludf.DUMMYFUNCTION("IMPORTRANGE(""https://docs.google.com/spreadsheets/d/14Tu_jFPEdrIQ6DHYu6vRvJKQsbXr-48NY1tKy4-8JKI/edit"",""23!e41"")"),2128.0)</f>
        <v>2128</v>
      </c>
      <c r="H615" s="40">
        <f>IFERROR(__xludf.DUMMYFUNCTION("IMPORTRANGE(""https://docs.google.com/spreadsheets/d/14Tu_jFPEdrIQ6DHYu6vRvJKQsbXr-48NY1tKy4-8JKI/edit"",""23!e42"")"),0.0)</f>
        <v>0</v>
      </c>
      <c r="I615" s="40">
        <f t="shared" si="1665"/>
        <v>2128</v>
      </c>
      <c r="J615" s="40">
        <f>IFERROR(__xludf.DUMMYFUNCTION("IMPORTRANGE(""https://docs.google.com/spreadsheets/d/14Tu_jFPEdrIQ6DHYu6vRvJKQsbXr-48NY1tKy4-8JKI/edit"",""23!e45"")"),2492.0)</f>
        <v>2492</v>
      </c>
      <c r="K615" s="40">
        <f>IFERROR(__xludf.DUMMYFUNCTION("IMPORTRANGE(""https://docs.google.com/spreadsheets/d/14Tu_jFPEdrIQ6DHYu6vRvJKQsbXr-48NY1tKy4-8JKI/edit"",""23!e46"")"),176.0)</f>
        <v>176</v>
      </c>
      <c r="L615" s="40">
        <f t="shared" si="1695"/>
        <v>2668</v>
      </c>
      <c r="M615" s="40">
        <f t="shared" si="1667"/>
        <v>4796</v>
      </c>
      <c r="N615" s="41">
        <f t="shared" si="1668"/>
        <v>195.1925652</v>
      </c>
      <c r="O615" s="38">
        <v>9877.0</v>
      </c>
      <c r="P615" s="42">
        <f t="shared" si="1669"/>
        <v>0.4855725423</v>
      </c>
      <c r="Q615" s="43">
        <v>1.5</v>
      </c>
      <c r="R615" s="42">
        <f t="shared" si="1670"/>
        <v>0.7121915356</v>
      </c>
      <c r="S615" s="44">
        <f t="shared" si="1671"/>
        <v>1.068287303</v>
      </c>
      <c r="T615" s="43">
        <f>F615/26.155</f>
        <v>171.6470656</v>
      </c>
      <c r="U615" s="43">
        <f t="shared" si="1672"/>
        <v>7.462915894</v>
      </c>
      <c r="V615" s="40">
        <f t="shared" si="1673"/>
        <v>208.5217391</v>
      </c>
      <c r="X615" s="31">
        <v>1.0</v>
      </c>
      <c r="Y615" s="31" t="s">
        <v>26</v>
      </c>
      <c r="Z615" s="31">
        <f t="shared" ref="Z615:AI615" si="1705">SUM(D600)</f>
        <v>15</v>
      </c>
      <c r="AA615" s="32">
        <f t="shared" si="1705"/>
        <v>14</v>
      </c>
      <c r="AB615" s="34">
        <f t="shared" si="1705"/>
        <v>2775.27</v>
      </c>
      <c r="AC615" s="32">
        <f t="shared" si="1705"/>
        <v>1096</v>
      </c>
      <c r="AD615" s="32">
        <f t="shared" si="1705"/>
        <v>0</v>
      </c>
      <c r="AE615" s="32">
        <f t="shared" si="1705"/>
        <v>1096</v>
      </c>
      <c r="AF615" s="32">
        <f t="shared" si="1705"/>
        <v>1914</v>
      </c>
      <c r="AG615" s="32">
        <f t="shared" si="1705"/>
        <v>0</v>
      </c>
      <c r="AH615" s="32">
        <f t="shared" si="1705"/>
        <v>1914</v>
      </c>
      <c r="AI615" s="32">
        <f t="shared" si="1705"/>
        <v>3010</v>
      </c>
      <c r="AJ615" s="34">
        <f t="shared" ref="AJ615:AJ621" si="1708">AB615/AA615</f>
        <v>198.2335714</v>
      </c>
      <c r="AK615" s="31">
        <f>SUM(O600)</f>
        <v>5161</v>
      </c>
      <c r="AL615" s="35">
        <f t="shared" ref="AL615:AL621" si="1709">AI615/AK615</f>
        <v>0.5832203061</v>
      </c>
      <c r="AM615" s="36">
        <f>SUM(Q600)</f>
        <v>1.5</v>
      </c>
      <c r="AN615" s="35">
        <f t="shared" ref="AN615:AN621" si="1710">AO615/AM615</f>
        <v>0.723052772</v>
      </c>
      <c r="AO615" s="37">
        <f t="shared" ref="AO615:AO621" si="1711">AI615/AB615</f>
        <v>1.084579158</v>
      </c>
      <c r="AP615" s="36">
        <f t="shared" ref="AP615:AQ615" si="1706">SUM(T600)</f>
        <v>192.5265349</v>
      </c>
      <c r="AQ615" s="36">
        <f t="shared" si="1706"/>
        <v>13.75189535</v>
      </c>
      <c r="AR615" s="32">
        <f t="shared" ref="AR615:AR621" si="1713">AI615/AA615</f>
        <v>215</v>
      </c>
    </row>
    <row r="616" ht="15.75" customHeight="1">
      <c r="A616" s="21"/>
      <c r="B616" s="38">
        <v>17.0</v>
      </c>
      <c r="C616" s="38" t="s">
        <v>29</v>
      </c>
      <c r="D616" s="39">
        <v>23.0</v>
      </c>
      <c r="E616" s="40">
        <f>IFERROR(__xludf.DUMMYFUNCTION("COUNT(IMPORTRANGE(""https://docs.google.com/spreadsheets/d/1ja_RQYsP0p5wRrACHojay4CW1wLx0QdS5tSwp-vYQ-s/edit"",""23!d2:d31""))"),23.0)</f>
        <v>23</v>
      </c>
      <c r="F616" s="45">
        <f>IFERROR(__xludf.DUMMYFUNCTION("SUM(IMPORTRANGE(""https://docs.google.com/spreadsheets/d/1ja_RQYsP0p5wRrACHojay4CW1wLx0QdS5tSwp-vYQ-s/edit"",""23!Q2:Q31""))"),4662.415999999998)</f>
        <v>4662.416</v>
      </c>
      <c r="G616" s="40">
        <f>IFERROR(__xludf.DUMMYFUNCTION("IMPORTRANGE(""https://docs.google.com/spreadsheets/d/1ja_RQYsP0p5wRrACHojay4CW1wLx0QdS5tSwp-vYQ-s/edit"",""23!e38"")"),1568.0)</f>
        <v>1568</v>
      </c>
      <c r="H616" s="40">
        <f>IFERROR(__xludf.DUMMYFUNCTION("IMPORTRANGE(""https://docs.google.com/spreadsheets/d/1ja_RQYsP0p5wRrACHojay4CW1wLx0QdS5tSwp-vYQ-s/edit"",""23!e39"")"),45.0)</f>
        <v>45</v>
      </c>
      <c r="I616" s="40">
        <f t="shared" si="1665"/>
        <v>1613</v>
      </c>
      <c r="J616" s="40">
        <f>IFERROR(__xludf.DUMMYFUNCTION("IMPORTRANGE(""https://docs.google.com/spreadsheets/d/1ja_RQYsP0p5wRrACHojay4CW1wLx0QdS5tSwp-vYQ-s/edit"",""23!e42"")"),2297.0)</f>
        <v>2297</v>
      </c>
      <c r="K616" s="40">
        <f>IFERROR(__xludf.DUMMYFUNCTION("IMPORTRANGE(""https://docs.google.com/spreadsheets/d/1ja_RQYsP0p5wRrACHojay4CW1wLx0QdS5tSwp-vYQ-s/edit"",""23!e43"")"),90.0)</f>
        <v>90</v>
      </c>
      <c r="L616" s="40">
        <f t="shared" si="1695"/>
        <v>2387</v>
      </c>
      <c r="M616" s="40">
        <f t="shared" si="1667"/>
        <v>4000</v>
      </c>
      <c r="N616" s="41">
        <f t="shared" si="1668"/>
        <v>202.7137391</v>
      </c>
      <c r="O616" s="38">
        <v>9201.0</v>
      </c>
      <c r="P616" s="42">
        <f t="shared" si="1669"/>
        <v>0.4347353549</v>
      </c>
      <c r="Q616" s="43">
        <v>1.5</v>
      </c>
      <c r="R616" s="42">
        <f t="shared" si="1670"/>
        <v>0.5719495357</v>
      </c>
      <c r="S616" s="44">
        <f t="shared" si="1671"/>
        <v>0.8579243036</v>
      </c>
      <c r="T616" s="43">
        <f>F616/26.491</f>
        <v>176</v>
      </c>
      <c r="U616" s="43">
        <f t="shared" si="1672"/>
        <v>7.652173913</v>
      </c>
      <c r="V616" s="40">
        <f t="shared" si="1673"/>
        <v>173.9130435</v>
      </c>
      <c r="X616" s="31">
        <v>2.0</v>
      </c>
      <c r="Y616" s="31" t="s">
        <v>32</v>
      </c>
      <c r="Z616" s="31">
        <f t="shared" ref="Z616:AI616" si="1707">SUM(D603)</f>
        <v>32</v>
      </c>
      <c r="AA616" s="32">
        <f t="shared" si="1707"/>
        <v>31</v>
      </c>
      <c r="AB616" s="33">
        <f t="shared" si="1707"/>
        <v>6034.979</v>
      </c>
      <c r="AC616" s="31">
        <f t="shared" si="1707"/>
        <v>2816</v>
      </c>
      <c r="AD616" s="31">
        <f t="shared" si="1707"/>
        <v>0</v>
      </c>
      <c r="AE616" s="32">
        <f t="shared" si="1707"/>
        <v>2816</v>
      </c>
      <c r="AF616" s="31">
        <f t="shared" si="1707"/>
        <v>3456</v>
      </c>
      <c r="AG616" s="31">
        <f t="shared" si="1707"/>
        <v>89</v>
      </c>
      <c r="AH616" s="32">
        <f t="shared" si="1707"/>
        <v>3545</v>
      </c>
      <c r="AI616" s="32">
        <f t="shared" si="1707"/>
        <v>6361</v>
      </c>
      <c r="AJ616" s="34">
        <f t="shared" si="1708"/>
        <v>194.6767419</v>
      </c>
      <c r="AK616" s="31">
        <f>SUM(O603)</f>
        <v>13817</v>
      </c>
      <c r="AL616" s="35">
        <f t="shared" si="1709"/>
        <v>0.4603749005</v>
      </c>
      <c r="AM616" s="36">
        <f>SUM(Q603)</f>
        <v>1.5</v>
      </c>
      <c r="AN616" s="35">
        <f t="shared" si="1710"/>
        <v>0.7026812631</v>
      </c>
      <c r="AO616" s="37">
        <f t="shared" si="1711"/>
        <v>1.054021895</v>
      </c>
      <c r="AP616" s="36">
        <f t="shared" ref="AP616:AQ616" si="1712">SUM(T603)</f>
        <v>240.5428275</v>
      </c>
      <c r="AQ616" s="36">
        <f t="shared" si="1712"/>
        <v>7.759446049</v>
      </c>
      <c r="AR616" s="32">
        <f t="shared" si="1713"/>
        <v>205.1935484</v>
      </c>
    </row>
    <row r="617" ht="15.75" customHeight="1">
      <c r="A617" s="21"/>
      <c r="B617" s="38">
        <v>18.0</v>
      </c>
      <c r="C617" s="38" t="s">
        <v>31</v>
      </c>
      <c r="D617" s="39">
        <v>11.0</v>
      </c>
      <c r="E617" s="40">
        <f>IFERROR(__xludf.DUMMYFUNCTION("COUNT(IMPORTRANGE(""https://docs.google.com/spreadsheets/d/1ObnK1oSznTOmyW9Zcd2kxExl7TOnO2MNq_0giEKc_mE/edit"",""23!d2:d16""))"),11.0)</f>
        <v>11</v>
      </c>
      <c r="F617" s="41">
        <f>IFERROR(__xludf.DUMMYFUNCTION("SUM(IMPORTRANGE(""https://docs.google.com/spreadsheets/d/1ObnK1oSznTOmyW9Zcd2kxExl7TOnO2MNq_0giEKc_mE/edit"",""23!Q2:Q16""))"),2129.7850000000003)</f>
        <v>2129.785</v>
      </c>
      <c r="G617" s="40">
        <f>IFERROR(__xludf.DUMMYFUNCTION("IMPORTRANGE(""https://docs.google.com/spreadsheets/d/1ObnK1oSznTOmyW9Zcd2kxExl7TOnO2MNq_0giEKc_mE/edit"",""23!e23"")"),424.0)</f>
        <v>424</v>
      </c>
      <c r="H617" s="40">
        <f>IFERROR(__xludf.DUMMYFUNCTION("IMPORTRANGE(""https://docs.google.com/spreadsheets/d/1ObnK1oSznTOmyW9Zcd2kxExl7TOnO2MNq_0giEKc_mE/edit"",""23!e24"")"),0.0)</f>
        <v>0</v>
      </c>
      <c r="I617" s="40">
        <f t="shared" si="1665"/>
        <v>424</v>
      </c>
      <c r="J617" s="40">
        <f>IFERROR(__xludf.DUMMYFUNCTION("IMPORTRANGE(""https://docs.google.com/spreadsheets/d/1ObnK1oSznTOmyW9Zcd2kxExl7TOnO2MNq_0giEKc_mE/edit"",""23!e27"")"),563.0)</f>
        <v>563</v>
      </c>
      <c r="K617" s="40">
        <f>IFERROR(__xludf.DUMMYFUNCTION("IMPORTRANGE(""https://docs.google.com/spreadsheets/d/1ObnK1oSznTOmyW9Zcd2kxExl7TOnO2MNq_0giEKc_mE/edit"",""23!e28"")"),0.0)</f>
        <v>0</v>
      </c>
      <c r="L617" s="40">
        <f t="shared" si="1695"/>
        <v>563</v>
      </c>
      <c r="M617" s="40">
        <f t="shared" si="1667"/>
        <v>987</v>
      </c>
      <c r="N617" s="41">
        <f t="shared" si="1668"/>
        <v>193.6168182</v>
      </c>
      <c r="O617" s="38">
        <v>2717.0</v>
      </c>
      <c r="P617" s="42">
        <f t="shared" si="1669"/>
        <v>0.3632683106</v>
      </c>
      <c r="Q617" s="43">
        <v>1.5</v>
      </c>
      <c r="R617" s="42">
        <f t="shared" si="1670"/>
        <v>0.308951373</v>
      </c>
      <c r="S617" s="44">
        <f t="shared" si="1671"/>
        <v>0.4634270595</v>
      </c>
      <c r="T617" s="43">
        <f>F617/43.465</f>
        <v>49</v>
      </c>
      <c r="U617" s="43">
        <f t="shared" si="1672"/>
        <v>4.454545455</v>
      </c>
      <c r="V617" s="40">
        <f t="shared" si="1673"/>
        <v>89.72727273</v>
      </c>
      <c r="X617" s="31">
        <v>3.0</v>
      </c>
      <c r="Y617" s="31" t="s">
        <v>36</v>
      </c>
      <c r="Z617" s="31">
        <f t="shared" ref="Z617:AI617" si="1714">SUM(D608)</f>
        <v>22</v>
      </c>
      <c r="AA617" s="32">
        <f t="shared" si="1714"/>
        <v>22</v>
      </c>
      <c r="AB617" s="33">
        <f t="shared" si="1714"/>
        <v>4315.731</v>
      </c>
      <c r="AC617" s="32">
        <f t="shared" si="1714"/>
        <v>903</v>
      </c>
      <c r="AD617" s="32">
        <f t="shared" si="1714"/>
        <v>0</v>
      </c>
      <c r="AE617" s="32">
        <f t="shared" si="1714"/>
        <v>903</v>
      </c>
      <c r="AF617" s="32">
        <f t="shared" si="1714"/>
        <v>1635</v>
      </c>
      <c r="AG617" s="32">
        <f t="shared" si="1714"/>
        <v>0</v>
      </c>
      <c r="AH617" s="32">
        <f t="shared" si="1714"/>
        <v>1635</v>
      </c>
      <c r="AI617" s="32">
        <f t="shared" si="1714"/>
        <v>2538</v>
      </c>
      <c r="AJ617" s="34">
        <f t="shared" si="1708"/>
        <v>196.1695909</v>
      </c>
      <c r="AK617" s="31">
        <f t="shared" ref="AK617:AK620" si="1718">SUM(O608)</f>
        <v>4796</v>
      </c>
      <c r="AL617" s="35">
        <f t="shared" si="1709"/>
        <v>0.5291909925</v>
      </c>
      <c r="AM617" s="36">
        <f t="shared" ref="AM617:AM620" si="1719">SUM(Q608)</f>
        <v>1.5</v>
      </c>
      <c r="AN617" s="35">
        <f t="shared" si="1710"/>
        <v>0.3920540923</v>
      </c>
      <c r="AO617" s="37">
        <f t="shared" si="1711"/>
        <v>0.5880811385</v>
      </c>
      <c r="AP617" s="36">
        <f t="shared" ref="AP617:AQ617" si="1715">SUM(T608)</f>
        <v>115.3506976</v>
      </c>
      <c r="AQ617" s="36">
        <f t="shared" si="1715"/>
        <v>5.243213527</v>
      </c>
      <c r="AR617" s="32">
        <f t="shared" si="1713"/>
        <v>115.3636364</v>
      </c>
    </row>
    <row r="618" ht="15.75" customHeight="1">
      <c r="A618" s="21"/>
      <c r="B618" s="60" t="s">
        <v>33</v>
      </c>
      <c r="C618" s="60">
        <v>18.0</v>
      </c>
      <c r="D618" s="60">
        <f t="shared" ref="D618:M618" si="1716">SUM(D600:D617)</f>
        <v>445</v>
      </c>
      <c r="E618" s="61">
        <f t="shared" si="1716"/>
        <v>437</v>
      </c>
      <c r="F618" s="62">
        <f t="shared" si="1716"/>
        <v>85796.186</v>
      </c>
      <c r="G618" s="61">
        <f t="shared" si="1716"/>
        <v>24066</v>
      </c>
      <c r="H618" s="61">
        <f t="shared" si="1716"/>
        <v>358</v>
      </c>
      <c r="I618" s="61">
        <f t="shared" si="1716"/>
        <v>24424</v>
      </c>
      <c r="J618" s="61">
        <f t="shared" si="1716"/>
        <v>36172</v>
      </c>
      <c r="K618" s="61">
        <f t="shared" si="1716"/>
        <v>1109</v>
      </c>
      <c r="L618" s="61">
        <f t="shared" si="1716"/>
        <v>37281</v>
      </c>
      <c r="M618" s="61">
        <f t="shared" si="1716"/>
        <v>61705</v>
      </c>
      <c r="N618" s="62">
        <f t="shared" si="1668"/>
        <v>196.3299451</v>
      </c>
      <c r="O618" s="60">
        <f>SUM(O600:O617)</f>
        <v>126399</v>
      </c>
      <c r="P618" s="63">
        <f t="shared" si="1669"/>
        <v>0.4881763305</v>
      </c>
      <c r="Q618" s="64">
        <v>1.5</v>
      </c>
      <c r="R618" s="63">
        <f t="shared" si="1670"/>
        <v>0.4794696429</v>
      </c>
      <c r="S618" s="65">
        <f t="shared" si="1671"/>
        <v>0.7192044644</v>
      </c>
      <c r="T618" s="64">
        <f>SUM(T600:T617)</f>
        <v>3158.937298</v>
      </c>
      <c r="U618" s="64">
        <f t="shared" si="1672"/>
        <v>7.22868947</v>
      </c>
      <c r="V618" s="61">
        <f t="shared" si="1673"/>
        <v>141.201373</v>
      </c>
      <c r="X618" s="31">
        <v>4.0</v>
      </c>
      <c r="Y618" s="31" t="s">
        <v>37</v>
      </c>
      <c r="Z618" s="31">
        <f t="shared" ref="Z618:AI618" si="1717">SUM(D609)</f>
        <v>23</v>
      </c>
      <c r="AA618" s="32">
        <f t="shared" si="1717"/>
        <v>22</v>
      </c>
      <c r="AB618" s="33">
        <f t="shared" si="1717"/>
        <v>4399.044</v>
      </c>
      <c r="AC618" s="32">
        <f t="shared" si="1717"/>
        <v>892</v>
      </c>
      <c r="AD618" s="32">
        <f t="shared" si="1717"/>
        <v>0</v>
      </c>
      <c r="AE618" s="32">
        <f t="shared" si="1717"/>
        <v>892</v>
      </c>
      <c r="AF618" s="32">
        <f t="shared" si="1717"/>
        <v>1878</v>
      </c>
      <c r="AG618" s="32">
        <f t="shared" si="1717"/>
        <v>0</v>
      </c>
      <c r="AH618" s="32">
        <f t="shared" si="1717"/>
        <v>1878</v>
      </c>
      <c r="AI618" s="32">
        <f t="shared" si="1717"/>
        <v>2770</v>
      </c>
      <c r="AJ618" s="34">
        <f t="shared" si="1708"/>
        <v>199.9565455</v>
      </c>
      <c r="AK618" s="31">
        <f t="shared" si="1718"/>
        <v>5887</v>
      </c>
      <c r="AL618" s="35">
        <f t="shared" si="1709"/>
        <v>0.4705282827</v>
      </c>
      <c r="AM618" s="36">
        <f t="shared" si="1719"/>
        <v>1.5</v>
      </c>
      <c r="AN618" s="35">
        <f t="shared" si="1710"/>
        <v>0.4197881782</v>
      </c>
      <c r="AO618" s="37">
        <f t="shared" si="1711"/>
        <v>0.6296822673</v>
      </c>
      <c r="AP618" s="36">
        <f t="shared" ref="AP618:AQ618" si="1720">SUM(T609)</f>
        <v>177.4380445</v>
      </c>
      <c r="AQ618" s="36">
        <f t="shared" si="1720"/>
        <v>8.06536566</v>
      </c>
      <c r="AR618" s="32">
        <f t="shared" si="1713"/>
        <v>125.9090909</v>
      </c>
    </row>
    <row r="619" ht="15.7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X619" s="31">
        <v>5.0</v>
      </c>
      <c r="Y619" s="31" t="s">
        <v>39</v>
      </c>
      <c r="Z619" s="31">
        <f t="shared" ref="Z619:AI619" si="1721">SUM(D610)</f>
        <v>21</v>
      </c>
      <c r="AA619" s="32">
        <f t="shared" si="1721"/>
        <v>21</v>
      </c>
      <c r="AB619" s="33">
        <f t="shared" si="1721"/>
        <v>4136.175</v>
      </c>
      <c r="AC619" s="32">
        <f t="shared" si="1721"/>
        <v>804</v>
      </c>
      <c r="AD619" s="32">
        <f t="shared" si="1721"/>
        <v>0</v>
      </c>
      <c r="AE619" s="32">
        <f t="shared" si="1721"/>
        <v>804</v>
      </c>
      <c r="AF619" s="32">
        <f t="shared" si="1721"/>
        <v>1431</v>
      </c>
      <c r="AG619" s="32">
        <f t="shared" si="1721"/>
        <v>0</v>
      </c>
      <c r="AH619" s="32">
        <f t="shared" si="1721"/>
        <v>1431</v>
      </c>
      <c r="AI619" s="32">
        <f t="shared" si="1721"/>
        <v>2235</v>
      </c>
      <c r="AJ619" s="34">
        <f t="shared" si="1708"/>
        <v>196.9607143</v>
      </c>
      <c r="AK619" s="31">
        <f t="shared" si="1718"/>
        <v>3569</v>
      </c>
      <c r="AL619" s="35">
        <f t="shared" si="1709"/>
        <v>0.6262258336</v>
      </c>
      <c r="AM619" s="36">
        <f t="shared" si="1719"/>
        <v>1.5</v>
      </c>
      <c r="AN619" s="35">
        <f t="shared" si="1710"/>
        <v>0.3602362086</v>
      </c>
      <c r="AO619" s="37">
        <f t="shared" si="1711"/>
        <v>0.5403543129</v>
      </c>
      <c r="AP619" s="36">
        <f t="shared" ref="AP619:AQ619" si="1722">SUM(T610)</f>
        <v>192.7118763</v>
      </c>
      <c r="AQ619" s="36">
        <f t="shared" si="1722"/>
        <v>9.176756012</v>
      </c>
      <c r="AR619" s="32">
        <f t="shared" si="1713"/>
        <v>106.4285714</v>
      </c>
    </row>
    <row r="620" ht="15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X620" s="31">
        <v>6.0</v>
      </c>
      <c r="Y620" s="31" t="s">
        <v>41</v>
      </c>
      <c r="Z620" s="31">
        <f t="shared" ref="Z620:AI620" si="1723">SUM(D611)</f>
        <v>19</v>
      </c>
      <c r="AA620" s="32">
        <f t="shared" si="1723"/>
        <v>19</v>
      </c>
      <c r="AB620" s="33">
        <f t="shared" si="1723"/>
        <v>3802.26</v>
      </c>
      <c r="AC620" s="32">
        <f t="shared" si="1723"/>
        <v>725</v>
      </c>
      <c r="AD620" s="32">
        <f t="shared" si="1723"/>
        <v>0</v>
      </c>
      <c r="AE620" s="32">
        <f t="shared" si="1723"/>
        <v>725</v>
      </c>
      <c r="AF620" s="32">
        <f t="shared" si="1723"/>
        <v>1070</v>
      </c>
      <c r="AG620" s="32">
        <f t="shared" si="1723"/>
        <v>0</v>
      </c>
      <c r="AH620" s="32">
        <f t="shared" si="1723"/>
        <v>1070</v>
      </c>
      <c r="AI620" s="32">
        <f t="shared" si="1723"/>
        <v>1795</v>
      </c>
      <c r="AJ620" s="34">
        <f t="shared" si="1708"/>
        <v>200.1189474</v>
      </c>
      <c r="AK620" s="31">
        <f t="shared" si="1718"/>
        <v>3801</v>
      </c>
      <c r="AL620" s="35">
        <f t="shared" si="1709"/>
        <v>0.4722441463</v>
      </c>
      <c r="AM620" s="36">
        <f t="shared" si="1719"/>
        <v>1.5</v>
      </c>
      <c r="AN620" s="35">
        <f t="shared" si="1710"/>
        <v>0.3147251021</v>
      </c>
      <c r="AO620" s="37">
        <f t="shared" si="1711"/>
        <v>0.4720876531</v>
      </c>
      <c r="AP620" s="36">
        <f t="shared" ref="AP620:AQ620" si="1724">SUM(T611)</f>
        <v>128.3333333</v>
      </c>
      <c r="AQ620" s="36">
        <f t="shared" si="1724"/>
        <v>6.754385965</v>
      </c>
      <c r="AR620" s="32">
        <f t="shared" si="1713"/>
        <v>94.47368421</v>
      </c>
    </row>
    <row r="621" ht="15.75" customHeight="1">
      <c r="A621" s="1" t="s">
        <v>45</v>
      </c>
      <c r="D621" s="2"/>
      <c r="X621" s="46" t="s">
        <v>33</v>
      </c>
      <c r="Y621" s="46">
        <v>6.0</v>
      </c>
      <c r="Z621" s="46">
        <f t="shared" ref="Z621:AI621" si="1725">SUM(Z615:Z620)</f>
        <v>132</v>
      </c>
      <c r="AA621" s="47">
        <f t="shared" si="1725"/>
        <v>129</v>
      </c>
      <c r="AB621" s="49">
        <f t="shared" si="1725"/>
        <v>25463.459</v>
      </c>
      <c r="AC621" s="47">
        <f t="shared" si="1725"/>
        <v>7236</v>
      </c>
      <c r="AD621" s="47">
        <f t="shared" si="1725"/>
        <v>0</v>
      </c>
      <c r="AE621" s="47">
        <f t="shared" si="1725"/>
        <v>7236</v>
      </c>
      <c r="AF621" s="47">
        <f t="shared" si="1725"/>
        <v>11384</v>
      </c>
      <c r="AG621" s="47">
        <f t="shared" si="1725"/>
        <v>89</v>
      </c>
      <c r="AH621" s="47">
        <f t="shared" si="1725"/>
        <v>11473</v>
      </c>
      <c r="AI621" s="47">
        <f t="shared" si="1725"/>
        <v>18709</v>
      </c>
      <c r="AJ621" s="49">
        <f t="shared" si="1708"/>
        <v>197.391155</v>
      </c>
      <c r="AK621" s="46">
        <f>SUM(AK615:AK620)</f>
        <v>37031</v>
      </c>
      <c r="AL621" s="50">
        <f t="shared" si="1709"/>
        <v>0.5052253517</v>
      </c>
      <c r="AM621" s="51">
        <v>1.5</v>
      </c>
      <c r="AN621" s="50">
        <f t="shared" si="1710"/>
        <v>0.4898260942</v>
      </c>
      <c r="AO621" s="52">
        <f t="shared" si="1711"/>
        <v>0.7347391413</v>
      </c>
      <c r="AP621" s="51">
        <f>SUM(AP615:AP620)</f>
        <v>1046.903314</v>
      </c>
      <c r="AQ621" s="51">
        <f>AP621/AA621</f>
        <v>8.115529567</v>
      </c>
      <c r="AR621" s="47">
        <f t="shared" si="1713"/>
        <v>145.0310078</v>
      </c>
    </row>
    <row r="622" ht="15.75" customHeight="1">
      <c r="A622" s="1" t="s">
        <v>45</v>
      </c>
      <c r="D622" s="2"/>
      <c r="X622" s="66" t="s">
        <v>1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6"/>
    </row>
    <row r="623" ht="15.75" customHeight="1">
      <c r="A623" s="7">
        <v>46258.0</v>
      </c>
      <c r="B623" s="8" t="s">
        <v>2</v>
      </c>
      <c r="C623" s="8" t="s">
        <v>3</v>
      </c>
      <c r="D623" s="8" t="s">
        <v>4</v>
      </c>
      <c r="E623" s="8" t="s">
        <v>5</v>
      </c>
      <c r="F623" s="9" t="s">
        <v>6</v>
      </c>
      <c r="G623" s="8" t="s">
        <v>7</v>
      </c>
      <c r="H623" s="8" t="s">
        <v>8</v>
      </c>
      <c r="I623" s="8" t="s">
        <v>9</v>
      </c>
      <c r="J623" s="8" t="s">
        <v>10</v>
      </c>
      <c r="K623" s="8" t="s">
        <v>11</v>
      </c>
      <c r="L623" s="8" t="s">
        <v>12</v>
      </c>
      <c r="M623" s="8" t="s">
        <v>13</v>
      </c>
      <c r="N623" s="9" t="s">
        <v>14</v>
      </c>
      <c r="O623" s="8" t="s">
        <v>15</v>
      </c>
      <c r="P623" s="8" t="s">
        <v>16</v>
      </c>
      <c r="Q623" s="8" t="s">
        <v>17</v>
      </c>
      <c r="R623" s="8" t="s">
        <v>18</v>
      </c>
      <c r="S623" s="11" t="s">
        <v>19</v>
      </c>
      <c r="T623" s="12" t="s">
        <v>20</v>
      </c>
      <c r="U623" s="12" t="s">
        <v>21</v>
      </c>
      <c r="V623" s="13" t="s">
        <v>22</v>
      </c>
      <c r="X623" s="14" t="s">
        <v>2</v>
      </c>
      <c r="Y623" s="14" t="s">
        <v>3</v>
      </c>
      <c r="Z623" s="14" t="s">
        <v>4</v>
      </c>
      <c r="AA623" s="14" t="s">
        <v>5</v>
      </c>
      <c r="AB623" s="15" t="s">
        <v>6</v>
      </c>
      <c r="AC623" s="14" t="s">
        <v>7</v>
      </c>
      <c r="AD623" s="14" t="s">
        <v>8</v>
      </c>
      <c r="AE623" s="14" t="s">
        <v>9</v>
      </c>
      <c r="AF623" s="14" t="s">
        <v>10</v>
      </c>
      <c r="AG623" s="14" t="s">
        <v>11</v>
      </c>
      <c r="AH623" s="14" t="s">
        <v>12</v>
      </c>
      <c r="AI623" s="14" t="s">
        <v>13</v>
      </c>
      <c r="AJ623" s="15" t="s">
        <v>14</v>
      </c>
      <c r="AK623" s="14" t="s">
        <v>15</v>
      </c>
      <c r="AL623" s="14" t="s">
        <v>16</v>
      </c>
      <c r="AM623" s="16" t="s">
        <v>17</v>
      </c>
      <c r="AN623" s="17" t="s">
        <v>18</v>
      </c>
      <c r="AO623" s="18" t="s">
        <v>19</v>
      </c>
      <c r="AP623" s="19" t="s">
        <v>20</v>
      </c>
      <c r="AQ623" s="19" t="s">
        <v>21</v>
      </c>
      <c r="AR623" s="20" t="s">
        <v>22</v>
      </c>
    </row>
    <row r="624" ht="15.7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X624" s="22">
        <v>1.0</v>
      </c>
      <c r="Y624" s="22" t="s">
        <v>23</v>
      </c>
      <c r="Z624" s="22">
        <f t="shared" ref="Z624:AI624" si="1726">SUM(D632)</f>
        <v>35</v>
      </c>
      <c r="AA624" s="23">
        <f t="shared" si="1726"/>
        <v>35</v>
      </c>
      <c r="AB624" s="24">
        <f t="shared" si="1726"/>
        <v>6882.96</v>
      </c>
      <c r="AC624" s="23">
        <f t="shared" si="1726"/>
        <v>1698</v>
      </c>
      <c r="AD624" s="23">
        <f t="shared" si="1726"/>
        <v>0</v>
      </c>
      <c r="AE624" s="23">
        <f t="shared" si="1726"/>
        <v>1698</v>
      </c>
      <c r="AF624" s="23">
        <f t="shared" si="1726"/>
        <v>3182</v>
      </c>
      <c r="AG624" s="23">
        <f t="shared" si="1726"/>
        <v>0</v>
      </c>
      <c r="AH624" s="23">
        <f t="shared" si="1726"/>
        <v>3182</v>
      </c>
      <c r="AI624" s="23">
        <f t="shared" si="1726"/>
        <v>4880</v>
      </c>
      <c r="AJ624" s="25">
        <f t="shared" ref="AJ624:AJ626" si="1729">AB624/AA624</f>
        <v>196.656</v>
      </c>
      <c r="AK624" s="22">
        <f>SUM(O632)</f>
        <v>6853</v>
      </c>
      <c r="AL624" s="26">
        <f t="shared" ref="AL624:AL630" si="1730">AI624/AK624</f>
        <v>0.7120968919</v>
      </c>
      <c r="AM624" s="27">
        <f t="shared" ref="AM624:AM626" si="1731">SUM(Q632)</f>
        <v>1.5</v>
      </c>
      <c r="AN624" s="26">
        <f t="shared" ref="AN624:AN630" si="1732">AO624/AM624</f>
        <v>0.4726648612</v>
      </c>
      <c r="AO624" s="28">
        <f t="shared" ref="AO624:AO630" si="1733">AI624/AB624</f>
        <v>0.7089972919</v>
      </c>
      <c r="AP624" s="27">
        <f t="shared" ref="AP624:AQ624" si="1727">SUM(T632)</f>
        <v>204</v>
      </c>
      <c r="AQ624" s="27">
        <f t="shared" si="1727"/>
        <v>5.828571429</v>
      </c>
      <c r="AR624" s="23">
        <f t="shared" ref="AR624:AR630" si="1735">AI624/AA624</f>
        <v>139.4285714</v>
      </c>
    </row>
    <row r="625" ht="15.7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X625" s="22">
        <v>2.0</v>
      </c>
      <c r="Y625" s="22" t="s">
        <v>24</v>
      </c>
      <c r="Z625" s="22">
        <f t="shared" ref="Z625:AI625" si="1728">SUM(D633)</f>
        <v>44</v>
      </c>
      <c r="AA625" s="23">
        <f t="shared" si="1728"/>
        <v>43</v>
      </c>
      <c r="AB625" s="24">
        <f t="shared" si="1728"/>
        <v>8679.808</v>
      </c>
      <c r="AC625" s="23">
        <f t="shared" si="1728"/>
        <v>1118</v>
      </c>
      <c r="AD625" s="23">
        <f t="shared" si="1728"/>
        <v>0</v>
      </c>
      <c r="AE625" s="23">
        <f t="shared" si="1728"/>
        <v>1118</v>
      </c>
      <c r="AF625" s="23">
        <f t="shared" si="1728"/>
        <v>1297</v>
      </c>
      <c r="AG625" s="23">
        <f t="shared" si="1728"/>
        <v>0</v>
      </c>
      <c r="AH625" s="23">
        <f t="shared" si="1728"/>
        <v>1297</v>
      </c>
      <c r="AI625" s="23">
        <f t="shared" si="1728"/>
        <v>2415</v>
      </c>
      <c r="AJ625" s="25">
        <f t="shared" si="1729"/>
        <v>201.856</v>
      </c>
      <c r="AK625" s="22">
        <v>1580.0</v>
      </c>
      <c r="AL625" s="29">
        <f t="shared" si="1730"/>
        <v>1.528481013</v>
      </c>
      <c r="AM625" s="27">
        <f t="shared" si="1731"/>
        <v>1.5</v>
      </c>
      <c r="AN625" s="26">
        <f t="shared" si="1732"/>
        <v>0.1854879739</v>
      </c>
      <c r="AO625" s="28">
        <f t="shared" si="1733"/>
        <v>0.2782319609</v>
      </c>
      <c r="AP625" s="27">
        <f t="shared" ref="AP625:AQ625" si="1734">SUM(T633)</f>
        <v>323.81302</v>
      </c>
      <c r="AQ625" s="27">
        <f t="shared" si="1734"/>
        <v>7.530535348</v>
      </c>
      <c r="AR625" s="23">
        <f t="shared" si="1735"/>
        <v>56.1627907</v>
      </c>
    </row>
    <row r="626" ht="15.75" customHeight="1">
      <c r="A626" s="21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X626" s="31">
        <v>3.0</v>
      </c>
      <c r="Y626" s="31" t="s">
        <v>25</v>
      </c>
      <c r="Z626" s="31">
        <f t="shared" ref="Z626:AI626" si="1736">SUM(D634)</f>
        <v>32</v>
      </c>
      <c r="AA626" s="32">
        <f t="shared" si="1736"/>
        <v>31</v>
      </c>
      <c r="AB626" s="33">
        <f t="shared" si="1736"/>
        <v>5628.008</v>
      </c>
      <c r="AC626" s="32">
        <f t="shared" si="1736"/>
        <v>2386</v>
      </c>
      <c r="AD626" s="32">
        <f t="shared" si="1736"/>
        <v>298</v>
      </c>
      <c r="AE626" s="32">
        <f t="shared" si="1736"/>
        <v>2684</v>
      </c>
      <c r="AF626" s="32">
        <f t="shared" si="1736"/>
        <v>3015</v>
      </c>
      <c r="AG626" s="32">
        <f t="shared" si="1736"/>
        <v>337</v>
      </c>
      <c r="AH626" s="32">
        <f t="shared" si="1736"/>
        <v>3352</v>
      </c>
      <c r="AI626" s="32">
        <f t="shared" si="1736"/>
        <v>6036</v>
      </c>
      <c r="AJ626" s="34">
        <f t="shared" si="1729"/>
        <v>181.5486452</v>
      </c>
      <c r="AK626" s="31">
        <f>SUM(O634)</f>
        <v>6622</v>
      </c>
      <c r="AL626" s="35">
        <f t="shared" si="1730"/>
        <v>0.9115070976</v>
      </c>
      <c r="AM626" s="36">
        <f t="shared" si="1731"/>
        <v>1.5</v>
      </c>
      <c r="AN626" s="35">
        <f t="shared" si="1732"/>
        <v>0.71499543</v>
      </c>
      <c r="AO626" s="37">
        <f t="shared" si="1733"/>
        <v>1.072493145</v>
      </c>
      <c r="AP626" s="36">
        <f t="shared" ref="AP626:AQ626" si="1737">SUM(T634)</f>
        <v>236.0741611</v>
      </c>
      <c r="AQ626" s="36">
        <f t="shared" si="1737"/>
        <v>7.615295519</v>
      </c>
      <c r="AR626" s="32">
        <f t="shared" si="1735"/>
        <v>194.7096774</v>
      </c>
    </row>
    <row r="627" ht="15.75" customHeight="1">
      <c r="A627" s="21"/>
      <c r="B627" s="38">
        <v>1.0</v>
      </c>
      <c r="C627" s="38" t="s">
        <v>26</v>
      </c>
      <c r="D627" s="39">
        <v>20.0</v>
      </c>
      <c r="E627" s="40">
        <f>IFERROR(__xludf.DUMMYFUNCTION("COUNT(IMPORTRANGE(""https://docs.google.com/spreadsheets/d/1iVFEBQOAONhqDIMRa2hQ7WkCQv0dJWSAmc0AzfvSCMg/edit"",""24!d2:d21""))"),19.0)</f>
        <v>19</v>
      </c>
      <c r="F627" s="41">
        <f>IFERROR(__xludf.DUMMYFUNCTION("SUM(IMPORTRANGE(""https://docs.google.com/spreadsheets/d/1iVFEBQOAONhqDIMRa2hQ7WkCQv0dJWSAmc0AzfvSCMg/edit"",""24!Q2:Q21""))"),3820.587)</f>
        <v>3820.587</v>
      </c>
      <c r="G627" s="40">
        <f>IFERROR(__xludf.DUMMYFUNCTION("IMPORTRANGE(""https://docs.google.com/spreadsheets/d/1iVFEBQOAONhqDIMRa2hQ7WkCQv0dJWSAmc0AzfvSCMg/edit"",""24!e28"")"),2099.0)</f>
        <v>2099</v>
      </c>
      <c r="H627" s="40">
        <f>IFERROR(__xludf.DUMMYFUNCTION("IMPORTRANGE(""https://docs.google.com/spreadsheets/d/1iVFEBQOAONhqDIMRa2hQ7WkCQv0dJWSAmc0AzfvSCMg/edit"",""24!e29"")"),0.0)</f>
        <v>0</v>
      </c>
      <c r="I627" s="40">
        <f t="shared" ref="I627:I644" si="1740">SUM(G627:H627)</f>
        <v>2099</v>
      </c>
      <c r="J627" s="40">
        <f>IFERROR(__xludf.DUMMYFUNCTION("IMPORTRANGE(""https://docs.google.com/spreadsheets/d/1iVFEBQOAONhqDIMRa2hQ7WkCQv0dJWSAmc0AzfvSCMg/edit"",""24!e32"")"),2955.0)</f>
        <v>2955</v>
      </c>
      <c r="K627" s="40">
        <f>IFERROR(__xludf.DUMMYFUNCTION("IMPORTRANGE(""https://docs.google.com/spreadsheets/d/1iVFEBQOAONhqDIMRa2hQ7WkCQv0dJWSAmc0AzfvSCMg/edit"",""24!e33"")"),0.0)</f>
        <v>0</v>
      </c>
      <c r="L627" s="40">
        <f t="shared" ref="L627:L633" si="1741">SUM(J627:K627)</f>
        <v>2955</v>
      </c>
      <c r="M627" s="40">
        <f t="shared" ref="M627:M644" si="1742">SUM(I627+L627)</f>
        <v>5054</v>
      </c>
      <c r="N627" s="41">
        <f t="shared" ref="N627:N645" si="1743">F627/E627</f>
        <v>201.0835263</v>
      </c>
      <c r="O627" s="38">
        <v>5161.0</v>
      </c>
      <c r="P627" s="42">
        <f t="shared" ref="P627:P645" si="1744">M627/O627</f>
        <v>0.9792675838</v>
      </c>
      <c r="Q627" s="43">
        <v>1.5</v>
      </c>
      <c r="R627" s="42">
        <f t="shared" ref="R627:R645" si="1745">S627/Q627</f>
        <v>0.8818889174</v>
      </c>
      <c r="S627" s="44">
        <f t="shared" ref="S627:S645" si="1746">M627/F627</f>
        <v>1.322833376</v>
      </c>
      <c r="T627" s="43">
        <f>F627/14.415</f>
        <v>265.0424558</v>
      </c>
      <c r="U627" s="43">
        <f t="shared" ref="U627:U645" si="1747">T627/E627</f>
        <v>13.94960294</v>
      </c>
      <c r="V627" s="40">
        <f t="shared" ref="V627:V645" si="1748">M627/E627</f>
        <v>266</v>
      </c>
      <c r="X627" s="22">
        <v>4.0</v>
      </c>
      <c r="Y627" s="22" t="s">
        <v>27</v>
      </c>
      <c r="Z627" s="22">
        <f t="shared" ref="Z627:AK627" si="1738">SUM(D640)</f>
        <v>30</v>
      </c>
      <c r="AA627" s="23">
        <f t="shared" si="1738"/>
        <v>28</v>
      </c>
      <c r="AB627" s="24">
        <f t="shared" si="1738"/>
        <v>5351.873</v>
      </c>
      <c r="AC627" s="23">
        <f t="shared" si="1738"/>
        <v>2550</v>
      </c>
      <c r="AD627" s="23">
        <f t="shared" si="1738"/>
        <v>0</v>
      </c>
      <c r="AE627" s="23">
        <f t="shared" si="1738"/>
        <v>2550</v>
      </c>
      <c r="AF627" s="23">
        <f t="shared" si="1738"/>
        <v>3025</v>
      </c>
      <c r="AG627" s="23">
        <f t="shared" si="1738"/>
        <v>0</v>
      </c>
      <c r="AH627" s="23">
        <f t="shared" si="1738"/>
        <v>3025</v>
      </c>
      <c r="AI627" s="23">
        <f t="shared" si="1738"/>
        <v>5575</v>
      </c>
      <c r="AJ627" s="25">
        <f t="shared" si="1738"/>
        <v>191.1383214</v>
      </c>
      <c r="AK627" s="22">
        <f t="shared" si="1738"/>
        <v>8101</v>
      </c>
      <c r="AL627" s="26">
        <f t="shared" si="1730"/>
        <v>0.6881866436</v>
      </c>
      <c r="AM627" s="27">
        <f>SUM(Q640)</f>
        <v>1.5</v>
      </c>
      <c r="AN627" s="26">
        <f t="shared" si="1732"/>
        <v>0.6944609236</v>
      </c>
      <c r="AO627" s="28">
        <f t="shared" si="1733"/>
        <v>1.041691385</v>
      </c>
      <c r="AP627" s="27">
        <f t="shared" ref="AP627:AQ627" si="1739">SUM(T640)</f>
        <v>267.7944959</v>
      </c>
      <c r="AQ627" s="27">
        <f t="shared" si="1739"/>
        <v>9.564089138</v>
      </c>
      <c r="AR627" s="23">
        <f t="shared" si="1735"/>
        <v>199.1071429</v>
      </c>
    </row>
    <row r="628" ht="15.75" customHeight="1">
      <c r="A628" s="21"/>
      <c r="B628" s="38">
        <v>2.0</v>
      </c>
      <c r="C628" s="38" t="s">
        <v>28</v>
      </c>
      <c r="D628" s="39">
        <v>33.0</v>
      </c>
      <c r="E628" s="40">
        <f>IFERROR(__xludf.DUMMYFUNCTION("COUNT(IMPORTRANGE(""https://docs.google.com/spreadsheets/d/1tJCeYclgeJZ4Dc78t_SkhVjtacKW-5-VGim8X1rzUzk/edit"",""24!d2:d34""))"),33.0)</f>
        <v>33</v>
      </c>
      <c r="F628" s="41">
        <f>IFERROR(__xludf.DUMMYFUNCTION("SUM(IMPORTRANGE(""https://docs.google.com/spreadsheets/d/1tJCeYclgeJZ4Dc78t_SkhVjtacKW-5-VGim8X1rzUzk/edit"",""24!Q2:Q34""))"),6590.627000000002)</f>
        <v>6590.627</v>
      </c>
      <c r="G628" s="40">
        <f>IFERROR(__xludf.DUMMYFUNCTION("IMPORTRANGE(""https://docs.google.com/spreadsheets/d/1tJCeYclgeJZ4Dc78t_SkhVjtacKW-5-VGim8X1rzUzk/edit"",""24!e41"")"),2680.0)</f>
        <v>2680</v>
      </c>
      <c r="H628" s="40">
        <f>IFERROR(__xludf.DUMMYFUNCTION("IMPORTRANGE(""https://docs.google.com/spreadsheets/d/1tJCeYclgeJZ4Dc78t_SkhVjtacKW-5-VGim8X1rzUzk/edit"",""24!e42"")"),157.0)</f>
        <v>157</v>
      </c>
      <c r="I628" s="40">
        <f t="shared" si="1740"/>
        <v>2837</v>
      </c>
      <c r="J628" s="40">
        <f>IFERROR(__xludf.DUMMYFUNCTION("IMPORTRANGE(""https://docs.google.com/spreadsheets/d/1tJCeYclgeJZ4Dc78t_SkhVjtacKW-5-VGim8X1rzUzk/edit"",""24!e45"")"),2790.0)</f>
        <v>2790</v>
      </c>
      <c r="K628" s="40">
        <f>IFERROR(__xludf.DUMMYFUNCTION("IMPORTRANGE(""https://docs.google.com/spreadsheets/d/1tJCeYclgeJZ4Dc78t_SkhVjtacKW-5-VGim8X1rzUzk/edit"",""24!e46"")"),143.0)</f>
        <v>143</v>
      </c>
      <c r="L628" s="40">
        <f t="shared" si="1741"/>
        <v>2933</v>
      </c>
      <c r="M628" s="40">
        <f t="shared" si="1742"/>
        <v>5770</v>
      </c>
      <c r="N628" s="41">
        <f t="shared" si="1743"/>
        <v>199.7159697</v>
      </c>
      <c r="O628" s="38">
        <v>7315.0</v>
      </c>
      <c r="P628" s="42">
        <f t="shared" si="1744"/>
        <v>0.7887901572</v>
      </c>
      <c r="Q628" s="43">
        <v>1.5</v>
      </c>
      <c r="R628" s="42">
        <f t="shared" si="1745"/>
        <v>0.5836571644</v>
      </c>
      <c r="S628" s="44">
        <f t="shared" si="1746"/>
        <v>0.8754857467</v>
      </c>
      <c r="T628" s="43">
        <f>F628/30.897</f>
        <v>213.3096093</v>
      </c>
      <c r="U628" s="43">
        <f t="shared" si="1747"/>
        <v>6.463927556</v>
      </c>
      <c r="V628" s="40">
        <f t="shared" si="1748"/>
        <v>174.8484848</v>
      </c>
      <c r="X628" s="22">
        <v>5.0</v>
      </c>
      <c r="Y628" s="22" t="s">
        <v>29</v>
      </c>
      <c r="Z628" s="22">
        <f t="shared" ref="Z628:AI628" si="1749">SUM(D643)</f>
        <v>30</v>
      </c>
      <c r="AA628" s="23">
        <f t="shared" si="1749"/>
        <v>30</v>
      </c>
      <c r="AB628" s="24">
        <f t="shared" si="1749"/>
        <v>5960.475</v>
      </c>
      <c r="AC628" s="23">
        <f t="shared" si="1749"/>
        <v>2556</v>
      </c>
      <c r="AD628" s="23">
        <f t="shared" si="1749"/>
        <v>102</v>
      </c>
      <c r="AE628" s="23">
        <f t="shared" si="1749"/>
        <v>2658</v>
      </c>
      <c r="AF628" s="23">
        <f t="shared" si="1749"/>
        <v>4251</v>
      </c>
      <c r="AG628" s="23">
        <f t="shared" si="1749"/>
        <v>0</v>
      </c>
      <c r="AH628" s="23">
        <f t="shared" si="1749"/>
        <v>4251</v>
      </c>
      <c r="AI628" s="23">
        <f t="shared" si="1749"/>
        <v>6909</v>
      </c>
      <c r="AJ628" s="25">
        <f t="shared" ref="AJ628:AJ630" si="1752">AB628/AA628</f>
        <v>198.6825</v>
      </c>
      <c r="AK628" s="22">
        <f t="shared" ref="AK628:AK629" si="1753">SUM(O643)</f>
        <v>9201</v>
      </c>
      <c r="AL628" s="26">
        <f t="shared" si="1730"/>
        <v>0.7508966417</v>
      </c>
      <c r="AM628" s="27">
        <f t="shared" ref="AM628:AM629" si="1754">SUM(Q643)</f>
        <v>1.5</v>
      </c>
      <c r="AN628" s="26">
        <f t="shared" si="1732"/>
        <v>0.7727572048</v>
      </c>
      <c r="AO628" s="28">
        <f t="shared" si="1733"/>
        <v>1.159135807</v>
      </c>
      <c r="AP628" s="27">
        <f t="shared" ref="AP628:AQ628" si="1750">SUM(T643)</f>
        <v>225</v>
      </c>
      <c r="AQ628" s="27">
        <f t="shared" si="1750"/>
        <v>7.5</v>
      </c>
      <c r="AR628" s="23">
        <f t="shared" si="1735"/>
        <v>230.3</v>
      </c>
    </row>
    <row r="629" ht="15.75" customHeight="1">
      <c r="A629" s="21"/>
      <c r="B629" s="38">
        <v>3.0</v>
      </c>
      <c r="C629" s="38" t="s">
        <v>30</v>
      </c>
      <c r="D629" s="39">
        <v>60.0</v>
      </c>
      <c r="E629" s="40">
        <f>IFERROR(__xludf.DUMMYFUNCTION("COUNT(IMPORTRANGE(""https://docs.google.com/spreadsheets/d/130gLEONC13J8KkQ6dk06x3bLRy_jCrAw2hXatQf2W50/edit"",""24!d2:d61""))"),60.0)</f>
        <v>60</v>
      </c>
      <c r="F629" s="45">
        <f>IFERROR(__xludf.DUMMYFUNCTION("SUM(IMPORTRANGE(""https://docs.google.com/spreadsheets/d/130gLEONC13J8KkQ6dk06x3bLRy_jCrAw2hXatQf2W50/edit"",""24!Q2:Q61""))"),11722.787999999988)</f>
        <v>11722.788</v>
      </c>
      <c r="G629" s="40">
        <f>IFERROR(__xludf.DUMMYFUNCTION("IMPORTRANGE(""https://docs.google.com/spreadsheets/d/130gLEONC13J8KkQ6dk06x3bLRy_jCrAw2hXatQf2W50/edit"",""24!e68"")"),3816.0)</f>
        <v>3816</v>
      </c>
      <c r="H629" s="40">
        <f>IFERROR(__xludf.DUMMYFUNCTION("IMPORTRANGE(""https://docs.google.com/spreadsheets/d/130gLEONC13J8KkQ6dk06x3bLRy_jCrAw2hXatQf2W50/edit"",""24!e69"")"),0.0)</f>
        <v>0</v>
      </c>
      <c r="I629" s="40">
        <f t="shared" si="1740"/>
        <v>3816</v>
      </c>
      <c r="J629" s="40">
        <f>IFERROR(__xludf.DUMMYFUNCTION("IMPORTRANGE(""https://docs.google.com/spreadsheets/d/130gLEONC13J8KkQ6dk06x3bLRy_jCrAw2hXatQf2W50/edit"",""24!e72"")"),5621.0)</f>
        <v>5621</v>
      </c>
      <c r="K629" s="40">
        <f>IFERROR(__xludf.DUMMYFUNCTION("IMPORTRANGE(""https://docs.google.com/spreadsheets/d/130gLEONC13J8KkQ6dk06x3bLRy_jCrAw2hXatQf2W50/edit"",""24!e73"")"),222.0)</f>
        <v>222</v>
      </c>
      <c r="L629" s="40">
        <f t="shared" si="1741"/>
        <v>5843</v>
      </c>
      <c r="M629" s="40">
        <f t="shared" si="1742"/>
        <v>9659</v>
      </c>
      <c r="N629" s="41">
        <f t="shared" si="1743"/>
        <v>195.3798</v>
      </c>
      <c r="O629" s="38">
        <v>11164.0</v>
      </c>
      <c r="P629" s="42">
        <f t="shared" si="1744"/>
        <v>0.8651916876</v>
      </c>
      <c r="Q629" s="43">
        <v>1.5</v>
      </c>
      <c r="R629" s="42">
        <f t="shared" si="1745"/>
        <v>0.549300502</v>
      </c>
      <c r="S629" s="44">
        <f t="shared" si="1746"/>
        <v>0.823950753</v>
      </c>
      <c r="T629" s="43">
        <f>F629/29.603</f>
        <v>396</v>
      </c>
      <c r="U629" s="43">
        <f t="shared" si="1747"/>
        <v>6.6</v>
      </c>
      <c r="V629" s="40">
        <f t="shared" si="1748"/>
        <v>160.9833333</v>
      </c>
      <c r="X629" s="22">
        <v>6.0</v>
      </c>
      <c r="Y629" s="22" t="s">
        <v>31</v>
      </c>
      <c r="Z629" s="22">
        <f t="shared" ref="Z629:AI629" si="1751">SUM(D644)</f>
        <v>15</v>
      </c>
      <c r="AA629" s="23">
        <f t="shared" si="1751"/>
        <v>13</v>
      </c>
      <c r="AB629" s="25">
        <f t="shared" si="1751"/>
        <v>2607.9</v>
      </c>
      <c r="AC629" s="23">
        <f t="shared" si="1751"/>
        <v>839</v>
      </c>
      <c r="AD629" s="23">
        <f t="shared" si="1751"/>
        <v>0</v>
      </c>
      <c r="AE629" s="23">
        <f t="shared" si="1751"/>
        <v>839</v>
      </c>
      <c r="AF629" s="23">
        <f t="shared" si="1751"/>
        <v>937</v>
      </c>
      <c r="AG629" s="23">
        <f t="shared" si="1751"/>
        <v>15</v>
      </c>
      <c r="AH629" s="23">
        <f t="shared" si="1751"/>
        <v>952</v>
      </c>
      <c r="AI629" s="23">
        <f t="shared" si="1751"/>
        <v>1791</v>
      </c>
      <c r="AJ629" s="25">
        <f t="shared" si="1752"/>
        <v>200.6076923</v>
      </c>
      <c r="AK629" s="22">
        <f t="shared" si="1753"/>
        <v>2717</v>
      </c>
      <c r="AL629" s="26">
        <f t="shared" si="1730"/>
        <v>0.6591829223</v>
      </c>
      <c r="AM629" s="27">
        <f t="shared" si="1754"/>
        <v>1.5</v>
      </c>
      <c r="AN629" s="26">
        <f t="shared" si="1732"/>
        <v>0.4578396411</v>
      </c>
      <c r="AO629" s="28">
        <f t="shared" si="1733"/>
        <v>0.6867594616</v>
      </c>
      <c r="AP629" s="27">
        <f t="shared" ref="AP629:AQ629" si="1755">SUM(T644)</f>
        <v>60</v>
      </c>
      <c r="AQ629" s="27">
        <f t="shared" si="1755"/>
        <v>4.615384615</v>
      </c>
      <c r="AR629" s="23">
        <f t="shared" si="1735"/>
        <v>137.7692308</v>
      </c>
    </row>
    <row r="630" ht="15.75" customHeight="1">
      <c r="A630" s="21"/>
      <c r="B630" s="38">
        <v>4.0</v>
      </c>
      <c r="C630" s="38" t="s">
        <v>32</v>
      </c>
      <c r="D630" s="39">
        <v>42.0</v>
      </c>
      <c r="E630" s="40">
        <f>IFERROR(__xludf.DUMMYFUNCTION("COUNT(IMPORTRANGE(""https://docs.google.com/spreadsheets/d/1gYHli7FuKQLm2Q-5LMR0UtkD-gRRA_p8s-phLPLDLgc/edit"",""24!d2:d43""))"),40.0)</f>
        <v>40</v>
      </c>
      <c r="F630" s="45">
        <f>IFERROR(__xludf.DUMMYFUNCTION("SUM(IMPORTRANGE(""https://docs.google.com/spreadsheets/d/1gYHli7FuKQLm2Q-5LMR0UtkD-gRRA_p8s-phLPLDLgc/edit"",""24!Q2:Q43""))"),7704.4719999999925)</f>
        <v>7704.472</v>
      </c>
      <c r="G630" s="38">
        <f>IFERROR(__xludf.DUMMYFUNCTION("IMPORTRANGE(""https://docs.google.com/spreadsheets/d/1gYHli7FuKQLm2Q-5LMR0UtkD-gRRA_p8s-phLPLDLgc/edit"",""24!e50"")"),4506.0)</f>
        <v>4506</v>
      </c>
      <c r="H630" s="38">
        <f>IFERROR(__xludf.DUMMYFUNCTION("IMPORTRANGE(""https://docs.google.com/spreadsheets/d/1gYHli7FuKQLm2Q-5LMR0UtkD-gRRA_p8s-phLPLDLgc/edit"",""24!e51"")"),0.0)</f>
        <v>0</v>
      </c>
      <c r="I630" s="40">
        <f t="shared" si="1740"/>
        <v>4506</v>
      </c>
      <c r="J630" s="38">
        <f>IFERROR(__xludf.DUMMYFUNCTION("IMPORTRANGE(""https://docs.google.com/spreadsheets/d/1gYHli7FuKQLm2Q-5LMR0UtkD-gRRA_p8s-phLPLDLgc/edit"",""24!e54"")"),5720.0)</f>
        <v>5720</v>
      </c>
      <c r="K630" s="38">
        <f>IFERROR(__xludf.DUMMYFUNCTION("IMPORTRANGE(""https://docs.google.com/spreadsheets/d/1gYHli7FuKQLm2Q-5LMR0UtkD-gRRA_p8s-phLPLDLgc/edit"",""24!e55"")"),0.0)</f>
        <v>0</v>
      </c>
      <c r="L630" s="40">
        <f t="shared" si="1741"/>
        <v>5720</v>
      </c>
      <c r="M630" s="40">
        <f t="shared" si="1742"/>
        <v>10226</v>
      </c>
      <c r="N630" s="41">
        <f t="shared" si="1743"/>
        <v>192.6118</v>
      </c>
      <c r="O630" s="38">
        <v>13817.0</v>
      </c>
      <c r="P630" s="42">
        <f t="shared" si="1744"/>
        <v>0.7401027719</v>
      </c>
      <c r="Q630" s="43">
        <v>1.5</v>
      </c>
      <c r="R630" s="42">
        <f t="shared" si="1745"/>
        <v>0.8848540605</v>
      </c>
      <c r="S630" s="44">
        <f t="shared" si="1746"/>
        <v>1.327281091</v>
      </c>
      <c r="T630" s="43">
        <f>F630/25.089</f>
        <v>307.0856551</v>
      </c>
      <c r="U630" s="43">
        <f t="shared" si="1747"/>
        <v>7.677141377</v>
      </c>
      <c r="V630" s="40">
        <f t="shared" si="1748"/>
        <v>255.65</v>
      </c>
      <c r="X630" s="46" t="s">
        <v>33</v>
      </c>
      <c r="Y630" s="46">
        <v>6.0</v>
      </c>
      <c r="Z630" s="46">
        <f t="shared" ref="Z630:AI630" si="1756">SUM(Z624:Z629)</f>
        <v>186</v>
      </c>
      <c r="AA630" s="47">
        <f t="shared" si="1756"/>
        <v>180</v>
      </c>
      <c r="AB630" s="48">
        <f t="shared" si="1756"/>
        <v>35111.024</v>
      </c>
      <c r="AC630" s="47">
        <f t="shared" si="1756"/>
        <v>11147</v>
      </c>
      <c r="AD630" s="47">
        <f t="shared" si="1756"/>
        <v>400</v>
      </c>
      <c r="AE630" s="47">
        <f t="shared" si="1756"/>
        <v>11547</v>
      </c>
      <c r="AF630" s="47">
        <f t="shared" si="1756"/>
        <v>15707</v>
      </c>
      <c r="AG630" s="47">
        <f t="shared" si="1756"/>
        <v>352</v>
      </c>
      <c r="AH630" s="47">
        <f t="shared" si="1756"/>
        <v>16059</v>
      </c>
      <c r="AI630" s="47">
        <f t="shared" si="1756"/>
        <v>27606</v>
      </c>
      <c r="AJ630" s="49">
        <f t="shared" si="1752"/>
        <v>195.0612444</v>
      </c>
      <c r="AK630" s="46">
        <f>SUM(AK624:AK629)</f>
        <v>35074</v>
      </c>
      <c r="AL630" s="50">
        <f t="shared" si="1730"/>
        <v>0.7870787478</v>
      </c>
      <c r="AM630" s="51">
        <v>1.5</v>
      </c>
      <c r="AN630" s="50">
        <f t="shared" si="1732"/>
        <v>0.5241658574</v>
      </c>
      <c r="AO630" s="52">
        <f t="shared" si="1733"/>
        <v>0.7862487861</v>
      </c>
      <c r="AP630" s="51">
        <f>SUM(AP624:AP629)</f>
        <v>1316.681677</v>
      </c>
      <c r="AQ630" s="51">
        <f>AP630/AA630</f>
        <v>7.314898205</v>
      </c>
      <c r="AR630" s="47">
        <f t="shared" si="1735"/>
        <v>153.3666667</v>
      </c>
    </row>
    <row r="631" ht="15.75" customHeight="1">
      <c r="A631" s="21"/>
      <c r="B631" s="38">
        <v>5.0</v>
      </c>
      <c r="C631" s="38" t="s">
        <v>34</v>
      </c>
      <c r="D631" s="39">
        <v>40.0</v>
      </c>
      <c r="E631" s="40">
        <f>IFERROR(__xludf.DUMMYFUNCTION("COUNT(IMPORTRANGE(""https://docs.google.com/spreadsheets/d/1ptS0qWBCKWkc9h2aXWT_YgMhN7yIv5WgAHRbF8l9Zpo/edit"",""24!d2:d41""))"),39.0)</f>
        <v>39</v>
      </c>
      <c r="F631" s="45">
        <f>IFERROR(__xludf.DUMMYFUNCTION("SUM(IMPORTRANGE(""https://docs.google.com/spreadsheets/d/1ptS0qWBCKWkc9h2aXWT_YgMhN7yIv5WgAHRbF8l9Zpo/edit"",""24!Q2:Q41""))"),7808.895000000002)</f>
        <v>7808.895</v>
      </c>
      <c r="G631" s="40">
        <f>IFERROR(__xludf.DUMMYFUNCTION("IMPORTRANGE(""https://docs.google.com/spreadsheets/d/1ptS0qWBCKWkc9h2aXWT_YgMhN7yIv5WgAHRbF8l9Zpo/edit"",""24!e48"")"),2770.0)</f>
        <v>2770</v>
      </c>
      <c r="H631" s="40">
        <f>IFERROR(__xludf.DUMMYFUNCTION("IMPORTRANGE(""https://docs.google.com/spreadsheets/d/1ptS0qWBCKWkc9h2aXWT_YgMhN7yIv5WgAHRbF8l9Zpo/edit"",""24!e49"")"),0.0)</f>
        <v>0</v>
      </c>
      <c r="I631" s="40">
        <f t="shared" si="1740"/>
        <v>2770</v>
      </c>
      <c r="J631" s="40">
        <f>IFERROR(__xludf.DUMMYFUNCTION("IMPORTRANGE(""https://docs.google.com/spreadsheets/d/1ptS0qWBCKWkc9h2aXWT_YgMhN7yIv5WgAHRbF8l9Zpo/edit"",""24!e52"")"),2904.0)</f>
        <v>2904</v>
      </c>
      <c r="K631" s="40">
        <f>IFERROR(__xludf.DUMMYFUNCTION("IMPORTRANGE(""https://docs.google.com/spreadsheets/d/1ptS0qWBCKWkc9h2aXWT_YgMhN7yIv5WgAHRbF8l9Zpo/edit"",""24!e53"")"),0.0)</f>
        <v>0</v>
      </c>
      <c r="L631" s="40">
        <f t="shared" si="1741"/>
        <v>2904</v>
      </c>
      <c r="M631" s="40">
        <f t="shared" si="1742"/>
        <v>5674</v>
      </c>
      <c r="N631" s="41">
        <f t="shared" si="1743"/>
        <v>200.2280769</v>
      </c>
      <c r="O631" s="38">
        <v>9354.0</v>
      </c>
      <c r="P631" s="42">
        <f t="shared" si="1744"/>
        <v>0.606585418</v>
      </c>
      <c r="Q631" s="43">
        <v>1.5</v>
      </c>
      <c r="R631" s="42">
        <f t="shared" si="1745"/>
        <v>0.4844048571</v>
      </c>
      <c r="S631" s="44">
        <f t="shared" si="1746"/>
        <v>0.7266072857</v>
      </c>
      <c r="T631" s="43">
        <f>F631/30.713</f>
        <v>254.2537362</v>
      </c>
      <c r="U631" s="43">
        <f t="shared" si="1747"/>
        <v>6.519326569</v>
      </c>
      <c r="V631" s="40">
        <f t="shared" si="1748"/>
        <v>145.4871795</v>
      </c>
      <c r="X631" s="53" t="s">
        <v>35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6"/>
    </row>
    <row r="632" ht="15.75" customHeight="1">
      <c r="A632" s="21"/>
      <c r="B632" s="38">
        <v>6.0</v>
      </c>
      <c r="C632" s="38" t="s">
        <v>23</v>
      </c>
      <c r="D632" s="39">
        <v>35.0</v>
      </c>
      <c r="E632" s="40">
        <f>IFERROR(__xludf.DUMMYFUNCTION("COUNT(IMPORTRANGE(""https://docs.google.com/spreadsheets/d/1829CoYW82aTBBUgqkPnJa94KlBWI-DowAnP4ENQCmaQ/edit"",""24!d2:d36""))"),35.0)</f>
        <v>35</v>
      </c>
      <c r="F632" s="45">
        <f>IFERROR(__xludf.DUMMYFUNCTION("SUM(IMPORTRANGE(""https://docs.google.com/spreadsheets/d/1829CoYW82aTBBUgqkPnJa94KlBWI-DowAnP4ENQCmaQ/edit"",""24!Q2:Q36""))"),6882.9599999999955)</f>
        <v>6882.96</v>
      </c>
      <c r="G632" s="40">
        <f>IFERROR(__xludf.DUMMYFUNCTION("IMPORTRANGE(""https://docs.google.com/spreadsheets/d/1829CoYW82aTBBUgqkPnJa94KlBWI-DowAnP4ENQCmaQ/edit"",""24!e43"")"),1698.0)</f>
        <v>1698</v>
      </c>
      <c r="H632" s="40">
        <f>IFERROR(__xludf.DUMMYFUNCTION("IMPORTRANGE(""https://docs.google.com/spreadsheets/d/1829CoYW82aTBBUgqkPnJa94KlBWI-DowAnP4ENQCmaQ/edit"",""24!e44"")"),0.0)</f>
        <v>0</v>
      </c>
      <c r="I632" s="40">
        <f t="shared" si="1740"/>
        <v>1698</v>
      </c>
      <c r="J632" s="40">
        <f>IFERROR(__xludf.DUMMYFUNCTION("IMPORTRANGE(""https://docs.google.com/spreadsheets/d/1829CoYW82aTBBUgqkPnJa94KlBWI-DowAnP4ENQCmaQ/edit"",""24!e47"")"),3182.0)</f>
        <v>3182</v>
      </c>
      <c r="K632" s="40">
        <f>IFERROR(__xludf.DUMMYFUNCTION("IMPORTRANGE(""https://docs.google.com/spreadsheets/d/1829CoYW82aTBBUgqkPnJa94KlBWI-DowAnP4ENQCmaQ/edit"",""24!e48"")"),0.0)</f>
        <v>0</v>
      </c>
      <c r="L632" s="40">
        <f t="shared" si="1741"/>
        <v>3182</v>
      </c>
      <c r="M632" s="40">
        <f t="shared" si="1742"/>
        <v>4880</v>
      </c>
      <c r="N632" s="41">
        <f t="shared" si="1743"/>
        <v>196.656</v>
      </c>
      <c r="O632" s="38">
        <v>6853.0</v>
      </c>
      <c r="P632" s="42">
        <f t="shared" si="1744"/>
        <v>0.7120968919</v>
      </c>
      <c r="Q632" s="43">
        <v>1.5</v>
      </c>
      <c r="R632" s="42">
        <f t="shared" si="1745"/>
        <v>0.4726648612</v>
      </c>
      <c r="S632" s="44">
        <f t="shared" si="1746"/>
        <v>0.7089972919</v>
      </c>
      <c r="T632" s="43">
        <f>F632/33.74</f>
        <v>204</v>
      </c>
      <c r="U632" s="43">
        <f t="shared" si="1747"/>
        <v>5.828571429</v>
      </c>
      <c r="V632" s="40">
        <f t="shared" si="1748"/>
        <v>139.4285714</v>
      </c>
      <c r="X632" s="14" t="s">
        <v>2</v>
      </c>
      <c r="Y632" s="14" t="s">
        <v>3</v>
      </c>
      <c r="Z632" s="14" t="s">
        <v>4</v>
      </c>
      <c r="AA632" s="14" t="s">
        <v>5</v>
      </c>
      <c r="AB632" s="15" t="s">
        <v>6</v>
      </c>
      <c r="AC632" s="14" t="s">
        <v>7</v>
      </c>
      <c r="AD632" s="14" t="s">
        <v>8</v>
      </c>
      <c r="AE632" s="14" t="s">
        <v>9</v>
      </c>
      <c r="AF632" s="14" t="s">
        <v>10</v>
      </c>
      <c r="AG632" s="14" t="s">
        <v>11</v>
      </c>
      <c r="AH632" s="14" t="s">
        <v>12</v>
      </c>
      <c r="AI632" s="14" t="s">
        <v>13</v>
      </c>
      <c r="AJ632" s="15" t="s">
        <v>14</v>
      </c>
      <c r="AK632" s="14" t="s">
        <v>15</v>
      </c>
      <c r="AL632" s="14" t="s">
        <v>16</v>
      </c>
      <c r="AM632" s="16" t="s">
        <v>17</v>
      </c>
      <c r="AN632" s="17" t="s">
        <v>18</v>
      </c>
      <c r="AO632" s="18" t="s">
        <v>19</v>
      </c>
      <c r="AP632" s="19" t="s">
        <v>20</v>
      </c>
      <c r="AQ632" s="19" t="s">
        <v>21</v>
      </c>
      <c r="AR632" s="20" t="s">
        <v>22</v>
      </c>
    </row>
    <row r="633" ht="15.75" customHeight="1">
      <c r="A633" s="21"/>
      <c r="B633" s="38">
        <v>7.0</v>
      </c>
      <c r="C633" s="38" t="s">
        <v>24</v>
      </c>
      <c r="D633" s="39">
        <v>44.0</v>
      </c>
      <c r="E633" s="54">
        <f>IFERROR(__xludf.DUMMYFUNCTION("COUNT(IMPORTRANGE(""https://docs.google.com/spreadsheets/d/1E2x4oDZxEIsuC5nl-5Z0--MoN8b1dt9SbpRcCfNP84Q/edit"",""24!d2:d45""))"),43.0)</f>
        <v>43</v>
      </c>
      <c r="F633" s="55">
        <f>IFERROR(__xludf.DUMMYFUNCTION("SUM(IMPORTRANGE(""https://docs.google.com/spreadsheets/d/1E2x4oDZxEIsuC5nl-5Z0--MoN8b1dt9SbpRcCfNP84Q/edit"",""24!Q2:Q45""))"),8679.807999999994)</f>
        <v>8679.808</v>
      </c>
      <c r="G633" s="54">
        <f>IFERROR(__xludf.DUMMYFUNCTION("IMPORTRANGE(""https://docs.google.com/spreadsheets/d/1E2x4oDZxEIsuC5nl-5Z0--MoN8b1dt9SbpRcCfNP84Q/edit"",""24!e53"")"),1118.0)</f>
        <v>1118</v>
      </c>
      <c r="H633" s="54">
        <f>IFERROR(__xludf.DUMMYFUNCTION("IMPORTRANGE(""https://docs.google.com/spreadsheets/d/1E2x4oDZxEIsuC5nl-5Z0--MoN8b1dt9SbpRcCfNP84Q/edit"",""24!e54"")"),0.0)</f>
        <v>0</v>
      </c>
      <c r="I633" s="54">
        <f t="shared" si="1740"/>
        <v>1118</v>
      </c>
      <c r="J633" s="54">
        <f>IFERROR(__xludf.DUMMYFUNCTION("IMPORTRANGE(""https://docs.google.com/spreadsheets/d/1E2x4oDZxEIsuC5nl-5Z0--MoN8b1dt9SbpRcCfNP84Q/edit"",""24!e57"")"),1297.0)</f>
        <v>1297</v>
      </c>
      <c r="K633" s="54">
        <f>IFERROR(__xludf.DUMMYFUNCTION("IMPORTRANGE(""https://docs.google.com/spreadsheets/d/1E2x4oDZxEIsuC5nl-5Z0--MoN8b1dt9SbpRcCfNP84Q/edit"",""24!e58"")"),0.0)</f>
        <v>0</v>
      </c>
      <c r="L633" s="40">
        <f t="shared" si="1741"/>
        <v>1297</v>
      </c>
      <c r="M633" s="40">
        <f t="shared" si="1742"/>
        <v>2415</v>
      </c>
      <c r="N633" s="41">
        <f t="shared" si="1743"/>
        <v>201.856</v>
      </c>
      <c r="O633" s="38">
        <v>1580.0</v>
      </c>
      <c r="P633" s="56">
        <f t="shared" si="1744"/>
        <v>1.528481013</v>
      </c>
      <c r="Q633" s="43">
        <v>1.5</v>
      </c>
      <c r="R633" s="42">
        <f t="shared" si="1745"/>
        <v>0.1854879739</v>
      </c>
      <c r="S633" s="44">
        <f t="shared" si="1746"/>
        <v>0.2782319609</v>
      </c>
      <c r="T633" s="43">
        <f>F633/26.805</f>
        <v>323.81302</v>
      </c>
      <c r="U633" s="43">
        <f t="shared" si="1747"/>
        <v>7.530535348</v>
      </c>
      <c r="V633" s="40">
        <f t="shared" si="1748"/>
        <v>56.1627907</v>
      </c>
      <c r="X633" s="22">
        <v>1.0</v>
      </c>
      <c r="Y633" s="22" t="s">
        <v>28</v>
      </c>
      <c r="Z633" s="22">
        <f t="shared" ref="Z633:AI633" si="1757">SUM(D628)</f>
        <v>33</v>
      </c>
      <c r="AA633" s="23">
        <f t="shared" si="1757"/>
        <v>33</v>
      </c>
      <c r="AB633" s="25">
        <f t="shared" si="1757"/>
        <v>6590.627</v>
      </c>
      <c r="AC633" s="23">
        <f t="shared" si="1757"/>
        <v>2680</v>
      </c>
      <c r="AD633" s="23">
        <f t="shared" si="1757"/>
        <v>157</v>
      </c>
      <c r="AE633" s="23">
        <f t="shared" si="1757"/>
        <v>2837</v>
      </c>
      <c r="AF633" s="23">
        <f t="shared" si="1757"/>
        <v>2790</v>
      </c>
      <c r="AG633" s="23">
        <f t="shared" si="1757"/>
        <v>143</v>
      </c>
      <c r="AH633" s="23">
        <f t="shared" si="1757"/>
        <v>2933</v>
      </c>
      <c r="AI633" s="23">
        <f t="shared" si="1757"/>
        <v>5770</v>
      </c>
      <c r="AJ633" s="25">
        <f t="shared" ref="AJ633:AJ639" si="1760">AB633/AA633</f>
        <v>199.7159697</v>
      </c>
      <c r="AK633" s="22">
        <f t="shared" ref="AK633:AK634" si="1761">SUM(O628)</f>
        <v>7315</v>
      </c>
      <c r="AL633" s="26">
        <f t="shared" ref="AL633:AL639" si="1762">AI633/AK633</f>
        <v>0.7887901572</v>
      </c>
      <c r="AM633" s="27">
        <f t="shared" ref="AM633:AM634" si="1763">SUM(Q628)</f>
        <v>1.5</v>
      </c>
      <c r="AN633" s="26">
        <f t="shared" ref="AN633:AN639" si="1764">AO633/AM633</f>
        <v>0.5836571644</v>
      </c>
      <c r="AO633" s="28">
        <f t="shared" ref="AO633:AO639" si="1765">AI633/AB633</f>
        <v>0.8754857467</v>
      </c>
      <c r="AP633" s="27">
        <f t="shared" ref="AP633:AQ633" si="1758">SUM(T628)</f>
        <v>213.3096093</v>
      </c>
      <c r="AQ633" s="27">
        <f t="shared" si="1758"/>
        <v>6.463927556</v>
      </c>
      <c r="AR633" s="23">
        <f t="shared" ref="AR633:AR639" si="1767">AI633/AA633</f>
        <v>174.8484848</v>
      </c>
    </row>
    <row r="634" ht="15.75" customHeight="1">
      <c r="A634" s="21"/>
      <c r="B634" s="38">
        <v>8.0</v>
      </c>
      <c r="C634" s="38" t="s">
        <v>25</v>
      </c>
      <c r="D634" s="57">
        <v>32.0</v>
      </c>
      <c r="E634" s="40">
        <f>IFERROR(__xludf.DUMMYFUNCTION("COUNT(IMPORTRANGE(""https://docs.google.com/spreadsheets/d/1KbRFOEYB0B44J_NSh1MwYQ1sLDlZXUHI-wuMLcZDn5k/edit"",""24!d2:D33""))"),31.0)</f>
        <v>31</v>
      </c>
      <c r="F634" s="45">
        <f>IFERROR(__xludf.DUMMYFUNCTION("SUM(IMPORTRANGE(""https://docs.google.com/spreadsheets/d/1KbRFOEYB0B44J_NSh1MwYQ1sLDlZXUHI-wuMLcZDn5k/edit"",""24!Q2:Q33""))"),5628.008000000001)</f>
        <v>5628.008</v>
      </c>
      <c r="G634" s="40">
        <f>IFERROR(__xludf.DUMMYFUNCTION("IMPORTRANGE(""https://docs.google.com/spreadsheets/d/1KbRFOEYB0B44J_NSh1MwYQ1sLDlZXUHI-wuMLcZDn5k/edit"",""24!e40"")"),2386.0)</f>
        <v>2386</v>
      </c>
      <c r="H634" s="40">
        <f>IFERROR(__xludf.DUMMYFUNCTION("IMPORTRANGE(""https://docs.google.com/spreadsheets/d/1KbRFOEYB0B44J_NSh1MwYQ1sLDlZXUHI-wuMLcZDn5k/edit"",""24!e41"")"),298.0)</f>
        <v>298</v>
      </c>
      <c r="I634" s="40">
        <f t="shared" si="1740"/>
        <v>2684</v>
      </c>
      <c r="J634" s="40">
        <f>IFERROR(__xludf.DUMMYFUNCTION("IMPORTRANGE(""https://docs.google.com/spreadsheets/d/1KbRFOEYB0B44J_NSh1MwYQ1sLDlZXUHI-wuMLcZDn5k/edit"",""24!e44"")"),3015.0)</f>
        <v>3015</v>
      </c>
      <c r="K634" s="40">
        <f>IFERROR(__xludf.DUMMYFUNCTION("IMPORTRANGE(""https://docs.google.com/spreadsheets/d/1KbRFOEYB0B44J_NSh1MwYQ1sLDlZXUHI-wuMLcZDn5k/edit"",""24!e45"")"),337.0)</f>
        <v>337</v>
      </c>
      <c r="L634" s="40">
        <f>J634+K634</f>
        <v>3352</v>
      </c>
      <c r="M634" s="40">
        <f t="shared" si="1742"/>
        <v>6036</v>
      </c>
      <c r="N634" s="41">
        <f t="shared" si="1743"/>
        <v>181.5486452</v>
      </c>
      <c r="O634" s="38">
        <v>6622.0</v>
      </c>
      <c r="P634" s="42">
        <f t="shared" si="1744"/>
        <v>0.9115070976</v>
      </c>
      <c r="Q634" s="43">
        <v>1.5</v>
      </c>
      <c r="R634" s="42">
        <f t="shared" si="1745"/>
        <v>0.71499543</v>
      </c>
      <c r="S634" s="44">
        <f t="shared" si="1746"/>
        <v>1.072493145</v>
      </c>
      <c r="T634" s="43">
        <f>F634/23.84</f>
        <v>236.0741611</v>
      </c>
      <c r="U634" s="43">
        <f t="shared" si="1747"/>
        <v>7.615295519</v>
      </c>
      <c r="V634" s="40">
        <f t="shared" si="1748"/>
        <v>194.7096774</v>
      </c>
      <c r="X634" s="31">
        <v>2.0</v>
      </c>
      <c r="Y634" s="31" t="s">
        <v>30</v>
      </c>
      <c r="Z634" s="31">
        <f t="shared" ref="Z634:AI634" si="1759">SUM(D629)</f>
        <v>60</v>
      </c>
      <c r="AA634" s="32">
        <f t="shared" si="1759"/>
        <v>60</v>
      </c>
      <c r="AB634" s="33">
        <f t="shared" si="1759"/>
        <v>11722.788</v>
      </c>
      <c r="AC634" s="32">
        <f t="shared" si="1759"/>
        <v>3816</v>
      </c>
      <c r="AD634" s="32">
        <f t="shared" si="1759"/>
        <v>0</v>
      </c>
      <c r="AE634" s="32">
        <f t="shared" si="1759"/>
        <v>3816</v>
      </c>
      <c r="AF634" s="32">
        <f t="shared" si="1759"/>
        <v>5621</v>
      </c>
      <c r="AG634" s="32">
        <f t="shared" si="1759"/>
        <v>222</v>
      </c>
      <c r="AH634" s="32">
        <f t="shared" si="1759"/>
        <v>5843</v>
      </c>
      <c r="AI634" s="32">
        <f t="shared" si="1759"/>
        <v>9659</v>
      </c>
      <c r="AJ634" s="34">
        <f t="shared" si="1760"/>
        <v>195.3798</v>
      </c>
      <c r="AK634" s="31">
        <f t="shared" si="1761"/>
        <v>11164</v>
      </c>
      <c r="AL634" s="35">
        <f t="shared" si="1762"/>
        <v>0.8651916876</v>
      </c>
      <c r="AM634" s="36">
        <f t="shared" si="1763"/>
        <v>1.5</v>
      </c>
      <c r="AN634" s="35">
        <f t="shared" si="1764"/>
        <v>0.549300502</v>
      </c>
      <c r="AO634" s="37">
        <f t="shared" si="1765"/>
        <v>0.823950753</v>
      </c>
      <c r="AP634" s="36">
        <f t="shared" ref="AP634:AQ634" si="1766">SUM(T629)</f>
        <v>396</v>
      </c>
      <c r="AQ634" s="36">
        <f t="shared" si="1766"/>
        <v>6.6</v>
      </c>
      <c r="AR634" s="32">
        <f t="shared" si="1767"/>
        <v>160.9833333</v>
      </c>
    </row>
    <row r="635" ht="15.75" customHeight="1">
      <c r="A635" s="21"/>
      <c r="B635" s="38">
        <v>9.0</v>
      </c>
      <c r="C635" s="38" t="s">
        <v>36</v>
      </c>
      <c r="D635" s="58">
        <v>29.0</v>
      </c>
      <c r="E635" s="40">
        <f>IFERROR(__xludf.DUMMYFUNCTION("COUNT(IMPORTRANGE(""https://docs.google.com/spreadsheets/d/1VqqqRGfmmkT0JC4ILJva2p8P11jjV0FX-TSKAaqOigw/edit"",""24!d2:d31""))"),29.0)</f>
        <v>29</v>
      </c>
      <c r="F635" s="45">
        <f>IFERROR(__xludf.DUMMYFUNCTION("SUM(IMPORTRANGE(""https://docs.google.com/spreadsheets/d/1VqqqRGfmmkT0JC4ILJva2p8P11jjV0FX-TSKAaqOigw/edit"",""24!Q2:Q31""))"),5753.775999999998)</f>
        <v>5753.776</v>
      </c>
      <c r="G635" s="40">
        <f>IFERROR(__xludf.DUMMYFUNCTION("IMPORTRANGE(""https://docs.google.com/spreadsheets/d/1VqqqRGfmmkT0JC4ILJva2p8P11jjV0FX-TSKAaqOigw/edit"",""24!e38"")"),1626.0)</f>
        <v>1626</v>
      </c>
      <c r="H635" s="40">
        <f>IFERROR(__xludf.DUMMYFUNCTION("IMPORTRANGE(""https://docs.google.com/spreadsheets/d/1VqqqRGfmmkT0JC4ILJva2p8P11jjV0FX-TSKAaqOigw/edit"",""24!e39"")"),0.0)</f>
        <v>0</v>
      </c>
      <c r="I635" s="40">
        <f t="shared" si="1740"/>
        <v>1626</v>
      </c>
      <c r="J635" s="40">
        <f>IFERROR(__xludf.DUMMYFUNCTION("IMPORTRANGE(""https://docs.google.com/spreadsheets/d/1VqqqRGfmmkT0JC4ILJva2p8P11jjV0FX-TSKAaqOigw/edit"",""24!e42"")"),2217.0)</f>
        <v>2217</v>
      </c>
      <c r="K635" s="40">
        <f>IFERROR(__xludf.DUMMYFUNCTION("IMPORTRANGE(""https://docs.google.com/spreadsheets/d/1VqqqRGfmmkT0JC4ILJva2p8P11jjV0FX-TSKAaqOigw/edit"",""24!e43"")"),0.0)</f>
        <v>0</v>
      </c>
      <c r="L635" s="40">
        <f t="shared" ref="L635:L644" si="1770">SUM(J635:K635)</f>
        <v>2217</v>
      </c>
      <c r="M635" s="40">
        <f t="shared" si="1742"/>
        <v>3843</v>
      </c>
      <c r="N635" s="41">
        <f t="shared" si="1743"/>
        <v>198.406069</v>
      </c>
      <c r="O635" s="38">
        <v>4796.0</v>
      </c>
      <c r="P635" s="42">
        <f t="shared" si="1744"/>
        <v>0.801292744</v>
      </c>
      <c r="Q635" s="43">
        <v>1.5</v>
      </c>
      <c r="R635" s="42">
        <f t="shared" si="1745"/>
        <v>0.4452728087</v>
      </c>
      <c r="S635" s="44">
        <f t="shared" si="1746"/>
        <v>0.667909213</v>
      </c>
      <c r="T635" s="43">
        <f>F635/37.414</f>
        <v>153.7867109</v>
      </c>
      <c r="U635" s="43">
        <f t="shared" si="1747"/>
        <v>5.30299003</v>
      </c>
      <c r="V635" s="40">
        <f t="shared" si="1748"/>
        <v>132.5172414</v>
      </c>
      <c r="X635" s="22">
        <v>3.0</v>
      </c>
      <c r="Y635" s="22" t="s">
        <v>34</v>
      </c>
      <c r="Z635" s="22">
        <f t="shared" ref="Z635:AI635" si="1768">SUM(D631)</f>
        <v>40</v>
      </c>
      <c r="AA635" s="23">
        <f t="shared" si="1768"/>
        <v>39</v>
      </c>
      <c r="AB635" s="24">
        <f t="shared" si="1768"/>
        <v>7808.895</v>
      </c>
      <c r="AC635" s="23">
        <f t="shared" si="1768"/>
        <v>2770</v>
      </c>
      <c r="AD635" s="23">
        <f t="shared" si="1768"/>
        <v>0</v>
      </c>
      <c r="AE635" s="23">
        <f t="shared" si="1768"/>
        <v>2770</v>
      </c>
      <c r="AF635" s="23">
        <f t="shared" si="1768"/>
        <v>2904</v>
      </c>
      <c r="AG635" s="23">
        <f t="shared" si="1768"/>
        <v>0</v>
      </c>
      <c r="AH635" s="23">
        <f t="shared" si="1768"/>
        <v>2904</v>
      </c>
      <c r="AI635" s="23">
        <f t="shared" si="1768"/>
        <v>5674</v>
      </c>
      <c r="AJ635" s="25">
        <f t="shared" si="1760"/>
        <v>200.2280769</v>
      </c>
      <c r="AK635" s="22">
        <f>SUM(O631)</f>
        <v>9354</v>
      </c>
      <c r="AL635" s="26">
        <f t="shared" si="1762"/>
        <v>0.606585418</v>
      </c>
      <c r="AM635" s="27">
        <f>SUM(Q631)</f>
        <v>1.5</v>
      </c>
      <c r="AN635" s="26">
        <f t="shared" si="1764"/>
        <v>0.4844048571</v>
      </c>
      <c r="AO635" s="28">
        <f t="shared" si="1765"/>
        <v>0.7266072857</v>
      </c>
      <c r="AP635" s="27">
        <f t="shared" ref="AP635:AQ635" si="1769">SUM(T631)</f>
        <v>254.2537362</v>
      </c>
      <c r="AQ635" s="27">
        <f t="shared" si="1769"/>
        <v>6.519326569</v>
      </c>
      <c r="AR635" s="23">
        <f t="shared" si="1767"/>
        <v>145.4871795</v>
      </c>
    </row>
    <row r="636" ht="15.75" customHeight="1">
      <c r="A636" s="21"/>
      <c r="B636" s="38">
        <v>10.0</v>
      </c>
      <c r="C636" s="38" t="s">
        <v>37</v>
      </c>
      <c r="D636" s="39">
        <v>30.0</v>
      </c>
      <c r="E636" s="40">
        <f>IFERROR(__xludf.DUMMYFUNCTION("COUNT(IMPORTRANGE(""https://docs.google.com/spreadsheets/d/1IYeRjQd_D6MRqoBKNaky3aSEUloYCJc5XDnPAbdyetk/edit"",""24!d2:d31""))"),28.0)</f>
        <v>28</v>
      </c>
      <c r="F636" s="45">
        <f>IFERROR(__xludf.DUMMYFUNCTION("SUM(IMPORTRANGE(""https://docs.google.com/spreadsheets/d/1IYeRjQd_D6MRqoBKNaky3aSEUloYCJc5XDnPAbdyetk/edit"",""24!Q2:Q31""))"),5415.516000000003)</f>
        <v>5415.516</v>
      </c>
      <c r="G636" s="40">
        <f>IFERROR(__xludf.DUMMYFUNCTION("(IMPORTRANGE(""https://docs.google.com/spreadsheets/d/1IYeRjQd_D6MRqoBKNaky3aSEUloYCJc5XDnPAbdyetk/edit"",""24!e38""))"),2111.0)</f>
        <v>2111</v>
      </c>
      <c r="H636" s="40">
        <f>IFERROR(__xludf.DUMMYFUNCTION("(IMPORTRANGE(""https://docs.google.com/spreadsheets/d/1IYeRjQd_D6MRqoBKNaky3aSEUloYCJc5XDnPAbdyetk/edit"",""24!e39""))"),0.0)</f>
        <v>0</v>
      </c>
      <c r="I636" s="40">
        <f t="shared" si="1740"/>
        <v>2111</v>
      </c>
      <c r="J636" s="40">
        <f>IFERROR(__xludf.DUMMYFUNCTION("(IMPORTRANGE(""https://docs.google.com/spreadsheets/d/1IYeRjQd_D6MRqoBKNaky3aSEUloYCJc5XDnPAbdyetk/edit"",""24!e42""))"),3079.0)</f>
        <v>3079</v>
      </c>
      <c r="K636" s="40">
        <f>IFERROR(__xludf.DUMMYFUNCTION("(IMPORTRANGE(""https://docs.google.com/spreadsheets/d/1IYeRjQd_D6MRqoBKNaky3aSEUloYCJc5XDnPAbdyetk/edit"",""24!e43""))"),0.0)</f>
        <v>0</v>
      </c>
      <c r="L636" s="40">
        <f t="shared" si="1770"/>
        <v>3079</v>
      </c>
      <c r="M636" s="40">
        <f t="shared" si="1742"/>
        <v>5190</v>
      </c>
      <c r="N636" s="41">
        <f t="shared" si="1743"/>
        <v>193.4112857</v>
      </c>
      <c r="O636" s="38">
        <v>5887.0</v>
      </c>
      <c r="P636" s="42">
        <f t="shared" si="1744"/>
        <v>0.8816035332</v>
      </c>
      <c r="Q636" s="43">
        <v>1.5</v>
      </c>
      <c r="R636" s="42">
        <f t="shared" si="1745"/>
        <v>0.6389049538</v>
      </c>
      <c r="S636" s="44">
        <f t="shared" si="1746"/>
        <v>0.9583574308</v>
      </c>
      <c r="T636" s="43">
        <f>F636/24.792</f>
        <v>218.4380445</v>
      </c>
      <c r="U636" s="43">
        <f t="shared" si="1747"/>
        <v>7.801358733</v>
      </c>
      <c r="V636" s="40">
        <f t="shared" si="1748"/>
        <v>185.3571429</v>
      </c>
      <c r="X636" s="31">
        <v>4.0</v>
      </c>
      <c r="Y636" s="31" t="s">
        <v>38</v>
      </c>
      <c r="Z636" s="31">
        <f t="shared" ref="Z636:AI636" si="1771">SUM(D639)</f>
        <v>30</v>
      </c>
      <c r="AA636" s="32">
        <f t="shared" si="1771"/>
        <v>30</v>
      </c>
      <c r="AB636" s="33">
        <f t="shared" si="1771"/>
        <v>6263.16</v>
      </c>
      <c r="AC636" s="32">
        <f t="shared" si="1771"/>
        <v>2290</v>
      </c>
      <c r="AD636" s="32">
        <f t="shared" si="1771"/>
        <v>0</v>
      </c>
      <c r="AE636" s="32">
        <f t="shared" si="1771"/>
        <v>2290</v>
      </c>
      <c r="AF636" s="32">
        <f t="shared" si="1771"/>
        <v>3091</v>
      </c>
      <c r="AG636" s="32">
        <f t="shared" si="1771"/>
        <v>160</v>
      </c>
      <c r="AH636" s="32">
        <f t="shared" si="1771"/>
        <v>3251</v>
      </c>
      <c r="AI636" s="32">
        <f t="shared" si="1771"/>
        <v>5541</v>
      </c>
      <c r="AJ636" s="34">
        <f t="shared" si="1760"/>
        <v>208.772</v>
      </c>
      <c r="AK636" s="31">
        <v>7324.0</v>
      </c>
      <c r="AL636" s="35">
        <f t="shared" si="1762"/>
        <v>0.7565537957</v>
      </c>
      <c r="AM636" s="36">
        <f>SUM(Q639)</f>
        <v>1.5</v>
      </c>
      <c r="AN636" s="35">
        <f t="shared" si="1764"/>
        <v>0.5897981211</v>
      </c>
      <c r="AO636" s="37">
        <f t="shared" si="1765"/>
        <v>0.8846971816</v>
      </c>
      <c r="AP636" s="36">
        <f t="shared" ref="AP636:AQ636" si="1772">SUM(T639)</f>
        <v>152</v>
      </c>
      <c r="AQ636" s="36">
        <f t="shared" si="1772"/>
        <v>5.066666667</v>
      </c>
      <c r="AR636" s="32">
        <f t="shared" si="1767"/>
        <v>184.7</v>
      </c>
    </row>
    <row r="637" ht="15.75" customHeight="1">
      <c r="A637" s="21"/>
      <c r="B637" s="38">
        <v>12.0</v>
      </c>
      <c r="C637" s="38" t="s">
        <v>39</v>
      </c>
      <c r="D637" s="39">
        <v>28.0</v>
      </c>
      <c r="E637" s="40">
        <f>IFERROR(__xludf.DUMMYFUNCTION("COUNT(IMPORTRANGE(""https://docs.google.com/spreadsheets/d/1TAY2D35yAzyl8a_p5CuZehQvmatfj0b0Q8ICl8GtJBY/edit"",""24!d2:d29""))"),27.0)</f>
        <v>27</v>
      </c>
      <c r="F637" s="45">
        <f>IFERROR(__xludf.DUMMYFUNCTION("SUM(IMPORTRANGE(""https://docs.google.com/spreadsheets/d/1TAY2D35yAzyl8a_p5CuZehQvmatfj0b0Q8ICl8GtJBY/edit"",""24!Q2:Q29""))"),5296.996000000004)</f>
        <v>5296.996</v>
      </c>
      <c r="G637" s="40">
        <f>IFERROR(__xludf.DUMMYFUNCTION("IMPORTRANGE(""https://docs.google.com/spreadsheets/d/1TAY2D35yAzyl8a_p5CuZehQvmatfj0b0Q8ICl8GtJBY/edit"",""24!e36"")"),1402.0)</f>
        <v>1402</v>
      </c>
      <c r="H637" s="40">
        <f>IFERROR(__xludf.DUMMYFUNCTION("(IMPORTRANGE(""https://docs.google.com/spreadsheets/d/1TAY2D35yAzyl8a_p5CuZehQvmatfj0b0Q8ICl8GtJBY/edit"",""24!e37""))"),0.0)</f>
        <v>0</v>
      </c>
      <c r="I637" s="40">
        <f t="shared" si="1740"/>
        <v>1402</v>
      </c>
      <c r="J637" s="40">
        <f>IFERROR(__xludf.DUMMYFUNCTION("IMPORTRANGE(""https://docs.google.com/spreadsheets/d/1TAY2D35yAzyl8a_p5CuZehQvmatfj0b0Q8ICl8GtJBY/edit"",""24!e40"")"),1394.0)</f>
        <v>1394</v>
      </c>
      <c r="K637" s="40">
        <f>IFERROR(__xludf.DUMMYFUNCTION("IMPORTRANGE(""https://docs.google.com/spreadsheets/d/1TAY2D35yAzyl8a_p5CuZehQvmatfj0b0Q8ICl8GtJBY/edit"",""24!e41"")"),259.0)</f>
        <v>259</v>
      </c>
      <c r="L637" s="40">
        <f t="shared" si="1770"/>
        <v>1653</v>
      </c>
      <c r="M637" s="40">
        <f t="shared" si="1742"/>
        <v>3055</v>
      </c>
      <c r="N637" s="41">
        <f t="shared" si="1743"/>
        <v>196.185037</v>
      </c>
      <c r="O637" s="38">
        <v>3569.0</v>
      </c>
      <c r="P637" s="42">
        <f t="shared" si="1744"/>
        <v>0.8559820678</v>
      </c>
      <c r="Q637" s="43">
        <v>1.5</v>
      </c>
      <c r="R637" s="42">
        <f t="shared" si="1745"/>
        <v>0.3844946582</v>
      </c>
      <c r="S637" s="44">
        <f t="shared" si="1746"/>
        <v>0.5767419873</v>
      </c>
      <c r="T637" s="43">
        <f>F637/21.463</f>
        <v>246.7966268</v>
      </c>
      <c r="U637" s="43">
        <f t="shared" si="1747"/>
        <v>9.140615806</v>
      </c>
      <c r="V637" s="40">
        <f t="shared" si="1748"/>
        <v>113.1481481</v>
      </c>
      <c r="X637" s="31">
        <v>5.0</v>
      </c>
      <c r="Y637" s="31" t="s">
        <v>40</v>
      </c>
      <c r="Z637" s="31">
        <f t="shared" ref="Z637:AI637" si="1773">SUM(D641)</f>
        <v>30</v>
      </c>
      <c r="AA637" s="32">
        <f t="shared" si="1773"/>
        <v>30</v>
      </c>
      <c r="AB637" s="33">
        <f t="shared" si="1773"/>
        <v>5773.929</v>
      </c>
      <c r="AC637" s="32">
        <f t="shared" si="1773"/>
        <v>3194</v>
      </c>
      <c r="AD637" s="32">
        <f t="shared" si="1773"/>
        <v>0</v>
      </c>
      <c r="AE637" s="32">
        <f t="shared" si="1773"/>
        <v>3194</v>
      </c>
      <c r="AF637" s="32">
        <f t="shared" si="1773"/>
        <v>3834</v>
      </c>
      <c r="AG637" s="32">
        <f t="shared" si="1773"/>
        <v>0</v>
      </c>
      <c r="AH637" s="32">
        <f t="shared" si="1773"/>
        <v>3834</v>
      </c>
      <c r="AI637" s="32">
        <f t="shared" si="1773"/>
        <v>7028</v>
      </c>
      <c r="AJ637" s="34">
        <f t="shared" si="1760"/>
        <v>192.4643</v>
      </c>
      <c r="AK637" s="31">
        <f t="shared" ref="AK637:AK638" si="1776">SUM(O641)</f>
        <v>8239</v>
      </c>
      <c r="AL637" s="35">
        <f t="shared" si="1762"/>
        <v>0.8530161427</v>
      </c>
      <c r="AM637" s="36">
        <f t="shared" ref="AM637:AM638" si="1777">SUM(Q641)</f>
        <v>1.5</v>
      </c>
      <c r="AN637" s="35">
        <f t="shared" si="1764"/>
        <v>0.8114636209</v>
      </c>
      <c r="AO637" s="37">
        <f t="shared" si="1765"/>
        <v>1.217195431</v>
      </c>
      <c r="AP637" s="36">
        <f t="shared" ref="AP637:AQ637" si="1774">SUM(T641)</f>
        <v>203</v>
      </c>
      <c r="AQ637" s="36">
        <f t="shared" si="1774"/>
        <v>6.766666667</v>
      </c>
      <c r="AR637" s="32">
        <f t="shared" si="1767"/>
        <v>234.2666667</v>
      </c>
    </row>
    <row r="638" ht="15.75" customHeight="1">
      <c r="A638" s="21"/>
      <c r="B638" s="38">
        <v>12.0</v>
      </c>
      <c r="C638" s="38" t="s">
        <v>41</v>
      </c>
      <c r="D638" s="39">
        <v>24.0</v>
      </c>
      <c r="E638" s="40">
        <f>IFERROR(__xludf.DUMMYFUNCTION("COUNT(IMPORTRANGE(""https://docs.google.com/spreadsheets/d/1VAsUtLQHi7oV9NsI9EIHPnO1bcPJHeRgSbMoxSvPBME/edit"",""24!d2:d25""))"),24.0)</f>
        <v>24</v>
      </c>
      <c r="F638" s="45">
        <f>IFERROR(__xludf.DUMMYFUNCTION("SUM(IMPORTRANGE(""https://docs.google.com/spreadsheets/d/1VAsUtLQHi7oV9NsI9EIHPnO1bcPJHeRgSbMoxSvPBME/edit"",""24!Q2:Q25""))"),4793.152)</f>
        <v>4793.152</v>
      </c>
      <c r="G638" s="40">
        <f>IFERROR(__xludf.DUMMYFUNCTION("IMPORTRANGE(""https://docs.google.com/spreadsheets/d/1VAsUtLQHi7oV9NsI9EIHPnO1bcPJHeRgSbMoxSvPBME/edit"",""24!e32"")"),1260.0)</f>
        <v>1260</v>
      </c>
      <c r="H638" s="40">
        <f>IFERROR(__xludf.DUMMYFUNCTION("IMPORTRANGE(""https://docs.google.com/spreadsheets/d/1VAsUtLQHi7oV9NsI9EIHPnO1bcPJHeRgSbMoxSvPBME/edit"",""24!e33"")"),0.0)</f>
        <v>0</v>
      </c>
      <c r="I638" s="40">
        <f t="shared" si="1740"/>
        <v>1260</v>
      </c>
      <c r="J638" s="40">
        <f>IFERROR(__xludf.DUMMYFUNCTION("IMPORTRANGE(""https://docs.google.com/spreadsheets/d/1VAsUtLQHi7oV9NsI9EIHPnO1bcPJHeRgSbMoxSvPBME/edit"",""24!e36"")"),1596.0)</f>
        <v>1596</v>
      </c>
      <c r="K638" s="40">
        <f>IFERROR(__xludf.DUMMYFUNCTION("IMPORTRANGE(""https://docs.google.com/spreadsheets/d/1VAsUtLQHi7oV9NsI9EIHPnO1bcPJHeRgSbMoxSvPBME/edit"",""24!e37"")"),50.0)</f>
        <v>50</v>
      </c>
      <c r="L638" s="40">
        <f t="shared" si="1770"/>
        <v>1646</v>
      </c>
      <c r="M638" s="40">
        <f t="shared" si="1742"/>
        <v>2906</v>
      </c>
      <c r="N638" s="41">
        <f t="shared" si="1743"/>
        <v>199.7146667</v>
      </c>
      <c r="O638" s="38">
        <v>3801.0</v>
      </c>
      <c r="P638" s="42">
        <f t="shared" si="1744"/>
        <v>0.7645356485</v>
      </c>
      <c r="Q638" s="43">
        <v>1.5</v>
      </c>
      <c r="R638" s="42">
        <f t="shared" si="1745"/>
        <v>0.4041877523</v>
      </c>
      <c r="S638" s="44">
        <f t="shared" si="1746"/>
        <v>0.6062816285</v>
      </c>
      <c r="T638" s="43">
        <f>F638/29.628</f>
        <v>161.7777778</v>
      </c>
      <c r="U638" s="43">
        <f t="shared" si="1747"/>
        <v>6.740740741</v>
      </c>
      <c r="V638" s="40">
        <f t="shared" si="1748"/>
        <v>121.0833333</v>
      </c>
      <c r="X638" s="22">
        <v>6.0</v>
      </c>
      <c r="Y638" s="22" t="s">
        <v>42</v>
      </c>
      <c r="Z638" s="22">
        <f t="shared" ref="Z638:AI638" si="1775">SUM(D642)</f>
        <v>33</v>
      </c>
      <c r="AA638" s="23">
        <f t="shared" si="1775"/>
        <v>32</v>
      </c>
      <c r="AB638" s="24">
        <f t="shared" si="1775"/>
        <v>6040.267</v>
      </c>
      <c r="AC638" s="23">
        <f t="shared" si="1775"/>
        <v>3289</v>
      </c>
      <c r="AD638" s="23">
        <f t="shared" si="1775"/>
        <v>0</v>
      </c>
      <c r="AE638" s="23">
        <f t="shared" si="1775"/>
        <v>3289</v>
      </c>
      <c r="AF638" s="23">
        <f t="shared" si="1775"/>
        <v>3893</v>
      </c>
      <c r="AG638" s="23">
        <f t="shared" si="1775"/>
        <v>0</v>
      </c>
      <c r="AH638" s="23">
        <f t="shared" si="1775"/>
        <v>3893</v>
      </c>
      <c r="AI638" s="23">
        <f t="shared" si="1775"/>
        <v>7182</v>
      </c>
      <c r="AJ638" s="25">
        <f t="shared" si="1760"/>
        <v>188.7583438</v>
      </c>
      <c r="AK638" s="22">
        <f t="shared" si="1776"/>
        <v>9877</v>
      </c>
      <c r="AL638" s="26">
        <f t="shared" si="1762"/>
        <v>0.7271438696</v>
      </c>
      <c r="AM638" s="27">
        <f t="shared" si="1777"/>
        <v>1.5</v>
      </c>
      <c r="AN638" s="26">
        <f t="shared" si="1764"/>
        <v>0.7926801911</v>
      </c>
      <c r="AO638" s="28">
        <f t="shared" si="1765"/>
        <v>1.189020287</v>
      </c>
      <c r="AP638" s="27">
        <f t="shared" ref="AP638:AQ638" si="1778">SUM(T642)</f>
        <v>230.9411967</v>
      </c>
      <c r="AQ638" s="27">
        <f t="shared" si="1778"/>
        <v>7.216912397</v>
      </c>
      <c r="AR638" s="23">
        <f t="shared" si="1767"/>
        <v>224.4375</v>
      </c>
    </row>
    <row r="639" ht="15.75" customHeight="1">
      <c r="A639" s="21"/>
      <c r="B639" s="38">
        <v>13.0</v>
      </c>
      <c r="C639" s="38" t="s">
        <v>43</v>
      </c>
      <c r="D639" s="39">
        <v>30.0</v>
      </c>
      <c r="E639" s="40">
        <f>IFERROR(__xludf.DUMMYFUNCTION("COUNT(IMPORTRANGE(""https://docs.google.com/spreadsheets/d/1p9Y_DGk7-TpRBFth-ljZceOIGCjQ0ylUeUq6xqnsZ-Q/edit"",""24!d2:d31""))"),30.0)</f>
        <v>30</v>
      </c>
      <c r="F639" s="45">
        <f>IFERROR(__xludf.DUMMYFUNCTION("SUM(IMPORTRANGE(""https://docs.google.com/spreadsheets/d/1p9Y_DGk7-TpRBFth-ljZceOIGCjQ0ylUeUq6xqnsZ-Q/edit"",""24!Q2:Q31""))"),6263.159999999999)</f>
        <v>6263.16</v>
      </c>
      <c r="G639" s="40">
        <f>IFERROR(__xludf.DUMMYFUNCTION("IMPORTRANGE(""https://docs.google.com/spreadsheets/d/1p9Y_DGk7-TpRBFth-ljZceOIGCjQ0ylUeUq6xqnsZ-Q/edit"",""24!e38"")"),2290.0)</f>
        <v>2290</v>
      </c>
      <c r="H639" s="40">
        <f>IFERROR(__xludf.DUMMYFUNCTION("IMPORTRANGE(""https://docs.google.com/spreadsheets/d/1p9Y_DGk7-TpRBFth-ljZceOIGCjQ0ylUeUq6xqnsZ-Q/edit"",""24!e39"")"),0.0)</f>
        <v>0</v>
      </c>
      <c r="I639" s="40">
        <f t="shared" si="1740"/>
        <v>2290</v>
      </c>
      <c r="J639" s="40">
        <f>IFERROR(__xludf.DUMMYFUNCTION("IMPORTRANGE(""https://docs.google.com/spreadsheets/d/1p9Y_DGk7-TpRBFth-ljZceOIGCjQ0ylUeUq6xqnsZ-Q/edit"",""24!e42"")"),3091.0)</f>
        <v>3091</v>
      </c>
      <c r="K639" s="40">
        <f>IFERROR(__xludf.DUMMYFUNCTION("IMPORTRANGE(""https://docs.google.com/spreadsheets/d/1p9Y_DGk7-TpRBFth-ljZceOIGCjQ0ylUeUq6xqnsZ-Q/edit"",""24!e43"")"),160.0)</f>
        <v>160</v>
      </c>
      <c r="L639" s="40">
        <f t="shared" si="1770"/>
        <v>3251</v>
      </c>
      <c r="M639" s="40">
        <f t="shared" si="1742"/>
        <v>5541</v>
      </c>
      <c r="N639" s="41">
        <f t="shared" si="1743"/>
        <v>208.772</v>
      </c>
      <c r="O639" s="38">
        <v>8345.0</v>
      </c>
      <c r="P639" s="42">
        <f t="shared" si="1744"/>
        <v>0.6639904134</v>
      </c>
      <c r="Q639" s="43">
        <v>1.5</v>
      </c>
      <c r="R639" s="42">
        <f t="shared" si="1745"/>
        <v>0.5897981211</v>
      </c>
      <c r="S639" s="44">
        <f t="shared" si="1746"/>
        <v>0.8846971816</v>
      </c>
      <c r="T639" s="43">
        <f>F639/41.205</f>
        <v>152</v>
      </c>
      <c r="U639" s="43">
        <f t="shared" si="1747"/>
        <v>5.066666667</v>
      </c>
      <c r="V639" s="40">
        <f t="shared" si="1748"/>
        <v>184.7</v>
      </c>
      <c r="X639" s="46" t="s">
        <v>33</v>
      </c>
      <c r="Y639" s="46">
        <v>6.0</v>
      </c>
      <c r="Z639" s="46">
        <f t="shared" ref="Z639:AI639" si="1779">SUM(Z633:Z638)</f>
        <v>226</v>
      </c>
      <c r="AA639" s="47">
        <f t="shared" si="1779"/>
        <v>224</v>
      </c>
      <c r="AB639" s="49">
        <f t="shared" si="1779"/>
        <v>44199.666</v>
      </c>
      <c r="AC639" s="47">
        <f t="shared" si="1779"/>
        <v>18039</v>
      </c>
      <c r="AD639" s="47">
        <f t="shared" si="1779"/>
        <v>157</v>
      </c>
      <c r="AE639" s="47">
        <f t="shared" si="1779"/>
        <v>18196</v>
      </c>
      <c r="AF639" s="47">
        <f t="shared" si="1779"/>
        <v>22133</v>
      </c>
      <c r="AG639" s="47">
        <f t="shared" si="1779"/>
        <v>525</v>
      </c>
      <c r="AH639" s="47">
        <f t="shared" si="1779"/>
        <v>22658</v>
      </c>
      <c r="AI639" s="47">
        <f t="shared" si="1779"/>
        <v>40854</v>
      </c>
      <c r="AJ639" s="49">
        <f t="shared" si="1760"/>
        <v>197.3199375</v>
      </c>
      <c r="AK639" s="46">
        <f>SUM(AK633:AK638)</f>
        <v>53273</v>
      </c>
      <c r="AL639" s="50">
        <f t="shared" si="1762"/>
        <v>0.766880033</v>
      </c>
      <c r="AM639" s="51">
        <v>1.5</v>
      </c>
      <c r="AN639" s="50">
        <f t="shared" si="1764"/>
        <v>0.6162037514</v>
      </c>
      <c r="AO639" s="52">
        <f t="shared" si="1765"/>
        <v>0.9243056271</v>
      </c>
      <c r="AP639" s="51">
        <f>SUM(AP633:AP638)</f>
        <v>1449.504542</v>
      </c>
      <c r="AQ639" s="51">
        <f>AP639/AA639</f>
        <v>6.471002421</v>
      </c>
      <c r="AR639" s="47">
        <f t="shared" si="1767"/>
        <v>182.3839286</v>
      </c>
    </row>
    <row r="640" ht="15.75" customHeight="1">
      <c r="A640" s="21"/>
      <c r="B640" s="38">
        <v>14.0</v>
      </c>
      <c r="C640" s="38" t="s">
        <v>27</v>
      </c>
      <c r="D640" s="39">
        <v>30.0</v>
      </c>
      <c r="E640" s="40">
        <f>IFERROR(__xludf.DUMMYFUNCTION("COUNT(IMPORTRANGE(""https://docs.google.com/spreadsheets/d/1zJUDEKztv_fercXA0LYNw155qdzS7TJGhWLhquaW5IY/edit"",""24!d2:d31""))"),28.0)</f>
        <v>28</v>
      </c>
      <c r="F640" s="45">
        <f>IFERROR(__xludf.DUMMYFUNCTION("SUM(IMPORTRANGE(""https://docs.google.com/spreadsheets/d/1zJUDEKztv_fercXA0LYNw155qdzS7TJGhWLhquaW5IY/edit"",""24!Q2:Q31""))"),5351.8730000000005)</f>
        <v>5351.873</v>
      </c>
      <c r="G640" s="40">
        <f>IFERROR(__xludf.DUMMYFUNCTION("IMPORTRANGE(""https://docs.google.com/spreadsheets/d/1zJUDEKztv_fercXA0LYNw155qdzS7TJGhWLhquaW5IY/edit"",""24!e38"")"),2550.0)</f>
        <v>2550</v>
      </c>
      <c r="H640" s="40">
        <f>IFERROR(__xludf.DUMMYFUNCTION("IMPORTRANGE(""https://docs.google.com/spreadsheets/d/1zJUDEKztv_fercXA0LYNw155qdzS7TJGhWLhquaW5IY/edit"",""24!e39"")"),0.0)</f>
        <v>0</v>
      </c>
      <c r="I640" s="40">
        <f t="shared" si="1740"/>
        <v>2550</v>
      </c>
      <c r="J640" s="40">
        <f>IFERROR(__xludf.DUMMYFUNCTION("IMPORTRANGE(""https://docs.google.com/spreadsheets/d/1zJUDEKztv_fercXA0LYNw155qdzS7TJGhWLhquaW5IY/edit"",""24!e42"")"),3025.0)</f>
        <v>3025</v>
      </c>
      <c r="K640" s="40">
        <f>IFERROR(__xludf.DUMMYFUNCTION("IMPORTRANGE(""https://docs.google.com/spreadsheets/d/1zJUDEKztv_fercXA0LYNw155qdzS7TJGhWLhquaW5IY/edit"",""24!e43"")"),0.0)</f>
        <v>0</v>
      </c>
      <c r="L640" s="40">
        <f t="shared" si="1770"/>
        <v>3025</v>
      </c>
      <c r="M640" s="40">
        <f t="shared" si="1742"/>
        <v>5575</v>
      </c>
      <c r="N640" s="41">
        <f t="shared" si="1743"/>
        <v>191.1383214</v>
      </c>
      <c r="O640" s="38">
        <v>8101.0</v>
      </c>
      <c r="P640" s="42">
        <f t="shared" si="1744"/>
        <v>0.6881866436</v>
      </c>
      <c r="Q640" s="43">
        <v>1.5</v>
      </c>
      <c r="R640" s="42">
        <f t="shared" si="1745"/>
        <v>0.6944609236</v>
      </c>
      <c r="S640" s="44">
        <f t="shared" si="1746"/>
        <v>1.041691385</v>
      </c>
      <c r="T640" s="43">
        <f>F640/19.985</f>
        <v>267.7944959</v>
      </c>
      <c r="U640" s="43">
        <f t="shared" si="1747"/>
        <v>9.564089138</v>
      </c>
      <c r="V640" s="40">
        <f t="shared" si="1748"/>
        <v>199.1071429</v>
      </c>
      <c r="X640" s="59" t="s">
        <v>44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6"/>
    </row>
    <row r="641" ht="15.75" customHeight="1">
      <c r="A641" s="21"/>
      <c r="B641" s="38">
        <v>15.0</v>
      </c>
      <c r="C641" s="38" t="s">
        <v>40</v>
      </c>
      <c r="D641" s="39">
        <v>30.0</v>
      </c>
      <c r="E641" s="40">
        <f>IFERROR(__xludf.DUMMYFUNCTION("COUNT(IMPORTRANGE(""https://docs.google.com/spreadsheets/d/15GJA66Ucb-8RQ5vWVpq5HYaWoZZFX82SCeHChBujbrI/edit"",""24!d2:d31""))"),30.0)</f>
        <v>30</v>
      </c>
      <c r="F641" s="45">
        <f>IFERROR(__xludf.DUMMYFUNCTION("SUM(IMPORTRANGE(""https://docs.google.com/spreadsheets/d/15GJA66Ucb-8RQ5vWVpq5HYaWoZZFX82SCeHChBujbrI/edit"",""24!Q2:Q31""))"),5773.928999999998)</f>
        <v>5773.929</v>
      </c>
      <c r="G641" s="40">
        <f>IFERROR(__xludf.DUMMYFUNCTION("IMPORTRANGE(""https://docs.google.com/spreadsheets/d/15GJA66Ucb-8RQ5vWVpq5HYaWoZZFX82SCeHChBujbrI/edit"",""24!e38"")"),3194.0)</f>
        <v>3194</v>
      </c>
      <c r="H641" s="40">
        <f>IFERROR(__xludf.DUMMYFUNCTION("IMPORTRANGE(""https://docs.google.com/spreadsheets/d/15GJA66Ucb-8RQ5vWVpq5HYaWoZZFX82SCeHChBujbrI/edit"",""24!e39"")"),0.0)</f>
        <v>0</v>
      </c>
      <c r="I641" s="40">
        <f t="shared" si="1740"/>
        <v>3194</v>
      </c>
      <c r="J641" s="40">
        <f>IFERROR(__xludf.DUMMYFUNCTION("IMPORTRANGE(""https://docs.google.com/spreadsheets/d/15GJA66Ucb-8RQ5vWVpq5HYaWoZZFX82SCeHChBujbrI/edit"",""24!e42"")"),3834.0)</f>
        <v>3834</v>
      </c>
      <c r="K641" s="40">
        <f>IFERROR(__xludf.DUMMYFUNCTION("IMPORTRANGE(""https://docs.google.com/spreadsheets/d/15GJA66Ucb-8RQ5vWVpq5HYaWoZZFX82SCeHChBujbrI/edit"",""24!e43"")"),0.0)</f>
        <v>0</v>
      </c>
      <c r="L641" s="40">
        <f t="shared" si="1770"/>
        <v>3834</v>
      </c>
      <c r="M641" s="40">
        <f t="shared" si="1742"/>
        <v>7028</v>
      </c>
      <c r="N641" s="41">
        <f t="shared" si="1743"/>
        <v>192.4643</v>
      </c>
      <c r="O641" s="38">
        <v>8239.0</v>
      </c>
      <c r="P641" s="42">
        <f t="shared" si="1744"/>
        <v>0.8530161427</v>
      </c>
      <c r="Q641" s="43">
        <v>1.5</v>
      </c>
      <c r="R641" s="42">
        <f t="shared" si="1745"/>
        <v>0.8114636209</v>
      </c>
      <c r="S641" s="44">
        <f t="shared" si="1746"/>
        <v>1.217195431</v>
      </c>
      <c r="T641" s="43">
        <f>F641/28.443</f>
        <v>203</v>
      </c>
      <c r="U641" s="43">
        <f t="shared" si="1747"/>
        <v>6.766666667</v>
      </c>
      <c r="V641" s="40">
        <f t="shared" si="1748"/>
        <v>234.2666667</v>
      </c>
      <c r="X641" s="14" t="s">
        <v>2</v>
      </c>
      <c r="Y641" s="14" t="s">
        <v>3</v>
      </c>
      <c r="Z641" s="14" t="s">
        <v>4</v>
      </c>
      <c r="AA641" s="14" t="s">
        <v>5</v>
      </c>
      <c r="AB641" s="15" t="s">
        <v>6</v>
      </c>
      <c r="AC641" s="14" t="s">
        <v>7</v>
      </c>
      <c r="AD641" s="14" t="s">
        <v>8</v>
      </c>
      <c r="AE641" s="14" t="s">
        <v>9</v>
      </c>
      <c r="AF641" s="14" t="s">
        <v>10</v>
      </c>
      <c r="AG641" s="14" t="s">
        <v>11</v>
      </c>
      <c r="AH641" s="14" t="s">
        <v>12</v>
      </c>
      <c r="AI641" s="14" t="s">
        <v>13</v>
      </c>
      <c r="AJ641" s="15" t="s">
        <v>14</v>
      </c>
      <c r="AK641" s="14" t="s">
        <v>15</v>
      </c>
      <c r="AL641" s="14" t="s">
        <v>16</v>
      </c>
      <c r="AM641" s="16" t="s">
        <v>17</v>
      </c>
      <c r="AN641" s="17" t="s">
        <v>18</v>
      </c>
      <c r="AO641" s="18" t="s">
        <v>19</v>
      </c>
      <c r="AP641" s="19" t="s">
        <v>20</v>
      </c>
      <c r="AQ641" s="19" t="s">
        <v>21</v>
      </c>
      <c r="AR641" s="20" t="s">
        <v>22</v>
      </c>
    </row>
    <row r="642" ht="15.75" customHeight="1">
      <c r="A642" s="21"/>
      <c r="B642" s="38">
        <v>16.0</v>
      </c>
      <c r="C642" s="38" t="s">
        <v>42</v>
      </c>
      <c r="D642" s="39">
        <v>33.0</v>
      </c>
      <c r="E642" s="40">
        <f>IFERROR(__xludf.DUMMYFUNCTION("COUNT(IMPORTRANGE(""https://docs.google.com/spreadsheets/d/14Tu_jFPEdrIQ6DHYu6vRvJKQsbXr-48NY1tKy4-8JKI/edit"",""24!d2:d34""))"),32.0)</f>
        <v>32</v>
      </c>
      <c r="F642" s="45">
        <f>IFERROR(__xludf.DUMMYFUNCTION("SUM(IMPORTRANGE(""https://docs.google.com/spreadsheets/d/14Tu_jFPEdrIQ6DHYu6vRvJKQsbXr-48NY1tKy4-8JKI/edit"",""24!Q2:Q34""))"),6040.266999999999)</f>
        <v>6040.267</v>
      </c>
      <c r="G642" s="40">
        <f>IFERROR(__xludf.DUMMYFUNCTION("IMPORTRANGE(""https://docs.google.com/spreadsheets/d/14Tu_jFPEdrIQ6DHYu6vRvJKQsbXr-48NY1tKy4-8JKI/edit"",""24!e41"")"),3289.0)</f>
        <v>3289</v>
      </c>
      <c r="H642" s="40">
        <f>IFERROR(__xludf.DUMMYFUNCTION("IMPORTRANGE(""https://docs.google.com/spreadsheets/d/14Tu_jFPEdrIQ6DHYu6vRvJKQsbXr-48NY1tKy4-8JKI/edit"",""24!e42"")"),0.0)</f>
        <v>0</v>
      </c>
      <c r="I642" s="40">
        <f t="shared" si="1740"/>
        <v>3289</v>
      </c>
      <c r="J642" s="40">
        <f>IFERROR(__xludf.DUMMYFUNCTION("IMPORTRANGE(""https://docs.google.com/spreadsheets/d/14Tu_jFPEdrIQ6DHYu6vRvJKQsbXr-48NY1tKy4-8JKI/edit"",""24!e45"")"),3893.0)</f>
        <v>3893</v>
      </c>
      <c r="K642" s="40">
        <f>IFERROR(__xludf.DUMMYFUNCTION("IMPORTRANGE(""https://docs.google.com/spreadsheets/d/14Tu_jFPEdrIQ6DHYu6vRvJKQsbXr-48NY1tKy4-8JKI/edit"",""24!e46"")"),0.0)</f>
        <v>0</v>
      </c>
      <c r="L642" s="40">
        <f t="shared" si="1770"/>
        <v>3893</v>
      </c>
      <c r="M642" s="40">
        <f t="shared" si="1742"/>
        <v>7182</v>
      </c>
      <c r="N642" s="41">
        <f t="shared" si="1743"/>
        <v>188.7583438</v>
      </c>
      <c r="O642" s="38">
        <v>9877.0</v>
      </c>
      <c r="P642" s="42">
        <f t="shared" si="1744"/>
        <v>0.7271438696</v>
      </c>
      <c r="Q642" s="43">
        <v>1.5</v>
      </c>
      <c r="R642" s="42">
        <f t="shared" si="1745"/>
        <v>0.7926801911</v>
      </c>
      <c r="S642" s="44">
        <f t="shared" si="1746"/>
        <v>1.189020287</v>
      </c>
      <c r="T642" s="43">
        <f>F642/26.155</f>
        <v>230.9411967</v>
      </c>
      <c r="U642" s="43">
        <f t="shared" si="1747"/>
        <v>7.216912397</v>
      </c>
      <c r="V642" s="40">
        <f t="shared" si="1748"/>
        <v>224.4375</v>
      </c>
      <c r="X642" s="31">
        <v>1.0</v>
      </c>
      <c r="Y642" s="31" t="s">
        <v>26</v>
      </c>
      <c r="Z642" s="31">
        <f t="shared" ref="Z642:AI642" si="1780">SUM(D627)</f>
        <v>20</v>
      </c>
      <c r="AA642" s="32">
        <f t="shared" si="1780"/>
        <v>19</v>
      </c>
      <c r="AB642" s="34">
        <f t="shared" si="1780"/>
        <v>3820.587</v>
      </c>
      <c r="AC642" s="32">
        <f t="shared" si="1780"/>
        <v>2099</v>
      </c>
      <c r="AD642" s="32">
        <f t="shared" si="1780"/>
        <v>0</v>
      </c>
      <c r="AE642" s="32">
        <f t="shared" si="1780"/>
        <v>2099</v>
      </c>
      <c r="AF642" s="32">
        <f t="shared" si="1780"/>
        <v>2955</v>
      </c>
      <c r="AG642" s="32">
        <f t="shared" si="1780"/>
        <v>0</v>
      </c>
      <c r="AH642" s="32">
        <f t="shared" si="1780"/>
        <v>2955</v>
      </c>
      <c r="AI642" s="32">
        <f t="shared" si="1780"/>
        <v>5054</v>
      </c>
      <c r="AJ642" s="34">
        <f t="shared" ref="AJ642:AJ648" si="1783">AB642/AA642</f>
        <v>201.0835263</v>
      </c>
      <c r="AK642" s="31">
        <f>SUM(O627)</f>
        <v>5161</v>
      </c>
      <c r="AL642" s="35">
        <f t="shared" ref="AL642:AL648" si="1784">AI642/AK642</f>
        <v>0.9792675838</v>
      </c>
      <c r="AM642" s="36">
        <f>SUM(Q627)</f>
        <v>1.5</v>
      </c>
      <c r="AN642" s="35">
        <f t="shared" ref="AN642:AN648" si="1785">AO642/AM642</f>
        <v>0.8818889174</v>
      </c>
      <c r="AO642" s="37">
        <f t="shared" ref="AO642:AO648" si="1786">AI642/AB642</f>
        <v>1.322833376</v>
      </c>
      <c r="AP642" s="36">
        <f t="shared" ref="AP642:AQ642" si="1781">SUM(T627)</f>
        <v>265.0424558</v>
      </c>
      <c r="AQ642" s="36">
        <f t="shared" si="1781"/>
        <v>13.94960294</v>
      </c>
      <c r="AR642" s="32">
        <f t="shared" ref="AR642:AR648" si="1788">AI642/AA642</f>
        <v>266</v>
      </c>
    </row>
    <row r="643" ht="15.75" customHeight="1">
      <c r="A643" s="21"/>
      <c r="B643" s="38">
        <v>17.0</v>
      </c>
      <c r="C643" s="38" t="s">
        <v>29</v>
      </c>
      <c r="D643" s="39">
        <v>30.0</v>
      </c>
      <c r="E643" s="40">
        <f>IFERROR(__xludf.DUMMYFUNCTION("COUNT(IMPORTRANGE(""https://docs.google.com/spreadsheets/d/1ja_RQYsP0p5wRrACHojay4CW1wLx0QdS5tSwp-vYQ-s/edit"",""24!d2:d31""))"),30.0)</f>
        <v>30</v>
      </c>
      <c r="F643" s="45">
        <f>IFERROR(__xludf.DUMMYFUNCTION("SUM(IMPORTRANGE(""https://docs.google.com/spreadsheets/d/1ja_RQYsP0p5wRrACHojay4CW1wLx0QdS5tSwp-vYQ-s/edit"",""24!Q2:Q31""))"),5960.474999999998)</f>
        <v>5960.475</v>
      </c>
      <c r="G643" s="40">
        <f>IFERROR(__xludf.DUMMYFUNCTION("IMPORTRANGE(""https://docs.google.com/spreadsheets/d/1ja_RQYsP0p5wRrACHojay4CW1wLx0QdS5tSwp-vYQ-s/edit"",""24!e38"")"),2556.0)</f>
        <v>2556</v>
      </c>
      <c r="H643" s="40">
        <f>IFERROR(__xludf.DUMMYFUNCTION("IMPORTRANGE(""https://docs.google.com/spreadsheets/d/1ja_RQYsP0p5wRrACHojay4CW1wLx0QdS5tSwp-vYQ-s/edit"",""24!e39"")"),102.0)</f>
        <v>102</v>
      </c>
      <c r="I643" s="40">
        <f t="shared" si="1740"/>
        <v>2658</v>
      </c>
      <c r="J643" s="40">
        <f>IFERROR(__xludf.DUMMYFUNCTION("IMPORTRANGE(""https://docs.google.com/spreadsheets/d/1ja_RQYsP0p5wRrACHojay4CW1wLx0QdS5tSwp-vYQ-s/edit"",""24!e42"")"),4251.0)</f>
        <v>4251</v>
      </c>
      <c r="K643" s="40">
        <f>IFERROR(__xludf.DUMMYFUNCTION("IMPORTRANGE(""https://docs.google.com/spreadsheets/d/1ja_RQYsP0p5wRrACHojay4CW1wLx0QdS5tSwp-vYQ-s/edit"",""24!e43"")"),0.0)</f>
        <v>0</v>
      </c>
      <c r="L643" s="40">
        <f t="shared" si="1770"/>
        <v>4251</v>
      </c>
      <c r="M643" s="40">
        <f t="shared" si="1742"/>
        <v>6909</v>
      </c>
      <c r="N643" s="41">
        <f t="shared" si="1743"/>
        <v>198.6825</v>
      </c>
      <c r="O643" s="38">
        <v>9201.0</v>
      </c>
      <c r="P643" s="42">
        <f t="shared" si="1744"/>
        <v>0.7508966417</v>
      </c>
      <c r="Q643" s="43">
        <v>1.5</v>
      </c>
      <c r="R643" s="42">
        <f t="shared" si="1745"/>
        <v>0.7727572048</v>
      </c>
      <c r="S643" s="44">
        <f t="shared" si="1746"/>
        <v>1.159135807</v>
      </c>
      <c r="T643" s="43">
        <f>F643/26.491</f>
        <v>225</v>
      </c>
      <c r="U643" s="43">
        <f t="shared" si="1747"/>
        <v>7.5</v>
      </c>
      <c r="V643" s="40">
        <f t="shared" si="1748"/>
        <v>230.3</v>
      </c>
      <c r="X643" s="31">
        <v>2.0</v>
      </c>
      <c r="Y643" s="31" t="s">
        <v>32</v>
      </c>
      <c r="Z643" s="31">
        <f t="shared" ref="Z643:AI643" si="1782">SUM(D630)</f>
        <v>42</v>
      </c>
      <c r="AA643" s="32">
        <f t="shared" si="1782"/>
        <v>40</v>
      </c>
      <c r="AB643" s="33">
        <f t="shared" si="1782"/>
        <v>7704.472</v>
      </c>
      <c r="AC643" s="31">
        <f t="shared" si="1782"/>
        <v>4506</v>
      </c>
      <c r="AD643" s="31">
        <f t="shared" si="1782"/>
        <v>0</v>
      </c>
      <c r="AE643" s="32">
        <f t="shared" si="1782"/>
        <v>4506</v>
      </c>
      <c r="AF643" s="31">
        <f t="shared" si="1782"/>
        <v>5720</v>
      </c>
      <c r="AG643" s="31">
        <f t="shared" si="1782"/>
        <v>0</v>
      </c>
      <c r="AH643" s="32">
        <f t="shared" si="1782"/>
        <v>5720</v>
      </c>
      <c r="AI643" s="32">
        <f t="shared" si="1782"/>
        <v>10226</v>
      </c>
      <c r="AJ643" s="34">
        <f t="shared" si="1783"/>
        <v>192.6118</v>
      </c>
      <c r="AK643" s="31">
        <f>SUM(O630)</f>
        <v>13817</v>
      </c>
      <c r="AL643" s="35">
        <f t="shared" si="1784"/>
        <v>0.7401027719</v>
      </c>
      <c r="AM643" s="36">
        <f>SUM(Q630)</f>
        <v>1.5</v>
      </c>
      <c r="AN643" s="35">
        <f t="shared" si="1785"/>
        <v>0.8848540605</v>
      </c>
      <c r="AO643" s="37">
        <f t="shared" si="1786"/>
        <v>1.327281091</v>
      </c>
      <c r="AP643" s="36">
        <f t="shared" ref="AP643:AQ643" si="1787">SUM(T630)</f>
        <v>307.0856551</v>
      </c>
      <c r="AQ643" s="36">
        <f t="shared" si="1787"/>
        <v>7.677141377</v>
      </c>
      <c r="AR643" s="32">
        <f t="shared" si="1788"/>
        <v>255.65</v>
      </c>
    </row>
    <row r="644" ht="15.75" customHeight="1">
      <c r="A644" s="21"/>
      <c r="B644" s="38">
        <v>18.0</v>
      </c>
      <c r="C644" s="38" t="s">
        <v>31</v>
      </c>
      <c r="D644" s="39">
        <v>15.0</v>
      </c>
      <c r="E644" s="40">
        <f>IFERROR(__xludf.DUMMYFUNCTION("COUNT(IMPORTRANGE(""https://docs.google.com/spreadsheets/d/1ObnK1oSznTOmyW9Zcd2kxExl7TOnO2MNq_0giEKc_mE/edit"",""24!d2:d16""))"),13.0)</f>
        <v>13</v>
      </c>
      <c r="F644" s="41">
        <f>IFERROR(__xludf.DUMMYFUNCTION("SUM(IMPORTRANGE(""https://docs.google.com/spreadsheets/d/1ObnK1oSznTOmyW9Zcd2kxExl7TOnO2MNq_0giEKc_mE/edit"",""24!Q2:Q16""))"),2607.9)</f>
        <v>2607.9</v>
      </c>
      <c r="G644" s="40">
        <f>IFERROR(__xludf.DUMMYFUNCTION("IMPORTRANGE(""https://docs.google.com/spreadsheets/d/1ObnK1oSznTOmyW9Zcd2kxExl7TOnO2MNq_0giEKc_mE/edit"",""24!e23"")"),839.0)</f>
        <v>839</v>
      </c>
      <c r="H644" s="40">
        <f>IFERROR(__xludf.DUMMYFUNCTION("IMPORTRANGE(""https://docs.google.com/spreadsheets/d/1ObnK1oSznTOmyW9Zcd2kxExl7TOnO2MNq_0giEKc_mE/edit"",""24!e24"")"),0.0)</f>
        <v>0</v>
      </c>
      <c r="I644" s="40">
        <f t="shared" si="1740"/>
        <v>839</v>
      </c>
      <c r="J644" s="40">
        <f>IFERROR(__xludf.DUMMYFUNCTION("IMPORTRANGE(""https://docs.google.com/spreadsheets/d/1ObnK1oSznTOmyW9Zcd2kxExl7TOnO2MNq_0giEKc_mE/edit"",""24!e27"")"),937.0)</f>
        <v>937</v>
      </c>
      <c r="K644" s="40">
        <f>IFERROR(__xludf.DUMMYFUNCTION("IMPORTRANGE(""https://docs.google.com/spreadsheets/d/1ObnK1oSznTOmyW9Zcd2kxExl7TOnO2MNq_0giEKc_mE/edit"",""24!e28"")"),15.0)</f>
        <v>15</v>
      </c>
      <c r="L644" s="40">
        <f t="shared" si="1770"/>
        <v>952</v>
      </c>
      <c r="M644" s="40">
        <f t="shared" si="1742"/>
        <v>1791</v>
      </c>
      <c r="N644" s="41">
        <f t="shared" si="1743"/>
        <v>200.6076923</v>
      </c>
      <c r="O644" s="38">
        <v>2717.0</v>
      </c>
      <c r="P644" s="42">
        <f t="shared" si="1744"/>
        <v>0.6591829223</v>
      </c>
      <c r="Q644" s="43">
        <v>1.5</v>
      </c>
      <c r="R644" s="42">
        <f t="shared" si="1745"/>
        <v>0.4578396411</v>
      </c>
      <c r="S644" s="44">
        <f t="shared" si="1746"/>
        <v>0.6867594616</v>
      </c>
      <c r="T644" s="43">
        <f>F644/43.465</f>
        <v>60</v>
      </c>
      <c r="U644" s="43">
        <f t="shared" si="1747"/>
        <v>4.615384615</v>
      </c>
      <c r="V644" s="40">
        <f t="shared" si="1748"/>
        <v>137.7692308</v>
      </c>
      <c r="X644" s="31">
        <v>3.0</v>
      </c>
      <c r="Y644" s="31" t="s">
        <v>36</v>
      </c>
      <c r="Z644" s="31">
        <f t="shared" ref="Z644:AI644" si="1789">SUM(D635)</f>
        <v>29</v>
      </c>
      <c r="AA644" s="32">
        <f t="shared" si="1789"/>
        <v>29</v>
      </c>
      <c r="AB644" s="33">
        <f t="shared" si="1789"/>
        <v>5753.776</v>
      </c>
      <c r="AC644" s="32">
        <f t="shared" si="1789"/>
        <v>1626</v>
      </c>
      <c r="AD644" s="32">
        <f t="shared" si="1789"/>
        <v>0</v>
      </c>
      <c r="AE644" s="32">
        <f t="shared" si="1789"/>
        <v>1626</v>
      </c>
      <c r="AF644" s="32">
        <f t="shared" si="1789"/>
        <v>2217</v>
      </c>
      <c r="AG644" s="32">
        <f t="shared" si="1789"/>
        <v>0</v>
      </c>
      <c r="AH644" s="32">
        <f t="shared" si="1789"/>
        <v>2217</v>
      </c>
      <c r="AI644" s="32">
        <f t="shared" si="1789"/>
        <v>3843</v>
      </c>
      <c r="AJ644" s="34">
        <f t="shared" si="1783"/>
        <v>198.406069</v>
      </c>
      <c r="AK644" s="31">
        <f t="shared" ref="AK644:AK647" si="1793">SUM(O635)</f>
        <v>4796</v>
      </c>
      <c r="AL644" s="35">
        <f t="shared" si="1784"/>
        <v>0.801292744</v>
      </c>
      <c r="AM644" s="36">
        <f t="shared" ref="AM644:AM647" si="1794">SUM(Q635)</f>
        <v>1.5</v>
      </c>
      <c r="AN644" s="35">
        <f t="shared" si="1785"/>
        <v>0.4452728087</v>
      </c>
      <c r="AO644" s="37">
        <f t="shared" si="1786"/>
        <v>0.667909213</v>
      </c>
      <c r="AP644" s="36">
        <f t="shared" ref="AP644:AQ644" si="1790">SUM(T635)</f>
        <v>153.7867109</v>
      </c>
      <c r="AQ644" s="36">
        <f t="shared" si="1790"/>
        <v>5.30299003</v>
      </c>
      <c r="AR644" s="32">
        <f t="shared" si="1788"/>
        <v>132.5172414</v>
      </c>
    </row>
    <row r="645" ht="15.75" customHeight="1">
      <c r="A645" s="21"/>
      <c r="B645" s="60" t="s">
        <v>33</v>
      </c>
      <c r="C645" s="60">
        <v>18.0</v>
      </c>
      <c r="D645" s="60">
        <f t="shared" ref="D645:M645" si="1791">SUM(D627:D644)</f>
        <v>585</v>
      </c>
      <c r="E645" s="61">
        <f t="shared" si="1791"/>
        <v>571</v>
      </c>
      <c r="F645" s="62">
        <f t="shared" si="1791"/>
        <v>112095.189</v>
      </c>
      <c r="G645" s="61">
        <f t="shared" si="1791"/>
        <v>42190</v>
      </c>
      <c r="H645" s="61">
        <f t="shared" si="1791"/>
        <v>557</v>
      </c>
      <c r="I645" s="61">
        <f t="shared" si="1791"/>
        <v>42747</v>
      </c>
      <c r="J645" s="61">
        <f t="shared" si="1791"/>
        <v>54801</v>
      </c>
      <c r="K645" s="61">
        <f t="shared" si="1791"/>
        <v>1186</v>
      </c>
      <c r="L645" s="61">
        <f t="shared" si="1791"/>
        <v>55987</v>
      </c>
      <c r="M645" s="61">
        <f t="shared" si="1791"/>
        <v>98734</v>
      </c>
      <c r="N645" s="62">
        <f t="shared" si="1743"/>
        <v>196.3138161</v>
      </c>
      <c r="O645" s="60">
        <f>SUM(O627:O644)</f>
        <v>126399</v>
      </c>
      <c r="P645" s="63">
        <f t="shared" si="1744"/>
        <v>0.7811295975</v>
      </c>
      <c r="Q645" s="64">
        <v>1.5</v>
      </c>
      <c r="R645" s="63">
        <f t="shared" si="1745"/>
        <v>0.5872033158</v>
      </c>
      <c r="S645" s="65">
        <f t="shared" si="1746"/>
        <v>0.8808049737</v>
      </c>
      <c r="T645" s="64">
        <f>SUM(T627:T644)</f>
        <v>4119.11349</v>
      </c>
      <c r="U645" s="64">
        <f t="shared" si="1747"/>
        <v>7.213859002</v>
      </c>
      <c r="V645" s="61">
        <f t="shared" si="1748"/>
        <v>172.9141856</v>
      </c>
      <c r="X645" s="31">
        <v>4.0</v>
      </c>
      <c r="Y645" s="31" t="s">
        <v>37</v>
      </c>
      <c r="Z645" s="31">
        <f t="shared" ref="Z645:AI645" si="1792">SUM(D636)</f>
        <v>30</v>
      </c>
      <c r="AA645" s="32">
        <f t="shared" si="1792"/>
        <v>28</v>
      </c>
      <c r="AB645" s="33">
        <f t="shared" si="1792"/>
        <v>5415.516</v>
      </c>
      <c r="AC645" s="32">
        <f t="shared" si="1792"/>
        <v>2111</v>
      </c>
      <c r="AD645" s="32">
        <f t="shared" si="1792"/>
        <v>0</v>
      </c>
      <c r="AE645" s="32">
        <f t="shared" si="1792"/>
        <v>2111</v>
      </c>
      <c r="AF645" s="32">
        <f t="shared" si="1792"/>
        <v>3079</v>
      </c>
      <c r="AG645" s="32">
        <f t="shared" si="1792"/>
        <v>0</v>
      </c>
      <c r="AH645" s="32">
        <f t="shared" si="1792"/>
        <v>3079</v>
      </c>
      <c r="AI645" s="32">
        <f t="shared" si="1792"/>
        <v>5190</v>
      </c>
      <c r="AJ645" s="34">
        <f t="shared" si="1783"/>
        <v>193.4112857</v>
      </c>
      <c r="AK645" s="31">
        <f t="shared" si="1793"/>
        <v>5887</v>
      </c>
      <c r="AL645" s="35">
        <f t="shared" si="1784"/>
        <v>0.8816035332</v>
      </c>
      <c r="AM645" s="36">
        <f t="shared" si="1794"/>
        <v>1.5</v>
      </c>
      <c r="AN645" s="35">
        <f t="shared" si="1785"/>
        <v>0.6389049538</v>
      </c>
      <c r="AO645" s="37">
        <f t="shared" si="1786"/>
        <v>0.9583574308</v>
      </c>
      <c r="AP645" s="36">
        <f t="shared" ref="AP645:AQ645" si="1795">SUM(T636)</f>
        <v>218.4380445</v>
      </c>
      <c r="AQ645" s="36">
        <f t="shared" si="1795"/>
        <v>7.801358733</v>
      </c>
      <c r="AR645" s="32">
        <f t="shared" si="1788"/>
        <v>185.3571429</v>
      </c>
    </row>
    <row r="646" ht="15.7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X646" s="31">
        <v>5.0</v>
      </c>
      <c r="Y646" s="31" t="s">
        <v>39</v>
      </c>
      <c r="Z646" s="31">
        <f t="shared" ref="Z646:AI646" si="1796">SUM(D637)</f>
        <v>28</v>
      </c>
      <c r="AA646" s="32">
        <f t="shared" si="1796"/>
        <v>27</v>
      </c>
      <c r="AB646" s="33">
        <f t="shared" si="1796"/>
        <v>5296.996</v>
      </c>
      <c r="AC646" s="32">
        <f t="shared" si="1796"/>
        <v>1402</v>
      </c>
      <c r="AD646" s="32">
        <f t="shared" si="1796"/>
        <v>0</v>
      </c>
      <c r="AE646" s="32">
        <f t="shared" si="1796"/>
        <v>1402</v>
      </c>
      <c r="AF646" s="32">
        <f t="shared" si="1796"/>
        <v>1394</v>
      </c>
      <c r="AG646" s="32">
        <f t="shared" si="1796"/>
        <v>259</v>
      </c>
      <c r="AH646" s="32">
        <f t="shared" si="1796"/>
        <v>1653</v>
      </c>
      <c r="AI646" s="32">
        <f t="shared" si="1796"/>
        <v>3055</v>
      </c>
      <c r="AJ646" s="34">
        <f t="shared" si="1783"/>
        <v>196.185037</v>
      </c>
      <c r="AK646" s="31">
        <f t="shared" si="1793"/>
        <v>3569</v>
      </c>
      <c r="AL646" s="35">
        <f t="shared" si="1784"/>
        <v>0.8559820678</v>
      </c>
      <c r="AM646" s="36">
        <f t="shared" si="1794"/>
        <v>1.5</v>
      </c>
      <c r="AN646" s="35">
        <f t="shared" si="1785"/>
        <v>0.3844946582</v>
      </c>
      <c r="AO646" s="37">
        <f t="shared" si="1786"/>
        <v>0.5767419873</v>
      </c>
      <c r="AP646" s="36">
        <f t="shared" ref="AP646:AQ646" si="1797">SUM(T637)</f>
        <v>246.7966268</v>
      </c>
      <c r="AQ646" s="36">
        <f t="shared" si="1797"/>
        <v>9.140615806</v>
      </c>
      <c r="AR646" s="32">
        <f t="shared" si="1788"/>
        <v>113.1481481</v>
      </c>
    </row>
    <row r="647" ht="15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X647" s="31">
        <v>6.0</v>
      </c>
      <c r="Y647" s="31" t="s">
        <v>41</v>
      </c>
      <c r="Z647" s="31">
        <f t="shared" ref="Z647:AI647" si="1798">SUM(D638)</f>
        <v>24</v>
      </c>
      <c r="AA647" s="32">
        <f t="shared" si="1798"/>
        <v>24</v>
      </c>
      <c r="AB647" s="33">
        <f t="shared" si="1798"/>
        <v>4793.152</v>
      </c>
      <c r="AC647" s="32">
        <f t="shared" si="1798"/>
        <v>1260</v>
      </c>
      <c r="AD647" s="32">
        <f t="shared" si="1798"/>
        <v>0</v>
      </c>
      <c r="AE647" s="32">
        <f t="shared" si="1798"/>
        <v>1260</v>
      </c>
      <c r="AF647" s="32">
        <f t="shared" si="1798"/>
        <v>1596</v>
      </c>
      <c r="AG647" s="32">
        <f t="shared" si="1798"/>
        <v>50</v>
      </c>
      <c r="AH647" s="32">
        <f t="shared" si="1798"/>
        <v>1646</v>
      </c>
      <c r="AI647" s="32">
        <f t="shared" si="1798"/>
        <v>2906</v>
      </c>
      <c r="AJ647" s="34">
        <f t="shared" si="1783"/>
        <v>199.7146667</v>
      </c>
      <c r="AK647" s="31">
        <f t="shared" si="1793"/>
        <v>3801</v>
      </c>
      <c r="AL647" s="35">
        <f t="shared" si="1784"/>
        <v>0.7645356485</v>
      </c>
      <c r="AM647" s="36">
        <f t="shared" si="1794"/>
        <v>1.5</v>
      </c>
      <c r="AN647" s="35">
        <f t="shared" si="1785"/>
        <v>0.4041877523</v>
      </c>
      <c r="AO647" s="37">
        <f t="shared" si="1786"/>
        <v>0.6062816285</v>
      </c>
      <c r="AP647" s="36">
        <f t="shared" ref="AP647:AQ647" si="1799">SUM(T638)</f>
        <v>161.7777778</v>
      </c>
      <c r="AQ647" s="36">
        <f t="shared" si="1799"/>
        <v>6.740740741</v>
      </c>
      <c r="AR647" s="32">
        <f t="shared" si="1788"/>
        <v>121.0833333</v>
      </c>
    </row>
    <row r="648" ht="15.75" customHeight="1">
      <c r="A648" s="1" t="s">
        <v>45</v>
      </c>
      <c r="D648" s="2"/>
      <c r="X648" s="46" t="s">
        <v>33</v>
      </c>
      <c r="Y648" s="46">
        <v>6.0</v>
      </c>
      <c r="Z648" s="46">
        <f t="shared" ref="Z648:AI648" si="1800">SUM(Z642:Z647)</f>
        <v>173</v>
      </c>
      <c r="AA648" s="47">
        <f t="shared" si="1800"/>
        <v>167</v>
      </c>
      <c r="AB648" s="49">
        <f t="shared" si="1800"/>
        <v>32784.499</v>
      </c>
      <c r="AC648" s="47">
        <f t="shared" si="1800"/>
        <v>13004</v>
      </c>
      <c r="AD648" s="47">
        <f t="shared" si="1800"/>
        <v>0</v>
      </c>
      <c r="AE648" s="47">
        <f t="shared" si="1800"/>
        <v>13004</v>
      </c>
      <c r="AF648" s="47">
        <f t="shared" si="1800"/>
        <v>16961</v>
      </c>
      <c r="AG648" s="47">
        <f t="shared" si="1800"/>
        <v>309</v>
      </c>
      <c r="AH648" s="47">
        <f t="shared" si="1800"/>
        <v>17270</v>
      </c>
      <c r="AI648" s="47">
        <f t="shared" si="1800"/>
        <v>30274</v>
      </c>
      <c r="AJ648" s="49">
        <f t="shared" si="1783"/>
        <v>196.3143653</v>
      </c>
      <c r="AK648" s="46">
        <f>SUM(AK642:AK647)</f>
        <v>37031</v>
      </c>
      <c r="AL648" s="50">
        <f t="shared" si="1784"/>
        <v>0.8175312576</v>
      </c>
      <c r="AM648" s="51">
        <v>1.5</v>
      </c>
      <c r="AN648" s="50">
        <f t="shared" si="1785"/>
        <v>0.6156161382</v>
      </c>
      <c r="AO648" s="52">
        <f t="shared" si="1786"/>
        <v>0.9234242073</v>
      </c>
      <c r="AP648" s="51">
        <f>SUM(AP642:AP647)</f>
        <v>1352.927271</v>
      </c>
      <c r="AQ648" s="51">
        <f>AP648/AA648</f>
        <v>8.101360903</v>
      </c>
      <c r="AR648" s="47">
        <f t="shared" si="1788"/>
        <v>181.2814371</v>
      </c>
    </row>
    <row r="649" ht="15.75" customHeight="1">
      <c r="A649" s="1" t="s">
        <v>45</v>
      </c>
      <c r="D649" s="2"/>
      <c r="X649" s="66" t="s">
        <v>1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6"/>
    </row>
    <row r="650" ht="15.75" customHeight="1">
      <c r="A650" s="10">
        <v>46259.0</v>
      </c>
      <c r="B650" s="8" t="s">
        <v>2</v>
      </c>
      <c r="C650" s="8" t="s">
        <v>3</v>
      </c>
      <c r="D650" s="8" t="s">
        <v>4</v>
      </c>
      <c r="E650" s="8" t="s">
        <v>5</v>
      </c>
      <c r="F650" s="9" t="s">
        <v>6</v>
      </c>
      <c r="G650" s="8" t="s">
        <v>7</v>
      </c>
      <c r="H650" s="8" t="s">
        <v>8</v>
      </c>
      <c r="I650" s="8" t="s">
        <v>9</v>
      </c>
      <c r="J650" s="8" t="s">
        <v>10</v>
      </c>
      <c r="K650" s="8" t="s">
        <v>11</v>
      </c>
      <c r="L650" s="8" t="s">
        <v>12</v>
      </c>
      <c r="M650" s="8" t="s">
        <v>13</v>
      </c>
      <c r="N650" s="9" t="s">
        <v>14</v>
      </c>
      <c r="O650" s="8" t="s">
        <v>15</v>
      </c>
      <c r="P650" s="8" t="s">
        <v>16</v>
      </c>
      <c r="Q650" s="8" t="s">
        <v>17</v>
      </c>
      <c r="R650" s="8" t="s">
        <v>18</v>
      </c>
      <c r="S650" s="11" t="s">
        <v>19</v>
      </c>
      <c r="T650" s="12" t="s">
        <v>20</v>
      </c>
      <c r="U650" s="12" t="s">
        <v>21</v>
      </c>
      <c r="V650" s="13" t="s">
        <v>22</v>
      </c>
      <c r="X650" s="14" t="s">
        <v>2</v>
      </c>
      <c r="Y650" s="14" t="s">
        <v>3</v>
      </c>
      <c r="Z650" s="14" t="s">
        <v>4</v>
      </c>
      <c r="AA650" s="14" t="s">
        <v>5</v>
      </c>
      <c r="AB650" s="15" t="s">
        <v>6</v>
      </c>
      <c r="AC650" s="14" t="s">
        <v>7</v>
      </c>
      <c r="AD650" s="14" t="s">
        <v>8</v>
      </c>
      <c r="AE650" s="14" t="s">
        <v>9</v>
      </c>
      <c r="AF650" s="14" t="s">
        <v>10</v>
      </c>
      <c r="AG650" s="14" t="s">
        <v>11</v>
      </c>
      <c r="AH650" s="14" t="s">
        <v>12</v>
      </c>
      <c r="AI650" s="14" t="s">
        <v>13</v>
      </c>
      <c r="AJ650" s="15" t="s">
        <v>14</v>
      </c>
      <c r="AK650" s="14" t="s">
        <v>15</v>
      </c>
      <c r="AL650" s="14" t="s">
        <v>16</v>
      </c>
      <c r="AM650" s="16" t="s">
        <v>17</v>
      </c>
      <c r="AN650" s="17" t="s">
        <v>18</v>
      </c>
      <c r="AO650" s="18" t="s">
        <v>19</v>
      </c>
      <c r="AP650" s="19" t="s">
        <v>20</v>
      </c>
      <c r="AQ650" s="19" t="s">
        <v>21</v>
      </c>
      <c r="AR650" s="20" t="s">
        <v>22</v>
      </c>
    </row>
    <row r="651" ht="15.7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X651" s="22">
        <v>1.0</v>
      </c>
      <c r="Y651" s="22" t="s">
        <v>23</v>
      </c>
      <c r="Z651" s="22">
        <f t="shared" ref="Z651:AI651" si="1801">SUM(D659)</f>
        <v>28</v>
      </c>
      <c r="AA651" s="23">
        <f t="shared" si="1801"/>
        <v>27</v>
      </c>
      <c r="AB651" s="24">
        <f t="shared" si="1801"/>
        <v>5364.66</v>
      </c>
      <c r="AC651" s="23">
        <f t="shared" si="1801"/>
        <v>1290</v>
      </c>
      <c r="AD651" s="23">
        <f t="shared" si="1801"/>
        <v>0</v>
      </c>
      <c r="AE651" s="23">
        <f t="shared" si="1801"/>
        <v>1290</v>
      </c>
      <c r="AF651" s="23">
        <f t="shared" si="1801"/>
        <v>1619</v>
      </c>
      <c r="AG651" s="23">
        <f t="shared" si="1801"/>
        <v>0</v>
      </c>
      <c r="AH651" s="23">
        <f t="shared" si="1801"/>
        <v>1619</v>
      </c>
      <c r="AI651" s="23">
        <f t="shared" si="1801"/>
        <v>2909</v>
      </c>
      <c r="AJ651" s="25">
        <f t="shared" ref="AJ651:AJ653" si="1804">AB651/AA651</f>
        <v>198.6911111</v>
      </c>
      <c r="AK651" s="22">
        <f>SUM(O659)</f>
        <v>6853</v>
      </c>
      <c r="AL651" s="26">
        <f t="shared" ref="AL651:AL657" si="1805">AI651/AK651</f>
        <v>0.4244856267</v>
      </c>
      <c r="AM651" s="27">
        <f t="shared" ref="AM651:AM653" si="1806">SUM(Q659)</f>
        <v>1.5</v>
      </c>
      <c r="AN651" s="26">
        <f t="shared" ref="AN651:AN657" si="1807">AO651/AM651</f>
        <v>0.3615016298</v>
      </c>
      <c r="AO651" s="28">
        <f t="shared" ref="AO651:AO657" si="1808">AI651/AB651</f>
        <v>0.5422524447</v>
      </c>
      <c r="AP651" s="27">
        <f t="shared" ref="AP651:AQ651" si="1802">SUM(T659)</f>
        <v>159</v>
      </c>
      <c r="AQ651" s="27">
        <f t="shared" si="1802"/>
        <v>5.888888889</v>
      </c>
      <c r="AR651" s="23">
        <f t="shared" ref="AR651:AR657" si="1810">AI651/AA651</f>
        <v>107.7407407</v>
      </c>
    </row>
    <row r="652" ht="15.7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X652" s="22">
        <v>2.0</v>
      </c>
      <c r="Y652" s="22" t="s">
        <v>24</v>
      </c>
      <c r="Z652" s="22">
        <f t="shared" ref="Z652:AI652" si="1803">SUM(D660)</f>
        <v>37</v>
      </c>
      <c r="AA652" s="23">
        <f t="shared" si="1803"/>
        <v>37</v>
      </c>
      <c r="AB652" s="24">
        <f t="shared" si="1803"/>
        <v>7339.722</v>
      </c>
      <c r="AC652" s="23">
        <f t="shared" si="1803"/>
        <v>728</v>
      </c>
      <c r="AD652" s="23">
        <f t="shared" si="1803"/>
        <v>0</v>
      </c>
      <c r="AE652" s="23">
        <f t="shared" si="1803"/>
        <v>728</v>
      </c>
      <c r="AF652" s="23">
        <f t="shared" si="1803"/>
        <v>787</v>
      </c>
      <c r="AG652" s="23">
        <f t="shared" si="1803"/>
        <v>0</v>
      </c>
      <c r="AH652" s="23">
        <f t="shared" si="1803"/>
        <v>787</v>
      </c>
      <c r="AI652" s="23">
        <f t="shared" si="1803"/>
        <v>1515</v>
      </c>
      <c r="AJ652" s="25">
        <f t="shared" si="1804"/>
        <v>198.3708649</v>
      </c>
      <c r="AK652" s="22">
        <v>1580.0</v>
      </c>
      <c r="AL652" s="26">
        <f t="shared" si="1805"/>
        <v>0.9588607595</v>
      </c>
      <c r="AM652" s="27">
        <f t="shared" si="1806"/>
        <v>1.5</v>
      </c>
      <c r="AN652" s="26">
        <f t="shared" si="1807"/>
        <v>0.1376073917</v>
      </c>
      <c r="AO652" s="28">
        <f t="shared" si="1808"/>
        <v>0.2064110875</v>
      </c>
      <c r="AP652" s="27">
        <f t="shared" ref="AP652:AQ652" si="1809">SUM(T660)</f>
        <v>273.8191382</v>
      </c>
      <c r="AQ652" s="27">
        <f t="shared" si="1809"/>
        <v>7.400517249</v>
      </c>
      <c r="AR652" s="23">
        <f t="shared" si="1810"/>
        <v>40.94594595</v>
      </c>
    </row>
    <row r="653" ht="15.75" customHeight="1">
      <c r="A653" s="21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X653" s="31">
        <v>3.0</v>
      </c>
      <c r="Y653" s="31" t="s">
        <v>25</v>
      </c>
      <c r="Z653" s="31">
        <f t="shared" ref="Z653:AI653" si="1811">SUM(D661)</f>
        <v>27</v>
      </c>
      <c r="AA653" s="32">
        <f t="shared" si="1811"/>
        <v>27</v>
      </c>
      <c r="AB653" s="33">
        <f t="shared" si="1811"/>
        <v>5160.476</v>
      </c>
      <c r="AC653" s="32">
        <f t="shared" si="1811"/>
        <v>1331</v>
      </c>
      <c r="AD653" s="32">
        <f t="shared" si="1811"/>
        <v>293</v>
      </c>
      <c r="AE653" s="32">
        <f t="shared" si="1811"/>
        <v>1624</v>
      </c>
      <c r="AF653" s="32">
        <f t="shared" si="1811"/>
        <v>1919</v>
      </c>
      <c r="AG653" s="32">
        <f t="shared" si="1811"/>
        <v>249</v>
      </c>
      <c r="AH653" s="32">
        <f t="shared" si="1811"/>
        <v>2168</v>
      </c>
      <c r="AI653" s="32">
        <f t="shared" si="1811"/>
        <v>3792</v>
      </c>
      <c r="AJ653" s="34">
        <f t="shared" si="1804"/>
        <v>191.1287407</v>
      </c>
      <c r="AK653" s="31">
        <f>SUM(O661)</f>
        <v>6622</v>
      </c>
      <c r="AL653" s="35">
        <f t="shared" si="1805"/>
        <v>0.5726366657</v>
      </c>
      <c r="AM653" s="36">
        <f t="shared" si="1806"/>
        <v>1.5</v>
      </c>
      <c r="AN653" s="35">
        <f t="shared" si="1807"/>
        <v>0.4898772904</v>
      </c>
      <c r="AO653" s="37">
        <f t="shared" si="1808"/>
        <v>0.7348159356</v>
      </c>
      <c r="AP653" s="36">
        <f t="shared" ref="AP653:AQ653" si="1812">SUM(T661)</f>
        <v>216.4629195</v>
      </c>
      <c r="AQ653" s="36">
        <f t="shared" si="1812"/>
        <v>8.017145165</v>
      </c>
      <c r="AR653" s="32">
        <f t="shared" si="1810"/>
        <v>140.4444444</v>
      </c>
    </row>
    <row r="654" ht="15.75" customHeight="1">
      <c r="A654" s="21"/>
      <c r="B654" s="38">
        <v>1.0</v>
      </c>
      <c r="C654" s="38" t="s">
        <v>26</v>
      </c>
      <c r="D654" s="39">
        <v>16.0</v>
      </c>
      <c r="E654" s="40">
        <f>IFERROR(__xludf.DUMMYFUNCTION("COUNT(IMPORTRANGE(""https://docs.google.com/spreadsheets/d/1iVFEBQOAONhqDIMRa2hQ7WkCQv0dJWSAmc0AzfvSCMg/edit"",""25!d2:d21""))"),15.0)</f>
        <v>15</v>
      </c>
      <c r="F654" s="41">
        <f>IFERROR(__xludf.DUMMYFUNCTION("SUM(IMPORTRANGE(""https://docs.google.com/spreadsheets/d/1iVFEBQOAONhqDIMRa2hQ7WkCQv0dJWSAmc0AzfvSCMg/edit"",""25!Q2:Q21""))"),2775.27)</f>
        <v>2775.27</v>
      </c>
      <c r="G654" s="40">
        <f>IFERROR(__xludf.DUMMYFUNCTION("IMPORTRANGE(""https://docs.google.com/spreadsheets/d/1iVFEBQOAONhqDIMRa2hQ7WkCQv0dJWSAmc0AzfvSCMg/edit"",""25!e28"")"),1176.0)</f>
        <v>1176</v>
      </c>
      <c r="H654" s="40">
        <f>IFERROR(__xludf.DUMMYFUNCTION("IMPORTRANGE(""https://docs.google.com/spreadsheets/d/1iVFEBQOAONhqDIMRa2hQ7WkCQv0dJWSAmc0AzfvSCMg/edit"",""25!e29"")"),0.0)</f>
        <v>0</v>
      </c>
      <c r="I654" s="40">
        <f t="shared" ref="I654:I671" si="1815">SUM(G654:H654)</f>
        <v>1176</v>
      </c>
      <c r="J654" s="40">
        <f>IFERROR(__xludf.DUMMYFUNCTION("IMPORTRANGE(""https://docs.google.com/spreadsheets/d/1iVFEBQOAONhqDIMRa2hQ7WkCQv0dJWSAmc0AzfvSCMg/edit"",""25!e32"")"),1951.0)</f>
        <v>1951</v>
      </c>
      <c r="K654" s="40">
        <f>IFERROR(__xludf.DUMMYFUNCTION("IMPORTRANGE(""https://docs.google.com/spreadsheets/d/1iVFEBQOAONhqDIMRa2hQ7WkCQv0dJWSAmc0AzfvSCMg/edit"",""25!e33"")"),0.0)</f>
        <v>0</v>
      </c>
      <c r="L654" s="40">
        <f t="shared" ref="L654:L660" si="1816">SUM(J654:K654)</f>
        <v>1951</v>
      </c>
      <c r="M654" s="40">
        <f t="shared" ref="M654:M671" si="1817">SUM(I654+L654)</f>
        <v>3127</v>
      </c>
      <c r="N654" s="41">
        <f t="shared" ref="N654:N672" si="1818">F654/E654</f>
        <v>185.018</v>
      </c>
      <c r="O654" s="38">
        <v>5161.0</v>
      </c>
      <c r="P654" s="42">
        <f t="shared" ref="P654:P672" si="1819">M654/O654</f>
        <v>0.6058903313</v>
      </c>
      <c r="Q654" s="43">
        <v>1.5</v>
      </c>
      <c r="R654" s="42">
        <f t="shared" ref="R654:R672" si="1820">S654/Q654</f>
        <v>0.7511581456</v>
      </c>
      <c r="S654" s="44">
        <f t="shared" ref="S654:S672" si="1821">M654/F654</f>
        <v>1.126737218</v>
      </c>
      <c r="T654" s="43">
        <f>F654/14.415</f>
        <v>192.5265349</v>
      </c>
      <c r="U654" s="43">
        <f t="shared" ref="U654:U672" si="1822">T654/E654</f>
        <v>12.83510232</v>
      </c>
      <c r="V654" s="40">
        <f t="shared" ref="V654:V672" si="1823">M654/E654</f>
        <v>208.4666667</v>
      </c>
      <c r="X654" s="22">
        <v>4.0</v>
      </c>
      <c r="Y654" s="22" t="s">
        <v>27</v>
      </c>
      <c r="Z654" s="22">
        <f t="shared" ref="Z654:AK654" si="1813">SUM(D667)</f>
        <v>24</v>
      </c>
      <c r="AA654" s="23">
        <f t="shared" si="1813"/>
        <v>22</v>
      </c>
      <c r="AB654" s="24">
        <f t="shared" si="1813"/>
        <v>4212.728</v>
      </c>
      <c r="AC654" s="23">
        <f t="shared" si="1813"/>
        <v>1365</v>
      </c>
      <c r="AD654" s="23">
        <f t="shared" si="1813"/>
        <v>0</v>
      </c>
      <c r="AE654" s="23">
        <f t="shared" si="1813"/>
        <v>1365</v>
      </c>
      <c r="AF654" s="23">
        <f t="shared" si="1813"/>
        <v>2156</v>
      </c>
      <c r="AG654" s="23">
        <f t="shared" si="1813"/>
        <v>0</v>
      </c>
      <c r="AH654" s="23">
        <f t="shared" si="1813"/>
        <v>2156</v>
      </c>
      <c r="AI654" s="23">
        <f t="shared" si="1813"/>
        <v>3521</v>
      </c>
      <c r="AJ654" s="25">
        <f t="shared" si="1813"/>
        <v>191.4876364</v>
      </c>
      <c r="AK654" s="22">
        <f t="shared" si="1813"/>
        <v>8101</v>
      </c>
      <c r="AL654" s="26">
        <f t="shared" si="1805"/>
        <v>0.434637699</v>
      </c>
      <c r="AM654" s="27">
        <f>SUM(Q667)</f>
        <v>1.5</v>
      </c>
      <c r="AN654" s="26">
        <f t="shared" si="1807"/>
        <v>0.5572003066</v>
      </c>
      <c r="AO654" s="28">
        <f t="shared" si="1808"/>
        <v>0.8358004599</v>
      </c>
      <c r="AP654" s="27">
        <f t="shared" ref="AP654:AQ654" si="1814">SUM(T667)</f>
        <v>210.7944959</v>
      </c>
      <c r="AQ654" s="27">
        <f t="shared" si="1814"/>
        <v>9.581567994</v>
      </c>
      <c r="AR654" s="23">
        <f t="shared" si="1810"/>
        <v>160.0454545</v>
      </c>
    </row>
    <row r="655" ht="15.75" customHeight="1">
      <c r="A655" s="21"/>
      <c r="B655" s="38">
        <v>2.0</v>
      </c>
      <c r="C655" s="38" t="s">
        <v>28</v>
      </c>
      <c r="D655" s="39">
        <v>26.0</v>
      </c>
      <c r="E655" s="40">
        <f>IFERROR(__xludf.DUMMYFUNCTION("COUNT(IMPORTRANGE(""https://docs.google.com/spreadsheets/d/1tJCeYclgeJZ4Dc78t_SkhVjtacKW-5-VGim8X1rzUzk/edit"",""25!d2:d34""))"),26.0)</f>
        <v>26</v>
      </c>
      <c r="F655" s="41">
        <f>IFERROR(__xludf.DUMMYFUNCTION("SUM(IMPORTRANGE(""https://docs.google.com/spreadsheets/d/1tJCeYclgeJZ4Dc78t_SkhVjtacKW-5-VGim8X1rzUzk/edit"",""25!Q2:Q34""))"),5093.298999999999)</f>
        <v>5093.299</v>
      </c>
      <c r="G655" s="40">
        <f>IFERROR(__xludf.DUMMYFUNCTION("IMPORTRANGE(""https://docs.google.com/spreadsheets/d/1tJCeYclgeJZ4Dc78t_SkhVjtacKW-5-VGim8X1rzUzk/edit"",""25!e41"")"),1625.0)</f>
        <v>1625</v>
      </c>
      <c r="H655" s="40">
        <f>IFERROR(__xludf.DUMMYFUNCTION("IMPORTRANGE(""https://docs.google.com/spreadsheets/d/1tJCeYclgeJZ4Dc78t_SkhVjtacKW-5-VGim8X1rzUzk/edit"",""25!e42"")"),42.0)</f>
        <v>42</v>
      </c>
      <c r="I655" s="40">
        <f t="shared" si="1815"/>
        <v>1667</v>
      </c>
      <c r="J655" s="40">
        <f>IFERROR(__xludf.DUMMYFUNCTION("IMPORTRANGE(""https://docs.google.com/spreadsheets/d/1tJCeYclgeJZ4Dc78t_SkhVjtacKW-5-VGim8X1rzUzk/edit"",""25!e45"")"),1801.0)</f>
        <v>1801</v>
      </c>
      <c r="K655" s="40">
        <f>IFERROR(__xludf.DUMMYFUNCTION("IMPORTRANGE(""https://docs.google.com/spreadsheets/d/1tJCeYclgeJZ4Dc78t_SkhVjtacKW-5-VGim8X1rzUzk/edit"",""25!e46"")"),53.0)</f>
        <v>53</v>
      </c>
      <c r="L655" s="40">
        <f t="shared" si="1816"/>
        <v>1854</v>
      </c>
      <c r="M655" s="40">
        <f t="shared" si="1817"/>
        <v>3521</v>
      </c>
      <c r="N655" s="41">
        <f t="shared" si="1818"/>
        <v>195.8961154</v>
      </c>
      <c r="O655" s="38">
        <v>7315.0</v>
      </c>
      <c r="P655" s="42">
        <f t="shared" si="1819"/>
        <v>0.4813397129</v>
      </c>
      <c r="Q655" s="43">
        <v>1.5</v>
      </c>
      <c r="R655" s="42">
        <f t="shared" si="1820"/>
        <v>0.460866981</v>
      </c>
      <c r="S655" s="44">
        <f t="shared" si="1821"/>
        <v>0.6913004715</v>
      </c>
      <c r="T655" s="43">
        <f>F655/30.897</f>
        <v>164.8476875</v>
      </c>
      <c r="U655" s="43">
        <f t="shared" si="1822"/>
        <v>6.340295672</v>
      </c>
      <c r="V655" s="40">
        <f t="shared" si="1823"/>
        <v>135.4230769</v>
      </c>
      <c r="X655" s="22">
        <v>5.0</v>
      </c>
      <c r="Y655" s="22" t="s">
        <v>29</v>
      </c>
      <c r="Z655" s="22">
        <f t="shared" ref="Z655:AI655" si="1824">SUM(D670)</f>
        <v>24</v>
      </c>
      <c r="AA655" s="23">
        <f t="shared" si="1824"/>
        <v>23</v>
      </c>
      <c r="AB655" s="24">
        <f t="shared" si="1824"/>
        <v>4476.979</v>
      </c>
      <c r="AC655" s="23">
        <f t="shared" si="1824"/>
        <v>1477</v>
      </c>
      <c r="AD655" s="23">
        <f t="shared" si="1824"/>
        <v>0</v>
      </c>
      <c r="AE655" s="23">
        <f t="shared" si="1824"/>
        <v>1477</v>
      </c>
      <c r="AF655" s="23">
        <f t="shared" si="1824"/>
        <v>2375</v>
      </c>
      <c r="AG655" s="23">
        <f t="shared" si="1824"/>
        <v>0</v>
      </c>
      <c r="AH655" s="23">
        <f t="shared" si="1824"/>
        <v>2375</v>
      </c>
      <c r="AI655" s="23">
        <f t="shared" si="1824"/>
        <v>3852</v>
      </c>
      <c r="AJ655" s="25">
        <f t="shared" ref="AJ655:AJ657" si="1827">AB655/AA655</f>
        <v>194.6512609</v>
      </c>
      <c r="AK655" s="22">
        <f t="shared" ref="AK655:AK656" si="1828">SUM(O670)</f>
        <v>9201</v>
      </c>
      <c r="AL655" s="26">
        <f t="shared" si="1805"/>
        <v>0.4186501467</v>
      </c>
      <c r="AM655" s="27">
        <f t="shared" ref="AM655:AM656" si="1829">SUM(Q670)</f>
        <v>1.5</v>
      </c>
      <c r="AN655" s="26">
        <f t="shared" si="1807"/>
        <v>0.5736010823</v>
      </c>
      <c r="AO655" s="28">
        <f t="shared" si="1808"/>
        <v>0.8604016235</v>
      </c>
      <c r="AP655" s="27">
        <f t="shared" ref="AP655:AQ655" si="1825">SUM(T670)</f>
        <v>169</v>
      </c>
      <c r="AQ655" s="27">
        <f t="shared" si="1825"/>
        <v>7.347826087</v>
      </c>
      <c r="AR655" s="23">
        <f t="shared" si="1810"/>
        <v>167.4782609</v>
      </c>
    </row>
    <row r="656" ht="15.75" customHeight="1">
      <c r="A656" s="21"/>
      <c r="B656" s="38">
        <v>3.0</v>
      </c>
      <c r="C656" s="38" t="s">
        <v>30</v>
      </c>
      <c r="D656" s="39">
        <v>48.0</v>
      </c>
      <c r="E656" s="40">
        <f>IFERROR(__xludf.DUMMYFUNCTION("COUNT(IMPORTRANGE(""https://docs.google.com/spreadsheets/d/130gLEONC13J8KkQ6dk06x3bLRy_jCrAw2hXatQf2W50/edit"",""25!d2:d61""))"),48.0)</f>
        <v>48</v>
      </c>
      <c r="F656" s="45">
        <f>IFERROR(__xludf.DUMMYFUNCTION("SUM(IMPORTRANGE(""https://docs.google.com/spreadsheets/d/130gLEONC13J8KkQ6dk06x3bLRy_jCrAw2hXatQf2W50/edit"",""25!Q2:Q61""))"),9570.178999999995)</f>
        <v>9570.179</v>
      </c>
      <c r="G656" s="40">
        <f>IFERROR(__xludf.DUMMYFUNCTION("IMPORTRANGE(""https://docs.google.com/spreadsheets/d/130gLEONC13J8KkQ6dk06x3bLRy_jCrAw2hXatQf2W50/edit"",""25!e68"")"),2338.0)</f>
        <v>2338</v>
      </c>
      <c r="H656" s="40">
        <f>IFERROR(__xludf.DUMMYFUNCTION("IMPORTRANGE(""https://docs.google.com/spreadsheets/d/130gLEONC13J8KkQ6dk06x3bLRy_jCrAw2hXatQf2W50/edit"",""25!e69"")"),0.0)</f>
        <v>0</v>
      </c>
      <c r="I656" s="40">
        <f t="shared" si="1815"/>
        <v>2338</v>
      </c>
      <c r="J656" s="40">
        <f>IFERROR(__xludf.DUMMYFUNCTION("IMPORTRANGE(""https://docs.google.com/spreadsheets/d/130gLEONC13J8KkQ6dk06x3bLRy_jCrAw2hXatQf2W50/edit"",""25!e72"")"),3725.0)</f>
        <v>3725</v>
      </c>
      <c r="K656" s="40">
        <f>IFERROR(__xludf.DUMMYFUNCTION("IMPORTRANGE(""https://docs.google.com/spreadsheets/d/130gLEONC13J8KkQ6dk06x3bLRy_jCrAw2hXatQf2W50/edit"",""25!e73"")"),340.0)</f>
        <v>340</v>
      </c>
      <c r="L656" s="40">
        <f t="shared" si="1816"/>
        <v>4065</v>
      </c>
      <c r="M656" s="40">
        <f t="shared" si="1817"/>
        <v>6403</v>
      </c>
      <c r="N656" s="41">
        <f t="shared" si="1818"/>
        <v>199.3787292</v>
      </c>
      <c r="O656" s="38">
        <v>11164.0</v>
      </c>
      <c r="P656" s="42">
        <f t="shared" si="1819"/>
        <v>0.5735399498</v>
      </c>
      <c r="Q656" s="43">
        <v>1.5</v>
      </c>
      <c r="R656" s="42">
        <f t="shared" si="1820"/>
        <v>0.4460383308</v>
      </c>
      <c r="S656" s="44">
        <f t="shared" si="1821"/>
        <v>0.6690574962</v>
      </c>
      <c r="T656" s="43">
        <f>F656/29.603</f>
        <v>323.2840928</v>
      </c>
      <c r="U656" s="43">
        <f t="shared" si="1822"/>
        <v>6.735085267</v>
      </c>
      <c r="V656" s="40">
        <f t="shared" si="1823"/>
        <v>133.3958333</v>
      </c>
      <c r="X656" s="22">
        <v>6.0</v>
      </c>
      <c r="Y656" s="22" t="s">
        <v>31</v>
      </c>
      <c r="Z656" s="22">
        <f t="shared" ref="Z656:AI656" si="1826">SUM(D671)</f>
        <v>12</v>
      </c>
      <c r="AA656" s="23">
        <f t="shared" si="1826"/>
        <v>11</v>
      </c>
      <c r="AB656" s="25">
        <f t="shared" si="1826"/>
        <v>2260.18</v>
      </c>
      <c r="AC656" s="23">
        <f t="shared" si="1826"/>
        <v>417</v>
      </c>
      <c r="AD656" s="23">
        <f t="shared" si="1826"/>
        <v>0</v>
      </c>
      <c r="AE656" s="23">
        <f t="shared" si="1826"/>
        <v>417</v>
      </c>
      <c r="AF656" s="23">
        <f t="shared" si="1826"/>
        <v>624</v>
      </c>
      <c r="AG656" s="23">
        <f t="shared" si="1826"/>
        <v>0</v>
      </c>
      <c r="AH656" s="23">
        <f t="shared" si="1826"/>
        <v>624</v>
      </c>
      <c r="AI656" s="23">
        <f t="shared" si="1826"/>
        <v>1041</v>
      </c>
      <c r="AJ656" s="25">
        <f t="shared" si="1827"/>
        <v>205.4709091</v>
      </c>
      <c r="AK656" s="22">
        <f t="shared" si="1828"/>
        <v>2717</v>
      </c>
      <c r="AL656" s="26">
        <f t="shared" si="1805"/>
        <v>0.3831431726</v>
      </c>
      <c r="AM656" s="27">
        <f t="shared" si="1829"/>
        <v>1.5</v>
      </c>
      <c r="AN656" s="26">
        <f t="shared" si="1807"/>
        <v>0.3070551903</v>
      </c>
      <c r="AO656" s="28">
        <f t="shared" si="1808"/>
        <v>0.4605827854</v>
      </c>
      <c r="AP656" s="27">
        <f t="shared" ref="AP656:AQ656" si="1830">SUM(T671)</f>
        <v>52</v>
      </c>
      <c r="AQ656" s="27">
        <f t="shared" si="1830"/>
        <v>4.727272727</v>
      </c>
      <c r="AR656" s="23">
        <f t="shared" si="1810"/>
        <v>94.63636364</v>
      </c>
    </row>
    <row r="657" ht="15.75" customHeight="1">
      <c r="A657" s="21"/>
      <c r="B657" s="38">
        <v>4.0</v>
      </c>
      <c r="C657" s="38" t="s">
        <v>32</v>
      </c>
      <c r="D657" s="39">
        <v>33.0</v>
      </c>
      <c r="E657" s="40">
        <f>IFERROR(__xludf.DUMMYFUNCTION("COUNT(IMPORTRANGE(""https://docs.google.com/spreadsheets/d/1gYHli7FuKQLm2Q-5LMR0UtkD-gRRA_p8s-phLPLDLgc/edit"",""25!d2:d43""))"),31.0)</f>
        <v>31</v>
      </c>
      <c r="F657" s="45">
        <f>IFERROR(__xludf.DUMMYFUNCTION("SUM(IMPORTRANGE(""https://docs.google.com/spreadsheets/d/1gYHli7FuKQLm2Q-5LMR0UtkD-gRRA_p8s-phLPLDLgc/edit"",""25!Q2:Q43""))"),6222.071999999995)</f>
        <v>6222.072</v>
      </c>
      <c r="G657" s="38">
        <f>IFERROR(__xludf.DUMMYFUNCTION("IMPORTRANGE(""https://docs.google.com/spreadsheets/d/1gYHli7FuKQLm2Q-5LMR0UtkD-gRRA_p8s-phLPLDLgc/edit"",""25!e50"")"),2870.0)</f>
        <v>2870</v>
      </c>
      <c r="H657" s="38">
        <f>IFERROR(__xludf.DUMMYFUNCTION("IMPORTRANGE(""https://docs.google.com/spreadsheets/d/1gYHli7FuKQLm2Q-5LMR0UtkD-gRRA_p8s-phLPLDLgc/edit"",""25!e51"")"),0.0)</f>
        <v>0</v>
      </c>
      <c r="I657" s="40">
        <f t="shared" si="1815"/>
        <v>2870</v>
      </c>
      <c r="J657" s="38">
        <f>IFERROR(__xludf.DUMMYFUNCTION("IMPORTRANGE(""https://docs.google.com/spreadsheets/d/1gYHli7FuKQLm2Q-5LMR0UtkD-gRRA_p8s-phLPLDLgc/edit"",""25!e54"")"),4009.0)</f>
        <v>4009</v>
      </c>
      <c r="K657" s="38">
        <f>IFERROR(__xludf.DUMMYFUNCTION("IMPORTRANGE(""https://docs.google.com/spreadsheets/d/1gYHli7FuKQLm2Q-5LMR0UtkD-gRRA_p8s-phLPLDLgc/edit"",""25!e55"")"),0.0)</f>
        <v>0</v>
      </c>
      <c r="L657" s="40">
        <f t="shared" si="1816"/>
        <v>4009</v>
      </c>
      <c r="M657" s="40">
        <f t="shared" si="1817"/>
        <v>6879</v>
      </c>
      <c r="N657" s="41">
        <f t="shared" si="1818"/>
        <v>200.712</v>
      </c>
      <c r="O657" s="38">
        <v>13817.0</v>
      </c>
      <c r="P657" s="42">
        <f t="shared" si="1819"/>
        <v>0.497864949</v>
      </c>
      <c r="Q657" s="43">
        <v>1.5</v>
      </c>
      <c r="R657" s="42">
        <f t="shared" si="1820"/>
        <v>0.7370535089</v>
      </c>
      <c r="S657" s="44">
        <f t="shared" si="1821"/>
        <v>1.105580263</v>
      </c>
      <c r="T657" s="43">
        <f>F657/25.089</f>
        <v>248</v>
      </c>
      <c r="U657" s="43">
        <f t="shared" si="1822"/>
        <v>8</v>
      </c>
      <c r="V657" s="40">
        <f t="shared" si="1823"/>
        <v>221.9032258</v>
      </c>
      <c r="X657" s="46" t="s">
        <v>33</v>
      </c>
      <c r="Y657" s="46">
        <v>6.0</v>
      </c>
      <c r="Z657" s="46">
        <f t="shared" ref="Z657:AI657" si="1831">SUM(Z651:Z656)</f>
        <v>152</v>
      </c>
      <c r="AA657" s="47">
        <f t="shared" si="1831"/>
        <v>147</v>
      </c>
      <c r="AB657" s="48">
        <f t="shared" si="1831"/>
        <v>28814.745</v>
      </c>
      <c r="AC657" s="47">
        <f t="shared" si="1831"/>
        <v>6608</v>
      </c>
      <c r="AD657" s="47">
        <f t="shared" si="1831"/>
        <v>293</v>
      </c>
      <c r="AE657" s="47">
        <f t="shared" si="1831"/>
        <v>6901</v>
      </c>
      <c r="AF657" s="47">
        <f t="shared" si="1831"/>
        <v>9480</v>
      </c>
      <c r="AG657" s="47">
        <f t="shared" si="1831"/>
        <v>249</v>
      </c>
      <c r="AH657" s="47">
        <f t="shared" si="1831"/>
        <v>9729</v>
      </c>
      <c r="AI657" s="47">
        <f t="shared" si="1831"/>
        <v>16630</v>
      </c>
      <c r="AJ657" s="49">
        <f t="shared" si="1827"/>
        <v>196.0186735</v>
      </c>
      <c r="AK657" s="46">
        <f>SUM(AK651:AK656)</f>
        <v>35074</v>
      </c>
      <c r="AL657" s="50">
        <f t="shared" si="1805"/>
        <v>0.4741403889</v>
      </c>
      <c r="AM657" s="51">
        <v>1.5</v>
      </c>
      <c r="AN657" s="50">
        <f t="shared" si="1807"/>
        <v>0.3847567163</v>
      </c>
      <c r="AO657" s="52">
        <f t="shared" si="1808"/>
        <v>0.5771350744</v>
      </c>
      <c r="AP657" s="51">
        <f>SUM(AP651:AP656)</f>
        <v>1081.076554</v>
      </c>
      <c r="AQ657" s="51">
        <f>AP657/AA657</f>
        <v>7.354262269</v>
      </c>
      <c r="AR657" s="47">
        <f t="shared" si="1810"/>
        <v>113.1292517</v>
      </c>
    </row>
    <row r="658" ht="15.75" customHeight="1">
      <c r="A658" s="21"/>
      <c r="B658" s="38">
        <v>5.0</v>
      </c>
      <c r="C658" s="38" t="s">
        <v>34</v>
      </c>
      <c r="D658" s="39">
        <v>32.0</v>
      </c>
      <c r="E658" s="40">
        <f>IFERROR(__xludf.DUMMYFUNCTION("COUNT(IMPORTRANGE(""https://docs.google.com/spreadsheets/d/1ptS0qWBCKWkc9h2aXWT_YgMhN7yIv5WgAHRbF8l9Zpo/edit"",""25!d2:d41""))"),32.0)</f>
        <v>32</v>
      </c>
      <c r="F658" s="45">
        <f>IFERROR(__xludf.DUMMYFUNCTION("SUM(IMPORTRANGE(""https://docs.google.com/spreadsheets/d/1ptS0qWBCKWkc9h2aXWT_YgMhN7yIv5WgAHRbF8l9Zpo/edit"",""25!Q2:Q41""))"),6319.974000000002)</f>
        <v>6319.974</v>
      </c>
      <c r="G658" s="40">
        <f>IFERROR(__xludf.DUMMYFUNCTION("IMPORTRANGE(""https://docs.google.com/spreadsheets/d/1ptS0qWBCKWkc9h2aXWT_YgMhN7yIv5WgAHRbF8l9Zpo/edit"",""25!e48"")"),1764.0)</f>
        <v>1764</v>
      </c>
      <c r="H658" s="40">
        <f>IFERROR(__xludf.DUMMYFUNCTION("IMPORTRANGE(""https://docs.google.com/spreadsheets/d/1ptS0qWBCKWkc9h2aXWT_YgMhN7yIv5WgAHRbF8l9Zpo/edit"",""25!e49"")"),0.0)</f>
        <v>0</v>
      </c>
      <c r="I658" s="40">
        <f t="shared" si="1815"/>
        <v>1764</v>
      </c>
      <c r="J658" s="40">
        <f>IFERROR(__xludf.DUMMYFUNCTION("IMPORTRANGE(""https://docs.google.com/spreadsheets/d/1ptS0qWBCKWkc9h2aXWT_YgMhN7yIv5WgAHRbF8l9Zpo/edit"",""25!e52"")"),2572.0)</f>
        <v>2572</v>
      </c>
      <c r="K658" s="40">
        <f>IFERROR(__xludf.DUMMYFUNCTION("IMPORTRANGE(""https://docs.google.com/spreadsheets/d/1ptS0qWBCKWkc9h2aXWT_YgMhN7yIv5WgAHRbF8l9Zpo/edit"",""25!e53"")"),0.0)</f>
        <v>0</v>
      </c>
      <c r="L658" s="40">
        <f t="shared" si="1816"/>
        <v>2572</v>
      </c>
      <c r="M658" s="40">
        <f t="shared" si="1817"/>
        <v>4336</v>
      </c>
      <c r="N658" s="41">
        <f t="shared" si="1818"/>
        <v>197.4991875</v>
      </c>
      <c r="O658" s="38">
        <v>9354.0</v>
      </c>
      <c r="P658" s="42">
        <f t="shared" si="1819"/>
        <v>0.4635450075</v>
      </c>
      <c r="Q658" s="43">
        <v>1.5</v>
      </c>
      <c r="R658" s="42">
        <f t="shared" si="1820"/>
        <v>0.4573858479</v>
      </c>
      <c r="S658" s="44">
        <f t="shared" si="1821"/>
        <v>0.6860787718</v>
      </c>
      <c r="T658" s="43">
        <f>F658/30.713</f>
        <v>205.7752092</v>
      </c>
      <c r="U658" s="43">
        <f t="shared" si="1822"/>
        <v>6.430475287</v>
      </c>
      <c r="V658" s="40">
        <f t="shared" si="1823"/>
        <v>135.5</v>
      </c>
      <c r="X658" s="53" t="s">
        <v>35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6"/>
    </row>
    <row r="659" ht="15.75" customHeight="1">
      <c r="A659" s="21"/>
      <c r="B659" s="38">
        <v>6.0</v>
      </c>
      <c r="C659" s="38" t="s">
        <v>23</v>
      </c>
      <c r="D659" s="39">
        <v>28.0</v>
      </c>
      <c r="E659" s="40">
        <f>IFERROR(__xludf.DUMMYFUNCTION("COUNT(IMPORTRANGE(""https://docs.google.com/spreadsheets/d/1829CoYW82aTBBUgqkPnJa94KlBWI-DowAnP4ENQCmaQ/edit"",""25!d2:d36""))"),27.0)</f>
        <v>27</v>
      </c>
      <c r="F659" s="45">
        <f>IFERROR(__xludf.DUMMYFUNCTION("SUM(IMPORTRANGE(""https://docs.google.com/spreadsheets/d/1829CoYW82aTBBUgqkPnJa94KlBWI-DowAnP4ENQCmaQ/edit"",""25!Q2:Q36""))"),5364.659999999999)</f>
        <v>5364.66</v>
      </c>
      <c r="G659" s="40">
        <f>IFERROR(__xludf.DUMMYFUNCTION("IMPORTRANGE(""https://docs.google.com/spreadsheets/d/1829CoYW82aTBBUgqkPnJa94KlBWI-DowAnP4ENQCmaQ/edit"",""25!e43"")"),1290.0)</f>
        <v>1290</v>
      </c>
      <c r="H659" s="40">
        <f>IFERROR(__xludf.DUMMYFUNCTION("IMPORTRANGE(""https://docs.google.com/spreadsheets/d/1829CoYW82aTBBUgqkPnJa94KlBWI-DowAnP4ENQCmaQ/edit"",""25!e44"")"),0.0)</f>
        <v>0</v>
      </c>
      <c r="I659" s="40">
        <f t="shared" si="1815"/>
        <v>1290</v>
      </c>
      <c r="J659" s="40">
        <f>IFERROR(__xludf.DUMMYFUNCTION("IMPORTRANGE(""https://docs.google.com/spreadsheets/d/1829CoYW82aTBBUgqkPnJa94KlBWI-DowAnP4ENQCmaQ/edit"",""25!e47"")"),1619.0)</f>
        <v>1619</v>
      </c>
      <c r="K659" s="40">
        <f>IFERROR(__xludf.DUMMYFUNCTION("IMPORTRANGE(""https://docs.google.com/spreadsheets/d/1829CoYW82aTBBUgqkPnJa94KlBWI-DowAnP4ENQCmaQ/edit"",""25!e48"")"),0.0)</f>
        <v>0</v>
      </c>
      <c r="L659" s="40">
        <f t="shared" si="1816"/>
        <v>1619</v>
      </c>
      <c r="M659" s="40">
        <f t="shared" si="1817"/>
        <v>2909</v>
      </c>
      <c r="N659" s="41">
        <f t="shared" si="1818"/>
        <v>198.6911111</v>
      </c>
      <c r="O659" s="38">
        <v>6853.0</v>
      </c>
      <c r="P659" s="42">
        <f t="shared" si="1819"/>
        <v>0.4244856267</v>
      </c>
      <c r="Q659" s="43">
        <v>1.5</v>
      </c>
      <c r="R659" s="42">
        <f t="shared" si="1820"/>
        <v>0.3615016298</v>
      </c>
      <c r="S659" s="44">
        <f t="shared" si="1821"/>
        <v>0.5422524447</v>
      </c>
      <c r="T659" s="43">
        <f>F659/33.74</f>
        <v>159</v>
      </c>
      <c r="U659" s="43">
        <f t="shared" si="1822"/>
        <v>5.888888889</v>
      </c>
      <c r="V659" s="40">
        <f t="shared" si="1823"/>
        <v>107.7407407</v>
      </c>
      <c r="X659" s="14" t="s">
        <v>2</v>
      </c>
      <c r="Y659" s="14" t="s">
        <v>3</v>
      </c>
      <c r="Z659" s="14" t="s">
        <v>4</v>
      </c>
      <c r="AA659" s="14" t="s">
        <v>5</v>
      </c>
      <c r="AB659" s="15" t="s">
        <v>6</v>
      </c>
      <c r="AC659" s="14" t="s">
        <v>7</v>
      </c>
      <c r="AD659" s="14" t="s">
        <v>8</v>
      </c>
      <c r="AE659" s="14" t="s">
        <v>9</v>
      </c>
      <c r="AF659" s="14" t="s">
        <v>10</v>
      </c>
      <c r="AG659" s="14" t="s">
        <v>11</v>
      </c>
      <c r="AH659" s="14" t="s">
        <v>12</v>
      </c>
      <c r="AI659" s="14" t="s">
        <v>13</v>
      </c>
      <c r="AJ659" s="15" t="s">
        <v>14</v>
      </c>
      <c r="AK659" s="14" t="s">
        <v>15</v>
      </c>
      <c r="AL659" s="14" t="s">
        <v>16</v>
      </c>
      <c r="AM659" s="16" t="s">
        <v>17</v>
      </c>
      <c r="AN659" s="17" t="s">
        <v>18</v>
      </c>
      <c r="AO659" s="18" t="s">
        <v>19</v>
      </c>
      <c r="AP659" s="19" t="s">
        <v>20</v>
      </c>
      <c r="AQ659" s="19" t="s">
        <v>21</v>
      </c>
      <c r="AR659" s="20" t="s">
        <v>22</v>
      </c>
    </row>
    <row r="660" ht="15.75" customHeight="1">
      <c r="A660" s="21"/>
      <c r="B660" s="38">
        <v>7.0</v>
      </c>
      <c r="C660" s="38" t="s">
        <v>24</v>
      </c>
      <c r="D660" s="39">
        <v>37.0</v>
      </c>
      <c r="E660" s="54">
        <f>IFERROR(__xludf.DUMMYFUNCTION("COUNT(IMPORTRANGE(""https://docs.google.com/spreadsheets/d/1E2x4oDZxEIsuC5nl-5Z0--MoN8b1dt9SbpRcCfNP84Q/edit"",""25!d2:d45""))"),37.0)</f>
        <v>37</v>
      </c>
      <c r="F660" s="55">
        <f>IFERROR(__xludf.DUMMYFUNCTION("SUM(IMPORTRANGE(""https://docs.google.com/spreadsheets/d/1E2x4oDZxEIsuC5nl-5Z0--MoN8b1dt9SbpRcCfNP84Q/edit"",""25!Q2:Q45""))"),7339.721999999995)</f>
        <v>7339.722</v>
      </c>
      <c r="G660" s="54">
        <f>IFERROR(__xludf.DUMMYFUNCTION("IMPORTRANGE(""https://docs.google.com/spreadsheets/d/1E2x4oDZxEIsuC5nl-5Z0--MoN8b1dt9SbpRcCfNP84Q/edit"",""25!e53"")"),728.0)</f>
        <v>728</v>
      </c>
      <c r="H660" s="54">
        <f>IFERROR(__xludf.DUMMYFUNCTION("IMPORTRANGE(""https://docs.google.com/spreadsheets/d/1E2x4oDZxEIsuC5nl-5Z0--MoN8b1dt9SbpRcCfNP84Q/edit"",""25!e54"")"),0.0)</f>
        <v>0</v>
      </c>
      <c r="I660" s="54">
        <f t="shared" si="1815"/>
        <v>728</v>
      </c>
      <c r="J660" s="54">
        <f>IFERROR(__xludf.DUMMYFUNCTION("IMPORTRANGE(""https://docs.google.com/spreadsheets/d/1E2x4oDZxEIsuC5nl-5Z0--MoN8b1dt9SbpRcCfNP84Q/edit"",""25!e57"")"),787.0)</f>
        <v>787</v>
      </c>
      <c r="K660" s="54">
        <f>IFERROR(__xludf.DUMMYFUNCTION("IMPORTRANGE(""https://docs.google.com/spreadsheets/d/1E2x4oDZxEIsuC5nl-5Z0--MoN8b1dt9SbpRcCfNP84Q/edit"",""25!e58"")"),0.0)</f>
        <v>0</v>
      </c>
      <c r="L660" s="40">
        <f t="shared" si="1816"/>
        <v>787</v>
      </c>
      <c r="M660" s="40">
        <f t="shared" si="1817"/>
        <v>1515</v>
      </c>
      <c r="N660" s="41">
        <f t="shared" si="1818"/>
        <v>198.3708649</v>
      </c>
      <c r="O660" s="38">
        <v>1580.0</v>
      </c>
      <c r="P660" s="42">
        <f t="shared" si="1819"/>
        <v>0.9588607595</v>
      </c>
      <c r="Q660" s="43">
        <v>1.5</v>
      </c>
      <c r="R660" s="42">
        <f t="shared" si="1820"/>
        <v>0.1376073917</v>
      </c>
      <c r="S660" s="44">
        <f t="shared" si="1821"/>
        <v>0.2064110875</v>
      </c>
      <c r="T660" s="43">
        <f>F660/26.805</f>
        <v>273.8191382</v>
      </c>
      <c r="U660" s="43">
        <f t="shared" si="1822"/>
        <v>7.400517249</v>
      </c>
      <c r="V660" s="40">
        <f t="shared" si="1823"/>
        <v>40.94594595</v>
      </c>
      <c r="X660" s="22">
        <v>1.0</v>
      </c>
      <c r="Y660" s="22" t="s">
        <v>28</v>
      </c>
      <c r="Z660" s="22">
        <f t="shared" ref="Z660:AI660" si="1832">SUM(D655)</f>
        <v>26</v>
      </c>
      <c r="AA660" s="23">
        <f t="shared" si="1832"/>
        <v>26</v>
      </c>
      <c r="AB660" s="25">
        <f t="shared" si="1832"/>
        <v>5093.299</v>
      </c>
      <c r="AC660" s="23">
        <f t="shared" si="1832"/>
        <v>1625</v>
      </c>
      <c r="AD660" s="23">
        <f t="shared" si="1832"/>
        <v>42</v>
      </c>
      <c r="AE660" s="23">
        <f t="shared" si="1832"/>
        <v>1667</v>
      </c>
      <c r="AF660" s="23">
        <f t="shared" si="1832"/>
        <v>1801</v>
      </c>
      <c r="AG660" s="23">
        <f t="shared" si="1832"/>
        <v>53</v>
      </c>
      <c r="AH660" s="23">
        <f t="shared" si="1832"/>
        <v>1854</v>
      </c>
      <c r="AI660" s="23">
        <f t="shared" si="1832"/>
        <v>3521</v>
      </c>
      <c r="AJ660" s="25">
        <f t="shared" ref="AJ660:AJ666" si="1835">AB660/AA660</f>
        <v>195.8961154</v>
      </c>
      <c r="AK660" s="22">
        <f t="shared" ref="AK660:AK661" si="1836">SUM(O655)</f>
        <v>7315</v>
      </c>
      <c r="AL660" s="26">
        <f t="shared" ref="AL660:AL666" si="1837">AI660/AK660</f>
        <v>0.4813397129</v>
      </c>
      <c r="AM660" s="27">
        <f t="shared" ref="AM660:AM661" si="1838">SUM(Q655)</f>
        <v>1.5</v>
      </c>
      <c r="AN660" s="26">
        <f t="shared" ref="AN660:AN666" si="1839">AO660/AM660</f>
        <v>0.460866981</v>
      </c>
      <c r="AO660" s="28">
        <f t="shared" ref="AO660:AO666" si="1840">AI660/AB660</f>
        <v>0.6913004715</v>
      </c>
      <c r="AP660" s="27">
        <f t="shared" ref="AP660:AQ660" si="1833">SUM(T655)</f>
        <v>164.8476875</v>
      </c>
      <c r="AQ660" s="27">
        <f t="shared" si="1833"/>
        <v>6.340295672</v>
      </c>
      <c r="AR660" s="23">
        <f t="shared" ref="AR660:AR666" si="1842">AI660/AA660</f>
        <v>135.4230769</v>
      </c>
    </row>
    <row r="661" ht="15.75" customHeight="1">
      <c r="A661" s="21"/>
      <c r="B661" s="38">
        <v>8.0</v>
      </c>
      <c r="C661" s="38" t="s">
        <v>25</v>
      </c>
      <c r="D661" s="57">
        <v>27.0</v>
      </c>
      <c r="E661" s="40">
        <f>IFERROR(__xludf.DUMMYFUNCTION("COUNT(IMPORTRANGE(""https://docs.google.com/spreadsheets/d/1KbRFOEYB0B44J_NSh1MwYQ1sLDlZXUHI-wuMLcZDn5k/edit"",""25!d2:D33""))"),27.0)</f>
        <v>27</v>
      </c>
      <c r="F661" s="45">
        <f>IFERROR(__xludf.DUMMYFUNCTION("SUM(IMPORTRANGE(""https://docs.google.com/spreadsheets/d/1KbRFOEYB0B44J_NSh1MwYQ1sLDlZXUHI-wuMLcZDn5k/edit"",""25!Q2:Q33""))"),5160.476000000001)</f>
        <v>5160.476</v>
      </c>
      <c r="G661" s="40">
        <f>IFERROR(__xludf.DUMMYFUNCTION("IMPORTRANGE(""https://docs.google.com/spreadsheets/d/1KbRFOEYB0B44J_NSh1MwYQ1sLDlZXUHI-wuMLcZDn5k/edit"",""25!e40"")"),1331.0)</f>
        <v>1331</v>
      </c>
      <c r="H661" s="40">
        <f>IFERROR(__xludf.DUMMYFUNCTION("IMPORTRANGE(""https://docs.google.com/spreadsheets/d/1KbRFOEYB0B44J_NSh1MwYQ1sLDlZXUHI-wuMLcZDn5k/edit"",""25!e41"")"),293.0)</f>
        <v>293</v>
      </c>
      <c r="I661" s="40">
        <f t="shared" si="1815"/>
        <v>1624</v>
      </c>
      <c r="J661" s="40">
        <f>IFERROR(__xludf.DUMMYFUNCTION("IMPORTRANGE(""https://docs.google.com/spreadsheets/d/1KbRFOEYB0B44J_NSh1MwYQ1sLDlZXUHI-wuMLcZDn5k/edit"",""25!e44"")"),1919.0)</f>
        <v>1919</v>
      </c>
      <c r="K661" s="40">
        <f>IFERROR(__xludf.DUMMYFUNCTION("IMPORTRANGE(""https://docs.google.com/spreadsheets/d/1KbRFOEYB0B44J_NSh1MwYQ1sLDlZXUHI-wuMLcZDn5k/edit"",""25!e45"")"),249.0)</f>
        <v>249</v>
      </c>
      <c r="L661" s="40">
        <f>J661+K661</f>
        <v>2168</v>
      </c>
      <c r="M661" s="40">
        <f t="shared" si="1817"/>
        <v>3792</v>
      </c>
      <c r="N661" s="41">
        <f t="shared" si="1818"/>
        <v>191.1287407</v>
      </c>
      <c r="O661" s="38">
        <v>6622.0</v>
      </c>
      <c r="P661" s="42">
        <f t="shared" si="1819"/>
        <v>0.5726366657</v>
      </c>
      <c r="Q661" s="43">
        <v>1.5</v>
      </c>
      <c r="R661" s="42">
        <f t="shared" si="1820"/>
        <v>0.4898772904</v>
      </c>
      <c r="S661" s="44">
        <f t="shared" si="1821"/>
        <v>0.7348159356</v>
      </c>
      <c r="T661" s="43">
        <f>F661/23.84</f>
        <v>216.4629195</v>
      </c>
      <c r="U661" s="43">
        <f t="shared" si="1822"/>
        <v>8.017145165</v>
      </c>
      <c r="V661" s="40">
        <f t="shared" si="1823"/>
        <v>140.4444444</v>
      </c>
      <c r="X661" s="31">
        <v>2.0</v>
      </c>
      <c r="Y661" s="31" t="s">
        <v>30</v>
      </c>
      <c r="Z661" s="31">
        <f t="shared" ref="Z661:AI661" si="1834">SUM(D656)</f>
        <v>48</v>
      </c>
      <c r="AA661" s="32">
        <f t="shared" si="1834"/>
        <v>48</v>
      </c>
      <c r="AB661" s="33">
        <f t="shared" si="1834"/>
        <v>9570.179</v>
      </c>
      <c r="AC661" s="32">
        <f t="shared" si="1834"/>
        <v>2338</v>
      </c>
      <c r="AD661" s="32">
        <f t="shared" si="1834"/>
        <v>0</v>
      </c>
      <c r="AE661" s="32">
        <f t="shared" si="1834"/>
        <v>2338</v>
      </c>
      <c r="AF661" s="32">
        <f t="shared" si="1834"/>
        <v>3725</v>
      </c>
      <c r="AG661" s="32">
        <f t="shared" si="1834"/>
        <v>340</v>
      </c>
      <c r="AH661" s="32">
        <f t="shared" si="1834"/>
        <v>4065</v>
      </c>
      <c r="AI661" s="32">
        <f t="shared" si="1834"/>
        <v>6403</v>
      </c>
      <c r="AJ661" s="34">
        <f t="shared" si="1835"/>
        <v>199.3787292</v>
      </c>
      <c r="AK661" s="31">
        <f t="shared" si="1836"/>
        <v>11164</v>
      </c>
      <c r="AL661" s="35">
        <f t="shared" si="1837"/>
        <v>0.5735399498</v>
      </c>
      <c r="AM661" s="36">
        <f t="shared" si="1838"/>
        <v>1.5</v>
      </c>
      <c r="AN661" s="35">
        <f t="shared" si="1839"/>
        <v>0.4460383308</v>
      </c>
      <c r="AO661" s="37">
        <f t="shared" si="1840"/>
        <v>0.6690574962</v>
      </c>
      <c r="AP661" s="36">
        <f t="shared" ref="AP661:AQ661" si="1841">SUM(T656)</f>
        <v>323.2840928</v>
      </c>
      <c r="AQ661" s="36">
        <f t="shared" si="1841"/>
        <v>6.735085267</v>
      </c>
      <c r="AR661" s="32">
        <f t="shared" si="1842"/>
        <v>133.3958333</v>
      </c>
    </row>
    <row r="662" ht="15.75" customHeight="1">
      <c r="A662" s="21"/>
      <c r="B662" s="38">
        <v>9.0</v>
      </c>
      <c r="C662" s="38" t="s">
        <v>36</v>
      </c>
      <c r="D662" s="58">
        <v>23.0</v>
      </c>
      <c r="E662" s="40">
        <f>IFERROR(__xludf.DUMMYFUNCTION("COUNT(IMPORTRANGE(""https://docs.google.com/spreadsheets/d/1VqqqRGfmmkT0JC4ILJva2p8P11jjV0FX-TSKAaqOigw/edit"",""25!d2:d31""))"),23.0)</f>
        <v>23</v>
      </c>
      <c r="F662" s="45">
        <f>IFERROR(__xludf.DUMMYFUNCTION("SUM(IMPORTRANGE(""https://docs.google.com/spreadsheets/d/1VqqqRGfmmkT0JC4ILJva2p8P11jjV0FX-TSKAaqOigw/edit"",""25!Q2:Q31""))"),4483.2959999999985)</f>
        <v>4483.296</v>
      </c>
      <c r="G662" s="40">
        <f>IFERROR(__xludf.DUMMYFUNCTION("IMPORTRANGE(""https://docs.google.com/spreadsheets/d/1VqqqRGfmmkT0JC4ILJva2p8P11jjV0FX-TSKAaqOigw/edit"",""25!e38"")"),1346.0)</f>
        <v>1346</v>
      </c>
      <c r="H662" s="40">
        <f>IFERROR(__xludf.DUMMYFUNCTION("IMPORTRANGE(""https://docs.google.com/spreadsheets/d/1VqqqRGfmmkT0JC4ILJva2p8P11jjV0FX-TSKAaqOigw/edit"",""25!e39"")"),0.0)</f>
        <v>0</v>
      </c>
      <c r="I662" s="40">
        <f t="shared" si="1815"/>
        <v>1346</v>
      </c>
      <c r="J662" s="40">
        <f>IFERROR(__xludf.DUMMYFUNCTION("IMPORTRANGE(""https://docs.google.com/spreadsheets/d/1VqqqRGfmmkT0JC4ILJva2p8P11jjV0FX-TSKAaqOigw/edit"",""25!e42"")"),947.0)</f>
        <v>947</v>
      </c>
      <c r="K662" s="40">
        <f>IFERROR(__xludf.DUMMYFUNCTION("IMPORTRANGE(""https://docs.google.com/spreadsheets/d/1VqqqRGfmmkT0JC4ILJva2p8P11jjV0FX-TSKAaqOigw/edit"",""25!e43"")"),0.0)</f>
        <v>0</v>
      </c>
      <c r="L662" s="40">
        <f t="shared" ref="L662:L671" si="1845">SUM(J662:K662)</f>
        <v>947</v>
      </c>
      <c r="M662" s="40">
        <f t="shared" si="1817"/>
        <v>2293</v>
      </c>
      <c r="N662" s="41">
        <f t="shared" si="1818"/>
        <v>194.925913</v>
      </c>
      <c r="O662" s="38">
        <v>4796.0</v>
      </c>
      <c r="P662" s="42">
        <f t="shared" si="1819"/>
        <v>0.4781067556</v>
      </c>
      <c r="Q662" s="43">
        <v>1.5</v>
      </c>
      <c r="R662" s="42">
        <f t="shared" si="1820"/>
        <v>0.340969382</v>
      </c>
      <c r="S662" s="44">
        <f t="shared" si="1821"/>
        <v>0.5114540731</v>
      </c>
      <c r="T662" s="43">
        <f>F662/37.414</f>
        <v>119.8293687</v>
      </c>
      <c r="U662" s="43">
        <f t="shared" si="1822"/>
        <v>5.209972552</v>
      </c>
      <c r="V662" s="40">
        <f t="shared" si="1823"/>
        <v>99.69565217</v>
      </c>
      <c r="X662" s="22">
        <v>3.0</v>
      </c>
      <c r="Y662" s="22" t="s">
        <v>34</v>
      </c>
      <c r="Z662" s="22">
        <f t="shared" ref="Z662:AI662" si="1843">SUM(D658)</f>
        <v>32</v>
      </c>
      <c r="AA662" s="23">
        <f t="shared" si="1843"/>
        <v>32</v>
      </c>
      <c r="AB662" s="24">
        <f t="shared" si="1843"/>
        <v>6319.974</v>
      </c>
      <c r="AC662" s="23">
        <f t="shared" si="1843"/>
        <v>1764</v>
      </c>
      <c r="AD662" s="23">
        <f t="shared" si="1843"/>
        <v>0</v>
      </c>
      <c r="AE662" s="23">
        <f t="shared" si="1843"/>
        <v>1764</v>
      </c>
      <c r="AF662" s="23">
        <f t="shared" si="1843"/>
        <v>2572</v>
      </c>
      <c r="AG662" s="23">
        <f t="shared" si="1843"/>
        <v>0</v>
      </c>
      <c r="AH662" s="23">
        <f t="shared" si="1843"/>
        <v>2572</v>
      </c>
      <c r="AI662" s="23">
        <f t="shared" si="1843"/>
        <v>4336</v>
      </c>
      <c r="AJ662" s="25">
        <f t="shared" si="1835"/>
        <v>197.4991875</v>
      </c>
      <c r="AK662" s="22">
        <f>SUM(O658)</f>
        <v>9354</v>
      </c>
      <c r="AL662" s="26">
        <f t="shared" si="1837"/>
        <v>0.4635450075</v>
      </c>
      <c r="AM662" s="27">
        <f>SUM(Q658)</f>
        <v>1.5</v>
      </c>
      <c r="AN662" s="26">
        <f t="shared" si="1839"/>
        <v>0.4573858479</v>
      </c>
      <c r="AO662" s="28">
        <f t="shared" si="1840"/>
        <v>0.6860787718</v>
      </c>
      <c r="AP662" s="27">
        <f t="shared" ref="AP662:AQ662" si="1844">SUM(T658)</f>
        <v>205.7752092</v>
      </c>
      <c r="AQ662" s="27">
        <f t="shared" si="1844"/>
        <v>6.430475287</v>
      </c>
      <c r="AR662" s="23">
        <f t="shared" si="1842"/>
        <v>135.5</v>
      </c>
    </row>
    <row r="663" ht="15.75" customHeight="1">
      <c r="A663" s="21"/>
      <c r="B663" s="38">
        <v>10.0</v>
      </c>
      <c r="C663" s="38" t="s">
        <v>37</v>
      </c>
      <c r="D663" s="39">
        <v>24.0</v>
      </c>
      <c r="E663" s="40">
        <f>IFERROR(__xludf.DUMMYFUNCTION("COUNT(IMPORTRANGE(""https://docs.google.com/spreadsheets/d/1IYeRjQd_D6MRqoBKNaky3aSEUloYCJc5XDnPAbdyetk/edit"",""25!d2:d31""))"),22.0)</f>
        <v>22</v>
      </c>
      <c r="F663" s="45">
        <f>IFERROR(__xludf.DUMMYFUNCTION("SUM(IMPORTRANGE(""https://docs.google.com/spreadsheets/d/1IYeRjQd_D6MRqoBKNaky3aSEUloYCJc5XDnPAbdyetk/edit"",""25!Q2:Q31""))"),4311.186000000001)</f>
        <v>4311.186</v>
      </c>
      <c r="G663" s="40">
        <f>IFERROR(__xludf.DUMMYFUNCTION("(IMPORTRANGE(""https://docs.google.com/spreadsheets/d/1IYeRjQd_D6MRqoBKNaky3aSEUloYCJc5XDnPAbdyetk/edit"",""25!e38""))"),1044.0)</f>
        <v>1044</v>
      </c>
      <c r="H663" s="40">
        <f>IFERROR(__xludf.DUMMYFUNCTION("(IMPORTRANGE(""https://docs.google.com/spreadsheets/d/1IYeRjQd_D6MRqoBKNaky3aSEUloYCJc5XDnPAbdyetk/edit"",""25!e39""))"),0.0)</f>
        <v>0</v>
      </c>
      <c r="I663" s="40">
        <f t="shared" si="1815"/>
        <v>1044</v>
      </c>
      <c r="J663" s="40">
        <f>IFERROR(__xludf.DUMMYFUNCTION("(IMPORTRANGE(""https://docs.google.com/spreadsheets/d/1IYeRjQd_D6MRqoBKNaky3aSEUloYCJc5XDnPAbdyetk/edit"",""25!e42""))"),1999.0)</f>
        <v>1999</v>
      </c>
      <c r="K663" s="40">
        <f>IFERROR(__xludf.DUMMYFUNCTION("(IMPORTRANGE(""https://docs.google.com/spreadsheets/d/1IYeRjQd_D6MRqoBKNaky3aSEUloYCJc5XDnPAbdyetk/edit"",""25!e43""))"),0.0)</f>
        <v>0</v>
      </c>
      <c r="L663" s="40">
        <f t="shared" si="1845"/>
        <v>1999</v>
      </c>
      <c r="M663" s="40">
        <f t="shared" si="1817"/>
        <v>3043</v>
      </c>
      <c r="N663" s="41">
        <f t="shared" si="1818"/>
        <v>195.963</v>
      </c>
      <c r="O663" s="38">
        <v>5887.0</v>
      </c>
      <c r="P663" s="42">
        <f t="shared" si="1819"/>
        <v>0.5169016477</v>
      </c>
      <c r="Q663" s="43">
        <v>1.5</v>
      </c>
      <c r="R663" s="42">
        <f t="shared" si="1820"/>
        <v>0.4705588362</v>
      </c>
      <c r="S663" s="44">
        <f t="shared" si="1821"/>
        <v>0.7058382543</v>
      </c>
      <c r="T663" s="43">
        <f>F663/24.792</f>
        <v>173.8942401</v>
      </c>
      <c r="U663" s="43">
        <f t="shared" si="1822"/>
        <v>7.90428364</v>
      </c>
      <c r="V663" s="40">
        <f t="shared" si="1823"/>
        <v>138.3181818</v>
      </c>
      <c r="X663" s="31">
        <v>4.0</v>
      </c>
      <c r="Y663" s="31" t="s">
        <v>38</v>
      </c>
      <c r="Z663" s="31">
        <f t="shared" ref="Z663:AI663" si="1846">SUM(D666)</f>
        <v>24</v>
      </c>
      <c r="AA663" s="32">
        <f t="shared" si="1846"/>
        <v>24</v>
      </c>
      <c r="AB663" s="33">
        <f t="shared" si="1846"/>
        <v>4409.966</v>
      </c>
      <c r="AC663" s="32">
        <f t="shared" si="1846"/>
        <v>1418</v>
      </c>
      <c r="AD663" s="32">
        <f t="shared" si="1846"/>
        <v>0</v>
      </c>
      <c r="AE663" s="32">
        <f t="shared" si="1846"/>
        <v>1418</v>
      </c>
      <c r="AF663" s="32">
        <f t="shared" si="1846"/>
        <v>1903</v>
      </c>
      <c r="AG663" s="32">
        <f t="shared" si="1846"/>
        <v>366</v>
      </c>
      <c r="AH663" s="32">
        <f t="shared" si="1846"/>
        <v>2269</v>
      </c>
      <c r="AI663" s="32">
        <f t="shared" si="1846"/>
        <v>3687</v>
      </c>
      <c r="AJ663" s="34">
        <f t="shared" si="1835"/>
        <v>183.7485833</v>
      </c>
      <c r="AK663" s="31">
        <v>7324.0</v>
      </c>
      <c r="AL663" s="35">
        <f t="shared" si="1837"/>
        <v>0.5034134353</v>
      </c>
      <c r="AM663" s="36">
        <f>SUM(Q666)</f>
        <v>1.5</v>
      </c>
      <c r="AN663" s="35">
        <f t="shared" si="1839"/>
        <v>0.5573739117</v>
      </c>
      <c r="AO663" s="37">
        <f t="shared" si="1840"/>
        <v>0.8360608676</v>
      </c>
      <c r="AP663" s="36">
        <f t="shared" ref="AP663:AQ663" si="1847">SUM(T666)</f>
        <v>107.0250212</v>
      </c>
      <c r="AQ663" s="36">
        <f t="shared" si="1847"/>
        <v>4.459375885</v>
      </c>
      <c r="AR663" s="32">
        <f t="shared" si="1842"/>
        <v>153.625</v>
      </c>
    </row>
    <row r="664" ht="15.75" customHeight="1">
      <c r="A664" s="21"/>
      <c r="B664" s="38">
        <v>12.0</v>
      </c>
      <c r="C664" s="38" t="s">
        <v>39</v>
      </c>
      <c r="D664" s="39">
        <v>22.0</v>
      </c>
      <c r="E664" s="40">
        <f>IFERROR(__xludf.DUMMYFUNCTION("COUNT(IMPORTRANGE(""https://docs.google.com/spreadsheets/d/1TAY2D35yAzyl8a_p5CuZehQvmatfj0b0Q8ICl8GtJBY/edit"",""25!d2:d29""))"),21.0)</f>
        <v>21</v>
      </c>
      <c r="F664" s="45">
        <f>IFERROR(__xludf.DUMMYFUNCTION("SUM(IMPORTRANGE(""https://docs.google.com/spreadsheets/d/1TAY2D35yAzyl8a_p5CuZehQvmatfj0b0Q8ICl8GtJBY/edit"",""25!Q2:Q29""))"),3954.6490000000003)</f>
        <v>3954.649</v>
      </c>
      <c r="G664" s="40">
        <f>IFERROR(__xludf.DUMMYFUNCTION("IMPORTRANGE(""https://docs.google.com/spreadsheets/d/1TAY2D35yAzyl8a_p5CuZehQvmatfj0b0Q8ICl8GtJBY/edit"",""25!e36"")"),801.0)</f>
        <v>801</v>
      </c>
      <c r="H664" s="40">
        <f>IFERROR(__xludf.DUMMYFUNCTION("(IMPORTRANGE(""https://docs.google.com/spreadsheets/d/1TAY2D35yAzyl8a_p5CuZehQvmatfj0b0Q8ICl8GtJBY/edit"",""25!e37""))"),0.0)</f>
        <v>0</v>
      </c>
      <c r="I664" s="40">
        <f t="shared" si="1815"/>
        <v>801</v>
      </c>
      <c r="J664" s="40">
        <f>IFERROR(__xludf.DUMMYFUNCTION("IMPORTRANGE(""https://docs.google.com/spreadsheets/d/1TAY2D35yAzyl8a_p5CuZehQvmatfj0b0Q8ICl8GtJBY/edit"",""25!e40"")"),976.0)</f>
        <v>976</v>
      </c>
      <c r="K664" s="40">
        <f>IFERROR(__xludf.DUMMYFUNCTION("IMPORTRANGE(""https://docs.google.com/spreadsheets/d/1TAY2D35yAzyl8a_p5CuZehQvmatfj0b0Q8ICl8GtJBY/edit"",""25!e41"")"),126.0)</f>
        <v>126</v>
      </c>
      <c r="L664" s="40">
        <f t="shared" si="1845"/>
        <v>1102</v>
      </c>
      <c r="M664" s="40">
        <f t="shared" si="1817"/>
        <v>1903</v>
      </c>
      <c r="N664" s="41">
        <f t="shared" si="1818"/>
        <v>188.316619</v>
      </c>
      <c r="O664" s="38">
        <v>3569.0</v>
      </c>
      <c r="P664" s="42">
        <f t="shared" si="1819"/>
        <v>0.5332025778</v>
      </c>
      <c r="Q664" s="43">
        <v>1.5</v>
      </c>
      <c r="R664" s="42">
        <f t="shared" si="1820"/>
        <v>0.3208038606</v>
      </c>
      <c r="S664" s="44">
        <f t="shared" si="1821"/>
        <v>0.481205791</v>
      </c>
      <c r="T664" s="43">
        <f>F664/21.463</f>
        <v>184.2542515</v>
      </c>
      <c r="U664" s="43">
        <f t="shared" si="1822"/>
        <v>8.774011976</v>
      </c>
      <c r="V664" s="40">
        <f t="shared" si="1823"/>
        <v>90.61904762</v>
      </c>
      <c r="X664" s="31">
        <v>5.0</v>
      </c>
      <c r="Y664" s="31" t="s">
        <v>40</v>
      </c>
      <c r="Z664" s="31">
        <f t="shared" ref="Z664:AI664" si="1848">SUM(D668)</f>
        <v>24</v>
      </c>
      <c r="AA664" s="32">
        <f t="shared" si="1848"/>
        <v>23</v>
      </c>
      <c r="AB664" s="33">
        <f t="shared" si="1848"/>
        <v>4579.323</v>
      </c>
      <c r="AC664" s="32">
        <f t="shared" si="1848"/>
        <v>2007</v>
      </c>
      <c r="AD664" s="32">
        <f t="shared" si="1848"/>
        <v>0</v>
      </c>
      <c r="AE664" s="32">
        <f t="shared" si="1848"/>
        <v>2007</v>
      </c>
      <c r="AF664" s="32">
        <f t="shared" si="1848"/>
        <v>2807</v>
      </c>
      <c r="AG664" s="32">
        <f t="shared" si="1848"/>
        <v>0</v>
      </c>
      <c r="AH664" s="32">
        <f t="shared" si="1848"/>
        <v>2807</v>
      </c>
      <c r="AI664" s="32">
        <f t="shared" si="1848"/>
        <v>4814</v>
      </c>
      <c r="AJ664" s="34">
        <f t="shared" si="1835"/>
        <v>199.101</v>
      </c>
      <c r="AK664" s="31">
        <f t="shared" ref="AK664:AK665" si="1851">SUM(O668)</f>
        <v>8239</v>
      </c>
      <c r="AL664" s="35">
        <f t="shared" si="1837"/>
        <v>0.5842942105</v>
      </c>
      <c r="AM664" s="36">
        <f t="shared" ref="AM664:AM665" si="1852">SUM(Q668)</f>
        <v>1.5</v>
      </c>
      <c r="AN664" s="35">
        <f t="shared" si="1839"/>
        <v>0.7008313965</v>
      </c>
      <c r="AO664" s="37">
        <f t="shared" si="1840"/>
        <v>1.051247095</v>
      </c>
      <c r="AP664" s="36">
        <f t="shared" ref="AP664:AQ664" si="1849">SUM(T668)</f>
        <v>161</v>
      </c>
      <c r="AQ664" s="36">
        <f t="shared" si="1849"/>
        <v>7</v>
      </c>
      <c r="AR664" s="32">
        <f t="shared" si="1842"/>
        <v>209.3043478</v>
      </c>
    </row>
    <row r="665" ht="15.75" customHeight="1">
      <c r="A665" s="21"/>
      <c r="B665" s="38">
        <v>12.0</v>
      </c>
      <c r="C665" s="38" t="s">
        <v>41</v>
      </c>
      <c r="D665" s="39">
        <v>20.0</v>
      </c>
      <c r="E665" s="40">
        <f>IFERROR(__xludf.DUMMYFUNCTION("COUNT(IMPORTRANGE(""https://docs.google.com/spreadsheets/d/1VAsUtLQHi7oV9NsI9EIHPnO1bcPJHeRgSbMoxSvPBME/edit"",""25!d2:d25""))"),20.0)</f>
        <v>20</v>
      </c>
      <c r="F665" s="45">
        <f>IFERROR(__xludf.DUMMYFUNCTION("SUM(IMPORTRANGE(""https://docs.google.com/spreadsheets/d/1VAsUtLQHi7oV9NsI9EIHPnO1bcPJHeRgSbMoxSvPBME/edit"",""25!Q2:Q25""))"),3993.196000000001)</f>
        <v>3993.196</v>
      </c>
      <c r="G665" s="40">
        <f>IFERROR(__xludf.DUMMYFUNCTION("IMPORTRANGE(""https://docs.google.com/spreadsheets/d/1VAsUtLQHi7oV9NsI9EIHPnO1bcPJHeRgSbMoxSvPBME/edit"",""25!e32"")"),799.0)</f>
        <v>799</v>
      </c>
      <c r="H665" s="40">
        <f>IFERROR(__xludf.DUMMYFUNCTION("IMPORTRANGE(""https://docs.google.com/spreadsheets/d/1VAsUtLQHi7oV9NsI9EIHPnO1bcPJHeRgSbMoxSvPBME/edit"",""25!e33"")"),0.0)</f>
        <v>0</v>
      </c>
      <c r="I665" s="40">
        <f t="shared" si="1815"/>
        <v>799</v>
      </c>
      <c r="J665" s="40">
        <f>IFERROR(__xludf.DUMMYFUNCTION("IMPORTRANGE(""https://docs.google.com/spreadsheets/d/1VAsUtLQHi7oV9NsI9EIHPnO1bcPJHeRgSbMoxSvPBME/edit"",""25!e36"")"),1010.0)</f>
        <v>1010</v>
      </c>
      <c r="K665" s="40">
        <f>IFERROR(__xludf.DUMMYFUNCTION("IMPORTRANGE(""https://docs.google.com/spreadsheets/d/1VAsUtLQHi7oV9NsI9EIHPnO1bcPJHeRgSbMoxSvPBME/edit"",""25!e37"")"),53.0)</f>
        <v>53</v>
      </c>
      <c r="L665" s="40">
        <f t="shared" si="1845"/>
        <v>1063</v>
      </c>
      <c r="M665" s="40">
        <f t="shared" si="1817"/>
        <v>1862</v>
      </c>
      <c r="N665" s="41">
        <f t="shared" si="1818"/>
        <v>199.6598</v>
      </c>
      <c r="O665" s="38">
        <v>3801.0</v>
      </c>
      <c r="P665" s="42">
        <f t="shared" si="1819"/>
        <v>0.4898710866</v>
      </c>
      <c r="Q665" s="43">
        <v>1.5</v>
      </c>
      <c r="R665" s="42">
        <f t="shared" si="1820"/>
        <v>0.3108621098</v>
      </c>
      <c r="S665" s="44">
        <f t="shared" si="1821"/>
        <v>0.4662931647</v>
      </c>
      <c r="T665" s="43">
        <f>F665/29.628</f>
        <v>134.7777778</v>
      </c>
      <c r="U665" s="43">
        <f t="shared" si="1822"/>
        <v>6.738888889</v>
      </c>
      <c r="V665" s="40">
        <f t="shared" si="1823"/>
        <v>93.1</v>
      </c>
      <c r="X665" s="22">
        <v>6.0</v>
      </c>
      <c r="Y665" s="22" t="s">
        <v>42</v>
      </c>
      <c r="Z665" s="22">
        <f t="shared" ref="Z665:AI665" si="1850">SUM(D669)</f>
        <v>26</v>
      </c>
      <c r="AA665" s="23">
        <f t="shared" si="1850"/>
        <v>25</v>
      </c>
      <c r="AB665" s="24">
        <f t="shared" si="1850"/>
        <v>4960.219</v>
      </c>
      <c r="AC665" s="23">
        <f t="shared" si="1850"/>
        <v>2049</v>
      </c>
      <c r="AD665" s="23">
        <f t="shared" si="1850"/>
        <v>85</v>
      </c>
      <c r="AE665" s="23">
        <f t="shared" si="1850"/>
        <v>2134</v>
      </c>
      <c r="AF665" s="23">
        <f t="shared" si="1850"/>
        <v>2674</v>
      </c>
      <c r="AG665" s="23">
        <f t="shared" si="1850"/>
        <v>131</v>
      </c>
      <c r="AH665" s="23">
        <f t="shared" si="1850"/>
        <v>2805</v>
      </c>
      <c r="AI665" s="23">
        <f t="shared" si="1850"/>
        <v>4939</v>
      </c>
      <c r="AJ665" s="25">
        <f t="shared" si="1835"/>
        <v>198.40876</v>
      </c>
      <c r="AK665" s="22">
        <f t="shared" si="1851"/>
        <v>9877</v>
      </c>
      <c r="AL665" s="26">
        <f t="shared" si="1837"/>
        <v>0.5000506227</v>
      </c>
      <c r="AM665" s="27">
        <f t="shared" si="1852"/>
        <v>1.5</v>
      </c>
      <c r="AN665" s="26">
        <f t="shared" si="1839"/>
        <v>0.6638147765</v>
      </c>
      <c r="AO665" s="28">
        <f t="shared" si="1840"/>
        <v>0.9957221647</v>
      </c>
      <c r="AP665" s="27">
        <f t="shared" ref="AP665:AQ665" si="1853">SUM(T669)</f>
        <v>189.6470656</v>
      </c>
      <c r="AQ665" s="27">
        <f t="shared" si="1853"/>
        <v>7.585882623</v>
      </c>
      <c r="AR665" s="23">
        <f t="shared" si="1842"/>
        <v>197.56</v>
      </c>
    </row>
    <row r="666" ht="15.75" customHeight="1">
      <c r="A666" s="21"/>
      <c r="B666" s="38">
        <v>13.0</v>
      </c>
      <c r="C666" s="38" t="s">
        <v>43</v>
      </c>
      <c r="D666" s="39">
        <v>24.0</v>
      </c>
      <c r="E666" s="40">
        <f>IFERROR(__xludf.DUMMYFUNCTION("COUNT(IMPORTRANGE(""https://docs.google.com/spreadsheets/d/1p9Y_DGk7-TpRBFth-ljZceOIGCjQ0ylUeUq6xqnsZ-Q/edit"",""25!d2:d31""))"),24.0)</f>
        <v>24</v>
      </c>
      <c r="F666" s="45">
        <f>IFERROR(__xludf.DUMMYFUNCTION("SUM(IMPORTRANGE(""https://docs.google.com/spreadsheets/d/1p9Y_DGk7-TpRBFth-ljZceOIGCjQ0ylUeUq6xqnsZ-Q/edit"",""25!Q2:Q31""))"),4409.966000000001)</f>
        <v>4409.966</v>
      </c>
      <c r="G666" s="40">
        <f>IFERROR(__xludf.DUMMYFUNCTION("IMPORTRANGE(""https://docs.google.com/spreadsheets/d/1p9Y_DGk7-TpRBFth-ljZceOIGCjQ0ylUeUq6xqnsZ-Q/edit"",""25!e38"")"),1418.0)</f>
        <v>1418</v>
      </c>
      <c r="H666" s="40">
        <f>IFERROR(__xludf.DUMMYFUNCTION("IMPORTRANGE(""https://docs.google.com/spreadsheets/d/1p9Y_DGk7-TpRBFth-ljZceOIGCjQ0ylUeUq6xqnsZ-Q/edit"",""25!e39"")"),0.0)</f>
        <v>0</v>
      </c>
      <c r="I666" s="40">
        <f t="shared" si="1815"/>
        <v>1418</v>
      </c>
      <c r="J666" s="40">
        <f>IFERROR(__xludf.DUMMYFUNCTION("IMPORTRANGE(""https://docs.google.com/spreadsheets/d/1p9Y_DGk7-TpRBFth-ljZceOIGCjQ0ylUeUq6xqnsZ-Q/edit"",""25!e42"")"),1903.0)</f>
        <v>1903</v>
      </c>
      <c r="K666" s="40">
        <f>IFERROR(__xludf.DUMMYFUNCTION("IMPORTRANGE(""https://docs.google.com/spreadsheets/d/1p9Y_DGk7-TpRBFth-ljZceOIGCjQ0ylUeUq6xqnsZ-Q/edit"",""25!e43"")"),366.0)</f>
        <v>366</v>
      </c>
      <c r="L666" s="40">
        <f t="shared" si="1845"/>
        <v>2269</v>
      </c>
      <c r="M666" s="40">
        <f t="shared" si="1817"/>
        <v>3687</v>
      </c>
      <c r="N666" s="41">
        <f t="shared" si="1818"/>
        <v>183.7485833</v>
      </c>
      <c r="O666" s="38">
        <v>8345.0</v>
      </c>
      <c r="P666" s="42">
        <f t="shared" si="1819"/>
        <v>0.44182145</v>
      </c>
      <c r="Q666" s="43">
        <v>1.5</v>
      </c>
      <c r="R666" s="42">
        <f t="shared" si="1820"/>
        <v>0.5573739117</v>
      </c>
      <c r="S666" s="44">
        <f t="shared" si="1821"/>
        <v>0.8360608676</v>
      </c>
      <c r="T666" s="43">
        <f>F666/41.205</f>
        <v>107.0250212</v>
      </c>
      <c r="U666" s="43">
        <f t="shared" si="1822"/>
        <v>4.459375885</v>
      </c>
      <c r="V666" s="40">
        <f t="shared" si="1823"/>
        <v>153.625</v>
      </c>
      <c r="X666" s="46" t="s">
        <v>33</v>
      </c>
      <c r="Y666" s="46">
        <v>6.0</v>
      </c>
      <c r="Z666" s="46">
        <f t="shared" ref="Z666:AI666" si="1854">SUM(Z660:Z665)</f>
        <v>180</v>
      </c>
      <c r="AA666" s="47">
        <f t="shared" si="1854"/>
        <v>178</v>
      </c>
      <c r="AB666" s="49">
        <f t="shared" si="1854"/>
        <v>34932.96</v>
      </c>
      <c r="AC666" s="47">
        <f t="shared" si="1854"/>
        <v>11201</v>
      </c>
      <c r="AD666" s="47">
        <f t="shared" si="1854"/>
        <v>127</v>
      </c>
      <c r="AE666" s="47">
        <f t="shared" si="1854"/>
        <v>11328</v>
      </c>
      <c r="AF666" s="47">
        <f t="shared" si="1854"/>
        <v>15482</v>
      </c>
      <c r="AG666" s="47">
        <f t="shared" si="1854"/>
        <v>890</v>
      </c>
      <c r="AH666" s="47">
        <f t="shared" si="1854"/>
        <v>16372</v>
      </c>
      <c r="AI666" s="47">
        <f t="shared" si="1854"/>
        <v>27700</v>
      </c>
      <c r="AJ666" s="49">
        <f t="shared" si="1835"/>
        <v>196.2525843</v>
      </c>
      <c r="AK666" s="46">
        <f>SUM(AK660:AK665)</f>
        <v>53273</v>
      </c>
      <c r="AL666" s="50">
        <f t="shared" si="1837"/>
        <v>0.5199632084</v>
      </c>
      <c r="AM666" s="51">
        <v>1.5</v>
      </c>
      <c r="AN666" s="50">
        <f t="shared" si="1839"/>
        <v>0.5286316037</v>
      </c>
      <c r="AO666" s="52">
        <f t="shared" si="1840"/>
        <v>0.7929474055</v>
      </c>
      <c r="AP666" s="51">
        <f>SUM(AP660:AP665)</f>
        <v>1151.579076</v>
      </c>
      <c r="AQ666" s="51">
        <f>AP666/AA666</f>
        <v>6.469545373</v>
      </c>
      <c r="AR666" s="47">
        <f t="shared" si="1842"/>
        <v>155.6179775</v>
      </c>
    </row>
    <row r="667" ht="15.75" customHeight="1">
      <c r="A667" s="21"/>
      <c r="B667" s="38">
        <v>14.0</v>
      </c>
      <c r="C667" s="38" t="s">
        <v>27</v>
      </c>
      <c r="D667" s="39">
        <v>24.0</v>
      </c>
      <c r="E667" s="40">
        <f>IFERROR(__xludf.DUMMYFUNCTION("COUNT(IMPORTRANGE(""https://docs.google.com/spreadsheets/d/1zJUDEKztv_fercXA0LYNw155qdzS7TJGhWLhquaW5IY/edit"",""25!d2:d31""))"),22.0)</f>
        <v>22</v>
      </c>
      <c r="F667" s="45">
        <f>IFERROR(__xludf.DUMMYFUNCTION("SUM(IMPORTRANGE(""https://docs.google.com/spreadsheets/d/1zJUDEKztv_fercXA0LYNw155qdzS7TJGhWLhquaW5IY/edit"",""25!Q2:Q31""))"),4212.727999999999)</f>
        <v>4212.728</v>
      </c>
      <c r="G667" s="40">
        <f>IFERROR(__xludf.DUMMYFUNCTION("IMPORTRANGE(""https://docs.google.com/spreadsheets/d/1zJUDEKztv_fercXA0LYNw155qdzS7TJGhWLhquaW5IY/edit"",""25!e38"")"),1365.0)</f>
        <v>1365</v>
      </c>
      <c r="H667" s="40">
        <f>IFERROR(__xludf.DUMMYFUNCTION("IMPORTRANGE(""https://docs.google.com/spreadsheets/d/1zJUDEKztv_fercXA0LYNw155qdzS7TJGhWLhquaW5IY/edit"",""25!e39"")"),0.0)</f>
        <v>0</v>
      </c>
      <c r="I667" s="40">
        <f t="shared" si="1815"/>
        <v>1365</v>
      </c>
      <c r="J667" s="40">
        <f>IFERROR(__xludf.DUMMYFUNCTION("IMPORTRANGE(""https://docs.google.com/spreadsheets/d/1zJUDEKztv_fercXA0LYNw155qdzS7TJGhWLhquaW5IY/edit"",""25!e42"")"),2156.0)</f>
        <v>2156</v>
      </c>
      <c r="K667" s="40">
        <f>IFERROR(__xludf.DUMMYFUNCTION("IMPORTRANGE(""https://docs.google.com/spreadsheets/d/1zJUDEKztv_fercXA0LYNw155qdzS7TJGhWLhquaW5IY/edit"",""25!e43"")"),0.0)</f>
        <v>0</v>
      </c>
      <c r="L667" s="40">
        <f t="shared" si="1845"/>
        <v>2156</v>
      </c>
      <c r="M667" s="40">
        <f t="shared" si="1817"/>
        <v>3521</v>
      </c>
      <c r="N667" s="41">
        <f t="shared" si="1818"/>
        <v>191.4876364</v>
      </c>
      <c r="O667" s="38">
        <v>8101.0</v>
      </c>
      <c r="P667" s="42">
        <f t="shared" si="1819"/>
        <v>0.434637699</v>
      </c>
      <c r="Q667" s="43">
        <v>1.5</v>
      </c>
      <c r="R667" s="42">
        <f t="shared" si="1820"/>
        <v>0.5572003066</v>
      </c>
      <c r="S667" s="44">
        <f t="shared" si="1821"/>
        <v>0.8358004599</v>
      </c>
      <c r="T667" s="43">
        <f>F667/19.985</f>
        <v>210.7944959</v>
      </c>
      <c r="U667" s="43">
        <f t="shared" si="1822"/>
        <v>9.581567994</v>
      </c>
      <c r="V667" s="40">
        <f t="shared" si="1823"/>
        <v>160.0454545</v>
      </c>
      <c r="X667" s="59" t="s">
        <v>44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6"/>
    </row>
    <row r="668" ht="15.75" customHeight="1">
      <c r="A668" s="21"/>
      <c r="B668" s="38">
        <v>15.0</v>
      </c>
      <c r="C668" s="38" t="s">
        <v>40</v>
      </c>
      <c r="D668" s="39">
        <v>24.0</v>
      </c>
      <c r="E668" s="40">
        <f>IFERROR(__xludf.DUMMYFUNCTION("COUNT(IMPORTRANGE(""https://docs.google.com/spreadsheets/d/15GJA66Ucb-8RQ5vWVpq5HYaWoZZFX82SCeHChBujbrI/edit"",""25!d2:d31""))"),23.0)</f>
        <v>23</v>
      </c>
      <c r="F668" s="45">
        <f>IFERROR(__xludf.DUMMYFUNCTION("SUM(IMPORTRANGE(""https://docs.google.com/spreadsheets/d/15GJA66Ucb-8RQ5vWVpq5HYaWoZZFX82SCeHChBujbrI/edit"",""25!Q2:Q31""))"),4579.323)</f>
        <v>4579.323</v>
      </c>
      <c r="G668" s="40">
        <f>IFERROR(__xludf.DUMMYFUNCTION("IMPORTRANGE(""https://docs.google.com/spreadsheets/d/15GJA66Ucb-8RQ5vWVpq5HYaWoZZFX82SCeHChBujbrI/edit"",""25!e38"")"),2007.0)</f>
        <v>2007</v>
      </c>
      <c r="H668" s="40">
        <f>IFERROR(__xludf.DUMMYFUNCTION("IMPORTRANGE(""https://docs.google.com/spreadsheets/d/15GJA66Ucb-8RQ5vWVpq5HYaWoZZFX82SCeHChBujbrI/edit"",""25!e39"")"),0.0)</f>
        <v>0</v>
      </c>
      <c r="I668" s="40">
        <f t="shared" si="1815"/>
        <v>2007</v>
      </c>
      <c r="J668" s="40">
        <f>IFERROR(__xludf.DUMMYFUNCTION("IMPORTRANGE(""https://docs.google.com/spreadsheets/d/15GJA66Ucb-8RQ5vWVpq5HYaWoZZFX82SCeHChBujbrI/edit"",""25!e42"")"),2807.0)</f>
        <v>2807</v>
      </c>
      <c r="K668" s="40">
        <f>IFERROR(__xludf.DUMMYFUNCTION("IMPORTRANGE(""https://docs.google.com/spreadsheets/d/15GJA66Ucb-8RQ5vWVpq5HYaWoZZFX82SCeHChBujbrI/edit"",""25!e43"")"),0.0)</f>
        <v>0</v>
      </c>
      <c r="L668" s="40">
        <f t="shared" si="1845"/>
        <v>2807</v>
      </c>
      <c r="M668" s="40">
        <f t="shared" si="1817"/>
        <v>4814</v>
      </c>
      <c r="N668" s="41">
        <f t="shared" si="1818"/>
        <v>199.101</v>
      </c>
      <c r="O668" s="38">
        <v>8239.0</v>
      </c>
      <c r="P668" s="42">
        <f t="shared" si="1819"/>
        <v>0.5842942105</v>
      </c>
      <c r="Q668" s="43">
        <v>1.5</v>
      </c>
      <c r="R668" s="42">
        <f t="shared" si="1820"/>
        <v>0.7008313965</v>
      </c>
      <c r="S668" s="44">
        <f t="shared" si="1821"/>
        <v>1.051247095</v>
      </c>
      <c r="T668" s="43">
        <f>F668/28.443</f>
        <v>161</v>
      </c>
      <c r="U668" s="43">
        <f t="shared" si="1822"/>
        <v>7</v>
      </c>
      <c r="V668" s="40">
        <f t="shared" si="1823"/>
        <v>209.3043478</v>
      </c>
      <c r="X668" s="14" t="s">
        <v>2</v>
      </c>
      <c r="Y668" s="14" t="s">
        <v>3</v>
      </c>
      <c r="Z668" s="14" t="s">
        <v>4</v>
      </c>
      <c r="AA668" s="14" t="s">
        <v>5</v>
      </c>
      <c r="AB668" s="15" t="s">
        <v>6</v>
      </c>
      <c r="AC668" s="14" t="s">
        <v>7</v>
      </c>
      <c r="AD668" s="14" t="s">
        <v>8</v>
      </c>
      <c r="AE668" s="14" t="s">
        <v>9</v>
      </c>
      <c r="AF668" s="14" t="s">
        <v>10</v>
      </c>
      <c r="AG668" s="14" t="s">
        <v>11</v>
      </c>
      <c r="AH668" s="14" t="s">
        <v>12</v>
      </c>
      <c r="AI668" s="14" t="s">
        <v>13</v>
      </c>
      <c r="AJ668" s="15" t="s">
        <v>14</v>
      </c>
      <c r="AK668" s="14" t="s">
        <v>15</v>
      </c>
      <c r="AL668" s="14" t="s">
        <v>16</v>
      </c>
      <c r="AM668" s="16" t="s">
        <v>17</v>
      </c>
      <c r="AN668" s="17" t="s">
        <v>18</v>
      </c>
      <c r="AO668" s="18" t="s">
        <v>19</v>
      </c>
      <c r="AP668" s="19" t="s">
        <v>20</v>
      </c>
      <c r="AQ668" s="19" t="s">
        <v>21</v>
      </c>
      <c r="AR668" s="20" t="s">
        <v>22</v>
      </c>
    </row>
    <row r="669" ht="15.75" customHeight="1">
      <c r="A669" s="21"/>
      <c r="B669" s="38">
        <v>16.0</v>
      </c>
      <c r="C669" s="38" t="s">
        <v>42</v>
      </c>
      <c r="D669" s="39">
        <v>26.0</v>
      </c>
      <c r="E669" s="40">
        <f>IFERROR(__xludf.DUMMYFUNCTION("COUNT(IMPORTRANGE(""https://docs.google.com/spreadsheets/d/14Tu_jFPEdrIQ6DHYu6vRvJKQsbXr-48NY1tKy4-8JKI/edit"",""25!d2:d34""))"),25.0)</f>
        <v>25</v>
      </c>
      <c r="F669" s="45">
        <f>IFERROR(__xludf.DUMMYFUNCTION("SUM(IMPORTRANGE(""https://docs.google.com/spreadsheets/d/14Tu_jFPEdrIQ6DHYu6vRvJKQsbXr-48NY1tKy4-8JKI/edit"",""25!Q2:Q34""))"),4960.218999999998)</f>
        <v>4960.219</v>
      </c>
      <c r="G669" s="40">
        <f>IFERROR(__xludf.DUMMYFUNCTION("IMPORTRANGE(""https://docs.google.com/spreadsheets/d/14Tu_jFPEdrIQ6DHYu6vRvJKQsbXr-48NY1tKy4-8JKI/edit"",""25!e41"")"),2049.0)</f>
        <v>2049</v>
      </c>
      <c r="H669" s="40">
        <f>IFERROR(__xludf.DUMMYFUNCTION("IMPORTRANGE(""https://docs.google.com/spreadsheets/d/14Tu_jFPEdrIQ6DHYu6vRvJKQsbXr-48NY1tKy4-8JKI/edit"",""25!e42"")"),85.0)</f>
        <v>85</v>
      </c>
      <c r="I669" s="40">
        <f t="shared" si="1815"/>
        <v>2134</v>
      </c>
      <c r="J669" s="40">
        <f>IFERROR(__xludf.DUMMYFUNCTION("IMPORTRANGE(""https://docs.google.com/spreadsheets/d/14Tu_jFPEdrIQ6DHYu6vRvJKQsbXr-48NY1tKy4-8JKI/edit"",""25!e45"")"),2674.0)</f>
        <v>2674</v>
      </c>
      <c r="K669" s="40">
        <f>IFERROR(__xludf.DUMMYFUNCTION("IMPORTRANGE(""https://docs.google.com/spreadsheets/d/14Tu_jFPEdrIQ6DHYu6vRvJKQsbXr-48NY1tKy4-8JKI/edit"",""25!e46"")"),131.0)</f>
        <v>131</v>
      </c>
      <c r="L669" s="40">
        <f t="shared" si="1845"/>
        <v>2805</v>
      </c>
      <c r="M669" s="40">
        <f t="shared" si="1817"/>
        <v>4939</v>
      </c>
      <c r="N669" s="41">
        <f t="shared" si="1818"/>
        <v>198.40876</v>
      </c>
      <c r="O669" s="38">
        <v>9877.0</v>
      </c>
      <c r="P669" s="42">
        <f t="shared" si="1819"/>
        <v>0.5000506227</v>
      </c>
      <c r="Q669" s="43">
        <v>1.5</v>
      </c>
      <c r="R669" s="42">
        <f t="shared" si="1820"/>
        <v>0.6638147765</v>
      </c>
      <c r="S669" s="44">
        <f t="shared" si="1821"/>
        <v>0.9957221647</v>
      </c>
      <c r="T669" s="43">
        <f>F669/26.155</f>
        <v>189.6470656</v>
      </c>
      <c r="U669" s="43">
        <f t="shared" si="1822"/>
        <v>7.585882623</v>
      </c>
      <c r="V669" s="40">
        <f t="shared" si="1823"/>
        <v>197.56</v>
      </c>
      <c r="X669" s="31">
        <v>1.0</v>
      </c>
      <c r="Y669" s="31" t="s">
        <v>26</v>
      </c>
      <c r="Z669" s="31">
        <f t="shared" ref="Z669:AI669" si="1855">SUM(D654)</f>
        <v>16</v>
      </c>
      <c r="AA669" s="32">
        <f t="shared" si="1855"/>
        <v>15</v>
      </c>
      <c r="AB669" s="34">
        <f t="shared" si="1855"/>
        <v>2775.27</v>
      </c>
      <c r="AC669" s="32">
        <f t="shared" si="1855"/>
        <v>1176</v>
      </c>
      <c r="AD669" s="32">
        <f t="shared" si="1855"/>
        <v>0</v>
      </c>
      <c r="AE669" s="32">
        <f t="shared" si="1855"/>
        <v>1176</v>
      </c>
      <c r="AF669" s="32">
        <f t="shared" si="1855"/>
        <v>1951</v>
      </c>
      <c r="AG669" s="32">
        <f t="shared" si="1855"/>
        <v>0</v>
      </c>
      <c r="AH669" s="32">
        <f t="shared" si="1855"/>
        <v>1951</v>
      </c>
      <c r="AI669" s="32">
        <f t="shared" si="1855"/>
        <v>3127</v>
      </c>
      <c r="AJ669" s="34">
        <f t="shared" ref="AJ669:AJ675" si="1858">AB669/AA669</f>
        <v>185.018</v>
      </c>
      <c r="AK669" s="31">
        <f>SUM(O654)</f>
        <v>5161</v>
      </c>
      <c r="AL669" s="35">
        <f t="shared" ref="AL669:AL675" si="1859">AI669/AK669</f>
        <v>0.6058903313</v>
      </c>
      <c r="AM669" s="36">
        <f>SUM(Q654)</f>
        <v>1.5</v>
      </c>
      <c r="AN669" s="35">
        <f t="shared" ref="AN669:AN675" si="1860">AO669/AM669</f>
        <v>0.7511581456</v>
      </c>
      <c r="AO669" s="37">
        <f t="shared" ref="AO669:AO675" si="1861">AI669/AB669</f>
        <v>1.126737218</v>
      </c>
      <c r="AP669" s="36">
        <f t="shared" ref="AP669:AQ669" si="1856">SUM(T654)</f>
        <v>192.5265349</v>
      </c>
      <c r="AQ669" s="36">
        <f t="shared" si="1856"/>
        <v>12.83510232</v>
      </c>
      <c r="AR669" s="32">
        <f t="shared" ref="AR669:AR675" si="1863">AI669/AA669</f>
        <v>208.4666667</v>
      </c>
    </row>
    <row r="670" ht="15.75" customHeight="1">
      <c r="A670" s="21"/>
      <c r="B670" s="38">
        <v>17.0</v>
      </c>
      <c r="C670" s="38" t="s">
        <v>29</v>
      </c>
      <c r="D670" s="39">
        <v>24.0</v>
      </c>
      <c r="E670" s="40">
        <f>IFERROR(__xludf.DUMMYFUNCTION("COUNT(IMPORTRANGE(""https://docs.google.com/spreadsheets/d/1ja_RQYsP0p5wRrACHojay4CW1wLx0QdS5tSwp-vYQ-s/edit"",""25!d2:d31""))"),23.0)</f>
        <v>23</v>
      </c>
      <c r="F670" s="45">
        <f>IFERROR(__xludf.DUMMYFUNCTION("SUM(IMPORTRANGE(""https://docs.google.com/spreadsheets/d/1ja_RQYsP0p5wRrACHojay4CW1wLx0QdS5tSwp-vYQ-s/edit"",""25!Q2:Q31""))"),4476.978999999998)</f>
        <v>4476.979</v>
      </c>
      <c r="G670" s="40">
        <f>IFERROR(__xludf.DUMMYFUNCTION("IMPORTRANGE(""https://docs.google.com/spreadsheets/d/1ja_RQYsP0p5wRrACHojay4CW1wLx0QdS5tSwp-vYQ-s/edit"",""25!e38"")"),1477.0)</f>
        <v>1477</v>
      </c>
      <c r="H670" s="40">
        <f>IFERROR(__xludf.DUMMYFUNCTION("IMPORTRANGE(""https://docs.google.com/spreadsheets/d/1ja_RQYsP0p5wRrACHojay4CW1wLx0QdS5tSwp-vYQ-s/edit"",""25!e39"")"),0.0)</f>
        <v>0</v>
      </c>
      <c r="I670" s="40">
        <f t="shared" si="1815"/>
        <v>1477</v>
      </c>
      <c r="J670" s="40">
        <f>IFERROR(__xludf.DUMMYFUNCTION("IMPORTRANGE(""https://docs.google.com/spreadsheets/d/1ja_RQYsP0p5wRrACHojay4CW1wLx0QdS5tSwp-vYQ-s/edit"",""25!e42"")"),2375.0)</f>
        <v>2375</v>
      </c>
      <c r="K670" s="40">
        <f>IFERROR(__xludf.DUMMYFUNCTION("IMPORTRANGE(""https://docs.google.com/spreadsheets/d/1ja_RQYsP0p5wRrACHojay4CW1wLx0QdS5tSwp-vYQ-s/edit"",""25!e43"")"),0.0)</f>
        <v>0</v>
      </c>
      <c r="L670" s="40">
        <f t="shared" si="1845"/>
        <v>2375</v>
      </c>
      <c r="M670" s="40">
        <f t="shared" si="1817"/>
        <v>3852</v>
      </c>
      <c r="N670" s="41">
        <f t="shared" si="1818"/>
        <v>194.6512609</v>
      </c>
      <c r="O670" s="38">
        <v>9201.0</v>
      </c>
      <c r="P670" s="42">
        <f t="shared" si="1819"/>
        <v>0.4186501467</v>
      </c>
      <c r="Q670" s="43">
        <v>1.5</v>
      </c>
      <c r="R670" s="42">
        <f t="shared" si="1820"/>
        <v>0.5736010823</v>
      </c>
      <c r="S670" s="44">
        <f t="shared" si="1821"/>
        <v>0.8604016235</v>
      </c>
      <c r="T670" s="43">
        <f>F670/26.491</f>
        <v>169</v>
      </c>
      <c r="U670" s="43">
        <f t="shared" si="1822"/>
        <v>7.347826087</v>
      </c>
      <c r="V670" s="40">
        <f t="shared" si="1823"/>
        <v>167.4782609</v>
      </c>
      <c r="X670" s="31">
        <v>2.0</v>
      </c>
      <c r="Y670" s="31" t="s">
        <v>32</v>
      </c>
      <c r="Z670" s="31">
        <f t="shared" ref="Z670:AI670" si="1857">SUM(D657)</f>
        <v>33</v>
      </c>
      <c r="AA670" s="32">
        <f t="shared" si="1857"/>
        <v>31</v>
      </c>
      <c r="AB670" s="33">
        <f t="shared" si="1857"/>
        <v>6222.072</v>
      </c>
      <c r="AC670" s="31">
        <f t="shared" si="1857"/>
        <v>2870</v>
      </c>
      <c r="AD670" s="31">
        <f t="shared" si="1857"/>
        <v>0</v>
      </c>
      <c r="AE670" s="32">
        <f t="shared" si="1857"/>
        <v>2870</v>
      </c>
      <c r="AF670" s="31">
        <f t="shared" si="1857"/>
        <v>4009</v>
      </c>
      <c r="AG670" s="31">
        <f t="shared" si="1857"/>
        <v>0</v>
      </c>
      <c r="AH670" s="32">
        <f t="shared" si="1857"/>
        <v>4009</v>
      </c>
      <c r="AI670" s="32">
        <f t="shared" si="1857"/>
        <v>6879</v>
      </c>
      <c r="AJ670" s="34">
        <f t="shared" si="1858"/>
        <v>200.712</v>
      </c>
      <c r="AK670" s="31">
        <f>SUM(O657)</f>
        <v>13817</v>
      </c>
      <c r="AL670" s="35">
        <f t="shared" si="1859"/>
        <v>0.497864949</v>
      </c>
      <c r="AM670" s="36">
        <f>SUM(Q657)</f>
        <v>1.5</v>
      </c>
      <c r="AN670" s="35">
        <f t="shared" si="1860"/>
        <v>0.7370535089</v>
      </c>
      <c r="AO670" s="37">
        <f t="shared" si="1861"/>
        <v>1.105580263</v>
      </c>
      <c r="AP670" s="36">
        <f t="shared" ref="AP670:AQ670" si="1862">SUM(T657)</f>
        <v>248</v>
      </c>
      <c r="AQ670" s="36">
        <f t="shared" si="1862"/>
        <v>8</v>
      </c>
      <c r="AR670" s="32">
        <f t="shared" si="1863"/>
        <v>221.9032258</v>
      </c>
    </row>
    <row r="671" ht="15.75" customHeight="1">
      <c r="A671" s="21"/>
      <c r="B671" s="38">
        <v>18.0</v>
      </c>
      <c r="C671" s="38" t="s">
        <v>31</v>
      </c>
      <c r="D671" s="39">
        <v>12.0</v>
      </c>
      <c r="E671" s="40">
        <f>IFERROR(__xludf.DUMMYFUNCTION("COUNT(IMPORTRANGE(""https://docs.google.com/spreadsheets/d/1ObnK1oSznTOmyW9Zcd2kxExl7TOnO2MNq_0giEKc_mE/edit"",""25!d2:d16""))"),11.0)</f>
        <v>11</v>
      </c>
      <c r="F671" s="41">
        <f>IFERROR(__xludf.DUMMYFUNCTION("SUM(IMPORTRANGE(""https://docs.google.com/spreadsheets/d/1ObnK1oSznTOmyW9Zcd2kxExl7TOnO2MNq_0giEKc_mE/edit"",""25!Q2:Q16""))"),2260.1800000000003)</f>
        <v>2260.18</v>
      </c>
      <c r="G671" s="40">
        <f>IFERROR(__xludf.DUMMYFUNCTION("IMPORTRANGE(""https://docs.google.com/spreadsheets/d/1ObnK1oSznTOmyW9Zcd2kxExl7TOnO2MNq_0giEKc_mE/edit"",""25!e23"")"),417.0)</f>
        <v>417</v>
      </c>
      <c r="H671" s="40">
        <f>IFERROR(__xludf.DUMMYFUNCTION("IMPORTRANGE(""https://docs.google.com/spreadsheets/d/1ObnK1oSznTOmyW9Zcd2kxExl7TOnO2MNq_0giEKc_mE/edit"",""25!e24"")"),0.0)</f>
        <v>0</v>
      </c>
      <c r="I671" s="40">
        <f t="shared" si="1815"/>
        <v>417</v>
      </c>
      <c r="J671" s="40">
        <f>IFERROR(__xludf.DUMMYFUNCTION("IMPORTRANGE(""https://docs.google.com/spreadsheets/d/1ObnK1oSznTOmyW9Zcd2kxExl7TOnO2MNq_0giEKc_mE/edit"",""25!e27"")"),624.0)</f>
        <v>624</v>
      </c>
      <c r="K671" s="40">
        <f>IFERROR(__xludf.DUMMYFUNCTION("IMPORTRANGE(""https://docs.google.com/spreadsheets/d/1ObnK1oSznTOmyW9Zcd2kxExl7TOnO2MNq_0giEKc_mE/edit"",""25!e28"")"),0.0)</f>
        <v>0</v>
      </c>
      <c r="L671" s="40">
        <f t="shared" si="1845"/>
        <v>624</v>
      </c>
      <c r="M671" s="40">
        <f t="shared" si="1817"/>
        <v>1041</v>
      </c>
      <c r="N671" s="41">
        <f t="shared" si="1818"/>
        <v>205.4709091</v>
      </c>
      <c r="O671" s="38">
        <v>2717.0</v>
      </c>
      <c r="P671" s="42">
        <f t="shared" si="1819"/>
        <v>0.3831431726</v>
      </c>
      <c r="Q671" s="43">
        <v>1.5</v>
      </c>
      <c r="R671" s="42">
        <f t="shared" si="1820"/>
        <v>0.3070551903</v>
      </c>
      <c r="S671" s="44">
        <f t="shared" si="1821"/>
        <v>0.4605827854</v>
      </c>
      <c r="T671" s="43">
        <f>F671/43.465</f>
        <v>52</v>
      </c>
      <c r="U671" s="43">
        <f t="shared" si="1822"/>
        <v>4.727272727</v>
      </c>
      <c r="V671" s="40">
        <f t="shared" si="1823"/>
        <v>94.63636364</v>
      </c>
      <c r="X671" s="31">
        <v>3.0</v>
      </c>
      <c r="Y671" s="31" t="s">
        <v>36</v>
      </c>
      <c r="Z671" s="31">
        <f t="shared" ref="Z671:AI671" si="1864">SUM(D662)</f>
        <v>23</v>
      </c>
      <c r="AA671" s="32">
        <f t="shared" si="1864"/>
        <v>23</v>
      </c>
      <c r="AB671" s="33">
        <f t="shared" si="1864"/>
        <v>4483.296</v>
      </c>
      <c r="AC671" s="32">
        <f t="shared" si="1864"/>
        <v>1346</v>
      </c>
      <c r="AD671" s="32">
        <f t="shared" si="1864"/>
        <v>0</v>
      </c>
      <c r="AE671" s="32">
        <f t="shared" si="1864"/>
        <v>1346</v>
      </c>
      <c r="AF671" s="32">
        <f t="shared" si="1864"/>
        <v>947</v>
      </c>
      <c r="AG671" s="32">
        <f t="shared" si="1864"/>
        <v>0</v>
      </c>
      <c r="AH671" s="32">
        <f t="shared" si="1864"/>
        <v>947</v>
      </c>
      <c r="AI671" s="32">
        <f t="shared" si="1864"/>
        <v>2293</v>
      </c>
      <c r="AJ671" s="34">
        <f t="shared" si="1858"/>
        <v>194.925913</v>
      </c>
      <c r="AK671" s="31">
        <f t="shared" ref="AK671:AK674" si="1868">SUM(O662)</f>
        <v>4796</v>
      </c>
      <c r="AL671" s="35">
        <f t="shared" si="1859"/>
        <v>0.4781067556</v>
      </c>
      <c r="AM671" s="36">
        <f t="shared" ref="AM671:AM674" si="1869">SUM(Q662)</f>
        <v>1.5</v>
      </c>
      <c r="AN671" s="35">
        <f t="shared" si="1860"/>
        <v>0.340969382</v>
      </c>
      <c r="AO671" s="37">
        <f t="shared" si="1861"/>
        <v>0.5114540731</v>
      </c>
      <c r="AP671" s="36">
        <f t="shared" ref="AP671:AQ671" si="1865">SUM(T662)</f>
        <v>119.8293687</v>
      </c>
      <c r="AQ671" s="36">
        <f t="shared" si="1865"/>
        <v>5.209972552</v>
      </c>
      <c r="AR671" s="32">
        <f t="shared" si="1863"/>
        <v>99.69565217</v>
      </c>
    </row>
    <row r="672" ht="15.75" customHeight="1">
      <c r="A672" s="21"/>
      <c r="B672" s="60" t="s">
        <v>33</v>
      </c>
      <c r="C672" s="60">
        <v>18.0</v>
      </c>
      <c r="D672" s="60">
        <f t="shared" ref="D672:M672" si="1866">SUM(D654:D671)</f>
        <v>470</v>
      </c>
      <c r="E672" s="61">
        <f t="shared" si="1866"/>
        <v>457</v>
      </c>
      <c r="F672" s="62">
        <f t="shared" si="1866"/>
        <v>89487.374</v>
      </c>
      <c r="G672" s="61">
        <f t="shared" si="1866"/>
        <v>25845</v>
      </c>
      <c r="H672" s="61">
        <f t="shared" si="1866"/>
        <v>420</v>
      </c>
      <c r="I672" s="61">
        <f t="shared" si="1866"/>
        <v>26265</v>
      </c>
      <c r="J672" s="61">
        <f t="shared" si="1866"/>
        <v>35854</v>
      </c>
      <c r="K672" s="61">
        <f t="shared" si="1866"/>
        <v>1318</v>
      </c>
      <c r="L672" s="61">
        <f t="shared" si="1866"/>
        <v>37172</v>
      </c>
      <c r="M672" s="61">
        <f t="shared" si="1866"/>
        <v>63437</v>
      </c>
      <c r="N672" s="62">
        <f t="shared" si="1818"/>
        <v>195.8148228</v>
      </c>
      <c r="O672" s="60">
        <f>SUM(O654:O671)</f>
        <v>126399</v>
      </c>
      <c r="P672" s="63">
        <f t="shared" si="1819"/>
        <v>0.5018789706</v>
      </c>
      <c r="Q672" s="64">
        <v>1.5</v>
      </c>
      <c r="R672" s="63">
        <f t="shared" si="1820"/>
        <v>0.4725955344</v>
      </c>
      <c r="S672" s="65">
        <f t="shared" si="1821"/>
        <v>0.7088933015</v>
      </c>
      <c r="T672" s="64">
        <f>SUM(T654:T671)</f>
        <v>3285.937803</v>
      </c>
      <c r="U672" s="64">
        <f t="shared" si="1822"/>
        <v>7.190235892</v>
      </c>
      <c r="V672" s="61">
        <f t="shared" si="1823"/>
        <v>138.8118162</v>
      </c>
      <c r="X672" s="31">
        <v>4.0</v>
      </c>
      <c r="Y672" s="31" t="s">
        <v>37</v>
      </c>
      <c r="Z672" s="31">
        <f t="shared" ref="Z672:AI672" si="1867">SUM(D663)</f>
        <v>24</v>
      </c>
      <c r="AA672" s="32">
        <f t="shared" si="1867"/>
        <v>22</v>
      </c>
      <c r="AB672" s="33">
        <f t="shared" si="1867"/>
        <v>4311.186</v>
      </c>
      <c r="AC672" s="32">
        <f t="shared" si="1867"/>
        <v>1044</v>
      </c>
      <c r="AD672" s="32">
        <f t="shared" si="1867"/>
        <v>0</v>
      </c>
      <c r="AE672" s="32">
        <f t="shared" si="1867"/>
        <v>1044</v>
      </c>
      <c r="AF672" s="32">
        <f t="shared" si="1867"/>
        <v>1999</v>
      </c>
      <c r="AG672" s="32">
        <f t="shared" si="1867"/>
        <v>0</v>
      </c>
      <c r="AH672" s="32">
        <f t="shared" si="1867"/>
        <v>1999</v>
      </c>
      <c r="AI672" s="32">
        <f t="shared" si="1867"/>
        <v>3043</v>
      </c>
      <c r="AJ672" s="34">
        <f t="shared" si="1858"/>
        <v>195.963</v>
      </c>
      <c r="AK672" s="31">
        <f t="shared" si="1868"/>
        <v>5887</v>
      </c>
      <c r="AL672" s="35">
        <f t="shared" si="1859"/>
        <v>0.5169016477</v>
      </c>
      <c r="AM672" s="36">
        <f t="shared" si="1869"/>
        <v>1.5</v>
      </c>
      <c r="AN672" s="35">
        <f t="shared" si="1860"/>
        <v>0.4705588362</v>
      </c>
      <c r="AO672" s="37">
        <f t="shared" si="1861"/>
        <v>0.7058382543</v>
      </c>
      <c r="AP672" s="36">
        <f t="shared" ref="AP672:AQ672" si="1870">SUM(T663)</f>
        <v>173.8942401</v>
      </c>
      <c r="AQ672" s="36">
        <f t="shared" si="1870"/>
        <v>7.90428364</v>
      </c>
      <c r="AR672" s="32">
        <f t="shared" si="1863"/>
        <v>138.3181818</v>
      </c>
    </row>
    <row r="673" ht="15.7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X673" s="31">
        <v>5.0</v>
      </c>
      <c r="Y673" s="31" t="s">
        <v>39</v>
      </c>
      <c r="Z673" s="31">
        <f t="shared" ref="Z673:AI673" si="1871">SUM(D664)</f>
        <v>22</v>
      </c>
      <c r="AA673" s="32">
        <f t="shared" si="1871"/>
        <v>21</v>
      </c>
      <c r="AB673" s="33">
        <f t="shared" si="1871"/>
        <v>3954.649</v>
      </c>
      <c r="AC673" s="32">
        <f t="shared" si="1871"/>
        <v>801</v>
      </c>
      <c r="AD673" s="32">
        <f t="shared" si="1871"/>
        <v>0</v>
      </c>
      <c r="AE673" s="32">
        <f t="shared" si="1871"/>
        <v>801</v>
      </c>
      <c r="AF673" s="32">
        <f t="shared" si="1871"/>
        <v>976</v>
      </c>
      <c r="AG673" s="32">
        <f t="shared" si="1871"/>
        <v>126</v>
      </c>
      <c r="AH673" s="32">
        <f t="shared" si="1871"/>
        <v>1102</v>
      </c>
      <c r="AI673" s="32">
        <f t="shared" si="1871"/>
        <v>1903</v>
      </c>
      <c r="AJ673" s="34">
        <f t="shared" si="1858"/>
        <v>188.316619</v>
      </c>
      <c r="AK673" s="31">
        <f t="shared" si="1868"/>
        <v>3569</v>
      </c>
      <c r="AL673" s="35">
        <f t="shared" si="1859"/>
        <v>0.5332025778</v>
      </c>
      <c r="AM673" s="36">
        <f t="shared" si="1869"/>
        <v>1.5</v>
      </c>
      <c r="AN673" s="35">
        <f t="shared" si="1860"/>
        <v>0.3208038606</v>
      </c>
      <c r="AO673" s="37">
        <f t="shared" si="1861"/>
        <v>0.481205791</v>
      </c>
      <c r="AP673" s="36">
        <f t="shared" ref="AP673:AQ673" si="1872">SUM(T664)</f>
        <v>184.2542515</v>
      </c>
      <c r="AQ673" s="36">
        <f t="shared" si="1872"/>
        <v>8.774011976</v>
      </c>
      <c r="AR673" s="32">
        <f t="shared" si="1863"/>
        <v>90.61904762</v>
      </c>
    </row>
    <row r="674" ht="15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X674" s="31">
        <v>6.0</v>
      </c>
      <c r="Y674" s="31" t="s">
        <v>41</v>
      </c>
      <c r="Z674" s="31">
        <f t="shared" ref="Z674:AI674" si="1873">SUM(D665)</f>
        <v>20</v>
      </c>
      <c r="AA674" s="32">
        <f t="shared" si="1873"/>
        <v>20</v>
      </c>
      <c r="AB674" s="33">
        <f t="shared" si="1873"/>
        <v>3993.196</v>
      </c>
      <c r="AC674" s="32">
        <f t="shared" si="1873"/>
        <v>799</v>
      </c>
      <c r="AD674" s="32">
        <f t="shared" si="1873"/>
        <v>0</v>
      </c>
      <c r="AE674" s="32">
        <f t="shared" si="1873"/>
        <v>799</v>
      </c>
      <c r="AF674" s="32">
        <f t="shared" si="1873"/>
        <v>1010</v>
      </c>
      <c r="AG674" s="32">
        <f t="shared" si="1873"/>
        <v>53</v>
      </c>
      <c r="AH674" s="32">
        <f t="shared" si="1873"/>
        <v>1063</v>
      </c>
      <c r="AI674" s="32">
        <f t="shared" si="1873"/>
        <v>1862</v>
      </c>
      <c r="AJ674" s="34">
        <f t="shared" si="1858"/>
        <v>199.6598</v>
      </c>
      <c r="AK674" s="31">
        <f t="shared" si="1868"/>
        <v>3801</v>
      </c>
      <c r="AL674" s="35">
        <f t="shared" si="1859"/>
        <v>0.4898710866</v>
      </c>
      <c r="AM674" s="36">
        <f t="shared" si="1869"/>
        <v>1.5</v>
      </c>
      <c r="AN674" s="35">
        <f t="shared" si="1860"/>
        <v>0.3108621098</v>
      </c>
      <c r="AO674" s="37">
        <f t="shared" si="1861"/>
        <v>0.4662931647</v>
      </c>
      <c r="AP674" s="36">
        <f t="shared" ref="AP674:AQ674" si="1874">SUM(T665)</f>
        <v>134.7777778</v>
      </c>
      <c r="AQ674" s="36">
        <f t="shared" si="1874"/>
        <v>6.738888889</v>
      </c>
      <c r="AR674" s="32">
        <f t="shared" si="1863"/>
        <v>93.1</v>
      </c>
    </row>
    <row r="675" ht="15.75" customHeight="1">
      <c r="A675" s="1" t="s">
        <v>45</v>
      </c>
      <c r="D675" s="2"/>
      <c r="X675" s="46" t="s">
        <v>33</v>
      </c>
      <c r="Y675" s="46">
        <v>6.0</v>
      </c>
      <c r="Z675" s="46">
        <f t="shared" ref="Z675:AI675" si="1875">SUM(Z669:Z674)</f>
        <v>138</v>
      </c>
      <c r="AA675" s="47">
        <f t="shared" si="1875"/>
        <v>132</v>
      </c>
      <c r="AB675" s="49">
        <f t="shared" si="1875"/>
        <v>25739.669</v>
      </c>
      <c r="AC675" s="47">
        <f t="shared" si="1875"/>
        <v>8036</v>
      </c>
      <c r="AD675" s="47">
        <f t="shared" si="1875"/>
        <v>0</v>
      </c>
      <c r="AE675" s="47">
        <f t="shared" si="1875"/>
        <v>8036</v>
      </c>
      <c r="AF675" s="47">
        <f t="shared" si="1875"/>
        <v>10892</v>
      </c>
      <c r="AG675" s="47">
        <f t="shared" si="1875"/>
        <v>179</v>
      </c>
      <c r="AH675" s="47">
        <f t="shared" si="1875"/>
        <v>11071</v>
      </c>
      <c r="AI675" s="47">
        <f t="shared" si="1875"/>
        <v>19107</v>
      </c>
      <c r="AJ675" s="49">
        <f t="shared" si="1858"/>
        <v>194.9974924</v>
      </c>
      <c r="AK675" s="46">
        <f>SUM(AK669:AK674)</f>
        <v>37031</v>
      </c>
      <c r="AL675" s="50">
        <f t="shared" si="1859"/>
        <v>0.5159731036</v>
      </c>
      <c r="AM675" s="51">
        <v>1.5</v>
      </c>
      <c r="AN675" s="50">
        <f t="shared" si="1860"/>
        <v>0.4948781587</v>
      </c>
      <c r="AO675" s="52">
        <f t="shared" si="1861"/>
        <v>0.742317238</v>
      </c>
      <c r="AP675" s="51">
        <f>SUM(AP669:AP674)</f>
        <v>1053.282173</v>
      </c>
      <c r="AQ675" s="51">
        <f>AP675/AA675</f>
        <v>7.979410401</v>
      </c>
      <c r="AR675" s="47">
        <f t="shared" si="1863"/>
        <v>144.75</v>
      </c>
    </row>
    <row r="676" ht="15.75" customHeight="1">
      <c r="A676" s="1" t="s">
        <v>45</v>
      </c>
      <c r="D676" s="2"/>
      <c r="X676" s="66" t="s">
        <v>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6"/>
    </row>
    <row r="677" ht="15.75" customHeight="1">
      <c r="A677" s="7">
        <v>46260.0</v>
      </c>
      <c r="B677" s="8" t="s">
        <v>2</v>
      </c>
      <c r="C677" s="8" t="s">
        <v>3</v>
      </c>
      <c r="D677" s="8" t="s">
        <v>4</v>
      </c>
      <c r="E677" s="8" t="s">
        <v>5</v>
      </c>
      <c r="F677" s="9" t="s">
        <v>6</v>
      </c>
      <c r="G677" s="8" t="s">
        <v>7</v>
      </c>
      <c r="H677" s="8" t="s">
        <v>8</v>
      </c>
      <c r="I677" s="8" t="s">
        <v>9</v>
      </c>
      <c r="J677" s="8" t="s">
        <v>10</v>
      </c>
      <c r="K677" s="8" t="s">
        <v>11</v>
      </c>
      <c r="L677" s="8" t="s">
        <v>12</v>
      </c>
      <c r="M677" s="8" t="s">
        <v>13</v>
      </c>
      <c r="N677" s="9" t="s">
        <v>14</v>
      </c>
      <c r="O677" s="8" t="s">
        <v>15</v>
      </c>
      <c r="P677" s="8" t="s">
        <v>16</v>
      </c>
      <c r="Q677" s="8" t="s">
        <v>17</v>
      </c>
      <c r="R677" s="8" t="s">
        <v>18</v>
      </c>
      <c r="S677" s="11" t="s">
        <v>19</v>
      </c>
      <c r="T677" s="12" t="s">
        <v>20</v>
      </c>
      <c r="U677" s="12" t="s">
        <v>21</v>
      </c>
      <c r="V677" s="13" t="s">
        <v>22</v>
      </c>
      <c r="X677" s="14" t="s">
        <v>2</v>
      </c>
      <c r="Y677" s="14" t="s">
        <v>3</v>
      </c>
      <c r="Z677" s="14" t="s">
        <v>4</v>
      </c>
      <c r="AA677" s="14" t="s">
        <v>5</v>
      </c>
      <c r="AB677" s="15" t="s">
        <v>6</v>
      </c>
      <c r="AC677" s="14" t="s">
        <v>7</v>
      </c>
      <c r="AD677" s="14" t="s">
        <v>8</v>
      </c>
      <c r="AE677" s="14" t="s">
        <v>9</v>
      </c>
      <c r="AF677" s="14" t="s">
        <v>10</v>
      </c>
      <c r="AG677" s="14" t="s">
        <v>11</v>
      </c>
      <c r="AH677" s="14" t="s">
        <v>12</v>
      </c>
      <c r="AI677" s="14" t="s">
        <v>13</v>
      </c>
      <c r="AJ677" s="15" t="s">
        <v>14</v>
      </c>
      <c r="AK677" s="14" t="s">
        <v>15</v>
      </c>
      <c r="AL677" s="14" t="s">
        <v>16</v>
      </c>
      <c r="AM677" s="16" t="s">
        <v>17</v>
      </c>
      <c r="AN677" s="17" t="s">
        <v>18</v>
      </c>
      <c r="AO677" s="18" t="s">
        <v>19</v>
      </c>
      <c r="AP677" s="19" t="s">
        <v>20</v>
      </c>
      <c r="AQ677" s="19" t="s">
        <v>21</v>
      </c>
      <c r="AR677" s="20" t="s">
        <v>22</v>
      </c>
    </row>
    <row r="678" ht="15.7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X678" s="22">
        <v>1.0</v>
      </c>
      <c r="Y678" s="22" t="s">
        <v>23</v>
      </c>
      <c r="Z678" s="22">
        <f t="shared" ref="Z678:AI678" si="1876">SUM(D686)</f>
        <v>35</v>
      </c>
      <c r="AA678" s="23">
        <f t="shared" si="1876"/>
        <v>35</v>
      </c>
      <c r="AB678" s="24">
        <f t="shared" si="1876"/>
        <v>6984.18</v>
      </c>
      <c r="AC678" s="23">
        <f t="shared" si="1876"/>
        <v>2931</v>
      </c>
      <c r="AD678" s="23">
        <f t="shared" si="1876"/>
        <v>0</v>
      </c>
      <c r="AE678" s="23">
        <f t="shared" si="1876"/>
        <v>2931</v>
      </c>
      <c r="AF678" s="23">
        <f t="shared" si="1876"/>
        <v>2097</v>
      </c>
      <c r="AG678" s="23">
        <f t="shared" si="1876"/>
        <v>0</v>
      </c>
      <c r="AH678" s="23">
        <f t="shared" si="1876"/>
        <v>2097</v>
      </c>
      <c r="AI678" s="23">
        <f t="shared" si="1876"/>
        <v>5028</v>
      </c>
      <c r="AJ678" s="25">
        <f t="shared" ref="AJ678:AJ680" si="1879">AB678/AA678</f>
        <v>199.548</v>
      </c>
      <c r="AK678" s="22">
        <f>SUM(O686)</f>
        <v>6853</v>
      </c>
      <c r="AL678" s="26">
        <f t="shared" ref="AL678:AL684" si="1880">AI678/AK678</f>
        <v>0.733693273</v>
      </c>
      <c r="AM678" s="27">
        <f t="shared" ref="AM678:AM680" si="1881">SUM(Q686)</f>
        <v>1.5</v>
      </c>
      <c r="AN678" s="26">
        <f t="shared" ref="AN678:AN684" si="1882">AO678/AM678</f>
        <v>0.4799418114</v>
      </c>
      <c r="AO678" s="28">
        <f t="shared" ref="AO678:AO684" si="1883">AI678/AB678</f>
        <v>0.719912717</v>
      </c>
      <c r="AP678" s="27">
        <f t="shared" ref="AP678:AQ678" si="1877">SUM(T686)</f>
        <v>207</v>
      </c>
      <c r="AQ678" s="27">
        <f t="shared" si="1877"/>
        <v>5.914285714</v>
      </c>
      <c r="AR678" s="23">
        <f t="shared" ref="AR678:AR684" si="1885">AI678/AA678</f>
        <v>143.6571429</v>
      </c>
    </row>
    <row r="679" ht="15.7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X679" s="22">
        <v>2.0</v>
      </c>
      <c r="Y679" s="22" t="s">
        <v>24</v>
      </c>
      <c r="Z679" s="22">
        <f t="shared" ref="Z679:AI679" si="1878">SUM(D687)</f>
        <v>44</v>
      </c>
      <c r="AA679" s="23">
        <f t="shared" si="1878"/>
        <v>42</v>
      </c>
      <c r="AB679" s="24">
        <f t="shared" si="1878"/>
        <v>8175.168</v>
      </c>
      <c r="AC679" s="23">
        <f t="shared" si="1878"/>
        <v>1108</v>
      </c>
      <c r="AD679" s="23">
        <f t="shared" si="1878"/>
        <v>17</v>
      </c>
      <c r="AE679" s="23">
        <f t="shared" si="1878"/>
        <v>1125</v>
      </c>
      <c r="AF679" s="23">
        <f t="shared" si="1878"/>
        <v>1429</v>
      </c>
      <c r="AG679" s="23">
        <f t="shared" si="1878"/>
        <v>20</v>
      </c>
      <c r="AH679" s="23">
        <f t="shared" si="1878"/>
        <v>1449</v>
      </c>
      <c r="AI679" s="23">
        <f t="shared" si="1878"/>
        <v>2574</v>
      </c>
      <c r="AJ679" s="25">
        <f t="shared" si="1879"/>
        <v>194.6468571</v>
      </c>
      <c r="AK679" s="22">
        <v>1580.0</v>
      </c>
      <c r="AL679" s="29">
        <f t="shared" si="1880"/>
        <v>1.629113924</v>
      </c>
      <c r="AM679" s="27">
        <f t="shared" si="1881"/>
        <v>1.5</v>
      </c>
      <c r="AN679" s="26">
        <f t="shared" si="1882"/>
        <v>0.2099039433</v>
      </c>
      <c r="AO679" s="28">
        <f t="shared" si="1883"/>
        <v>0.3148559149</v>
      </c>
      <c r="AP679" s="27">
        <f t="shared" ref="AP679:AQ679" si="1884">SUM(T687)</f>
        <v>304.9866816</v>
      </c>
      <c r="AQ679" s="27">
        <f t="shared" si="1884"/>
        <v>7.261587657</v>
      </c>
      <c r="AR679" s="23">
        <f t="shared" si="1885"/>
        <v>61.28571429</v>
      </c>
    </row>
    <row r="680" ht="15.75" customHeight="1">
      <c r="A680" s="21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X680" s="31">
        <v>3.0</v>
      </c>
      <c r="Y680" s="31" t="s">
        <v>25</v>
      </c>
      <c r="Z680" s="31">
        <f t="shared" ref="Z680:AI680" si="1886">SUM(D688)</f>
        <v>32</v>
      </c>
      <c r="AA680" s="32">
        <f t="shared" si="1886"/>
        <v>32</v>
      </c>
      <c r="AB680" s="33">
        <f t="shared" si="1886"/>
        <v>5839.944</v>
      </c>
      <c r="AC680" s="32">
        <f t="shared" si="1886"/>
        <v>2532</v>
      </c>
      <c r="AD680" s="32">
        <f t="shared" si="1886"/>
        <v>316</v>
      </c>
      <c r="AE680" s="32">
        <f t="shared" si="1886"/>
        <v>2848</v>
      </c>
      <c r="AF680" s="32">
        <f t="shared" si="1886"/>
        <v>3655</v>
      </c>
      <c r="AG680" s="32">
        <f t="shared" si="1886"/>
        <v>381</v>
      </c>
      <c r="AH680" s="32">
        <f t="shared" si="1886"/>
        <v>4036</v>
      </c>
      <c r="AI680" s="32">
        <f t="shared" si="1886"/>
        <v>6884</v>
      </c>
      <c r="AJ680" s="34">
        <f t="shared" si="1879"/>
        <v>182.49825</v>
      </c>
      <c r="AK680" s="31">
        <f>SUM(O688)</f>
        <v>6622</v>
      </c>
      <c r="AL680" s="67">
        <f t="shared" si="1880"/>
        <v>1.039565086</v>
      </c>
      <c r="AM680" s="36">
        <f t="shared" si="1881"/>
        <v>1.5</v>
      </c>
      <c r="AN680" s="35">
        <f t="shared" si="1882"/>
        <v>0.7858522844</v>
      </c>
      <c r="AO680" s="37">
        <f t="shared" si="1883"/>
        <v>1.178778427</v>
      </c>
      <c r="AP680" s="36">
        <f t="shared" ref="AP680:AQ680" si="1887">SUM(T688)</f>
        <v>244.964094</v>
      </c>
      <c r="AQ680" s="36">
        <f t="shared" si="1887"/>
        <v>7.655127936</v>
      </c>
      <c r="AR680" s="32">
        <f t="shared" si="1885"/>
        <v>215.125</v>
      </c>
    </row>
    <row r="681" ht="15.75" customHeight="1">
      <c r="A681" s="21"/>
      <c r="B681" s="38">
        <v>1.0</v>
      </c>
      <c r="C681" s="38" t="s">
        <v>26</v>
      </c>
      <c r="D681" s="39">
        <v>20.0</v>
      </c>
      <c r="E681" s="40">
        <f>IFERROR(__xludf.DUMMYFUNCTION("COUNT(IMPORTRANGE(""https://docs.google.com/spreadsheets/d/1iVFEBQOAONhqDIMRa2hQ7WkCQv0dJWSAmc0AzfvSCMg/edit"",""26!d2:d21""))"),18.0)</f>
        <v>18</v>
      </c>
      <c r="F681" s="41">
        <f>IFERROR(__xludf.DUMMYFUNCTION("SUM(IMPORTRANGE(""https://docs.google.com/spreadsheets/d/1iVFEBQOAONhqDIMRa2hQ7WkCQv0dJWSAmc0AzfvSCMg/edit"",""26!Q2:Q21""))"),3452.9280000000003)</f>
        <v>3452.928</v>
      </c>
      <c r="G681" s="40">
        <f>IFERROR(__xludf.DUMMYFUNCTION("IMPORTRANGE(""https://docs.google.com/spreadsheets/d/1iVFEBQOAONhqDIMRa2hQ7WkCQv0dJWSAmc0AzfvSCMg/edit"",""26!e28"")"),2042.0)</f>
        <v>2042</v>
      </c>
      <c r="H681" s="40">
        <f>IFERROR(__xludf.DUMMYFUNCTION("IMPORTRANGE(""https://docs.google.com/spreadsheets/d/1iVFEBQOAONhqDIMRa2hQ7WkCQv0dJWSAmc0AzfvSCMg/edit"",""26!e29"")"),0.0)</f>
        <v>0</v>
      </c>
      <c r="I681" s="40">
        <f t="shared" ref="I681:I698" si="1890">SUM(G681:H681)</f>
        <v>2042</v>
      </c>
      <c r="J681" s="40">
        <f>IFERROR(__xludf.DUMMYFUNCTION("IMPORTRANGE(""https://docs.google.com/spreadsheets/d/1iVFEBQOAONhqDIMRa2hQ7WkCQv0dJWSAmc0AzfvSCMg/edit"",""26!e32"")"),3147.0)</f>
        <v>3147</v>
      </c>
      <c r="K681" s="40">
        <f>IFERROR(__xludf.DUMMYFUNCTION("IMPORTRANGE(""https://docs.google.com/spreadsheets/d/1iVFEBQOAONhqDIMRa2hQ7WkCQv0dJWSAmc0AzfvSCMg/edit"",""26!e33"")"),0.0)</f>
        <v>0</v>
      </c>
      <c r="L681" s="40">
        <f t="shared" ref="L681:L687" si="1891">SUM(J681:K681)</f>
        <v>3147</v>
      </c>
      <c r="M681" s="40">
        <f t="shared" ref="M681:M698" si="1892">SUM(I681+L681)</f>
        <v>5189</v>
      </c>
      <c r="N681" s="41">
        <f t="shared" ref="N681:N699" si="1893">F681/E681</f>
        <v>191.8293333</v>
      </c>
      <c r="O681" s="38">
        <v>5161.0</v>
      </c>
      <c r="P681" s="56">
        <f t="shared" ref="P681:P699" si="1894">M681/O681</f>
        <v>1.005425305</v>
      </c>
      <c r="Q681" s="43">
        <v>1.5</v>
      </c>
      <c r="R681" s="56">
        <f t="shared" ref="R681:R699" si="1895">S681/Q681</f>
        <v>1.001855044</v>
      </c>
      <c r="S681" s="44">
        <f t="shared" ref="S681:S699" si="1896">M681/F681</f>
        <v>1.502782566</v>
      </c>
      <c r="T681" s="43">
        <f>F681/14.415</f>
        <v>239.5371488</v>
      </c>
      <c r="U681" s="43">
        <f t="shared" ref="U681:U699" si="1897">T681/E681</f>
        <v>13.30761938</v>
      </c>
      <c r="V681" s="40">
        <f t="shared" ref="V681:V699" si="1898">M681/E681</f>
        <v>288.2777778</v>
      </c>
      <c r="X681" s="22">
        <v>4.0</v>
      </c>
      <c r="Y681" s="22" t="s">
        <v>27</v>
      </c>
      <c r="Z681" s="22">
        <f t="shared" ref="Z681:AK681" si="1888">SUM(D694)</f>
        <v>30</v>
      </c>
      <c r="AA681" s="23">
        <f t="shared" si="1888"/>
        <v>27</v>
      </c>
      <c r="AB681" s="24">
        <f t="shared" si="1888"/>
        <v>5046.075</v>
      </c>
      <c r="AC681" s="23">
        <f t="shared" si="1888"/>
        <v>2526</v>
      </c>
      <c r="AD681" s="23">
        <f t="shared" si="1888"/>
        <v>0</v>
      </c>
      <c r="AE681" s="23">
        <f t="shared" si="1888"/>
        <v>2526</v>
      </c>
      <c r="AF681" s="23">
        <f t="shared" si="1888"/>
        <v>3326</v>
      </c>
      <c r="AG681" s="23">
        <f t="shared" si="1888"/>
        <v>0</v>
      </c>
      <c r="AH681" s="23">
        <f t="shared" si="1888"/>
        <v>3326</v>
      </c>
      <c r="AI681" s="23">
        <f t="shared" si="1888"/>
        <v>5852</v>
      </c>
      <c r="AJ681" s="25">
        <f t="shared" si="1888"/>
        <v>186.8916667</v>
      </c>
      <c r="AK681" s="22">
        <f t="shared" si="1888"/>
        <v>8101</v>
      </c>
      <c r="AL681" s="26">
        <f t="shared" si="1880"/>
        <v>0.7223799531</v>
      </c>
      <c r="AM681" s="27">
        <f>SUM(Q694)</f>
        <v>1.5</v>
      </c>
      <c r="AN681" s="26">
        <f t="shared" si="1882"/>
        <v>0.7731421616</v>
      </c>
      <c r="AO681" s="28">
        <f t="shared" si="1883"/>
        <v>1.159713242</v>
      </c>
      <c r="AP681" s="27">
        <f t="shared" ref="AP681:AQ681" si="1889">SUM(T694)</f>
        <v>252.4931198</v>
      </c>
      <c r="AQ681" s="27">
        <f t="shared" si="1889"/>
        <v>9.351597031</v>
      </c>
      <c r="AR681" s="23">
        <f t="shared" si="1885"/>
        <v>216.7407407</v>
      </c>
    </row>
    <row r="682" ht="15.75" customHeight="1">
      <c r="A682" s="21"/>
      <c r="B682" s="38">
        <v>2.0</v>
      </c>
      <c r="C682" s="38" t="s">
        <v>28</v>
      </c>
      <c r="D682" s="39">
        <v>33.0</v>
      </c>
      <c r="E682" s="40">
        <f>IFERROR(__xludf.DUMMYFUNCTION("COUNT(IMPORTRANGE(""https://docs.google.com/spreadsheets/d/1tJCeYclgeJZ4Dc78t_SkhVjtacKW-5-VGim8X1rzUzk/edit"",""26!d2:d34""))"),33.0)</f>
        <v>33</v>
      </c>
      <c r="F682" s="41">
        <f>IFERROR(__xludf.DUMMYFUNCTION("SUM(IMPORTRANGE(""https://docs.google.com/spreadsheets/d/1tJCeYclgeJZ4Dc78t_SkhVjtacKW-5-VGim8X1rzUzk/edit"",""26!Q2:Q34""))"),6388.62)</f>
        <v>6388.62</v>
      </c>
      <c r="G682" s="40">
        <f>IFERROR(__xludf.DUMMYFUNCTION("IMPORTRANGE(""https://docs.google.com/spreadsheets/d/1tJCeYclgeJZ4Dc78t_SkhVjtacKW-5-VGim8X1rzUzk/edit"",""26!e41"")"),2523.0)</f>
        <v>2523</v>
      </c>
      <c r="H682" s="40">
        <f>IFERROR(__xludf.DUMMYFUNCTION("IMPORTRANGE(""https://docs.google.com/spreadsheets/d/1tJCeYclgeJZ4Dc78t_SkhVjtacKW-5-VGim8X1rzUzk/edit"",""26!e42"")"),141.0)</f>
        <v>141</v>
      </c>
      <c r="I682" s="40">
        <f t="shared" si="1890"/>
        <v>2664</v>
      </c>
      <c r="J682" s="40">
        <f>IFERROR(__xludf.DUMMYFUNCTION("IMPORTRANGE(""https://docs.google.com/spreadsheets/d/1tJCeYclgeJZ4Dc78t_SkhVjtacKW-5-VGim8X1rzUzk/edit"",""26!e45"")"),3013.0)</f>
        <v>3013</v>
      </c>
      <c r="K682" s="40">
        <f>IFERROR(__xludf.DUMMYFUNCTION("IMPORTRANGE(""https://docs.google.com/spreadsheets/d/1tJCeYclgeJZ4Dc78t_SkhVjtacKW-5-VGim8X1rzUzk/edit"",""26!e46"")"),130.0)</f>
        <v>130</v>
      </c>
      <c r="L682" s="40">
        <f t="shared" si="1891"/>
        <v>3143</v>
      </c>
      <c r="M682" s="40">
        <f t="shared" si="1892"/>
        <v>5807</v>
      </c>
      <c r="N682" s="41">
        <f t="shared" si="1893"/>
        <v>193.5945455</v>
      </c>
      <c r="O682" s="38">
        <v>7315.0</v>
      </c>
      <c r="P682" s="42">
        <f t="shared" si="1894"/>
        <v>0.793848257</v>
      </c>
      <c r="Q682" s="43">
        <v>1.5</v>
      </c>
      <c r="R682" s="42">
        <f t="shared" si="1895"/>
        <v>0.6059733297</v>
      </c>
      <c r="S682" s="44">
        <f t="shared" si="1896"/>
        <v>0.9089599945</v>
      </c>
      <c r="T682" s="43">
        <f>F682/30.897</f>
        <v>206.7715312</v>
      </c>
      <c r="U682" s="43">
        <f t="shared" si="1897"/>
        <v>6.265803976</v>
      </c>
      <c r="V682" s="40">
        <f t="shared" si="1898"/>
        <v>175.969697</v>
      </c>
      <c r="X682" s="22">
        <v>5.0</v>
      </c>
      <c r="Y682" s="22" t="s">
        <v>29</v>
      </c>
      <c r="Z682" s="22">
        <f t="shared" ref="Z682:AI682" si="1899">SUM(D697)</f>
        <v>30</v>
      </c>
      <c r="AA682" s="23">
        <f t="shared" si="1899"/>
        <v>30</v>
      </c>
      <c r="AB682" s="24">
        <f t="shared" si="1899"/>
        <v>6172.403</v>
      </c>
      <c r="AC682" s="23">
        <f t="shared" si="1899"/>
        <v>2890</v>
      </c>
      <c r="AD682" s="23">
        <f t="shared" si="1899"/>
        <v>0</v>
      </c>
      <c r="AE682" s="23">
        <f t="shared" si="1899"/>
        <v>2890</v>
      </c>
      <c r="AF682" s="23">
        <f t="shared" si="1899"/>
        <v>4293</v>
      </c>
      <c r="AG682" s="23">
        <f t="shared" si="1899"/>
        <v>0</v>
      </c>
      <c r="AH682" s="23">
        <f t="shared" si="1899"/>
        <v>4293</v>
      </c>
      <c r="AI682" s="23">
        <f t="shared" si="1899"/>
        <v>7183</v>
      </c>
      <c r="AJ682" s="25">
        <f t="shared" ref="AJ682:AJ684" si="1902">AB682/AA682</f>
        <v>205.7467667</v>
      </c>
      <c r="AK682" s="22">
        <f t="shared" ref="AK682:AK683" si="1903">SUM(O697)</f>
        <v>9201</v>
      </c>
      <c r="AL682" s="26">
        <f t="shared" si="1880"/>
        <v>0.7806760135</v>
      </c>
      <c r="AM682" s="27">
        <f t="shared" ref="AM682:AM683" si="1904">SUM(Q697)</f>
        <v>1.5</v>
      </c>
      <c r="AN682" s="26">
        <f t="shared" si="1882"/>
        <v>0.7758188613</v>
      </c>
      <c r="AO682" s="28">
        <f t="shared" si="1883"/>
        <v>1.163728292</v>
      </c>
      <c r="AP682" s="27">
        <f t="shared" ref="AP682:AQ682" si="1900">SUM(T697)</f>
        <v>233</v>
      </c>
      <c r="AQ682" s="27">
        <f t="shared" si="1900"/>
        <v>7.766666667</v>
      </c>
      <c r="AR682" s="23">
        <f t="shared" si="1885"/>
        <v>239.4333333</v>
      </c>
    </row>
    <row r="683" ht="15.75" customHeight="1">
      <c r="A683" s="21"/>
      <c r="B683" s="38">
        <v>3.0</v>
      </c>
      <c r="C683" s="38" t="s">
        <v>30</v>
      </c>
      <c r="D683" s="39">
        <v>60.0</v>
      </c>
      <c r="E683" s="40">
        <f>IFERROR(__xludf.DUMMYFUNCTION("COUNT(IMPORTRANGE(""https://docs.google.com/spreadsheets/d/130gLEONC13J8KkQ6dk06x3bLRy_jCrAw2hXatQf2W50/edit"",""26!d2:d61""))"),58.0)</f>
        <v>58</v>
      </c>
      <c r="F683" s="45">
        <f>IFERROR(__xludf.DUMMYFUNCTION("SUM(IMPORTRANGE(""https://docs.google.com/spreadsheets/d/130gLEONC13J8KkQ6dk06x3bLRy_jCrAw2hXatQf2W50/edit"",""26!Q2:Q61""))"),11532.470999999987)</f>
        <v>11532.471</v>
      </c>
      <c r="G683" s="40">
        <f>IFERROR(__xludf.DUMMYFUNCTION("IMPORTRANGE(""https://docs.google.com/spreadsheets/d/130gLEONC13J8KkQ6dk06x3bLRy_jCrAw2hXatQf2W50/edit"",""26!e68"")"),3948.0)</f>
        <v>3948</v>
      </c>
      <c r="H683" s="40">
        <f>IFERROR(__xludf.DUMMYFUNCTION("IMPORTRANGE(""https://docs.google.com/spreadsheets/d/130gLEONC13J8KkQ6dk06x3bLRy_jCrAw2hXatQf2W50/edit"",""26!e69"")"),0.0)</f>
        <v>0</v>
      </c>
      <c r="I683" s="40">
        <f t="shared" si="1890"/>
        <v>3948</v>
      </c>
      <c r="J683" s="40">
        <f>IFERROR(__xludf.DUMMYFUNCTION("IMPORTRANGE(""https://docs.google.com/spreadsheets/d/130gLEONC13J8KkQ6dk06x3bLRy_jCrAw2hXatQf2W50/edit"",""26!e72"")"),5527.0)</f>
        <v>5527</v>
      </c>
      <c r="K683" s="40">
        <f>IFERROR(__xludf.DUMMYFUNCTION("IMPORTRANGE(""https://docs.google.com/spreadsheets/d/130gLEONC13J8KkQ6dk06x3bLRy_jCrAw2hXatQf2W50/edit"",""26!e73"")"),161.0)</f>
        <v>161</v>
      </c>
      <c r="L683" s="40">
        <f t="shared" si="1891"/>
        <v>5688</v>
      </c>
      <c r="M683" s="40">
        <f t="shared" si="1892"/>
        <v>9636</v>
      </c>
      <c r="N683" s="41">
        <f t="shared" si="1893"/>
        <v>198.8357069</v>
      </c>
      <c r="O683" s="38">
        <v>11164.0</v>
      </c>
      <c r="P683" s="42">
        <f t="shared" si="1894"/>
        <v>0.8631314941</v>
      </c>
      <c r="Q683" s="43">
        <v>1.5</v>
      </c>
      <c r="R683" s="42">
        <f t="shared" si="1895"/>
        <v>0.5570358685</v>
      </c>
      <c r="S683" s="44">
        <f t="shared" si="1896"/>
        <v>0.8355538028</v>
      </c>
      <c r="T683" s="43">
        <f>F683/29.603</f>
        <v>389.5710232</v>
      </c>
      <c r="U683" s="43">
        <f t="shared" si="1897"/>
        <v>6.716741779</v>
      </c>
      <c r="V683" s="40">
        <f t="shared" si="1898"/>
        <v>166.137931</v>
      </c>
      <c r="X683" s="22">
        <v>6.0</v>
      </c>
      <c r="Y683" s="22" t="s">
        <v>31</v>
      </c>
      <c r="Z683" s="22">
        <f t="shared" ref="Z683:AI683" si="1901">SUM(D698)</f>
        <v>15</v>
      </c>
      <c r="AA683" s="23">
        <f t="shared" si="1901"/>
        <v>12</v>
      </c>
      <c r="AB683" s="25">
        <f t="shared" si="1901"/>
        <v>2390.575</v>
      </c>
      <c r="AC683" s="23">
        <f t="shared" si="1901"/>
        <v>858</v>
      </c>
      <c r="AD683" s="23">
        <f t="shared" si="1901"/>
        <v>0</v>
      </c>
      <c r="AE683" s="23">
        <f t="shared" si="1901"/>
        <v>858</v>
      </c>
      <c r="AF683" s="23">
        <f t="shared" si="1901"/>
        <v>915</v>
      </c>
      <c r="AG683" s="23">
        <f t="shared" si="1901"/>
        <v>6</v>
      </c>
      <c r="AH683" s="23">
        <f t="shared" si="1901"/>
        <v>921</v>
      </c>
      <c r="AI683" s="23">
        <f t="shared" si="1901"/>
        <v>1779</v>
      </c>
      <c r="AJ683" s="25">
        <f t="shared" si="1902"/>
        <v>199.2145833</v>
      </c>
      <c r="AK683" s="22">
        <f t="shared" si="1903"/>
        <v>2717</v>
      </c>
      <c r="AL683" s="26">
        <f t="shared" si="1880"/>
        <v>0.6547662863</v>
      </c>
      <c r="AM683" s="27">
        <f t="shared" si="1904"/>
        <v>1.5</v>
      </c>
      <c r="AN683" s="26">
        <f t="shared" si="1882"/>
        <v>0.4961149514</v>
      </c>
      <c r="AO683" s="28">
        <f t="shared" si="1883"/>
        <v>0.7441724271</v>
      </c>
      <c r="AP683" s="27">
        <f t="shared" ref="AP683:AQ683" si="1905">SUM(T698)</f>
        <v>55</v>
      </c>
      <c r="AQ683" s="27">
        <f t="shared" si="1905"/>
        <v>4.583333333</v>
      </c>
      <c r="AR683" s="23">
        <f t="shared" si="1885"/>
        <v>148.25</v>
      </c>
    </row>
    <row r="684" ht="15.75" customHeight="1">
      <c r="A684" s="21"/>
      <c r="B684" s="38">
        <v>4.0</v>
      </c>
      <c r="C684" s="38" t="s">
        <v>32</v>
      </c>
      <c r="D684" s="39">
        <v>42.0</v>
      </c>
      <c r="E684" s="40">
        <f>IFERROR(__xludf.DUMMYFUNCTION("COUNT(IMPORTRANGE(""https://docs.google.com/spreadsheets/d/1gYHli7FuKQLm2Q-5LMR0UtkD-gRRA_p8s-phLPLDLgc/edit"",""26!d2:d43""))"),41.0)</f>
        <v>41</v>
      </c>
      <c r="F684" s="45">
        <f>IFERROR(__xludf.DUMMYFUNCTION("SUM(IMPORTRANGE(""https://docs.google.com/spreadsheets/d/1gYHli7FuKQLm2Q-5LMR0UtkD-gRRA_p8s-phLPLDLgc/edit"",""26!Q2:Q43""))"),8128.83599999999)</f>
        <v>8128.836</v>
      </c>
      <c r="G684" s="38">
        <f>IFERROR(__xludf.DUMMYFUNCTION("IMPORTRANGE(""https://docs.google.com/spreadsheets/d/1gYHli7FuKQLm2Q-5LMR0UtkD-gRRA_p8s-phLPLDLgc/edit"",""26!e50"")"),4684.0)</f>
        <v>4684</v>
      </c>
      <c r="H684" s="38">
        <f>IFERROR(__xludf.DUMMYFUNCTION("IMPORTRANGE(""https://docs.google.com/spreadsheets/d/1gYHli7FuKQLm2Q-5LMR0UtkD-gRRA_p8s-phLPLDLgc/edit"",""26!e51"")"),0.0)</f>
        <v>0</v>
      </c>
      <c r="I684" s="40">
        <f t="shared" si="1890"/>
        <v>4684</v>
      </c>
      <c r="J684" s="38">
        <f>IFERROR(__xludf.DUMMYFUNCTION("IMPORTRANGE(""https://docs.google.com/spreadsheets/d/1gYHli7FuKQLm2Q-5LMR0UtkD-gRRA_p8s-phLPLDLgc/edit"",""26!e54"")"),5846.0)</f>
        <v>5846</v>
      </c>
      <c r="K684" s="38">
        <f>IFERROR(__xludf.DUMMYFUNCTION("IMPORTRANGE(""https://docs.google.com/spreadsheets/d/1gYHli7FuKQLm2Q-5LMR0UtkD-gRRA_p8s-phLPLDLgc/edit"",""26!e55"")"),0.0)</f>
        <v>0</v>
      </c>
      <c r="L684" s="40">
        <f t="shared" si="1891"/>
        <v>5846</v>
      </c>
      <c r="M684" s="40">
        <f t="shared" si="1892"/>
        <v>10530</v>
      </c>
      <c r="N684" s="41">
        <f t="shared" si="1893"/>
        <v>198.2642927</v>
      </c>
      <c r="O684" s="38">
        <v>13817.0</v>
      </c>
      <c r="P684" s="42">
        <f t="shared" si="1894"/>
        <v>0.7621046537</v>
      </c>
      <c r="Q684" s="43">
        <v>1.5</v>
      </c>
      <c r="R684" s="42">
        <f t="shared" si="1895"/>
        <v>0.8635922782</v>
      </c>
      <c r="S684" s="44">
        <f t="shared" si="1896"/>
        <v>1.295388417</v>
      </c>
      <c r="T684" s="43">
        <f>F684/25.089</f>
        <v>324</v>
      </c>
      <c r="U684" s="43">
        <f t="shared" si="1897"/>
        <v>7.902439024</v>
      </c>
      <c r="V684" s="40">
        <f t="shared" si="1898"/>
        <v>256.8292683</v>
      </c>
      <c r="X684" s="46" t="s">
        <v>33</v>
      </c>
      <c r="Y684" s="46">
        <v>6.0</v>
      </c>
      <c r="Z684" s="46">
        <f t="shared" ref="Z684:AI684" si="1906">SUM(Z678:Z683)</f>
        <v>186</v>
      </c>
      <c r="AA684" s="47">
        <f t="shared" si="1906"/>
        <v>178</v>
      </c>
      <c r="AB684" s="48">
        <f t="shared" si="1906"/>
        <v>34608.345</v>
      </c>
      <c r="AC684" s="47">
        <f t="shared" si="1906"/>
        <v>12845</v>
      </c>
      <c r="AD684" s="47">
        <f t="shared" si="1906"/>
        <v>333</v>
      </c>
      <c r="AE684" s="47">
        <f t="shared" si="1906"/>
        <v>13178</v>
      </c>
      <c r="AF684" s="47">
        <f t="shared" si="1906"/>
        <v>15715</v>
      </c>
      <c r="AG684" s="47">
        <f t="shared" si="1906"/>
        <v>407</v>
      </c>
      <c r="AH684" s="47">
        <f t="shared" si="1906"/>
        <v>16122</v>
      </c>
      <c r="AI684" s="47">
        <f t="shared" si="1906"/>
        <v>29300</v>
      </c>
      <c r="AJ684" s="49">
        <f t="shared" si="1902"/>
        <v>194.4289045</v>
      </c>
      <c r="AK684" s="46">
        <f>SUM(AK678:AK683)</f>
        <v>35074</v>
      </c>
      <c r="AL684" s="50">
        <f t="shared" si="1880"/>
        <v>0.8353766323</v>
      </c>
      <c r="AM684" s="51">
        <v>1.5</v>
      </c>
      <c r="AN684" s="50">
        <f t="shared" si="1882"/>
        <v>0.5644110787</v>
      </c>
      <c r="AO684" s="52">
        <f t="shared" si="1883"/>
        <v>0.846616618</v>
      </c>
      <c r="AP684" s="51">
        <f>SUM(AP678:AP683)</f>
        <v>1297.443895</v>
      </c>
      <c r="AQ684" s="51">
        <f>AP684/AA684</f>
        <v>7.289010648</v>
      </c>
      <c r="AR684" s="47">
        <f t="shared" si="1885"/>
        <v>164.6067416</v>
      </c>
    </row>
    <row r="685" ht="15.75" customHeight="1">
      <c r="A685" s="21"/>
      <c r="B685" s="38">
        <v>5.0</v>
      </c>
      <c r="C685" s="38" t="s">
        <v>34</v>
      </c>
      <c r="D685" s="39">
        <v>40.0</v>
      </c>
      <c r="E685" s="40">
        <f>IFERROR(__xludf.DUMMYFUNCTION("COUNT(IMPORTRANGE(""https://docs.google.com/spreadsheets/d/1ptS0qWBCKWkc9h2aXWT_YgMhN7yIv5WgAHRbF8l9Zpo/edit"",""26!d2:d41""))"),40.0)</f>
        <v>40</v>
      </c>
      <c r="F685" s="45">
        <f>IFERROR(__xludf.DUMMYFUNCTION("SUM(IMPORTRANGE(""https://docs.google.com/spreadsheets/d/1ptS0qWBCKWkc9h2aXWT_YgMhN7yIv5WgAHRbF8l9Zpo/edit"",""26!Q2:Q41""))"),7850.712000000003)</f>
        <v>7850.712</v>
      </c>
      <c r="G685" s="40">
        <f>IFERROR(__xludf.DUMMYFUNCTION("IMPORTRANGE(""https://docs.google.com/spreadsheets/d/1ptS0qWBCKWkc9h2aXWT_YgMhN7yIv5WgAHRbF8l9Zpo/edit"",""26!e48"")"),2861.0)</f>
        <v>2861</v>
      </c>
      <c r="H685" s="40">
        <f>IFERROR(__xludf.DUMMYFUNCTION("IMPORTRANGE(""https://docs.google.com/spreadsheets/d/1ptS0qWBCKWkc9h2aXWT_YgMhN7yIv5WgAHRbF8l9Zpo/edit"",""26!e49"")"),0.0)</f>
        <v>0</v>
      </c>
      <c r="I685" s="40">
        <f t="shared" si="1890"/>
        <v>2861</v>
      </c>
      <c r="J685" s="40">
        <f>IFERROR(__xludf.DUMMYFUNCTION("IMPORTRANGE(""https://docs.google.com/spreadsheets/d/1ptS0qWBCKWkc9h2aXWT_YgMhN7yIv5WgAHRbF8l9Zpo/edit"",""26!e52"")"),3223.0)</f>
        <v>3223</v>
      </c>
      <c r="K685" s="40">
        <f>IFERROR(__xludf.DUMMYFUNCTION("IMPORTRANGE(""https://docs.google.com/spreadsheets/d/1ptS0qWBCKWkc9h2aXWT_YgMhN7yIv5WgAHRbF8l9Zpo/edit"",""26!e53"")"),0.0)</f>
        <v>0</v>
      </c>
      <c r="L685" s="40">
        <f t="shared" si="1891"/>
        <v>3223</v>
      </c>
      <c r="M685" s="40">
        <f t="shared" si="1892"/>
        <v>6084</v>
      </c>
      <c r="N685" s="41">
        <f t="shared" si="1893"/>
        <v>196.2678</v>
      </c>
      <c r="O685" s="38">
        <v>9354.0</v>
      </c>
      <c r="P685" s="42">
        <f t="shared" si="1894"/>
        <v>0.6504169339</v>
      </c>
      <c r="Q685" s="43">
        <v>1.5</v>
      </c>
      <c r="R685" s="42">
        <f t="shared" si="1895"/>
        <v>0.5166410384</v>
      </c>
      <c r="S685" s="44">
        <f t="shared" si="1896"/>
        <v>0.7749615576</v>
      </c>
      <c r="T685" s="43">
        <f>F685/30.713</f>
        <v>255.6152769</v>
      </c>
      <c r="U685" s="43">
        <f t="shared" si="1897"/>
        <v>6.390381923</v>
      </c>
      <c r="V685" s="40">
        <f t="shared" si="1898"/>
        <v>152.1</v>
      </c>
      <c r="X685" s="53" t="s">
        <v>35</v>
      </c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6"/>
    </row>
    <row r="686" ht="15.75" customHeight="1">
      <c r="A686" s="21"/>
      <c r="B686" s="38">
        <v>6.0</v>
      </c>
      <c r="C686" s="38" t="s">
        <v>23</v>
      </c>
      <c r="D686" s="39">
        <v>35.0</v>
      </c>
      <c r="E686" s="40">
        <f>IFERROR(__xludf.DUMMYFUNCTION("COUNT(IMPORTRANGE(""https://docs.google.com/spreadsheets/d/1829CoYW82aTBBUgqkPnJa94KlBWI-DowAnP4ENQCmaQ/edit"",""26!d2:d36""))"),35.0)</f>
        <v>35</v>
      </c>
      <c r="F686" s="45">
        <f>IFERROR(__xludf.DUMMYFUNCTION("SUM(IMPORTRANGE(""https://docs.google.com/spreadsheets/d/1829CoYW82aTBBUgqkPnJa94KlBWI-DowAnP4ENQCmaQ/edit"",""26!Q2:Q36""))"),6984.179999999995)</f>
        <v>6984.18</v>
      </c>
      <c r="G686" s="40">
        <f>IFERROR(__xludf.DUMMYFUNCTION("IMPORTRANGE(""https://docs.google.com/spreadsheets/d/1829CoYW82aTBBUgqkPnJa94KlBWI-DowAnP4ENQCmaQ/edit"",""26!e43"")"),2931.0)</f>
        <v>2931</v>
      </c>
      <c r="H686" s="40">
        <f>IFERROR(__xludf.DUMMYFUNCTION("IMPORTRANGE(""https://docs.google.com/spreadsheets/d/1829CoYW82aTBBUgqkPnJa94KlBWI-DowAnP4ENQCmaQ/edit"",""26!e44"")"),0.0)</f>
        <v>0</v>
      </c>
      <c r="I686" s="40">
        <f t="shared" si="1890"/>
        <v>2931</v>
      </c>
      <c r="J686" s="40">
        <f>IFERROR(__xludf.DUMMYFUNCTION("IMPORTRANGE(""https://docs.google.com/spreadsheets/d/1829CoYW82aTBBUgqkPnJa94KlBWI-DowAnP4ENQCmaQ/edit"",""26!e47"")"),2097.0)</f>
        <v>2097</v>
      </c>
      <c r="K686" s="40">
        <f>IFERROR(__xludf.DUMMYFUNCTION("IMPORTRANGE(""https://docs.google.com/spreadsheets/d/1829CoYW82aTBBUgqkPnJa94KlBWI-DowAnP4ENQCmaQ/edit"",""26!e48"")"),0.0)</f>
        <v>0</v>
      </c>
      <c r="L686" s="40">
        <f t="shared" si="1891"/>
        <v>2097</v>
      </c>
      <c r="M686" s="40">
        <f t="shared" si="1892"/>
        <v>5028</v>
      </c>
      <c r="N686" s="41">
        <f t="shared" si="1893"/>
        <v>199.548</v>
      </c>
      <c r="O686" s="38">
        <v>6853.0</v>
      </c>
      <c r="P686" s="42">
        <f t="shared" si="1894"/>
        <v>0.733693273</v>
      </c>
      <c r="Q686" s="43">
        <v>1.5</v>
      </c>
      <c r="R686" s="42">
        <f t="shared" si="1895"/>
        <v>0.4799418114</v>
      </c>
      <c r="S686" s="44">
        <f t="shared" si="1896"/>
        <v>0.719912717</v>
      </c>
      <c r="T686" s="43">
        <f>F686/33.74</f>
        <v>207</v>
      </c>
      <c r="U686" s="43">
        <f t="shared" si="1897"/>
        <v>5.914285714</v>
      </c>
      <c r="V686" s="40">
        <f t="shared" si="1898"/>
        <v>143.6571429</v>
      </c>
      <c r="X686" s="14" t="s">
        <v>2</v>
      </c>
      <c r="Y686" s="14" t="s">
        <v>3</v>
      </c>
      <c r="Z686" s="14" t="s">
        <v>4</v>
      </c>
      <c r="AA686" s="14" t="s">
        <v>5</v>
      </c>
      <c r="AB686" s="15" t="s">
        <v>6</v>
      </c>
      <c r="AC686" s="14" t="s">
        <v>7</v>
      </c>
      <c r="AD686" s="14" t="s">
        <v>8</v>
      </c>
      <c r="AE686" s="14" t="s">
        <v>9</v>
      </c>
      <c r="AF686" s="14" t="s">
        <v>10</v>
      </c>
      <c r="AG686" s="14" t="s">
        <v>11</v>
      </c>
      <c r="AH686" s="14" t="s">
        <v>12</v>
      </c>
      <c r="AI686" s="14" t="s">
        <v>13</v>
      </c>
      <c r="AJ686" s="15" t="s">
        <v>14</v>
      </c>
      <c r="AK686" s="14" t="s">
        <v>15</v>
      </c>
      <c r="AL686" s="14" t="s">
        <v>16</v>
      </c>
      <c r="AM686" s="16" t="s">
        <v>17</v>
      </c>
      <c r="AN686" s="17" t="s">
        <v>18</v>
      </c>
      <c r="AO686" s="18" t="s">
        <v>19</v>
      </c>
      <c r="AP686" s="19" t="s">
        <v>20</v>
      </c>
      <c r="AQ686" s="19" t="s">
        <v>21</v>
      </c>
      <c r="AR686" s="20" t="s">
        <v>22</v>
      </c>
    </row>
    <row r="687" ht="15.75" customHeight="1">
      <c r="A687" s="21"/>
      <c r="B687" s="38">
        <v>7.0</v>
      </c>
      <c r="C687" s="38" t="s">
        <v>24</v>
      </c>
      <c r="D687" s="39">
        <v>44.0</v>
      </c>
      <c r="E687" s="54">
        <f>IFERROR(__xludf.DUMMYFUNCTION("COUNT(IMPORTRANGE(""https://docs.google.com/spreadsheets/d/1E2x4oDZxEIsuC5nl-5Z0--MoN8b1dt9SbpRcCfNP84Q/edit"",""26!d2:d45""))"),42.0)</f>
        <v>42</v>
      </c>
      <c r="F687" s="55">
        <f>IFERROR(__xludf.DUMMYFUNCTION("SUM(IMPORTRANGE(""https://docs.google.com/spreadsheets/d/1E2x4oDZxEIsuC5nl-5Z0--MoN8b1dt9SbpRcCfNP84Q/edit"",""26!Q2:Q45""))"),8175.167999999993)</f>
        <v>8175.168</v>
      </c>
      <c r="G687" s="54">
        <f>IFERROR(__xludf.DUMMYFUNCTION("IMPORTRANGE(""https://docs.google.com/spreadsheets/d/1E2x4oDZxEIsuC5nl-5Z0--MoN8b1dt9SbpRcCfNP84Q/edit"",""26!e53"")"),1108.0)</f>
        <v>1108</v>
      </c>
      <c r="H687" s="54">
        <f>IFERROR(__xludf.DUMMYFUNCTION("IMPORTRANGE(""https://docs.google.com/spreadsheets/d/1E2x4oDZxEIsuC5nl-5Z0--MoN8b1dt9SbpRcCfNP84Q/edit"",""26!e54"")"),17.0)</f>
        <v>17</v>
      </c>
      <c r="I687" s="54">
        <f t="shared" si="1890"/>
        <v>1125</v>
      </c>
      <c r="J687" s="54">
        <f>IFERROR(__xludf.DUMMYFUNCTION("IMPORTRANGE(""https://docs.google.com/spreadsheets/d/1E2x4oDZxEIsuC5nl-5Z0--MoN8b1dt9SbpRcCfNP84Q/edit"",""26!e57"")"),1429.0)</f>
        <v>1429</v>
      </c>
      <c r="K687" s="54">
        <f>IFERROR(__xludf.DUMMYFUNCTION("IMPORTRANGE(""https://docs.google.com/spreadsheets/d/1E2x4oDZxEIsuC5nl-5Z0--MoN8b1dt9SbpRcCfNP84Q/edit"",""26!e58"")"),20.0)</f>
        <v>20</v>
      </c>
      <c r="L687" s="40">
        <f t="shared" si="1891"/>
        <v>1449</v>
      </c>
      <c r="M687" s="40">
        <f t="shared" si="1892"/>
        <v>2574</v>
      </c>
      <c r="N687" s="41">
        <f t="shared" si="1893"/>
        <v>194.6468571</v>
      </c>
      <c r="O687" s="38">
        <v>1580.0</v>
      </c>
      <c r="P687" s="56">
        <f t="shared" si="1894"/>
        <v>1.629113924</v>
      </c>
      <c r="Q687" s="43">
        <v>1.5</v>
      </c>
      <c r="R687" s="42">
        <f t="shared" si="1895"/>
        <v>0.2099039433</v>
      </c>
      <c r="S687" s="44">
        <f t="shared" si="1896"/>
        <v>0.3148559149</v>
      </c>
      <c r="T687" s="43">
        <f>F687/26.805</f>
        <v>304.9866816</v>
      </c>
      <c r="U687" s="43">
        <f t="shared" si="1897"/>
        <v>7.261587657</v>
      </c>
      <c r="V687" s="40">
        <f t="shared" si="1898"/>
        <v>61.28571429</v>
      </c>
      <c r="X687" s="22">
        <v>1.0</v>
      </c>
      <c r="Y687" s="22" t="s">
        <v>28</v>
      </c>
      <c r="Z687" s="22">
        <f t="shared" ref="Z687:AI687" si="1907">SUM(D682)</f>
        <v>33</v>
      </c>
      <c r="AA687" s="23">
        <f t="shared" si="1907"/>
        <v>33</v>
      </c>
      <c r="AB687" s="25">
        <f t="shared" si="1907"/>
        <v>6388.62</v>
      </c>
      <c r="AC687" s="23">
        <f t="shared" si="1907"/>
        <v>2523</v>
      </c>
      <c r="AD687" s="23">
        <f t="shared" si="1907"/>
        <v>141</v>
      </c>
      <c r="AE687" s="23">
        <f t="shared" si="1907"/>
        <v>2664</v>
      </c>
      <c r="AF687" s="23">
        <f t="shared" si="1907"/>
        <v>3013</v>
      </c>
      <c r="AG687" s="23">
        <f t="shared" si="1907"/>
        <v>130</v>
      </c>
      <c r="AH687" s="23">
        <f t="shared" si="1907"/>
        <v>3143</v>
      </c>
      <c r="AI687" s="23">
        <f t="shared" si="1907"/>
        <v>5807</v>
      </c>
      <c r="AJ687" s="25">
        <f t="shared" ref="AJ687:AJ693" si="1910">AB687/AA687</f>
        <v>193.5945455</v>
      </c>
      <c r="AK687" s="22">
        <f t="shared" ref="AK687:AK688" si="1911">SUM(O682)</f>
        <v>7315</v>
      </c>
      <c r="AL687" s="26">
        <f t="shared" ref="AL687:AL693" si="1912">AI687/AK687</f>
        <v>0.793848257</v>
      </c>
      <c r="AM687" s="27">
        <f t="shared" ref="AM687:AM688" si="1913">SUM(Q682)</f>
        <v>1.5</v>
      </c>
      <c r="AN687" s="26">
        <f t="shared" ref="AN687:AN693" si="1914">AO687/AM687</f>
        <v>0.6059733297</v>
      </c>
      <c r="AO687" s="28">
        <f t="shared" ref="AO687:AO693" si="1915">AI687/AB687</f>
        <v>0.9089599945</v>
      </c>
      <c r="AP687" s="27">
        <f t="shared" ref="AP687:AQ687" si="1908">SUM(T682)</f>
        <v>206.7715312</v>
      </c>
      <c r="AQ687" s="27">
        <f t="shared" si="1908"/>
        <v>6.265803976</v>
      </c>
      <c r="AR687" s="23">
        <f t="shared" ref="AR687:AR693" si="1917">AI687/AA687</f>
        <v>175.969697</v>
      </c>
    </row>
    <row r="688" ht="15.75" customHeight="1">
      <c r="A688" s="21"/>
      <c r="B688" s="38">
        <v>8.0</v>
      </c>
      <c r="C688" s="38" t="s">
        <v>25</v>
      </c>
      <c r="D688" s="57">
        <v>32.0</v>
      </c>
      <c r="E688" s="40">
        <f>IFERROR(__xludf.DUMMYFUNCTION("COUNT(IMPORTRANGE(""https://docs.google.com/spreadsheets/d/1KbRFOEYB0B44J_NSh1MwYQ1sLDlZXUHI-wuMLcZDn5k/edit"",""26!d2:D33""))"),32.0)</f>
        <v>32</v>
      </c>
      <c r="F688" s="45">
        <f>IFERROR(__xludf.DUMMYFUNCTION("SUM(IMPORTRANGE(""https://docs.google.com/spreadsheets/d/1KbRFOEYB0B44J_NSh1MwYQ1sLDlZXUHI-wuMLcZDn5k/edit"",""26!Q2:Q33""))"),5839.944000000001)</f>
        <v>5839.944</v>
      </c>
      <c r="G688" s="40">
        <f>IFERROR(__xludf.DUMMYFUNCTION("IMPORTRANGE(""https://docs.google.com/spreadsheets/d/1KbRFOEYB0B44J_NSh1MwYQ1sLDlZXUHI-wuMLcZDn5k/edit"",""26!e40"")"),2532.0)</f>
        <v>2532</v>
      </c>
      <c r="H688" s="40">
        <f>IFERROR(__xludf.DUMMYFUNCTION("IMPORTRANGE(""https://docs.google.com/spreadsheets/d/1KbRFOEYB0B44J_NSh1MwYQ1sLDlZXUHI-wuMLcZDn5k/edit"",""26!e41"")"),316.0)</f>
        <v>316</v>
      </c>
      <c r="I688" s="40">
        <f t="shared" si="1890"/>
        <v>2848</v>
      </c>
      <c r="J688" s="40">
        <f>IFERROR(__xludf.DUMMYFUNCTION("IMPORTRANGE(""https://docs.google.com/spreadsheets/d/1KbRFOEYB0B44J_NSh1MwYQ1sLDlZXUHI-wuMLcZDn5k/edit"",""26!e44"")"),3655.0)</f>
        <v>3655</v>
      </c>
      <c r="K688" s="40">
        <f>IFERROR(__xludf.DUMMYFUNCTION("IMPORTRANGE(""https://docs.google.com/spreadsheets/d/1KbRFOEYB0B44J_NSh1MwYQ1sLDlZXUHI-wuMLcZDn5k/edit"",""26!e45"")"),381.0)</f>
        <v>381</v>
      </c>
      <c r="L688" s="40">
        <f>J688+K688</f>
        <v>4036</v>
      </c>
      <c r="M688" s="40">
        <f t="shared" si="1892"/>
        <v>6884</v>
      </c>
      <c r="N688" s="41">
        <f t="shared" si="1893"/>
        <v>182.49825</v>
      </c>
      <c r="O688" s="38">
        <v>6622.0</v>
      </c>
      <c r="P688" s="56">
        <f t="shared" si="1894"/>
        <v>1.039565086</v>
      </c>
      <c r="Q688" s="43">
        <v>1.5</v>
      </c>
      <c r="R688" s="42">
        <f t="shared" si="1895"/>
        <v>0.7858522844</v>
      </c>
      <c r="S688" s="44">
        <f t="shared" si="1896"/>
        <v>1.178778427</v>
      </c>
      <c r="T688" s="43">
        <f>F688/23.84</f>
        <v>244.964094</v>
      </c>
      <c r="U688" s="43">
        <f t="shared" si="1897"/>
        <v>7.655127936</v>
      </c>
      <c r="V688" s="40">
        <f t="shared" si="1898"/>
        <v>215.125</v>
      </c>
      <c r="X688" s="31">
        <v>2.0</v>
      </c>
      <c r="Y688" s="31" t="s">
        <v>30</v>
      </c>
      <c r="Z688" s="31">
        <f t="shared" ref="Z688:AI688" si="1909">SUM(D683)</f>
        <v>60</v>
      </c>
      <c r="AA688" s="32">
        <f t="shared" si="1909"/>
        <v>58</v>
      </c>
      <c r="AB688" s="33">
        <f t="shared" si="1909"/>
        <v>11532.471</v>
      </c>
      <c r="AC688" s="32">
        <f t="shared" si="1909"/>
        <v>3948</v>
      </c>
      <c r="AD688" s="32">
        <f t="shared" si="1909"/>
        <v>0</v>
      </c>
      <c r="AE688" s="32">
        <f t="shared" si="1909"/>
        <v>3948</v>
      </c>
      <c r="AF688" s="32">
        <f t="shared" si="1909"/>
        <v>5527</v>
      </c>
      <c r="AG688" s="32">
        <f t="shared" si="1909"/>
        <v>161</v>
      </c>
      <c r="AH688" s="32">
        <f t="shared" si="1909"/>
        <v>5688</v>
      </c>
      <c r="AI688" s="32">
        <f t="shared" si="1909"/>
        <v>9636</v>
      </c>
      <c r="AJ688" s="34">
        <f t="shared" si="1910"/>
        <v>198.8357069</v>
      </c>
      <c r="AK688" s="31">
        <f t="shared" si="1911"/>
        <v>11164</v>
      </c>
      <c r="AL688" s="35">
        <f t="shared" si="1912"/>
        <v>0.8631314941</v>
      </c>
      <c r="AM688" s="36">
        <f t="shared" si="1913"/>
        <v>1.5</v>
      </c>
      <c r="AN688" s="35">
        <f t="shared" si="1914"/>
        <v>0.5570358685</v>
      </c>
      <c r="AO688" s="37">
        <f t="shared" si="1915"/>
        <v>0.8355538028</v>
      </c>
      <c r="AP688" s="36">
        <f t="shared" ref="AP688:AQ688" si="1916">SUM(T683)</f>
        <v>389.5710232</v>
      </c>
      <c r="AQ688" s="36">
        <f t="shared" si="1916"/>
        <v>6.716741779</v>
      </c>
      <c r="AR688" s="32">
        <f t="shared" si="1917"/>
        <v>166.137931</v>
      </c>
    </row>
    <row r="689" ht="15.75" customHeight="1">
      <c r="A689" s="21"/>
      <c r="B689" s="38">
        <v>9.0</v>
      </c>
      <c r="C689" s="38" t="s">
        <v>36</v>
      </c>
      <c r="D689" s="58">
        <v>29.0</v>
      </c>
      <c r="E689" s="40">
        <f>IFERROR(__xludf.DUMMYFUNCTION("COUNT(IMPORTRANGE(""https://docs.google.com/spreadsheets/d/1VqqqRGfmmkT0JC4ILJva2p8P11jjV0FX-TSKAaqOigw/edit"",""26!d2:d31""))"),28.0)</f>
        <v>28</v>
      </c>
      <c r="F689" s="45">
        <f>IFERROR(__xludf.DUMMYFUNCTION("SUM(IMPORTRANGE(""https://docs.google.com/spreadsheets/d/1VqqqRGfmmkT0JC4ILJva2p8P11jjV0FX-TSKAaqOigw/edit"",""26!Q2:Q31""))"),5456.059999999999)</f>
        <v>5456.06</v>
      </c>
      <c r="G689" s="40">
        <f>IFERROR(__xludf.DUMMYFUNCTION("IMPORTRANGE(""https://docs.google.com/spreadsheets/d/1VqqqRGfmmkT0JC4ILJva2p8P11jjV0FX-TSKAaqOigw/edit"",""26!e38"")"),1572.0)</f>
        <v>1572</v>
      </c>
      <c r="H689" s="40">
        <f>IFERROR(__xludf.DUMMYFUNCTION("IMPORTRANGE(""https://docs.google.com/spreadsheets/d/1VqqqRGfmmkT0JC4ILJva2p8P11jjV0FX-TSKAaqOigw/edit"",""26!e39"")"),0.0)</f>
        <v>0</v>
      </c>
      <c r="I689" s="40">
        <f t="shared" si="1890"/>
        <v>1572</v>
      </c>
      <c r="J689" s="40">
        <f>IFERROR(__xludf.DUMMYFUNCTION("IMPORTRANGE(""https://docs.google.com/spreadsheets/d/1VqqqRGfmmkT0JC4ILJva2p8P11jjV0FX-TSKAaqOigw/edit"",""26!e42"")"),2400.0)</f>
        <v>2400</v>
      </c>
      <c r="K689" s="40">
        <f>IFERROR(__xludf.DUMMYFUNCTION("IMPORTRANGE(""https://docs.google.com/spreadsheets/d/1VqqqRGfmmkT0JC4ILJva2p8P11jjV0FX-TSKAaqOigw/edit"",""26!e43"")"),0.0)</f>
        <v>0</v>
      </c>
      <c r="L689" s="40">
        <f t="shared" ref="L689:L698" si="1920">SUM(J689:K689)</f>
        <v>2400</v>
      </c>
      <c r="M689" s="40">
        <f t="shared" si="1892"/>
        <v>3972</v>
      </c>
      <c r="N689" s="41">
        <f t="shared" si="1893"/>
        <v>194.8592857</v>
      </c>
      <c r="O689" s="38">
        <v>4796.0</v>
      </c>
      <c r="P689" s="42">
        <f t="shared" si="1894"/>
        <v>0.8281901585</v>
      </c>
      <c r="Q689" s="43">
        <v>1.5</v>
      </c>
      <c r="R689" s="42">
        <f t="shared" si="1895"/>
        <v>0.4853319062</v>
      </c>
      <c r="S689" s="44">
        <f t="shared" si="1896"/>
        <v>0.7279978593</v>
      </c>
      <c r="T689" s="43">
        <f>F689/37.414</f>
        <v>145.8293687</v>
      </c>
      <c r="U689" s="43">
        <f t="shared" si="1897"/>
        <v>5.208191739</v>
      </c>
      <c r="V689" s="40">
        <f t="shared" si="1898"/>
        <v>141.8571429</v>
      </c>
      <c r="X689" s="22">
        <v>3.0</v>
      </c>
      <c r="Y689" s="22" t="s">
        <v>34</v>
      </c>
      <c r="Z689" s="22">
        <f t="shared" ref="Z689:AI689" si="1918">SUM(D685)</f>
        <v>40</v>
      </c>
      <c r="AA689" s="23">
        <f t="shared" si="1918"/>
        <v>40</v>
      </c>
      <c r="AB689" s="24">
        <f t="shared" si="1918"/>
        <v>7850.712</v>
      </c>
      <c r="AC689" s="23">
        <f t="shared" si="1918"/>
        <v>2861</v>
      </c>
      <c r="AD689" s="23">
        <f t="shared" si="1918"/>
        <v>0</v>
      </c>
      <c r="AE689" s="23">
        <f t="shared" si="1918"/>
        <v>2861</v>
      </c>
      <c r="AF689" s="23">
        <f t="shared" si="1918"/>
        <v>3223</v>
      </c>
      <c r="AG689" s="23">
        <f t="shared" si="1918"/>
        <v>0</v>
      </c>
      <c r="AH689" s="23">
        <f t="shared" si="1918"/>
        <v>3223</v>
      </c>
      <c r="AI689" s="23">
        <f t="shared" si="1918"/>
        <v>6084</v>
      </c>
      <c r="AJ689" s="25">
        <f t="shared" si="1910"/>
        <v>196.2678</v>
      </c>
      <c r="AK689" s="22">
        <f>SUM(O685)</f>
        <v>9354</v>
      </c>
      <c r="AL689" s="26">
        <f t="shared" si="1912"/>
        <v>0.6504169339</v>
      </c>
      <c r="AM689" s="27">
        <f>SUM(Q685)</f>
        <v>1.5</v>
      </c>
      <c r="AN689" s="26">
        <f t="shared" si="1914"/>
        <v>0.5166410384</v>
      </c>
      <c r="AO689" s="28">
        <f t="shared" si="1915"/>
        <v>0.7749615576</v>
      </c>
      <c r="AP689" s="27">
        <f t="shared" ref="AP689:AQ689" si="1919">SUM(T685)</f>
        <v>255.6152769</v>
      </c>
      <c r="AQ689" s="27">
        <f t="shared" si="1919"/>
        <v>6.390381923</v>
      </c>
      <c r="AR689" s="23">
        <f t="shared" si="1917"/>
        <v>152.1</v>
      </c>
    </row>
    <row r="690" ht="15.75" customHeight="1">
      <c r="A690" s="21"/>
      <c r="B690" s="38">
        <v>10.0</v>
      </c>
      <c r="C690" s="38" t="s">
        <v>37</v>
      </c>
      <c r="D690" s="39">
        <v>30.0</v>
      </c>
      <c r="E690" s="40">
        <f>IFERROR(__xludf.DUMMYFUNCTION("COUNT(IMPORTRANGE(""https://docs.google.com/spreadsheets/d/1IYeRjQd_D6MRqoBKNaky3aSEUloYCJc5XDnPAbdyetk/edit"",""26!d2:d31""))"),28.0)</f>
        <v>28</v>
      </c>
      <c r="F690" s="45">
        <f>IFERROR(__xludf.DUMMYFUNCTION("SUM(IMPORTRANGE(""https://docs.google.com/spreadsheets/d/1IYeRjQd_D6MRqoBKNaky3aSEUloYCJc5XDnPAbdyetk/edit"",""26!Q2:Q31""))"),5402.034000000003)</f>
        <v>5402.034</v>
      </c>
      <c r="G690" s="40">
        <f>IFERROR(__xludf.DUMMYFUNCTION("(IMPORTRANGE(""https://docs.google.com/spreadsheets/d/1IYeRjQd_D6MRqoBKNaky3aSEUloYCJc5XDnPAbdyetk/edit"",""26!e38""))"),2260.0)</f>
        <v>2260</v>
      </c>
      <c r="H690" s="40">
        <f>IFERROR(__xludf.DUMMYFUNCTION("(IMPORTRANGE(""https://docs.google.com/spreadsheets/d/1IYeRjQd_D6MRqoBKNaky3aSEUloYCJc5XDnPAbdyetk/edit"",""26!e39""))"),0.0)</f>
        <v>0</v>
      </c>
      <c r="I690" s="40">
        <f t="shared" si="1890"/>
        <v>2260</v>
      </c>
      <c r="J690" s="40">
        <f>IFERROR(__xludf.DUMMYFUNCTION("(IMPORTRANGE(""https://docs.google.com/spreadsheets/d/1IYeRjQd_D6MRqoBKNaky3aSEUloYCJc5XDnPAbdyetk/edit"",""26!e42""))"),3212.0)</f>
        <v>3212</v>
      </c>
      <c r="K690" s="40">
        <f>IFERROR(__xludf.DUMMYFUNCTION("(IMPORTRANGE(""https://docs.google.com/spreadsheets/d/1IYeRjQd_D6MRqoBKNaky3aSEUloYCJc5XDnPAbdyetk/edit"",""26!e43""))"),0.0)</f>
        <v>0</v>
      </c>
      <c r="L690" s="40">
        <f t="shared" si="1920"/>
        <v>3212</v>
      </c>
      <c r="M690" s="40">
        <f t="shared" si="1892"/>
        <v>5472</v>
      </c>
      <c r="N690" s="41">
        <f t="shared" si="1893"/>
        <v>192.9297857</v>
      </c>
      <c r="O690" s="38">
        <v>5887.0</v>
      </c>
      <c r="P690" s="42">
        <f t="shared" si="1894"/>
        <v>0.9295056905</v>
      </c>
      <c r="Q690" s="43">
        <v>1.5</v>
      </c>
      <c r="R690" s="42">
        <f t="shared" si="1895"/>
        <v>0.6753011921</v>
      </c>
      <c r="S690" s="44">
        <f t="shared" si="1896"/>
        <v>1.012951788</v>
      </c>
      <c r="T690" s="43">
        <f>F690/24.792</f>
        <v>217.8942401</v>
      </c>
      <c r="U690" s="43">
        <f t="shared" si="1897"/>
        <v>7.781937146</v>
      </c>
      <c r="V690" s="40">
        <f t="shared" si="1898"/>
        <v>195.4285714</v>
      </c>
      <c r="X690" s="31">
        <v>4.0</v>
      </c>
      <c r="Y690" s="31" t="s">
        <v>38</v>
      </c>
      <c r="Z690" s="31">
        <f t="shared" ref="Z690:AI690" si="1921">SUM(D693)</f>
        <v>30</v>
      </c>
      <c r="AA690" s="32">
        <f t="shared" si="1921"/>
        <v>30</v>
      </c>
      <c r="AB690" s="33">
        <f t="shared" si="1921"/>
        <v>6160.663</v>
      </c>
      <c r="AC690" s="32">
        <f t="shared" si="1921"/>
        <v>2364</v>
      </c>
      <c r="AD690" s="32">
        <f t="shared" si="1921"/>
        <v>0</v>
      </c>
      <c r="AE690" s="32">
        <f t="shared" si="1921"/>
        <v>2364</v>
      </c>
      <c r="AF690" s="32">
        <f t="shared" si="1921"/>
        <v>2693</v>
      </c>
      <c r="AG690" s="32">
        <f t="shared" si="1921"/>
        <v>216</v>
      </c>
      <c r="AH690" s="32">
        <f t="shared" si="1921"/>
        <v>2909</v>
      </c>
      <c r="AI690" s="32">
        <f t="shared" si="1921"/>
        <v>5273</v>
      </c>
      <c r="AJ690" s="34">
        <f t="shared" si="1910"/>
        <v>205.3554333</v>
      </c>
      <c r="AK690" s="31">
        <v>7324.0</v>
      </c>
      <c r="AL690" s="35">
        <f t="shared" si="1912"/>
        <v>0.7199617695</v>
      </c>
      <c r="AM690" s="36">
        <f>SUM(Q693)</f>
        <v>1.5</v>
      </c>
      <c r="AN690" s="35">
        <f t="shared" si="1914"/>
        <v>0.570609581</v>
      </c>
      <c r="AO690" s="37">
        <f t="shared" si="1915"/>
        <v>0.8559143716</v>
      </c>
      <c r="AP690" s="36">
        <f t="shared" ref="AP690:AQ690" si="1922">SUM(T693)</f>
        <v>149.5125106</v>
      </c>
      <c r="AQ690" s="36">
        <f t="shared" si="1922"/>
        <v>4.983750354</v>
      </c>
      <c r="AR690" s="32">
        <f t="shared" si="1917"/>
        <v>175.7666667</v>
      </c>
    </row>
    <row r="691" ht="15.75" customHeight="1">
      <c r="A691" s="21"/>
      <c r="B691" s="38">
        <v>12.0</v>
      </c>
      <c r="C691" s="38" t="s">
        <v>39</v>
      </c>
      <c r="D691" s="39">
        <v>28.0</v>
      </c>
      <c r="E691" s="40">
        <f>IFERROR(__xludf.DUMMYFUNCTION("COUNT(IMPORTRANGE(""https://docs.google.com/spreadsheets/d/1TAY2D35yAzyl8a_p5CuZehQvmatfj0b0Q8ICl8GtJBY/edit"",""26!d2:d29""))"),27.0)</f>
        <v>27</v>
      </c>
      <c r="F691" s="45">
        <f>IFERROR(__xludf.DUMMYFUNCTION("SUM(IMPORTRANGE(""https://docs.google.com/spreadsheets/d/1TAY2D35yAzyl8a_p5CuZehQvmatfj0b0Q8ICl8GtJBY/edit"",""26!Q2:Q29""))"),5222.7850000000035)</f>
        <v>5222.785</v>
      </c>
      <c r="G691" s="40">
        <f>IFERROR(__xludf.DUMMYFUNCTION("IMPORTRANGE(""https://docs.google.com/spreadsheets/d/1TAY2D35yAzyl8a_p5CuZehQvmatfj0b0Q8ICl8GtJBY/edit"",""26!e36"")"),1302.0)</f>
        <v>1302</v>
      </c>
      <c r="H691" s="40">
        <f>IFERROR(__xludf.DUMMYFUNCTION("(IMPORTRANGE(""https://docs.google.com/spreadsheets/d/1TAY2D35yAzyl8a_p5CuZehQvmatfj0b0Q8ICl8GtJBY/edit"",""26!e37""))"),51.0)</f>
        <v>51</v>
      </c>
      <c r="I691" s="40">
        <f t="shared" si="1890"/>
        <v>1353</v>
      </c>
      <c r="J691" s="40">
        <f>IFERROR(__xludf.DUMMYFUNCTION("IMPORTRANGE(""https://docs.google.com/spreadsheets/d/1TAY2D35yAzyl8a_p5CuZehQvmatfj0b0Q8ICl8GtJBY/edit"",""26!e40"")"),1498.0)</f>
        <v>1498</v>
      </c>
      <c r="K691" s="40">
        <f>IFERROR(__xludf.DUMMYFUNCTION("IMPORTRANGE(""https://docs.google.com/spreadsheets/d/1TAY2D35yAzyl8a_p5CuZehQvmatfj0b0Q8ICl8GtJBY/edit"",""26!e41"")"),250.0)</f>
        <v>250</v>
      </c>
      <c r="L691" s="40">
        <f t="shared" si="1920"/>
        <v>1748</v>
      </c>
      <c r="M691" s="40">
        <f t="shared" si="1892"/>
        <v>3101</v>
      </c>
      <c r="N691" s="41">
        <f t="shared" si="1893"/>
        <v>193.4364815</v>
      </c>
      <c r="O691" s="38">
        <v>3569.0</v>
      </c>
      <c r="P691" s="42">
        <f t="shared" si="1894"/>
        <v>0.8688708322</v>
      </c>
      <c r="Q691" s="43">
        <v>1.5</v>
      </c>
      <c r="R691" s="42">
        <f t="shared" si="1895"/>
        <v>0.3958296835</v>
      </c>
      <c r="S691" s="44">
        <f t="shared" si="1896"/>
        <v>0.5937445252</v>
      </c>
      <c r="T691" s="43">
        <f>F691/21.463</f>
        <v>243.339002</v>
      </c>
      <c r="U691" s="43">
        <f t="shared" si="1897"/>
        <v>9.01255563</v>
      </c>
      <c r="V691" s="40">
        <f t="shared" si="1898"/>
        <v>114.8518519</v>
      </c>
      <c r="X691" s="31">
        <v>5.0</v>
      </c>
      <c r="Y691" s="31" t="s">
        <v>40</v>
      </c>
      <c r="Z691" s="31">
        <f t="shared" ref="Z691:AI691" si="1923">SUM(D695)</f>
        <v>30</v>
      </c>
      <c r="AA691" s="32">
        <f t="shared" si="1923"/>
        <v>30</v>
      </c>
      <c r="AB691" s="33">
        <f t="shared" si="1923"/>
        <v>5801.039</v>
      </c>
      <c r="AC691" s="32">
        <f t="shared" si="1923"/>
        <v>3205</v>
      </c>
      <c r="AD691" s="32">
        <f t="shared" si="1923"/>
        <v>0</v>
      </c>
      <c r="AE691" s="32">
        <f t="shared" si="1923"/>
        <v>3205</v>
      </c>
      <c r="AF691" s="32">
        <f t="shared" si="1923"/>
        <v>3982</v>
      </c>
      <c r="AG691" s="32">
        <f t="shared" si="1923"/>
        <v>0</v>
      </c>
      <c r="AH691" s="32">
        <f t="shared" si="1923"/>
        <v>3982</v>
      </c>
      <c r="AI691" s="32">
        <f t="shared" si="1923"/>
        <v>7187</v>
      </c>
      <c r="AJ691" s="34">
        <f t="shared" si="1910"/>
        <v>193.3679667</v>
      </c>
      <c r="AK691" s="31">
        <f t="shared" ref="AK691:AK692" si="1926">SUM(O695)</f>
        <v>8239</v>
      </c>
      <c r="AL691" s="35">
        <f t="shared" si="1912"/>
        <v>0.8723146013</v>
      </c>
      <c r="AM691" s="36">
        <f t="shared" ref="AM691:AM692" si="1927">SUM(Q695)</f>
        <v>1.5</v>
      </c>
      <c r="AN691" s="35">
        <f t="shared" si="1914"/>
        <v>0.8259439961</v>
      </c>
      <c r="AO691" s="37">
        <f t="shared" si="1915"/>
        <v>1.238915994</v>
      </c>
      <c r="AP691" s="36">
        <f t="shared" ref="AP691:AQ691" si="1924">SUM(T695)</f>
        <v>203.9531343</v>
      </c>
      <c r="AQ691" s="36">
        <f t="shared" si="1924"/>
        <v>6.798437811</v>
      </c>
      <c r="AR691" s="32">
        <f t="shared" si="1917"/>
        <v>239.5666667</v>
      </c>
    </row>
    <row r="692" ht="15.75" customHeight="1">
      <c r="A692" s="21"/>
      <c r="B692" s="38">
        <v>12.0</v>
      </c>
      <c r="C692" s="38" t="s">
        <v>41</v>
      </c>
      <c r="D692" s="39">
        <v>24.0</v>
      </c>
      <c r="E692" s="40">
        <f>IFERROR(__xludf.DUMMYFUNCTION("COUNT(IMPORTRANGE(""https://docs.google.com/spreadsheets/d/1VAsUtLQHi7oV9NsI9EIHPnO1bcPJHeRgSbMoxSvPBME/edit"",""26!d2:d25""))"),24.0)</f>
        <v>24</v>
      </c>
      <c r="F692" s="45">
        <f>IFERROR(__xludf.DUMMYFUNCTION("SUM(IMPORTRANGE(""https://docs.google.com/spreadsheets/d/1VAsUtLQHi7oV9NsI9EIHPnO1bcPJHeRgSbMoxSvPBME/edit"",""26!Q2:Q25""))"),4750.356)</f>
        <v>4750.356</v>
      </c>
      <c r="G692" s="40">
        <f>IFERROR(__xludf.DUMMYFUNCTION("IMPORTRANGE(""https://docs.google.com/spreadsheets/d/1VAsUtLQHi7oV9NsI9EIHPnO1bcPJHeRgSbMoxSvPBME/edit"",""26!e32"")"),1419.0)</f>
        <v>1419</v>
      </c>
      <c r="H692" s="40">
        <f>IFERROR(__xludf.DUMMYFUNCTION("IMPORTRANGE(""https://docs.google.com/spreadsheets/d/1VAsUtLQHi7oV9NsI9EIHPnO1bcPJHeRgSbMoxSvPBME/edit"",""26!e33"")"),35.0)</f>
        <v>35</v>
      </c>
      <c r="I692" s="40">
        <f t="shared" si="1890"/>
        <v>1454</v>
      </c>
      <c r="J692" s="40">
        <f>IFERROR(__xludf.DUMMYFUNCTION("IMPORTRANGE(""https://docs.google.com/spreadsheets/d/1VAsUtLQHi7oV9NsI9EIHPnO1bcPJHeRgSbMoxSvPBME/edit"",""26!e36"")"),1677.0)</f>
        <v>1677</v>
      </c>
      <c r="K692" s="40">
        <f>IFERROR(__xludf.DUMMYFUNCTION("IMPORTRANGE(""https://docs.google.com/spreadsheets/d/1VAsUtLQHi7oV9NsI9EIHPnO1bcPJHeRgSbMoxSvPBME/edit"",""26!e37"")"),0.0)</f>
        <v>0</v>
      </c>
      <c r="L692" s="40">
        <f t="shared" si="1920"/>
        <v>1677</v>
      </c>
      <c r="M692" s="40">
        <f t="shared" si="1892"/>
        <v>3131</v>
      </c>
      <c r="N692" s="41">
        <f t="shared" si="1893"/>
        <v>197.9315</v>
      </c>
      <c r="O692" s="38">
        <v>3801.0</v>
      </c>
      <c r="P692" s="42">
        <f t="shared" si="1894"/>
        <v>0.8237305972</v>
      </c>
      <c r="Q692" s="43">
        <v>1.5</v>
      </c>
      <c r="R692" s="42">
        <f t="shared" si="1895"/>
        <v>0.4394056642</v>
      </c>
      <c r="S692" s="44">
        <f t="shared" si="1896"/>
        <v>0.6591084963</v>
      </c>
      <c r="T692" s="43">
        <f>F692/29.628</f>
        <v>160.3333333</v>
      </c>
      <c r="U692" s="43">
        <f t="shared" si="1897"/>
        <v>6.680555556</v>
      </c>
      <c r="V692" s="40">
        <f t="shared" si="1898"/>
        <v>130.4583333</v>
      </c>
      <c r="X692" s="22">
        <v>6.0</v>
      </c>
      <c r="Y692" s="22" t="s">
        <v>42</v>
      </c>
      <c r="Z692" s="22">
        <f t="shared" ref="Z692:AI692" si="1925">SUM(D696)</f>
        <v>33</v>
      </c>
      <c r="AA692" s="23">
        <f t="shared" si="1925"/>
        <v>32</v>
      </c>
      <c r="AB692" s="24">
        <f t="shared" si="1925"/>
        <v>6284.893</v>
      </c>
      <c r="AC692" s="23">
        <f t="shared" si="1925"/>
        <v>3210</v>
      </c>
      <c r="AD692" s="23">
        <f t="shared" si="1925"/>
        <v>0</v>
      </c>
      <c r="AE692" s="23">
        <f t="shared" si="1925"/>
        <v>3210</v>
      </c>
      <c r="AF692" s="23">
        <f t="shared" si="1925"/>
        <v>4197</v>
      </c>
      <c r="AG692" s="23">
        <f t="shared" si="1925"/>
        <v>237</v>
      </c>
      <c r="AH692" s="23">
        <f t="shared" si="1925"/>
        <v>4434</v>
      </c>
      <c r="AI692" s="23">
        <f t="shared" si="1925"/>
        <v>7644</v>
      </c>
      <c r="AJ692" s="25">
        <f t="shared" si="1910"/>
        <v>196.4029063</v>
      </c>
      <c r="AK692" s="22">
        <f t="shared" si="1926"/>
        <v>9877</v>
      </c>
      <c r="AL692" s="26">
        <f t="shared" si="1912"/>
        <v>0.7739192062</v>
      </c>
      <c r="AM692" s="27">
        <f t="shared" si="1927"/>
        <v>1.5</v>
      </c>
      <c r="AN692" s="26">
        <f t="shared" si="1914"/>
        <v>0.8108332155</v>
      </c>
      <c r="AO692" s="28">
        <f t="shared" si="1915"/>
        <v>1.216249823</v>
      </c>
      <c r="AP692" s="27">
        <f t="shared" ref="AP692:AQ692" si="1928">SUM(T696)</f>
        <v>240.2941311</v>
      </c>
      <c r="AQ692" s="27">
        <f t="shared" si="1928"/>
        <v>7.509191598</v>
      </c>
      <c r="AR692" s="23">
        <f t="shared" si="1917"/>
        <v>238.875</v>
      </c>
    </row>
    <row r="693" ht="15.75" customHeight="1">
      <c r="A693" s="21"/>
      <c r="B693" s="38">
        <v>13.0</v>
      </c>
      <c r="C693" s="38" t="s">
        <v>43</v>
      </c>
      <c r="D693" s="39">
        <v>30.0</v>
      </c>
      <c r="E693" s="40">
        <f>IFERROR(__xludf.DUMMYFUNCTION("COUNT(IMPORTRANGE(""https://docs.google.com/spreadsheets/d/1p9Y_DGk7-TpRBFth-ljZceOIGCjQ0ylUeUq6xqnsZ-Q/edit"",""26!d2:d31""))"),30.0)</f>
        <v>30</v>
      </c>
      <c r="F693" s="45">
        <f>IFERROR(__xludf.DUMMYFUNCTION("SUM(IMPORTRANGE(""https://docs.google.com/spreadsheets/d/1p9Y_DGk7-TpRBFth-ljZceOIGCjQ0ylUeUq6xqnsZ-Q/edit"",""26!Q2:Q31""))"),6160.662999999999)</f>
        <v>6160.663</v>
      </c>
      <c r="G693" s="40">
        <f>IFERROR(__xludf.DUMMYFUNCTION("IMPORTRANGE(""https://docs.google.com/spreadsheets/d/1p9Y_DGk7-TpRBFth-ljZceOIGCjQ0ylUeUq6xqnsZ-Q/edit"",""26!e38"")"),2364.0)</f>
        <v>2364</v>
      </c>
      <c r="H693" s="40">
        <f>IFERROR(__xludf.DUMMYFUNCTION("IMPORTRANGE(""https://docs.google.com/spreadsheets/d/1p9Y_DGk7-TpRBFth-ljZceOIGCjQ0ylUeUq6xqnsZ-Q/edit"",""26!e39"")"),0.0)</f>
        <v>0</v>
      </c>
      <c r="I693" s="40">
        <f t="shared" si="1890"/>
        <v>2364</v>
      </c>
      <c r="J693" s="40">
        <f>IFERROR(__xludf.DUMMYFUNCTION("IMPORTRANGE(""https://docs.google.com/spreadsheets/d/1p9Y_DGk7-TpRBFth-ljZceOIGCjQ0ylUeUq6xqnsZ-Q/edit"",""26!e42"")"),2693.0)</f>
        <v>2693</v>
      </c>
      <c r="K693" s="40">
        <f>IFERROR(__xludf.DUMMYFUNCTION("IMPORTRANGE(""https://docs.google.com/spreadsheets/d/1p9Y_DGk7-TpRBFth-ljZceOIGCjQ0ylUeUq6xqnsZ-Q/edit"",""26!e43"")"),216.0)</f>
        <v>216</v>
      </c>
      <c r="L693" s="40">
        <f t="shared" si="1920"/>
        <v>2909</v>
      </c>
      <c r="M693" s="40">
        <f t="shared" si="1892"/>
        <v>5273</v>
      </c>
      <c r="N693" s="41">
        <f t="shared" si="1893"/>
        <v>205.3554333</v>
      </c>
      <c r="O693" s="38">
        <v>8345.0</v>
      </c>
      <c r="P693" s="42">
        <f t="shared" si="1894"/>
        <v>0.6318753745</v>
      </c>
      <c r="Q693" s="43">
        <v>1.5</v>
      </c>
      <c r="R693" s="42">
        <f t="shared" si="1895"/>
        <v>0.570609581</v>
      </c>
      <c r="S693" s="44">
        <f t="shared" si="1896"/>
        <v>0.8559143716</v>
      </c>
      <c r="T693" s="43">
        <f>F693/41.205</f>
        <v>149.5125106</v>
      </c>
      <c r="U693" s="43">
        <f t="shared" si="1897"/>
        <v>4.983750354</v>
      </c>
      <c r="V693" s="40">
        <f t="shared" si="1898"/>
        <v>175.7666667</v>
      </c>
      <c r="X693" s="46" t="s">
        <v>33</v>
      </c>
      <c r="Y693" s="46">
        <v>6.0</v>
      </c>
      <c r="Z693" s="46">
        <f t="shared" ref="Z693:AI693" si="1929">SUM(Z687:Z692)</f>
        <v>226</v>
      </c>
      <c r="AA693" s="47">
        <f t="shared" si="1929"/>
        <v>223</v>
      </c>
      <c r="AB693" s="49">
        <f t="shared" si="1929"/>
        <v>44018.398</v>
      </c>
      <c r="AC693" s="47">
        <f t="shared" si="1929"/>
        <v>18111</v>
      </c>
      <c r="AD693" s="47">
        <f t="shared" si="1929"/>
        <v>141</v>
      </c>
      <c r="AE693" s="47">
        <f t="shared" si="1929"/>
        <v>18252</v>
      </c>
      <c r="AF693" s="47">
        <f t="shared" si="1929"/>
        <v>22635</v>
      </c>
      <c r="AG693" s="47">
        <f t="shared" si="1929"/>
        <v>744</v>
      </c>
      <c r="AH693" s="47">
        <f t="shared" si="1929"/>
        <v>23379</v>
      </c>
      <c r="AI693" s="47">
        <f t="shared" si="1929"/>
        <v>41631</v>
      </c>
      <c r="AJ693" s="49">
        <f t="shared" si="1910"/>
        <v>197.3919193</v>
      </c>
      <c r="AK693" s="46">
        <f>SUM(AK687:AK692)</f>
        <v>53273</v>
      </c>
      <c r="AL693" s="50">
        <f t="shared" si="1912"/>
        <v>0.7814652826</v>
      </c>
      <c r="AM693" s="51">
        <v>1.5</v>
      </c>
      <c r="AN693" s="50">
        <f t="shared" si="1914"/>
        <v>0.6305090885</v>
      </c>
      <c r="AO693" s="52">
        <f t="shared" si="1915"/>
        <v>0.9457636327</v>
      </c>
      <c r="AP693" s="51">
        <f>SUM(AP687:AP692)</f>
        <v>1445.717607</v>
      </c>
      <c r="AQ693" s="51">
        <f>AP693/AA693</f>
        <v>6.483038598</v>
      </c>
      <c r="AR693" s="47">
        <f t="shared" si="1917"/>
        <v>186.6860987</v>
      </c>
    </row>
    <row r="694" ht="15.75" customHeight="1">
      <c r="A694" s="21"/>
      <c r="B694" s="38">
        <v>14.0</v>
      </c>
      <c r="C694" s="38" t="s">
        <v>27</v>
      </c>
      <c r="D694" s="39">
        <v>30.0</v>
      </c>
      <c r="E694" s="40">
        <f>IFERROR(__xludf.DUMMYFUNCTION("COUNT(IMPORTRANGE(""https://docs.google.com/spreadsheets/d/1zJUDEKztv_fercXA0LYNw155qdzS7TJGhWLhquaW5IY/edit"",""26!d2:d31""))"),27.0)</f>
        <v>27</v>
      </c>
      <c r="F694" s="45">
        <f>IFERROR(__xludf.DUMMYFUNCTION("SUM(IMPORTRANGE(""https://docs.google.com/spreadsheets/d/1zJUDEKztv_fercXA0LYNw155qdzS7TJGhWLhquaW5IY/edit"",""26!Q2:Q31""))"),5046.075000000001)</f>
        <v>5046.075</v>
      </c>
      <c r="G694" s="40">
        <f>IFERROR(__xludf.DUMMYFUNCTION("IMPORTRANGE(""https://docs.google.com/spreadsheets/d/1zJUDEKztv_fercXA0LYNw155qdzS7TJGhWLhquaW5IY/edit"",""26!e38"")"),2526.0)</f>
        <v>2526</v>
      </c>
      <c r="H694" s="40">
        <f>IFERROR(__xludf.DUMMYFUNCTION("IMPORTRANGE(""https://docs.google.com/spreadsheets/d/1zJUDEKztv_fercXA0LYNw155qdzS7TJGhWLhquaW5IY/edit"",""26!e39"")"),0.0)</f>
        <v>0</v>
      </c>
      <c r="I694" s="40">
        <f t="shared" si="1890"/>
        <v>2526</v>
      </c>
      <c r="J694" s="40">
        <f>IFERROR(__xludf.DUMMYFUNCTION("IMPORTRANGE(""https://docs.google.com/spreadsheets/d/1zJUDEKztv_fercXA0LYNw155qdzS7TJGhWLhquaW5IY/edit"",""26!e42"")"),3326.0)</f>
        <v>3326</v>
      </c>
      <c r="K694" s="40">
        <f>IFERROR(__xludf.DUMMYFUNCTION("IMPORTRANGE(""https://docs.google.com/spreadsheets/d/1zJUDEKztv_fercXA0LYNw155qdzS7TJGhWLhquaW5IY/edit"",""26!e43"")"),0.0)</f>
        <v>0</v>
      </c>
      <c r="L694" s="40">
        <f t="shared" si="1920"/>
        <v>3326</v>
      </c>
      <c r="M694" s="40">
        <f t="shared" si="1892"/>
        <v>5852</v>
      </c>
      <c r="N694" s="41">
        <f t="shared" si="1893"/>
        <v>186.8916667</v>
      </c>
      <c r="O694" s="38">
        <v>8101.0</v>
      </c>
      <c r="P694" s="42">
        <f t="shared" si="1894"/>
        <v>0.7223799531</v>
      </c>
      <c r="Q694" s="43">
        <v>1.5</v>
      </c>
      <c r="R694" s="42">
        <f t="shared" si="1895"/>
        <v>0.7731421616</v>
      </c>
      <c r="S694" s="44">
        <f t="shared" si="1896"/>
        <v>1.159713242</v>
      </c>
      <c r="T694" s="43">
        <f>F694/19.985</f>
        <v>252.4931198</v>
      </c>
      <c r="U694" s="43">
        <f t="shared" si="1897"/>
        <v>9.351597031</v>
      </c>
      <c r="V694" s="40">
        <f t="shared" si="1898"/>
        <v>216.7407407</v>
      </c>
      <c r="X694" s="59" t="s">
        <v>44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6"/>
    </row>
    <row r="695" ht="15.75" customHeight="1">
      <c r="A695" s="21"/>
      <c r="B695" s="38">
        <v>15.0</v>
      </c>
      <c r="C695" s="38" t="s">
        <v>40</v>
      </c>
      <c r="D695" s="39">
        <v>30.0</v>
      </c>
      <c r="E695" s="40">
        <f>IFERROR(__xludf.DUMMYFUNCTION("COUNT(IMPORTRANGE(""https://docs.google.com/spreadsheets/d/15GJA66Ucb-8RQ5vWVpq5HYaWoZZFX82SCeHChBujbrI/edit"",""26!d2:d31""))"),30.0)</f>
        <v>30</v>
      </c>
      <c r="F695" s="45">
        <f>IFERROR(__xludf.DUMMYFUNCTION("SUM(IMPORTRANGE(""https://docs.google.com/spreadsheets/d/15GJA66Ucb-8RQ5vWVpq5HYaWoZZFX82SCeHChBujbrI/edit"",""26!Q2:Q31""))"),5801.038999999999)</f>
        <v>5801.039</v>
      </c>
      <c r="G695" s="40">
        <f>IFERROR(__xludf.DUMMYFUNCTION("IMPORTRANGE(""https://docs.google.com/spreadsheets/d/15GJA66Ucb-8RQ5vWVpq5HYaWoZZFX82SCeHChBujbrI/edit"",""26!e38"")"),3205.0)</f>
        <v>3205</v>
      </c>
      <c r="H695" s="40">
        <f>IFERROR(__xludf.DUMMYFUNCTION("IMPORTRANGE(""https://docs.google.com/spreadsheets/d/15GJA66Ucb-8RQ5vWVpq5HYaWoZZFX82SCeHChBujbrI/edit"",""26!e39"")"),0.0)</f>
        <v>0</v>
      </c>
      <c r="I695" s="40">
        <f t="shared" si="1890"/>
        <v>3205</v>
      </c>
      <c r="J695" s="40">
        <f>IFERROR(__xludf.DUMMYFUNCTION("IMPORTRANGE(""https://docs.google.com/spreadsheets/d/15GJA66Ucb-8RQ5vWVpq5HYaWoZZFX82SCeHChBujbrI/edit"",""26!e42"")"),3982.0)</f>
        <v>3982</v>
      </c>
      <c r="K695" s="40">
        <f>IFERROR(__xludf.DUMMYFUNCTION("IMPORTRANGE(""https://docs.google.com/spreadsheets/d/15GJA66Ucb-8RQ5vWVpq5HYaWoZZFX82SCeHChBujbrI/edit"",""26!e43"")"),0.0)</f>
        <v>0</v>
      </c>
      <c r="L695" s="40">
        <f t="shared" si="1920"/>
        <v>3982</v>
      </c>
      <c r="M695" s="40">
        <f t="shared" si="1892"/>
        <v>7187</v>
      </c>
      <c r="N695" s="41">
        <f t="shared" si="1893"/>
        <v>193.3679667</v>
      </c>
      <c r="O695" s="38">
        <v>8239.0</v>
      </c>
      <c r="P695" s="42">
        <f t="shared" si="1894"/>
        <v>0.8723146013</v>
      </c>
      <c r="Q695" s="43">
        <v>1.5</v>
      </c>
      <c r="R695" s="42">
        <f t="shared" si="1895"/>
        <v>0.8259439961</v>
      </c>
      <c r="S695" s="44">
        <f t="shared" si="1896"/>
        <v>1.238915994</v>
      </c>
      <c r="T695" s="43">
        <f>F695/28.443</f>
        <v>203.9531343</v>
      </c>
      <c r="U695" s="43">
        <f t="shared" si="1897"/>
        <v>6.798437811</v>
      </c>
      <c r="V695" s="40">
        <f t="shared" si="1898"/>
        <v>239.5666667</v>
      </c>
      <c r="X695" s="14" t="s">
        <v>2</v>
      </c>
      <c r="Y695" s="14" t="s">
        <v>3</v>
      </c>
      <c r="Z695" s="14" t="s">
        <v>4</v>
      </c>
      <c r="AA695" s="14" t="s">
        <v>5</v>
      </c>
      <c r="AB695" s="15" t="s">
        <v>6</v>
      </c>
      <c r="AC695" s="14" t="s">
        <v>7</v>
      </c>
      <c r="AD695" s="14" t="s">
        <v>8</v>
      </c>
      <c r="AE695" s="14" t="s">
        <v>9</v>
      </c>
      <c r="AF695" s="14" t="s">
        <v>10</v>
      </c>
      <c r="AG695" s="14" t="s">
        <v>11</v>
      </c>
      <c r="AH695" s="14" t="s">
        <v>12</v>
      </c>
      <c r="AI695" s="14" t="s">
        <v>13</v>
      </c>
      <c r="AJ695" s="15" t="s">
        <v>14</v>
      </c>
      <c r="AK695" s="14" t="s">
        <v>15</v>
      </c>
      <c r="AL695" s="14" t="s">
        <v>16</v>
      </c>
      <c r="AM695" s="16" t="s">
        <v>17</v>
      </c>
      <c r="AN695" s="17" t="s">
        <v>18</v>
      </c>
      <c r="AO695" s="18" t="s">
        <v>19</v>
      </c>
      <c r="AP695" s="19" t="s">
        <v>20</v>
      </c>
      <c r="AQ695" s="19" t="s">
        <v>21</v>
      </c>
      <c r="AR695" s="20" t="s">
        <v>22</v>
      </c>
    </row>
    <row r="696" ht="15.75" customHeight="1">
      <c r="A696" s="21"/>
      <c r="B696" s="38">
        <v>16.0</v>
      </c>
      <c r="C696" s="38" t="s">
        <v>42</v>
      </c>
      <c r="D696" s="39">
        <v>33.0</v>
      </c>
      <c r="E696" s="40">
        <f>IFERROR(__xludf.DUMMYFUNCTION("COUNT(IMPORTRANGE(""https://docs.google.com/spreadsheets/d/14Tu_jFPEdrIQ6DHYu6vRvJKQsbXr-48NY1tKy4-8JKI/edit"",""26!d2:d34""))"),32.0)</f>
        <v>32</v>
      </c>
      <c r="F696" s="45">
        <f>IFERROR(__xludf.DUMMYFUNCTION("SUM(IMPORTRANGE(""https://docs.google.com/spreadsheets/d/14Tu_jFPEdrIQ6DHYu6vRvJKQsbXr-48NY1tKy4-8JKI/edit"",""26!Q2:Q34""))"),6284.892999999997)</f>
        <v>6284.893</v>
      </c>
      <c r="G696" s="40">
        <f>IFERROR(__xludf.DUMMYFUNCTION("IMPORTRANGE(""https://docs.google.com/spreadsheets/d/14Tu_jFPEdrIQ6DHYu6vRvJKQsbXr-48NY1tKy4-8JKI/edit"",""26!e41"")"),3210.0)</f>
        <v>3210</v>
      </c>
      <c r="H696" s="40">
        <f>IFERROR(__xludf.DUMMYFUNCTION("IMPORTRANGE(""https://docs.google.com/spreadsheets/d/14Tu_jFPEdrIQ6DHYu6vRvJKQsbXr-48NY1tKy4-8JKI/edit"",""26!e42"")"),0.0)</f>
        <v>0</v>
      </c>
      <c r="I696" s="40">
        <f t="shared" si="1890"/>
        <v>3210</v>
      </c>
      <c r="J696" s="40">
        <f>IFERROR(__xludf.DUMMYFUNCTION("IMPORTRANGE(""https://docs.google.com/spreadsheets/d/14Tu_jFPEdrIQ6DHYu6vRvJKQsbXr-48NY1tKy4-8JKI/edit"",""26!e45"")"),4197.0)</f>
        <v>4197</v>
      </c>
      <c r="K696" s="40">
        <f>IFERROR(__xludf.DUMMYFUNCTION("IMPORTRANGE(""https://docs.google.com/spreadsheets/d/14Tu_jFPEdrIQ6DHYu6vRvJKQsbXr-48NY1tKy4-8JKI/edit"",""26!e46"")"),237.0)</f>
        <v>237</v>
      </c>
      <c r="L696" s="40">
        <f t="shared" si="1920"/>
        <v>4434</v>
      </c>
      <c r="M696" s="40">
        <f t="shared" si="1892"/>
        <v>7644</v>
      </c>
      <c r="N696" s="41">
        <f t="shared" si="1893"/>
        <v>196.4029063</v>
      </c>
      <c r="O696" s="38">
        <v>9877.0</v>
      </c>
      <c r="P696" s="42">
        <f t="shared" si="1894"/>
        <v>0.7739192062</v>
      </c>
      <c r="Q696" s="43">
        <v>1.5</v>
      </c>
      <c r="R696" s="42">
        <f t="shared" si="1895"/>
        <v>0.8108332155</v>
      </c>
      <c r="S696" s="44">
        <f t="shared" si="1896"/>
        <v>1.216249823</v>
      </c>
      <c r="T696" s="43">
        <f>F696/26.155</f>
        <v>240.2941311</v>
      </c>
      <c r="U696" s="43">
        <f t="shared" si="1897"/>
        <v>7.509191598</v>
      </c>
      <c r="V696" s="40">
        <f t="shared" si="1898"/>
        <v>238.875</v>
      </c>
      <c r="X696" s="31">
        <v>1.0</v>
      </c>
      <c r="Y696" s="31" t="s">
        <v>26</v>
      </c>
      <c r="Z696" s="31">
        <f t="shared" ref="Z696:AI696" si="1930">SUM(D681)</f>
        <v>20</v>
      </c>
      <c r="AA696" s="32">
        <f t="shared" si="1930"/>
        <v>18</v>
      </c>
      <c r="AB696" s="34">
        <f t="shared" si="1930"/>
        <v>3452.928</v>
      </c>
      <c r="AC696" s="32">
        <f t="shared" si="1930"/>
        <v>2042</v>
      </c>
      <c r="AD696" s="32">
        <f t="shared" si="1930"/>
        <v>0</v>
      </c>
      <c r="AE696" s="32">
        <f t="shared" si="1930"/>
        <v>2042</v>
      </c>
      <c r="AF696" s="32">
        <f t="shared" si="1930"/>
        <v>3147</v>
      </c>
      <c r="AG696" s="32">
        <f t="shared" si="1930"/>
        <v>0</v>
      </c>
      <c r="AH696" s="32">
        <f t="shared" si="1930"/>
        <v>3147</v>
      </c>
      <c r="AI696" s="32">
        <f t="shared" si="1930"/>
        <v>5189</v>
      </c>
      <c r="AJ696" s="34">
        <f t="shared" ref="AJ696:AJ702" si="1933">AB696/AA696</f>
        <v>191.8293333</v>
      </c>
      <c r="AK696" s="31">
        <f>SUM(O681)</f>
        <v>5161</v>
      </c>
      <c r="AL696" s="67">
        <f t="shared" ref="AL696:AL702" si="1934">AI696/AK696</f>
        <v>1.005425305</v>
      </c>
      <c r="AM696" s="36">
        <f>SUM(Q681)</f>
        <v>1.5</v>
      </c>
      <c r="AN696" s="67">
        <f t="shared" ref="AN696:AN702" si="1935">AO696/AM696</f>
        <v>1.001855044</v>
      </c>
      <c r="AO696" s="37">
        <f t="shared" ref="AO696:AO702" si="1936">AI696/AB696</f>
        <v>1.502782566</v>
      </c>
      <c r="AP696" s="36">
        <f t="shared" ref="AP696:AQ696" si="1931">SUM(T681)</f>
        <v>239.5371488</v>
      </c>
      <c r="AQ696" s="36">
        <f t="shared" si="1931"/>
        <v>13.30761938</v>
      </c>
      <c r="AR696" s="32">
        <f t="shared" ref="AR696:AR702" si="1938">AI696/AA696</f>
        <v>288.2777778</v>
      </c>
    </row>
    <row r="697" ht="15.75" customHeight="1">
      <c r="A697" s="21"/>
      <c r="B697" s="38">
        <v>17.0</v>
      </c>
      <c r="C697" s="38" t="s">
        <v>29</v>
      </c>
      <c r="D697" s="39">
        <v>30.0</v>
      </c>
      <c r="E697" s="40">
        <f>IFERROR(__xludf.DUMMYFUNCTION("COUNT(IMPORTRANGE(""https://docs.google.com/spreadsheets/d/1ja_RQYsP0p5wRrACHojay4CW1wLx0QdS5tSwp-vYQ-s/edit"",""26!d2:d31""))"),30.0)</f>
        <v>30</v>
      </c>
      <c r="F697" s="45">
        <f>IFERROR(__xludf.DUMMYFUNCTION("SUM(IMPORTRANGE(""https://docs.google.com/spreadsheets/d/1ja_RQYsP0p5wRrACHojay4CW1wLx0QdS5tSwp-vYQ-s/edit"",""26!Q2:Q31""))"),6172.4029999999975)</f>
        <v>6172.403</v>
      </c>
      <c r="G697" s="40">
        <f>IFERROR(__xludf.DUMMYFUNCTION("IMPORTRANGE(""https://docs.google.com/spreadsheets/d/1ja_RQYsP0p5wRrACHojay4CW1wLx0QdS5tSwp-vYQ-s/edit"",""26!e38"")"),2890.0)</f>
        <v>2890</v>
      </c>
      <c r="H697" s="40">
        <f>IFERROR(__xludf.DUMMYFUNCTION("IMPORTRANGE(""https://docs.google.com/spreadsheets/d/1ja_RQYsP0p5wRrACHojay4CW1wLx0QdS5tSwp-vYQ-s/edit"",""26!e39"")"),0.0)</f>
        <v>0</v>
      </c>
      <c r="I697" s="40">
        <f t="shared" si="1890"/>
        <v>2890</v>
      </c>
      <c r="J697" s="40">
        <f>IFERROR(__xludf.DUMMYFUNCTION("IMPORTRANGE(""https://docs.google.com/spreadsheets/d/1ja_RQYsP0p5wRrACHojay4CW1wLx0QdS5tSwp-vYQ-s/edit"",""26!e42"")"),4293.0)</f>
        <v>4293</v>
      </c>
      <c r="K697" s="40">
        <f>IFERROR(__xludf.DUMMYFUNCTION("IMPORTRANGE(""https://docs.google.com/spreadsheets/d/1ja_RQYsP0p5wRrACHojay4CW1wLx0QdS5tSwp-vYQ-s/edit"",""26!e43"")"),0.0)</f>
        <v>0</v>
      </c>
      <c r="L697" s="40">
        <f t="shared" si="1920"/>
        <v>4293</v>
      </c>
      <c r="M697" s="40">
        <f t="shared" si="1892"/>
        <v>7183</v>
      </c>
      <c r="N697" s="41">
        <f t="shared" si="1893"/>
        <v>205.7467667</v>
      </c>
      <c r="O697" s="38">
        <v>9201.0</v>
      </c>
      <c r="P697" s="42">
        <f t="shared" si="1894"/>
        <v>0.7806760135</v>
      </c>
      <c r="Q697" s="43">
        <v>1.5</v>
      </c>
      <c r="R697" s="42">
        <f t="shared" si="1895"/>
        <v>0.7758188613</v>
      </c>
      <c r="S697" s="44">
        <f t="shared" si="1896"/>
        <v>1.163728292</v>
      </c>
      <c r="T697" s="43">
        <f>F697/26.491</f>
        <v>233</v>
      </c>
      <c r="U697" s="43">
        <f t="shared" si="1897"/>
        <v>7.766666667</v>
      </c>
      <c r="V697" s="40">
        <f t="shared" si="1898"/>
        <v>239.4333333</v>
      </c>
      <c r="X697" s="31">
        <v>2.0</v>
      </c>
      <c r="Y697" s="31" t="s">
        <v>32</v>
      </c>
      <c r="Z697" s="31">
        <f t="shared" ref="Z697:AI697" si="1932">SUM(D684)</f>
        <v>42</v>
      </c>
      <c r="AA697" s="32">
        <f t="shared" si="1932"/>
        <v>41</v>
      </c>
      <c r="AB697" s="33">
        <f t="shared" si="1932"/>
        <v>8128.836</v>
      </c>
      <c r="AC697" s="31">
        <f t="shared" si="1932"/>
        <v>4684</v>
      </c>
      <c r="AD697" s="31">
        <f t="shared" si="1932"/>
        <v>0</v>
      </c>
      <c r="AE697" s="32">
        <f t="shared" si="1932"/>
        <v>4684</v>
      </c>
      <c r="AF697" s="31">
        <f t="shared" si="1932"/>
        <v>5846</v>
      </c>
      <c r="AG697" s="31">
        <f t="shared" si="1932"/>
        <v>0</v>
      </c>
      <c r="AH697" s="32">
        <f t="shared" si="1932"/>
        <v>5846</v>
      </c>
      <c r="AI697" s="32">
        <f t="shared" si="1932"/>
        <v>10530</v>
      </c>
      <c r="AJ697" s="34">
        <f t="shared" si="1933"/>
        <v>198.2642927</v>
      </c>
      <c r="AK697" s="31">
        <f>SUM(O684)</f>
        <v>13817</v>
      </c>
      <c r="AL697" s="35">
        <f t="shared" si="1934"/>
        <v>0.7621046537</v>
      </c>
      <c r="AM697" s="36">
        <f>SUM(Q684)</f>
        <v>1.5</v>
      </c>
      <c r="AN697" s="35">
        <f t="shared" si="1935"/>
        <v>0.8635922782</v>
      </c>
      <c r="AO697" s="37">
        <f t="shared" si="1936"/>
        <v>1.295388417</v>
      </c>
      <c r="AP697" s="36">
        <f t="shared" ref="AP697:AQ697" si="1937">SUM(T684)</f>
        <v>324</v>
      </c>
      <c r="AQ697" s="36">
        <f t="shared" si="1937"/>
        <v>7.902439024</v>
      </c>
      <c r="AR697" s="32">
        <f t="shared" si="1938"/>
        <v>256.8292683</v>
      </c>
    </row>
    <row r="698" ht="15.75" customHeight="1">
      <c r="A698" s="21"/>
      <c r="B698" s="38">
        <v>18.0</v>
      </c>
      <c r="C698" s="38" t="s">
        <v>31</v>
      </c>
      <c r="D698" s="39">
        <v>15.0</v>
      </c>
      <c r="E698" s="40">
        <f>IFERROR(__xludf.DUMMYFUNCTION("COUNT(IMPORTRANGE(""https://docs.google.com/spreadsheets/d/1ObnK1oSznTOmyW9Zcd2kxExl7TOnO2MNq_0giEKc_mE/edit"",""26!d2:d16""))"),12.0)</f>
        <v>12</v>
      </c>
      <c r="F698" s="41">
        <f>IFERROR(__xludf.DUMMYFUNCTION("SUM(IMPORTRANGE(""https://docs.google.com/spreadsheets/d/1ObnK1oSznTOmyW9Zcd2kxExl7TOnO2MNq_0giEKc_mE/edit"",""26!Q2:Q16""))"),2390.575)</f>
        <v>2390.575</v>
      </c>
      <c r="G698" s="40">
        <f>IFERROR(__xludf.DUMMYFUNCTION("IMPORTRANGE(""https://docs.google.com/spreadsheets/d/1ObnK1oSznTOmyW9Zcd2kxExl7TOnO2MNq_0giEKc_mE/edit"",""26!e23"")"),858.0)</f>
        <v>858</v>
      </c>
      <c r="H698" s="40">
        <f>IFERROR(__xludf.DUMMYFUNCTION("IMPORTRANGE(""https://docs.google.com/spreadsheets/d/1ObnK1oSznTOmyW9Zcd2kxExl7TOnO2MNq_0giEKc_mE/edit"",""26!e24"")"),0.0)</f>
        <v>0</v>
      </c>
      <c r="I698" s="40">
        <f t="shared" si="1890"/>
        <v>858</v>
      </c>
      <c r="J698" s="40">
        <f>IFERROR(__xludf.DUMMYFUNCTION("IMPORTRANGE(""https://docs.google.com/spreadsheets/d/1ObnK1oSznTOmyW9Zcd2kxExl7TOnO2MNq_0giEKc_mE/edit"",""26!e27"")"),915.0)</f>
        <v>915</v>
      </c>
      <c r="K698" s="40">
        <f>IFERROR(__xludf.DUMMYFUNCTION("IMPORTRANGE(""https://docs.google.com/spreadsheets/d/1ObnK1oSznTOmyW9Zcd2kxExl7TOnO2MNq_0giEKc_mE/edit"",""26!e28"")"),6.0)</f>
        <v>6</v>
      </c>
      <c r="L698" s="40">
        <f t="shared" si="1920"/>
        <v>921</v>
      </c>
      <c r="M698" s="40">
        <f t="shared" si="1892"/>
        <v>1779</v>
      </c>
      <c r="N698" s="41">
        <f t="shared" si="1893"/>
        <v>199.2145833</v>
      </c>
      <c r="O698" s="38">
        <v>2717.0</v>
      </c>
      <c r="P698" s="42">
        <f t="shared" si="1894"/>
        <v>0.6547662863</v>
      </c>
      <c r="Q698" s="43">
        <v>1.5</v>
      </c>
      <c r="R698" s="42">
        <f t="shared" si="1895"/>
        <v>0.4961149514</v>
      </c>
      <c r="S698" s="44">
        <f t="shared" si="1896"/>
        <v>0.7441724271</v>
      </c>
      <c r="T698" s="43">
        <f>F698/43.465</f>
        <v>55</v>
      </c>
      <c r="U698" s="43">
        <f t="shared" si="1897"/>
        <v>4.583333333</v>
      </c>
      <c r="V698" s="40">
        <f t="shared" si="1898"/>
        <v>148.25</v>
      </c>
      <c r="X698" s="31">
        <v>3.0</v>
      </c>
      <c r="Y698" s="31" t="s">
        <v>36</v>
      </c>
      <c r="Z698" s="31">
        <f t="shared" ref="Z698:AI698" si="1939">SUM(D689)</f>
        <v>29</v>
      </c>
      <c r="AA698" s="32">
        <f t="shared" si="1939"/>
        <v>28</v>
      </c>
      <c r="AB698" s="33">
        <f t="shared" si="1939"/>
        <v>5456.06</v>
      </c>
      <c r="AC698" s="32">
        <f t="shared" si="1939"/>
        <v>1572</v>
      </c>
      <c r="AD698" s="32">
        <f t="shared" si="1939"/>
        <v>0</v>
      </c>
      <c r="AE698" s="32">
        <f t="shared" si="1939"/>
        <v>1572</v>
      </c>
      <c r="AF698" s="32">
        <f t="shared" si="1939"/>
        <v>2400</v>
      </c>
      <c r="AG698" s="32">
        <f t="shared" si="1939"/>
        <v>0</v>
      </c>
      <c r="AH698" s="32">
        <f t="shared" si="1939"/>
        <v>2400</v>
      </c>
      <c r="AI698" s="32">
        <f t="shared" si="1939"/>
        <v>3972</v>
      </c>
      <c r="AJ698" s="34">
        <f t="shared" si="1933"/>
        <v>194.8592857</v>
      </c>
      <c r="AK698" s="31">
        <f t="shared" ref="AK698:AK701" si="1943">SUM(O689)</f>
        <v>4796</v>
      </c>
      <c r="AL698" s="35">
        <f t="shared" si="1934"/>
        <v>0.8281901585</v>
      </c>
      <c r="AM698" s="36">
        <f t="shared" ref="AM698:AM701" si="1944">SUM(Q689)</f>
        <v>1.5</v>
      </c>
      <c r="AN698" s="35">
        <f t="shared" si="1935"/>
        <v>0.4853319062</v>
      </c>
      <c r="AO698" s="37">
        <f t="shared" si="1936"/>
        <v>0.7279978593</v>
      </c>
      <c r="AP698" s="36">
        <f t="shared" ref="AP698:AQ698" si="1940">SUM(T689)</f>
        <v>145.8293687</v>
      </c>
      <c r="AQ698" s="36">
        <f t="shared" si="1940"/>
        <v>5.208191739</v>
      </c>
      <c r="AR698" s="32">
        <f t="shared" si="1938"/>
        <v>141.8571429</v>
      </c>
    </row>
    <row r="699" ht="15.75" customHeight="1">
      <c r="A699" s="21"/>
      <c r="B699" s="60" t="s">
        <v>33</v>
      </c>
      <c r="C699" s="60">
        <v>18.0</v>
      </c>
      <c r="D699" s="60">
        <f t="shared" ref="D699:M699" si="1941">SUM(D681:D698)</f>
        <v>585</v>
      </c>
      <c r="E699" s="61">
        <f t="shared" si="1941"/>
        <v>567</v>
      </c>
      <c r="F699" s="62">
        <f t="shared" si="1941"/>
        <v>111039.742</v>
      </c>
      <c r="G699" s="61">
        <f t="shared" si="1941"/>
        <v>44235</v>
      </c>
      <c r="H699" s="61">
        <f t="shared" si="1941"/>
        <v>560</v>
      </c>
      <c r="I699" s="61">
        <f t="shared" si="1941"/>
        <v>44795</v>
      </c>
      <c r="J699" s="61">
        <f t="shared" si="1941"/>
        <v>56130</v>
      </c>
      <c r="K699" s="61">
        <f t="shared" si="1941"/>
        <v>1401</v>
      </c>
      <c r="L699" s="61">
        <f t="shared" si="1941"/>
        <v>57531</v>
      </c>
      <c r="M699" s="61">
        <f t="shared" si="1941"/>
        <v>102326</v>
      </c>
      <c r="N699" s="62">
        <f t="shared" si="1893"/>
        <v>195.8372875</v>
      </c>
      <c r="O699" s="60">
        <f>SUM(O681:O698)</f>
        <v>126399</v>
      </c>
      <c r="P699" s="63">
        <f t="shared" si="1894"/>
        <v>0.8095475439</v>
      </c>
      <c r="Q699" s="64">
        <v>1.5</v>
      </c>
      <c r="R699" s="63">
        <f t="shared" si="1895"/>
        <v>0.6143506109</v>
      </c>
      <c r="S699" s="65">
        <f t="shared" si="1896"/>
        <v>0.9215259164</v>
      </c>
      <c r="T699" s="64">
        <f>SUM(T681:T698)</f>
        <v>4074.094596</v>
      </c>
      <c r="U699" s="64">
        <f t="shared" si="1897"/>
        <v>7.185352021</v>
      </c>
      <c r="V699" s="61">
        <f t="shared" si="1898"/>
        <v>180.4691358</v>
      </c>
      <c r="X699" s="31">
        <v>4.0</v>
      </c>
      <c r="Y699" s="31" t="s">
        <v>37</v>
      </c>
      <c r="Z699" s="31">
        <f t="shared" ref="Z699:AI699" si="1942">SUM(D690)</f>
        <v>30</v>
      </c>
      <c r="AA699" s="32">
        <f t="shared" si="1942"/>
        <v>28</v>
      </c>
      <c r="AB699" s="33">
        <f t="shared" si="1942"/>
        <v>5402.034</v>
      </c>
      <c r="AC699" s="32">
        <f t="shared" si="1942"/>
        <v>2260</v>
      </c>
      <c r="AD699" s="32">
        <f t="shared" si="1942"/>
        <v>0</v>
      </c>
      <c r="AE699" s="32">
        <f t="shared" si="1942"/>
        <v>2260</v>
      </c>
      <c r="AF699" s="32">
        <f t="shared" si="1942"/>
        <v>3212</v>
      </c>
      <c r="AG699" s="32">
        <f t="shared" si="1942"/>
        <v>0</v>
      </c>
      <c r="AH699" s="32">
        <f t="shared" si="1942"/>
        <v>3212</v>
      </c>
      <c r="AI699" s="32">
        <f t="shared" si="1942"/>
        <v>5472</v>
      </c>
      <c r="AJ699" s="34">
        <f t="shared" si="1933"/>
        <v>192.9297857</v>
      </c>
      <c r="AK699" s="31">
        <f t="shared" si="1943"/>
        <v>5887</v>
      </c>
      <c r="AL699" s="35">
        <f t="shared" si="1934"/>
        <v>0.9295056905</v>
      </c>
      <c r="AM699" s="36">
        <f t="shared" si="1944"/>
        <v>1.5</v>
      </c>
      <c r="AN699" s="35">
        <f t="shared" si="1935"/>
        <v>0.6753011921</v>
      </c>
      <c r="AO699" s="37">
        <f t="shared" si="1936"/>
        <v>1.012951788</v>
      </c>
      <c r="AP699" s="36">
        <f t="shared" ref="AP699:AQ699" si="1945">SUM(T690)</f>
        <v>217.8942401</v>
      </c>
      <c r="AQ699" s="36">
        <f t="shared" si="1945"/>
        <v>7.781937146</v>
      </c>
      <c r="AR699" s="32">
        <f t="shared" si="1938"/>
        <v>195.4285714</v>
      </c>
    </row>
    <row r="700" ht="15.7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X700" s="31">
        <v>5.0</v>
      </c>
      <c r="Y700" s="31" t="s">
        <v>39</v>
      </c>
      <c r="Z700" s="31">
        <f t="shared" ref="Z700:AI700" si="1946">SUM(D691)</f>
        <v>28</v>
      </c>
      <c r="AA700" s="32">
        <f t="shared" si="1946"/>
        <v>27</v>
      </c>
      <c r="AB700" s="33">
        <f t="shared" si="1946"/>
        <v>5222.785</v>
      </c>
      <c r="AC700" s="32">
        <f t="shared" si="1946"/>
        <v>1302</v>
      </c>
      <c r="AD700" s="32">
        <f t="shared" si="1946"/>
        <v>51</v>
      </c>
      <c r="AE700" s="32">
        <f t="shared" si="1946"/>
        <v>1353</v>
      </c>
      <c r="AF700" s="32">
        <f t="shared" si="1946"/>
        <v>1498</v>
      </c>
      <c r="AG700" s="32">
        <f t="shared" si="1946"/>
        <v>250</v>
      </c>
      <c r="AH700" s="32">
        <f t="shared" si="1946"/>
        <v>1748</v>
      </c>
      <c r="AI700" s="32">
        <f t="shared" si="1946"/>
        <v>3101</v>
      </c>
      <c r="AJ700" s="34">
        <f t="shared" si="1933"/>
        <v>193.4364815</v>
      </c>
      <c r="AK700" s="31">
        <f t="shared" si="1943"/>
        <v>3569</v>
      </c>
      <c r="AL700" s="35">
        <f t="shared" si="1934"/>
        <v>0.8688708322</v>
      </c>
      <c r="AM700" s="36">
        <f t="shared" si="1944"/>
        <v>1.5</v>
      </c>
      <c r="AN700" s="35">
        <f t="shared" si="1935"/>
        <v>0.3958296835</v>
      </c>
      <c r="AO700" s="37">
        <f t="shared" si="1936"/>
        <v>0.5937445252</v>
      </c>
      <c r="AP700" s="36">
        <f t="shared" ref="AP700:AQ700" si="1947">SUM(T691)</f>
        <v>243.339002</v>
      </c>
      <c r="AQ700" s="36">
        <f t="shared" si="1947"/>
        <v>9.01255563</v>
      </c>
      <c r="AR700" s="32">
        <f t="shared" si="1938"/>
        <v>114.8518519</v>
      </c>
    </row>
    <row r="701" ht="15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X701" s="31">
        <v>6.0</v>
      </c>
      <c r="Y701" s="31" t="s">
        <v>41</v>
      </c>
      <c r="Z701" s="31">
        <f t="shared" ref="Z701:AI701" si="1948">SUM(D692)</f>
        <v>24</v>
      </c>
      <c r="AA701" s="32">
        <f t="shared" si="1948"/>
        <v>24</v>
      </c>
      <c r="AB701" s="33">
        <f t="shared" si="1948"/>
        <v>4750.356</v>
      </c>
      <c r="AC701" s="32">
        <f t="shared" si="1948"/>
        <v>1419</v>
      </c>
      <c r="AD701" s="32">
        <f t="shared" si="1948"/>
        <v>35</v>
      </c>
      <c r="AE701" s="32">
        <f t="shared" si="1948"/>
        <v>1454</v>
      </c>
      <c r="AF701" s="32">
        <f t="shared" si="1948"/>
        <v>1677</v>
      </c>
      <c r="AG701" s="32">
        <f t="shared" si="1948"/>
        <v>0</v>
      </c>
      <c r="AH701" s="32">
        <f t="shared" si="1948"/>
        <v>1677</v>
      </c>
      <c r="AI701" s="32">
        <f t="shared" si="1948"/>
        <v>3131</v>
      </c>
      <c r="AJ701" s="34">
        <f t="shared" si="1933"/>
        <v>197.9315</v>
      </c>
      <c r="AK701" s="31">
        <f t="shared" si="1943"/>
        <v>3801</v>
      </c>
      <c r="AL701" s="35">
        <f t="shared" si="1934"/>
        <v>0.8237305972</v>
      </c>
      <c r="AM701" s="36">
        <f t="shared" si="1944"/>
        <v>1.5</v>
      </c>
      <c r="AN701" s="35">
        <f t="shared" si="1935"/>
        <v>0.4394056642</v>
      </c>
      <c r="AO701" s="37">
        <f t="shared" si="1936"/>
        <v>0.6591084963</v>
      </c>
      <c r="AP701" s="36">
        <f t="shared" ref="AP701:AQ701" si="1949">SUM(T692)</f>
        <v>160.3333333</v>
      </c>
      <c r="AQ701" s="36">
        <f t="shared" si="1949"/>
        <v>6.680555556</v>
      </c>
      <c r="AR701" s="32">
        <f t="shared" si="1938"/>
        <v>130.4583333</v>
      </c>
    </row>
    <row r="702" ht="15.75" customHeight="1">
      <c r="A702" s="1" t="s">
        <v>45</v>
      </c>
      <c r="D702" s="2"/>
      <c r="X702" s="46" t="s">
        <v>33</v>
      </c>
      <c r="Y702" s="46">
        <v>6.0</v>
      </c>
      <c r="Z702" s="46">
        <f t="shared" ref="Z702:AI702" si="1950">SUM(Z696:Z701)</f>
        <v>173</v>
      </c>
      <c r="AA702" s="47">
        <f t="shared" si="1950"/>
        <v>166</v>
      </c>
      <c r="AB702" s="49">
        <f t="shared" si="1950"/>
        <v>32412.999</v>
      </c>
      <c r="AC702" s="47">
        <f t="shared" si="1950"/>
        <v>13279</v>
      </c>
      <c r="AD702" s="47">
        <f t="shared" si="1950"/>
        <v>86</v>
      </c>
      <c r="AE702" s="47">
        <f t="shared" si="1950"/>
        <v>13365</v>
      </c>
      <c r="AF702" s="47">
        <f t="shared" si="1950"/>
        <v>17780</v>
      </c>
      <c r="AG702" s="47">
        <f t="shared" si="1950"/>
        <v>250</v>
      </c>
      <c r="AH702" s="47">
        <f t="shared" si="1950"/>
        <v>18030</v>
      </c>
      <c r="AI702" s="47">
        <f t="shared" si="1950"/>
        <v>31395</v>
      </c>
      <c r="AJ702" s="49">
        <f t="shared" si="1933"/>
        <v>195.2590301</v>
      </c>
      <c r="AK702" s="46">
        <f>SUM(AK696:AK701)</f>
        <v>37031</v>
      </c>
      <c r="AL702" s="50">
        <f t="shared" si="1934"/>
        <v>0.8478031919</v>
      </c>
      <c r="AM702" s="51">
        <v>1.5</v>
      </c>
      <c r="AN702" s="50">
        <f t="shared" si="1935"/>
        <v>0.6457285856</v>
      </c>
      <c r="AO702" s="52">
        <f t="shared" si="1936"/>
        <v>0.9685928784</v>
      </c>
      <c r="AP702" s="51">
        <f>SUM(AP696:AP701)</f>
        <v>1330.933093</v>
      </c>
      <c r="AQ702" s="51">
        <f>AP702/AA702</f>
        <v>8.017669234</v>
      </c>
      <c r="AR702" s="47">
        <f t="shared" si="1938"/>
        <v>189.126506</v>
      </c>
    </row>
    <row r="703" ht="15.75" customHeight="1">
      <c r="A703" s="1" t="s">
        <v>45</v>
      </c>
      <c r="D703" s="2"/>
      <c r="X703" s="66" t="s">
        <v>1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6"/>
    </row>
    <row r="704" ht="15.75" customHeight="1">
      <c r="A704" s="7">
        <v>46261.0</v>
      </c>
      <c r="B704" s="8" t="s">
        <v>2</v>
      </c>
      <c r="C704" s="8" t="s">
        <v>3</v>
      </c>
      <c r="D704" s="8" t="s">
        <v>4</v>
      </c>
      <c r="E704" s="8" t="s">
        <v>5</v>
      </c>
      <c r="F704" s="9" t="s">
        <v>6</v>
      </c>
      <c r="G704" s="8" t="s">
        <v>7</v>
      </c>
      <c r="H704" s="8" t="s">
        <v>8</v>
      </c>
      <c r="I704" s="8" t="s">
        <v>9</v>
      </c>
      <c r="J704" s="8" t="s">
        <v>10</v>
      </c>
      <c r="K704" s="8" t="s">
        <v>11</v>
      </c>
      <c r="L704" s="8" t="s">
        <v>12</v>
      </c>
      <c r="M704" s="8" t="s">
        <v>13</v>
      </c>
      <c r="N704" s="9" t="s">
        <v>14</v>
      </c>
      <c r="O704" s="8" t="s">
        <v>15</v>
      </c>
      <c r="P704" s="8" t="s">
        <v>16</v>
      </c>
      <c r="Q704" s="8" t="s">
        <v>17</v>
      </c>
      <c r="R704" s="8" t="s">
        <v>18</v>
      </c>
      <c r="S704" s="11" t="s">
        <v>19</v>
      </c>
      <c r="T704" s="12" t="s">
        <v>20</v>
      </c>
      <c r="U704" s="12" t="s">
        <v>21</v>
      </c>
      <c r="V704" s="13" t="s">
        <v>22</v>
      </c>
      <c r="X704" s="14" t="s">
        <v>2</v>
      </c>
      <c r="Y704" s="14" t="s">
        <v>3</v>
      </c>
      <c r="Z704" s="14" t="s">
        <v>4</v>
      </c>
      <c r="AA704" s="14" t="s">
        <v>5</v>
      </c>
      <c r="AB704" s="15" t="s">
        <v>6</v>
      </c>
      <c r="AC704" s="14" t="s">
        <v>7</v>
      </c>
      <c r="AD704" s="14" t="s">
        <v>8</v>
      </c>
      <c r="AE704" s="14" t="s">
        <v>9</v>
      </c>
      <c r="AF704" s="14" t="s">
        <v>10</v>
      </c>
      <c r="AG704" s="14" t="s">
        <v>11</v>
      </c>
      <c r="AH704" s="14" t="s">
        <v>12</v>
      </c>
      <c r="AI704" s="14" t="s">
        <v>13</v>
      </c>
      <c r="AJ704" s="15" t="s">
        <v>14</v>
      </c>
      <c r="AK704" s="14" t="s">
        <v>15</v>
      </c>
      <c r="AL704" s="14" t="s">
        <v>16</v>
      </c>
      <c r="AM704" s="16" t="s">
        <v>17</v>
      </c>
      <c r="AN704" s="17" t="s">
        <v>18</v>
      </c>
      <c r="AO704" s="18" t="s">
        <v>19</v>
      </c>
      <c r="AP704" s="19" t="s">
        <v>20</v>
      </c>
      <c r="AQ704" s="19" t="s">
        <v>21</v>
      </c>
      <c r="AR704" s="20" t="s">
        <v>22</v>
      </c>
    </row>
    <row r="705" ht="15.7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X705" s="22">
        <v>1.0</v>
      </c>
      <c r="Y705" s="22" t="s">
        <v>23</v>
      </c>
      <c r="Z705" s="22">
        <f t="shared" ref="Z705:AI705" si="1951">SUM(D713)</f>
        <v>35</v>
      </c>
      <c r="AA705" s="23">
        <f t="shared" si="1951"/>
        <v>35</v>
      </c>
      <c r="AB705" s="24">
        <f t="shared" si="1951"/>
        <v>6714.26</v>
      </c>
      <c r="AC705" s="23">
        <f t="shared" si="1951"/>
        <v>1704</v>
      </c>
      <c r="AD705" s="23">
        <f t="shared" si="1951"/>
        <v>21</v>
      </c>
      <c r="AE705" s="23">
        <f t="shared" si="1951"/>
        <v>1725</v>
      </c>
      <c r="AF705" s="23">
        <f t="shared" si="1951"/>
        <v>2947</v>
      </c>
      <c r="AG705" s="23">
        <f t="shared" si="1951"/>
        <v>0</v>
      </c>
      <c r="AH705" s="23">
        <f t="shared" si="1951"/>
        <v>2947</v>
      </c>
      <c r="AI705" s="23">
        <f t="shared" si="1951"/>
        <v>4672</v>
      </c>
      <c r="AJ705" s="25">
        <f t="shared" ref="AJ705:AJ707" si="1954">AB705/AA705</f>
        <v>191.836</v>
      </c>
      <c r="AK705" s="22">
        <f>SUM(O713)</f>
        <v>6853</v>
      </c>
      <c r="AL705" s="26">
        <f t="shared" ref="AL705:AL711" si="1955">AI705/AK705</f>
        <v>0.6817452211</v>
      </c>
      <c r="AM705" s="27">
        <f t="shared" ref="AM705:AM707" si="1956">SUM(Q713)</f>
        <v>1.5</v>
      </c>
      <c r="AN705" s="26">
        <f t="shared" ref="AN705:AN711" si="1957">AO705/AM705</f>
        <v>0.4638883014</v>
      </c>
      <c r="AO705" s="28">
        <f t="shared" ref="AO705:AO711" si="1958">AI705/AB705</f>
        <v>0.6958324521</v>
      </c>
      <c r="AP705" s="27">
        <f t="shared" ref="AP705:AQ705" si="1952">SUM(T713)</f>
        <v>199</v>
      </c>
      <c r="AQ705" s="27">
        <f t="shared" si="1952"/>
        <v>5.685714286</v>
      </c>
      <c r="AR705" s="23">
        <f t="shared" ref="AR705:AR711" si="1960">AI705/AA705</f>
        <v>133.4857143</v>
      </c>
    </row>
    <row r="706" ht="15.7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X706" s="22">
        <v>2.0</v>
      </c>
      <c r="Y706" s="22" t="s">
        <v>24</v>
      </c>
      <c r="Z706" s="22">
        <f t="shared" ref="Z706:AI706" si="1953">SUM(D714)</f>
        <v>44</v>
      </c>
      <c r="AA706" s="23">
        <f t="shared" si="1953"/>
        <v>42</v>
      </c>
      <c r="AB706" s="24">
        <f t="shared" si="1953"/>
        <v>8276.096</v>
      </c>
      <c r="AC706" s="23">
        <f t="shared" si="1953"/>
        <v>1061</v>
      </c>
      <c r="AD706" s="23">
        <f t="shared" si="1953"/>
        <v>0</v>
      </c>
      <c r="AE706" s="23">
        <f t="shared" si="1953"/>
        <v>1061</v>
      </c>
      <c r="AF706" s="23">
        <f t="shared" si="1953"/>
        <v>1379</v>
      </c>
      <c r="AG706" s="23">
        <f t="shared" si="1953"/>
        <v>0</v>
      </c>
      <c r="AH706" s="23">
        <f t="shared" si="1953"/>
        <v>1379</v>
      </c>
      <c r="AI706" s="23">
        <f t="shared" si="1953"/>
        <v>2440</v>
      </c>
      <c r="AJ706" s="25">
        <f t="shared" si="1954"/>
        <v>197.0499048</v>
      </c>
      <c r="AK706" s="22">
        <v>1580.0</v>
      </c>
      <c r="AL706" s="29">
        <f t="shared" si="1955"/>
        <v>1.544303797</v>
      </c>
      <c r="AM706" s="27">
        <f t="shared" si="1956"/>
        <v>1.5</v>
      </c>
      <c r="AN706" s="26">
        <f t="shared" si="1957"/>
        <v>0.1965499997</v>
      </c>
      <c r="AO706" s="28">
        <f t="shared" si="1958"/>
        <v>0.2948249996</v>
      </c>
      <c r="AP706" s="27">
        <f t="shared" ref="AP706:AQ706" si="1959">SUM(T714)</f>
        <v>308.7519493</v>
      </c>
      <c r="AQ706" s="27">
        <f t="shared" si="1959"/>
        <v>7.351236887</v>
      </c>
      <c r="AR706" s="23">
        <f t="shared" si="1960"/>
        <v>58.0952381</v>
      </c>
    </row>
    <row r="707" ht="15.75" customHeight="1">
      <c r="A707" s="21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X707" s="31">
        <v>3.0</v>
      </c>
      <c r="Y707" s="31" t="s">
        <v>25</v>
      </c>
      <c r="Z707" s="31">
        <f t="shared" ref="Z707:AI707" si="1961">SUM(D715)</f>
        <v>32</v>
      </c>
      <c r="AA707" s="32">
        <f t="shared" si="1961"/>
        <v>32</v>
      </c>
      <c r="AB707" s="33">
        <f t="shared" si="1961"/>
        <v>5717.208</v>
      </c>
      <c r="AC707" s="32">
        <f t="shared" si="1961"/>
        <v>2128</v>
      </c>
      <c r="AD707" s="32">
        <f t="shared" si="1961"/>
        <v>469</v>
      </c>
      <c r="AE707" s="32">
        <f t="shared" si="1961"/>
        <v>2597</v>
      </c>
      <c r="AF707" s="32">
        <f t="shared" si="1961"/>
        <v>3291</v>
      </c>
      <c r="AG707" s="32">
        <f t="shared" si="1961"/>
        <v>367</v>
      </c>
      <c r="AH707" s="32">
        <f t="shared" si="1961"/>
        <v>3658</v>
      </c>
      <c r="AI707" s="32">
        <f t="shared" si="1961"/>
        <v>6255</v>
      </c>
      <c r="AJ707" s="34">
        <f t="shared" si="1954"/>
        <v>178.66275</v>
      </c>
      <c r="AK707" s="31">
        <f>SUM(O715)</f>
        <v>6622</v>
      </c>
      <c r="AL707" s="35">
        <f t="shared" si="1955"/>
        <v>0.9445786771</v>
      </c>
      <c r="AM707" s="36">
        <f t="shared" si="1956"/>
        <v>1.5</v>
      </c>
      <c r="AN707" s="35">
        <f t="shared" si="1957"/>
        <v>0.7293769966</v>
      </c>
      <c r="AO707" s="37">
        <f t="shared" si="1958"/>
        <v>1.094065495</v>
      </c>
      <c r="AP707" s="36">
        <f t="shared" ref="AP707:AQ707" si="1962">SUM(T715)</f>
        <v>239.8157718</v>
      </c>
      <c r="AQ707" s="36">
        <f t="shared" si="1962"/>
        <v>7.494242869</v>
      </c>
      <c r="AR707" s="32">
        <f t="shared" si="1960"/>
        <v>195.46875</v>
      </c>
    </row>
    <row r="708" ht="15.75" customHeight="1">
      <c r="A708" s="21"/>
      <c r="B708" s="38">
        <v>1.0</v>
      </c>
      <c r="C708" s="38" t="s">
        <v>26</v>
      </c>
      <c r="D708" s="39">
        <v>20.0</v>
      </c>
      <c r="E708" s="40">
        <f>IFERROR(__xludf.DUMMYFUNCTION("COUNT(IMPORTRANGE(""https://docs.google.com/spreadsheets/d/1iVFEBQOAONhqDIMRa2hQ7WkCQv0dJWSAmc0AzfvSCMg/edit"",""27!d2:d21""))"),19.0)</f>
        <v>19</v>
      </c>
      <c r="F708" s="41">
        <f>IFERROR(__xludf.DUMMYFUNCTION("SUM(IMPORTRANGE(""https://docs.google.com/spreadsheets/d/1iVFEBQOAONhqDIMRa2hQ7WkCQv0dJWSAmc0AzfvSCMg/edit"",""27!Q2:Q21""))"),3654.7380000000003)</f>
        <v>3654.738</v>
      </c>
      <c r="G708" s="40">
        <f>IFERROR(__xludf.DUMMYFUNCTION("IMPORTRANGE(""https://docs.google.com/spreadsheets/d/1iVFEBQOAONhqDIMRa2hQ7WkCQv0dJWSAmc0AzfvSCMg/edit"",""27!e28"")"),1984.0)</f>
        <v>1984</v>
      </c>
      <c r="H708" s="40">
        <f>IFERROR(__xludf.DUMMYFUNCTION("IMPORTRANGE(""https://docs.google.com/spreadsheets/d/1iVFEBQOAONhqDIMRa2hQ7WkCQv0dJWSAmc0AzfvSCMg/edit"",""27!e29"")"),0.0)</f>
        <v>0</v>
      </c>
      <c r="I708" s="40">
        <f t="shared" ref="I708:I725" si="1965">SUM(G708:H708)</f>
        <v>1984</v>
      </c>
      <c r="J708" s="40">
        <f>IFERROR(__xludf.DUMMYFUNCTION("IMPORTRANGE(""https://docs.google.com/spreadsheets/d/1iVFEBQOAONhqDIMRa2hQ7WkCQv0dJWSAmc0AzfvSCMg/edit"",""27!e32"")"),2860.0)</f>
        <v>2860</v>
      </c>
      <c r="K708" s="40">
        <f>IFERROR(__xludf.DUMMYFUNCTION("IMPORTRANGE(""https://docs.google.com/spreadsheets/d/1iVFEBQOAONhqDIMRa2hQ7WkCQv0dJWSAmc0AzfvSCMg/edit"",""27!e33"")"),0.0)</f>
        <v>0</v>
      </c>
      <c r="L708" s="40">
        <f t="shared" ref="L708:L714" si="1966">SUM(J708:K708)</f>
        <v>2860</v>
      </c>
      <c r="M708" s="40">
        <f t="shared" ref="M708:M725" si="1967">SUM(I708+L708)</f>
        <v>4844</v>
      </c>
      <c r="N708" s="41">
        <f t="shared" ref="N708:N726" si="1968">F708/E708</f>
        <v>192.3546316</v>
      </c>
      <c r="O708" s="38">
        <v>5161.0</v>
      </c>
      <c r="P708" s="42">
        <f t="shared" ref="P708:P726" si="1969">M708/O708</f>
        <v>0.938577795</v>
      </c>
      <c r="Q708" s="43">
        <v>1.5</v>
      </c>
      <c r="R708" s="42">
        <f t="shared" ref="R708:R726" si="1970">S708/Q708</f>
        <v>0.8836018706</v>
      </c>
      <c r="S708" s="44">
        <f t="shared" ref="S708:S726" si="1971">M708/F708</f>
        <v>1.325402806</v>
      </c>
      <c r="T708" s="43">
        <f>F708/14.415</f>
        <v>253.5371488</v>
      </c>
      <c r="U708" s="43">
        <f t="shared" ref="U708:U726" si="1972">T708/E708</f>
        <v>13.34406046</v>
      </c>
      <c r="V708" s="40">
        <f t="shared" ref="V708:V726" si="1973">M708/E708</f>
        <v>254.9473684</v>
      </c>
      <c r="X708" s="22">
        <v>4.0</v>
      </c>
      <c r="Y708" s="22" t="s">
        <v>27</v>
      </c>
      <c r="Z708" s="22">
        <f t="shared" ref="Z708:AK708" si="1963">SUM(D721)</f>
        <v>30</v>
      </c>
      <c r="AA708" s="23">
        <f t="shared" si="1963"/>
        <v>27</v>
      </c>
      <c r="AB708" s="24">
        <f t="shared" si="1963"/>
        <v>5092.068</v>
      </c>
      <c r="AC708" s="23">
        <f t="shared" si="1963"/>
        <v>2196</v>
      </c>
      <c r="AD708" s="23">
        <f t="shared" si="1963"/>
        <v>121</v>
      </c>
      <c r="AE708" s="23">
        <f t="shared" si="1963"/>
        <v>2317</v>
      </c>
      <c r="AF708" s="23">
        <f t="shared" si="1963"/>
        <v>3109</v>
      </c>
      <c r="AG708" s="23">
        <f t="shared" si="1963"/>
        <v>100</v>
      </c>
      <c r="AH708" s="23">
        <f t="shared" si="1963"/>
        <v>3209</v>
      </c>
      <c r="AI708" s="23">
        <f t="shared" si="1963"/>
        <v>5526</v>
      </c>
      <c r="AJ708" s="25">
        <f t="shared" si="1963"/>
        <v>188.5951111</v>
      </c>
      <c r="AK708" s="22">
        <f t="shared" si="1963"/>
        <v>8101</v>
      </c>
      <c r="AL708" s="26">
        <f t="shared" si="1955"/>
        <v>0.6821380077</v>
      </c>
      <c r="AM708" s="27">
        <f>SUM(Q721)</f>
        <v>1.5</v>
      </c>
      <c r="AN708" s="26">
        <f t="shared" si="1957"/>
        <v>0.7234781625</v>
      </c>
      <c r="AO708" s="28">
        <f t="shared" si="1958"/>
        <v>1.085217244</v>
      </c>
      <c r="AP708" s="27">
        <f t="shared" ref="AP708:AQ708" si="1964">SUM(T721)</f>
        <v>254.7944959</v>
      </c>
      <c r="AQ708" s="27">
        <f t="shared" si="1964"/>
        <v>9.43683318</v>
      </c>
      <c r="AR708" s="23">
        <f t="shared" si="1960"/>
        <v>204.6666667</v>
      </c>
    </row>
    <row r="709" ht="15.75" customHeight="1">
      <c r="A709" s="21"/>
      <c r="B709" s="38">
        <v>2.0</v>
      </c>
      <c r="C709" s="38" t="s">
        <v>28</v>
      </c>
      <c r="D709" s="39">
        <v>33.0</v>
      </c>
      <c r="E709" s="40">
        <f>IFERROR(__xludf.DUMMYFUNCTION("COUNT(IMPORTRANGE(""https://docs.google.com/spreadsheets/d/1tJCeYclgeJZ4Dc78t_SkhVjtacKW-5-VGim8X1rzUzk/edit"",""27!d2:d34""))"),32.0)</f>
        <v>32</v>
      </c>
      <c r="F709" s="41">
        <f>IFERROR(__xludf.DUMMYFUNCTION("SUM(IMPORTRANGE(""https://docs.google.com/spreadsheets/d/1tJCeYclgeJZ4Dc78t_SkhVjtacKW-5-VGim8X1rzUzk/edit"",""27!Q2:Q34""))"),6158.068999999999)</f>
        <v>6158.069</v>
      </c>
      <c r="G709" s="40">
        <f>IFERROR(__xludf.DUMMYFUNCTION("IMPORTRANGE(""https://docs.google.com/spreadsheets/d/1tJCeYclgeJZ4Dc78t_SkhVjtacKW-5-VGim8X1rzUzk/edit"",""27!e41"")"),2513.0)</f>
        <v>2513</v>
      </c>
      <c r="H709" s="40">
        <f>IFERROR(__xludf.DUMMYFUNCTION("IMPORTRANGE(""https://docs.google.com/spreadsheets/d/1tJCeYclgeJZ4Dc78t_SkhVjtacKW-5-VGim8X1rzUzk/edit"",""27!e42"")"),190.0)</f>
        <v>190</v>
      </c>
      <c r="I709" s="40">
        <f t="shared" si="1965"/>
        <v>2703</v>
      </c>
      <c r="J709" s="40">
        <f>IFERROR(__xludf.DUMMYFUNCTION("IMPORTRANGE(""https://docs.google.com/spreadsheets/d/1tJCeYclgeJZ4Dc78t_SkhVjtacKW-5-VGim8X1rzUzk/edit"",""27!e45"")"),2792.0)</f>
        <v>2792</v>
      </c>
      <c r="K709" s="40">
        <f>IFERROR(__xludf.DUMMYFUNCTION("IMPORTRANGE(""https://docs.google.com/spreadsheets/d/1tJCeYclgeJZ4Dc78t_SkhVjtacKW-5-VGim8X1rzUzk/edit"",""27!e46"")"),140.0)</f>
        <v>140</v>
      </c>
      <c r="L709" s="40">
        <f t="shared" si="1966"/>
        <v>2932</v>
      </c>
      <c r="M709" s="40">
        <f t="shared" si="1967"/>
        <v>5635</v>
      </c>
      <c r="N709" s="41">
        <f t="shared" si="1968"/>
        <v>192.4396563</v>
      </c>
      <c r="O709" s="38">
        <v>7315.0</v>
      </c>
      <c r="P709" s="42">
        <f t="shared" si="1969"/>
        <v>0.7703349282</v>
      </c>
      <c r="Q709" s="43">
        <v>1.5</v>
      </c>
      <c r="R709" s="42">
        <f t="shared" si="1970"/>
        <v>0.6100397165</v>
      </c>
      <c r="S709" s="44">
        <f t="shared" si="1971"/>
        <v>0.9150595747</v>
      </c>
      <c r="T709" s="43">
        <f>F709/30.897</f>
        <v>199.3096093</v>
      </c>
      <c r="U709" s="43">
        <f t="shared" si="1972"/>
        <v>6.228425292</v>
      </c>
      <c r="V709" s="40">
        <f t="shared" si="1973"/>
        <v>176.09375</v>
      </c>
      <c r="X709" s="22">
        <v>5.0</v>
      </c>
      <c r="Y709" s="22" t="s">
        <v>29</v>
      </c>
      <c r="Z709" s="22">
        <f t="shared" ref="Z709:AI709" si="1974">SUM(D724)</f>
        <v>30</v>
      </c>
      <c r="AA709" s="23">
        <f t="shared" si="1974"/>
        <v>30</v>
      </c>
      <c r="AB709" s="24">
        <f t="shared" si="1974"/>
        <v>6066.439</v>
      </c>
      <c r="AC709" s="23">
        <f t="shared" si="1974"/>
        <v>2738</v>
      </c>
      <c r="AD709" s="23">
        <f t="shared" si="1974"/>
        <v>0</v>
      </c>
      <c r="AE709" s="23">
        <f t="shared" si="1974"/>
        <v>2738</v>
      </c>
      <c r="AF709" s="23">
        <f t="shared" si="1974"/>
        <v>4029</v>
      </c>
      <c r="AG709" s="23">
        <f t="shared" si="1974"/>
        <v>0</v>
      </c>
      <c r="AH709" s="23">
        <f t="shared" si="1974"/>
        <v>4029</v>
      </c>
      <c r="AI709" s="23">
        <f t="shared" si="1974"/>
        <v>6767</v>
      </c>
      <c r="AJ709" s="25">
        <f t="shared" ref="AJ709:AJ711" si="1977">AB709/AA709</f>
        <v>202.2146333</v>
      </c>
      <c r="AK709" s="22">
        <f t="shared" ref="AK709:AK710" si="1978">SUM(O724)</f>
        <v>9201</v>
      </c>
      <c r="AL709" s="26">
        <f t="shared" si="1955"/>
        <v>0.7354635366</v>
      </c>
      <c r="AM709" s="27">
        <f t="shared" ref="AM709:AM710" si="1979">SUM(Q724)</f>
        <v>1.5</v>
      </c>
      <c r="AN709" s="26">
        <f t="shared" si="1957"/>
        <v>0.7436542811</v>
      </c>
      <c r="AO709" s="28">
        <f t="shared" si="1958"/>
        <v>1.115481422</v>
      </c>
      <c r="AP709" s="27">
        <f t="shared" ref="AP709:AQ709" si="1975">SUM(T724)</f>
        <v>229</v>
      </c>
      <c r="AQ709" s="27">
        <f t="shared" si="1975"/>
        <v>7.633333333</v>
      </c>
      <c r="AR709" s="23">
        <f t="shared" si="1960"/>
        <v>225.5666667</v>
      </c>
    </row>
    <row r="710" ht="15.75" customHeight="1">
      <c r="A710" s="21"/>
      <c r="B710" s="38">
        <v>3.0</v>
      </c>
      <c r="C710" s="38" t="s">
        <v>30</v>
      </c>
      <c r="D710" s="39">
        <v>60.0</v>
      </c>
      <c r="E710" s="40">
        <f>IFERROR(__xludf.DUMMYFUNCTION("COUNT(IMPORTRANGE(""https://docs.google.com/spreadsheets/d/130gLEONC13J8KkQ6dk06x3bLRy_jCrAw2hXatQf2W50/edit"",""27!d2:d61""))"),58.0)</f>
        <v>58</v>
      </c>
      <c r="F710" s="45">
        <f>IFERROR(__xludf.DUMMYFUNCTION("SUM(IMPORTRANGE(""https://docs.google.com/spreadsheets/d/130gLEONC13J8KkQ6dk06x3bLRy_jCrAw2hXatQf2W50/edit"",""27!Q2:Q61""))"),11617.074999999988)</f>
        <v>11617.075</v>
      </c>
      <c r="G710" s="40">
        <f>IFERROR(__xludf.DUMMYFUNCTION("IMPORTRANGE(""https://docs.google.com/spreadsheets/d/130gLEONC13J8KkQ6dk06x3bLRy_jCrAw2hXatQf2W50/edit"",""27!e68"")"),3730.0)</f>
        <v>3730</v>
      </c>
      <c r="H710" s="40">
        <f>IFERROR(__xludf.DUMMYFUNCTION("IMPORTRANGE(""https://docs.google.com/spreadsheets/d/130gLEONC13J8KkQ6dk06x3bLRy_jCrAw2hXatQf2W50/edit"",""27!e69"")"),0.0)</f>
        <v>0</v>
      </c>
      <c r="I710" s="40">
        <f t="shared" si="1965"/>
        <v>3730</v>
      </c>
      <c r="J710" s="40">
        <f>IFERROR(__xludf.DUMMYFUNCTION("IMPORTRANGE(""https://docs.google.com/spreadsheets/d/130gLEONC13J8KkQ6dk06x3bLRy_jCrAw2hXatQf2W50/edit"",""27!e72"")"),5627.0)</f>
        <v>5627</v>
      </c>
      <c r="K710" s="40">
        <f>IFERROR(__xludf.DUMMYFUNCTION("IMPORTRANGE(""https://docs.google.com/spreadsheets/d/130gLEONC13J8KkQ6dk06x3bLRy_jCrAw2hXatQf2W50/edit"",""27!e73"")"),0.0)</f>
        <v>0</v>
      </c>
      <c r="L710" s="40">
        <f t="shared" si="1966"/>
        <v>5627</v>
      </c>
      <c r="M710" s="40">
        <f t="shared" si="1967"/>
        <v>9357</v>
      </c>
      <c r="N710" s="41">
        <f t="shared" si="1968"/>
        <v>200.2943966</v>
      </c>
      <c r="O710" s="38">
        <v>11164.0</v>
      </c>
      <c r="P710" s="42">
        <f t="shared" si="1969"/>
        <v>0.8381404515</v>
      </c>
      <c r="Q710" s="43">
        <v>1.5</v>
      </c>
      <c r="R710" s="42">
        <f t="shared" si="1970"/>
        <v>0.5369682127</v>
      </c>
      <c r="S710" s="44">
        <f t="shared" si="1971"/>
        <v>0.8054523191</v>
      </c>
      <c r="T710" s="43">
        <f>F710/29.603</f>
        <v>392.4289768</v>
      </c>
      <c r="U710" s="43">
        <f t="shared" si="1972"/>
        <v>6.766016841</v>
      </c>
      <c r="V710" s="40">
        <f t="shared" si="1973"/>
        <v>161.3275862</v>
      </c>
      <c r="X710" s="22">
        <v>6.0</v>
      </c>
      <c r="Y710" s="22" t="s">
        <v>31</v>
      </c>
      <c r="Z710" s="22">
        <f t="shared" ref="Z710:AI710" si="1976">SUM(D725)</f>
        <v>15</v>
      </c>
      <c r="AA710" s="23">
        <f t="shared" si="1976"/>
        <v>14</v>
      </c>
      <c r="AB710" s="25">
        <f t="shared" si="1976"/>
        <v>2694.83</v>
      </c>
      <c r="AC710" s="23">
        <f t="shared" si="1976"/>
        <v>875</v>
      </c>
      <c r="AD710" s="23">
        <f t="shared" si="1976"/>
        <v>0</v>
      </c>
      <c r="AE710" s="23">
        <f t="shared" si="1976"/>
        <v>875</v>
      </c>
      <c r="AF710" s="23">
        <f t="shared" si="1976"/>
        <v>975</v>
      </c>
      <c r="AG710" s="23">
        <f t="shared" si="1976"/>
        <v>23</v>
      </c>
      <c r="AH710" s="23">
        <f t="shared" si="1976"/>
        <v>998</v>
      </c>
      <c r="AI710" s="23">
        <f t="shared" si="1976"/>
        <v>1873</v>
      </c>
      <c r="AJ710" s="25">
        <f t="shared" si="1977"/>
        <v>192.4878571</v>
      </c>
      <c r="AK710" s="22">
        <f t="shared" si="1978"/>
        <v>2717</v>
      </c>
      <c r="AL710" s="26">
        <f t="shared" si="1955"/>
        <v>0.6893632683</v>
      </c>
      <c r="AM710" s="27">
        <f t="shared" si="1979"/>
        <v>1.5</v>
      </c>
      <c r="AN710" s="26">
        <f t="shared" si="1957"/>
        <v>0.4633563775</v>
      </c>
      <c r="AO710" s="28">
        <f t="shared" si="1958"/>
        <v>0.6950345662</v>
      </c>
      <c r="AP710" s="27">
        <f t="shared" ref="AP710:AQ710" si="1980">SUM(T725)</f>
        <v>62</v>
      </c>
      <c r="AQ710" s="27">
        <f t="shared" si="1980"/>
        <v>4.428571429</v>
      </c>
      <c r="AR710" s="23">
        <f t="shared" si="1960"/>
        <v>133.7857143</v>
      </c>
    </row>
    <row r="711" ht="15.75" customHeight="1">
      <c r="A711" s="21"/>
      <c r="B711" s="38">
        <v>4.0</v>
      </c>
      <c r="C711" s="38" t="s">
        <v>32</v>
      </c>
      <c r="D711" s="39">
        <v>42.0</v>
      </c>
      <c r="E711" s="40">
        <f>IFERROR(__xludf.DUMMYFUNCTION("COUNT(IMPORTRANGE(""https://docs.google.com/spreadsheets/d/1gYHli7FuKQLm2Q-5LMR0UtkD-gRRA_p8s-phLPLDLgc/edit"",""27!d2:d43""))"),42.0)</f>
        <v>42</v>
      </c>
      <c r="F711" s="45">
        <f>IFERROR(__xludf.DUMMYFUNCTION("SUM(IMPORTRANGE(""https://docs.google.com/spreadsheets/d/1gYHli7FuKQLm2Q-5LMR0UtkD-gRRA_p8s-phLPLDLgc/edit"",""27!Q2:Q43""))"),8078.65799999999)</f>
        <v>8078.658</v>
      </c>
      <c r="G711" s="38">
        <f>IFERROR(__xludf.DUMMYFUNCTION("IMPORTRANGE(""https://docs.google.com/spreadsheets/d/1gYHli7FuKQLm2Q-5LMR0UtkD-gRRA_p8s-phLPLDLgc/edit"",""27!e50"")"),4602.0)</f>
        <v>4602</v>
      </c>
      <c r="H711" s="38">
        <f>IFERROR(__xludf.DUMMYFUNCTION("IMPORTRANGE(""https://docs.google.com/spreadsheets/d/1gYHli7FuKQLm2Q-5LMR0UtkD-gRRA_p8s-phLPLDLgc/edit"",""27!e51"")"),0.0)</f>
        <v>0</v>
      </c>
      <c r="I711" s="40">
        <f t="shared" si="1965"/>
        <v>4602</v>
      </c>
      <c r="J711" s="38">
        <f>IFERROR(__xludf.DUMMYFUNCTION("IMPORTRANGE(""https://docs.google.com/spreadsheets/d/1gYHli7FuKQLm2Q-5LMR0UtkD-gRRA_p8s-phLPLDLgc/edit"",""27!e54"")"),5903.0)</f>
        <v>5903</v>
      </c>
      <c r="K711" s="38">
        <f>IFERROR(__xludf.DUMMYFUNCTION("IMPORTRANGE(""https://docs.google.com/spreadsheets/d/1gYHli7FuKQLm2Q-5LMR0UtkD-gRRA_p8s-phLPLDLgc/edit"",""27!e55"")"),0.0)</f>
        <v>0</v>
      </c>
      <c r="L711" s="40">
        <f t="shared" si="1966"/>
        <v>5903</v>
      </c>
      <c r="M711" s="40">
        <f t="shared" si="1967"/>
        <v>10505</v>
      </c>
      <c r="N711" s="41">
        <f t="shared" si="1968"/>
        <v>192.349</v>
      </c>
      <c r="O711" s="38">
        <v>13817.0</v>
      </c>
      <c r="P711" s="42">
        <f t="shared" si="1969"/>
        <v>0.7602952884</v>
      </c>
      <c r="Q711" s="43">
        <v>1.5</v>
      </c>
      <c r="R711" s="42">
        <f t="shared" si="1970"/>
        <v>0.8668931564</v>
      </c>
      <c r="S711" s="44">
        <f t="shared" si="1971"/>
        <v>1.300339735</v>
      </c>
      <c r="T711" s="43">
        <f>F711/25.089</f>
        <v>322</v>
      </c>
      <c r="U711" s="43">
        <f t="shared" si="1972"/>
        <v>7.666666667</v>
      </c>
      <c r="V711" s="40">
        <f t="shared" si="1973"/>
        <v>250.1190476</v>
      </c>
      <c r="X711" s="46" t="s">
        <v>33</v>
      </c>
      <c r="Y711" s="46">
        <v>6.0</v>
      </c>
      <c r="Z711" s="46">
        <f t="shared" ref="Z711:AI711" si="1981">SUM(Z705:Z710)</f>
        <v>186</v>
      </c>
      <c r="AA711" s="47">
        <f t="shared" si="1981"/>
        <v>180</v>
      </c>
      <c r="AB711" s="48">
        <f t="shared" si="1981"/>
        <v>34560.901</v>
      </c>
      <c r="AC711" s="47">
        <f t="shared" si="1981"/>
        <v>10702</v>
      </c>
      <c r="AD711" s="47">
        <f t="shared" si="1981"/>
        <v>611</v>
      </c>
      <c r="AE711" s="47">
        <f t="shared" si="1981"/>
        <v>11313</v>
      </c>
      <c r="AF711" s="47">
        <f t="shared" si="1981"/>
        <v>15730</v>
      </c>
      <c r="AG711" s="47">
        <f t="shared" si="1981"/>
        <v>490</v>
      </c>
      <c r="AH711" s="47">
        <f t="shared" si="1981"/>
        <v>16220</v>
      </c>
      <c r="AI711" s="47">
        <f t="shared" si="1981"/>
        <v>27533</v>
      </c>
      <c r="AJ711" s="49">
        <f t="shared" si="1977"/>
        <v>192.0050056</v>
      </c>
      <c r="AK711" s="46">
        <f>SUM(AK705:AK710)</f>
        <v>35074</v>
      </c>
      <c r="AL711" s="50">
        <f t="shared" si="1955"/>
        <v>0.784997434</v>
      </c>
      <c r="AM711" s="51">
        <v>1.5</v>
      </c>
      <c r="AN711" s="50">
        <f t="shared" si="1957"/>
        <v>0.531101123</v>
      </c>
      <c r="AO711" s="52">
        <f t="shared" si="1958"/>
        <v>0.7966516845</v>
      </c>
      <c r="AP711" s="51">
        <f>SUM(AP705:AP710)</f>
        <v>1293.362217</v>
      </c>
      <c r="AQ711" s="51">
        <f>AP711/AA711</f>
        <v>7.18534565</v>
      </c>
      <c r="AR711" s="47">
        <f t="shared" si="1960"/>
        <v>152.9611111</v>
      </c>
    </row>
    <row r="712" ht="15.75" customHeight="1">
      <c r="A712" s="21"/>
      <c r="B712" s="38">
        <v>5.0</v>
      </c>
      <c r="C712" s="38" t="s">
        <v>34</v>
      </c>
      <c r="D712" s="39">
        <v>40.0</v>
      </c>
      <c r="E712" s="40">
        <f>IFERROR(__xludf.DUMMYFUNCTION("COUNT(IMPORTRANGE(""https://docs.google.com/spreadsheets/d/1ptS0qWBCKWkc9h2aXWT_YgMhN7yIv5WgAHRbF8l9Zpo/edit"",""27!d2:d41""))"),40.0)</f>
        <v>40</v>
      </c>
      <c r="F712" s="45">
        <f>IFERROR(__xludf.DUMMYFUNCTION("SUM(IMPORTRANGE(""https://docs.google.com/spreadsheets/d/1ptS0qWBCKWkc9h2aXWT_YgMhN7yIv5WgAHRbF8l9Zpo/edit"",""27!Q2:Q41""))"),8022.201000000003)</f>
        <v>8022.201</v>
      </c>
      <c r="G712" s="40">
        <f>IFERROR(__xludf.DUMMYFUNCTION("IMPORTRANGE(""https://docs.google.com/spreadsheets/d/1ptS0qWBCKWkc9h2aXWT_YgMhN7yIv5WgAHRbF8l9Zpo/edit"",""27!e48"")"),2804.0)</f>
        <v>2804</v>
      </c>
      <c r="H712" s="40">
        <f>IFERROR(__xludf.DUMMYFUNCTION("IMPORTRANGE(""https://docs.google.com/spreadsheets/d/1ptS0qWBCKWkc9h2aXWT_YgMhN7yIv5WgAHRbF8l9Zpo/edit"",""27!e49"")"),0.0)</f>
        <v>0</v>
      </c>
      <c r="I712" s="40">
        <f t="shared" si="1965"/>
        <v>2804</v>
      </c>
      <c r="J712" s="40">
        <f>IFERROR(__xludf.DUMMYFUNCTION("IMPORTRANGE(""https://docs.google.com/spreadsheets/d/1ptS0qWBCKWkc9h2aXWT_YgMhN7yIv5WgAHRbF8l9Zpo/edit"",""27!e52"")"),3299.0)</f>
        <v>3299</v>
      </c>
      <c r="K712" s="40">
        <f>IFERROR(__xludf.DUMMYFUNCTION("IMPORTRANGE(""https://docs.google.com/spreadsheets/d/1ptS0qWBCKWkc9h2aXWT_YgMhN7yIv5WgAHRbF8l9Zpo/edit"",""27!e53"")"),0.0)</f>
        <v>0</v>
      </c>
      <c r="L712" s="40">
        <f t="shared" si="1966"/>
        <v>3299</v>
      </c>
      <c r="M712" s="40">
        <f t="shared" si="1967"/>
        <v>6103</v>
      </c>
      <c r="N712" s="41">
        <f t="shared" si="1968"/>
        <v>200.555025</v>
      </c>
      <c r="O712" s="38">
        <v>9354.0</v>
      </c>
      <c r="P712" s="42">
        <f t="shared" si="1969"/>
        <v>0.6524481505</v>
      </c>
      <c r="Q712" s="43">
        <v>1.5</v>
      </c>
      <c r="R712" s="42">
        <f t="shared" si="1970"/>
        <v>0.5071758569</v>
      </c>
      <c r="S712" s="44">
        <f t="shared" si="1971"/>
        <v>0.7607637854</v>
      </c>
      <c r="T712" s="43">
        <f>F712/30.713</f>
        <v>261.1988734</v>
      </c>
      <c r="U712" s="43">
        <f t="shared" si="1972"/>
        <v>6.529971836</v>
      </c>
      <c r="V712" s="40">
        <f t="shared" si="1973"/>
        <v>152.575</v>
      </c>
      <c r="X712" s="53" t="s">
        <v>35</v>
      </c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6"/>
    </row>
    <row r="713" ht="15.75" customHeight="1">
      <c r="A713" s="21"/>
      <c r="B713" s="38">
        <v>6.0</v>
      </c>
      <c r="C713" s="38" t="s">
        <v>23</v>
      </c>
      <c r="D713" s="39">
        <v>35.0</v>
      </c>
      <c r="E713" s="40">
        <f>IFERROR(__xludf.DUMMYFUNCTION("COUNT(IMPORTRANGE(""https://docs.google.com/spreadsheets/d/1829CoYW82aTBBUgqkPnJa94KlBWI-DowAnP4ENQCmaQ/edit"",""27!d2:d36""))"),35.0)</f>
        <v>35</v>
      </c>
      <c r="F713" s="45">
        <f>IFERROR(__xludf.DUMMYFUNCTION("SUM(IMPORTRANGE(""https://docs.google.com/spreadsheets/d/1829CoYW82aTBBUgqkPnJa94KlBWI-DowAnP4ENQCmaQ/edit"",""27!Q2:Q36""))"),6714.259999999996)</f>
        <v>6714.26</v>
      </c>
      <c r="G713" s="40">
        <f>IFERROR(__xludf.DUMMYFUNCTION("IMPORTRANGE(""https://docs.google.com/spreadsheets/d/1829CoYW82aTBBUgqkPnJa94KlBWI-DowAnP4ENQCmaQ/edit"",""27!e43"")"),1704.0)</f>
        <v>1704</v>
      </c>
      <c r="H713" s="40">
        <f>IFERROR(__xludf.DUMMYFUNCTION("IMPORTRANGE(""https://docs.google.com/spreadsheets/d/1829CoYW82aTBBUgqkPnJa94KlBWI-DowAnP4ENQCmaQ/edit"",""27!e44"")"),21.0)</f>
        <v>21</v>
      </c>
      <c r="I713" s="40">
        <f t="shared" si="1965"/>
        <v>1725</v>
      </c>
      <c r="J713" s="40">
        <f>IFERROR(__xludf.DUMMYFUNCTION("IMPORTRANGE(""https://docs.google.com/spreadsheets/d/1829CoYW82aTBBUgqkPnJa94KlBWI-DowAnP4ENQCmaQ/edit"",""27!e47"")"),2947.0)</f>
        <v>2947</v>
      </c>
      <c r="K713" s="40">
        <f>IFERROR(__xludf.DUMMYFUNCTION("IMPORTRANGE(""https://docs.google.com/spreadsheets/d/1829CoYW82aTBBUgqkPnJa94KlBWI-DowAnP4ENQCmaQ/edit"",""27!e48"")"),0.0)</f>
        <v>0</v>
      </c>
      <c r="L713" s="40">
        <f t="shared" si="1966"/>
        <v>2947</v>
      </c>
      <c r="M713" s="40">
        <f t="shared" si="1967"/>
        <v>4672</v>
      </c>
      <c r="N713" s="41">
        <f t="shared" si="1968"/>
        <v>191.836</v>
      </c>
      <c r="O713" s="38">
        <v>6853.0</v>
      </c>
      <c r="P713" s="42">
        <f t="shared" si="1969"/>
        <v>0.6817452211</v>
      </c>
      <c r="Q713" s="43">
        <v>1.5</v>
      </c>
      <c r="R713" s="42">
        <f t="shared" si="1970"/>
        <v>0.4638883014</v>
      </c>
      <c r="S713" s="44">
        <f t="shared" si="1971"/>
        <v>0.6958324521</v>
      </c>
      <c r="T713" s="43">
        <f>F713/33.74</f>
        <v>199</v>
      </c>
      <c r="U713" s="43">
        <f t="shared" si="1972"/>
        <v>5.685714286</v>
      </c>
      <c r="V713" s="40">
        <f t="shared" si="1973"/>
        <v>133.4857143</v>
      </c>
      <c r="X713" s="14" t="s">
        <v>2</v>
      </c>
      <c r="Y713" s="14" t="s">
        <v>3</v>
      </c>
      <c r="Z713" s="14" t="s">
        <v>4</v>
      </c>
      <c r="AA713" s="14" t="s">
        <v>5</v>
      </c>
      <c r="AB713" s="15" t="s">
        <v>6</v>
      </c>
      <c r="AC713" s="14" t="s">
        <v>7</v>
      </c>
      <c r="AD713" s="14" t="s">
        <v>8</v>
      </c>
      <c r="AE713" s="14" t="s">
        <v>9</v>
      </c>
      <c r="AF713" s="14" t="s">
        <v>10</v>
      </c>
      <c r="AG713" s="14" t="s">
        <v>11</v>
      </c>
      <c r="AH713" s="14" t="s">
        <v>12</v>
      </c>
      <c r="AI713" s="14" t="s">
        <v>13</v>
      </c>
      <c r="AJ713" s="15" t="s">
        <v>14</v>
      </c>
      <c r="AK713" s="14" t="s">
        <v>15</v>
      </c>
      <c r="AL713" s="14" t="s">
        <v>16</v>
      </c>
      <c r="AM713" s="16" t="s">
        <v>17</v>
      </c>
      <c r="AN713" s="17" t="s">
        <v>18</v>
      </c>
      <c r="AO713" s="18" t="s">
        <v>19</v>
      </c>
      <c r="AP713" s="19" t="s">
        <v>20</v>
      </c>
      <c r="AQ713" s="19" t="s">
        <v>21</v>
      </c>
      <c r="AR713" s="20" t="s">
        <v>22</v>
      </c>
    </row>
    <row r="714" ht="15.75" customHeight="1">
      <c r="A714" s="21"/>
      <c r="B714" s="38">
        <v>7.0</v>
      </c>
      <c r="C714" s="38" t="s">
        <v>24</v>
      </c>
      <c r="D714" s="39">
        <v>44.0</v>
      </c>
      <c r="E714" s="54">
        <f>IFERROR(__xludf.DUMMYFUNCTION("COUNT(IMPORTRANGE(""https://docs.google.com/spreadsheets/d/1E2x4oDZxEIsuC5nl-5Z0--MoN8b1dt9SbpRcCfNP84Q/edit"",""27!d2:d45""))"),42.0)</f>
        <v>42</v>
      </c>
      <c r="F714" s="55">
        <f>IFERROR(__xludf.DUMMYFUNCTION("SUM(IMPORTRANGE(""https://docs.google.com/spreadsheets/d/1E2x4oDZxEIsuC5nl-5Z0--MoN8b1dt9SbpRcCfNP84Q/edit"",""27!Q2:Q45""))"),8276.095999999994)</f>
        <v>8276.096</v>
      </c>
      <c r="G714" s="54">
        <f>IFERROR(__xludf.DUMMYFUNCTION("IMPORTRANGE(""https://docs.google.com/spreadsheets/d/1E2x4oDZxEIsuC5nl-5Z0--MoN8b1dt9SbpRcCfNP84Q/edit"",""27!e53"")"),1061.0)</f>
        <v>1061</v>
      </c>
      <c r="H714" s="54">
        <f>IFERROR(__xludf.DUMMYFUNCTION("IMPORTRANGE(""https://docs.google.com/spreadsheets/d/1E2x4oDZxEIsuC5nl-5Z0--MoN8b1dt9SbpRcCfNP84Q/edit"",""27!e54"")"),0.0)</f>
        <v>0</v>
      </c>
      <c r="I714" s="54">
        <f t="shared" si="1965"/>
        <v>1061</v>
      </c>
      <c r="J714" s="54">
        <f>IFERROR(__xludf.DUMMYFUNCTION("IMPORTRANGE(""https://docs.google.com/spreadsheets/d/1E2x4oDZxEIsuC5nl-5Z0--MoN8b1dt9SbpRcCfNP84Q/edit"",""27!e57"")"),1379.0)</f>
        <v>1379</v>
      </c>
      <c r="K714" s="54">
        <f>IFERROR(__xludf.DUMMYFUNCTION("IMPORTRANGE(""https://docs.google.com/spreadsheets/d/1E2x4oDZxEIsuC5nl-5Z0--MoN8b1dt9SbpRcCfNP84Q/edit"",""27!e58"")"),0.0)</f>
        <v>0</v>
      </c>
      <c r="L714" s="40">
        <f t="shared" si="1966"/>
        <v>1379</v>
      </c>
      <c r="M714" s="40">
        <f t="shared" si="1967"/>
        <v>2440</v>
      </c>
      <c r="N714" s="41">
        <f t="shared" si="1968"/>
        <v>197.0499048</v>
      </c>
      <c r="O714" s="38">
        <v>1580.0</v>
      </c>
      <c r="P714" s="56">
        <f t="shared" si="1969"/>
        <v>1.544303797</v>
      </c>
      <c r="Q714" s="43">
        <v>1.5</v>
      </c>
      <c r="R714" s="42">
        <f t="shared" si="1970"/>
        <v>0.1965499997</v>
      </c>
      <c r="S714" s="44">
        <f t="shared" si="1971"/>
        <v>0.2948249996</v>
      </c>
      <c r="T714" s="43">
        <f>F714/26.805</f>
        <v>308.7519493</v>
      </c>
      <c r="U714" s="43">
        <f t="shared" si="1972"/>
        <v>7.351236887</v>
      </c>
      <c r="V714" s="40">
        <f t="shared" si="1973"/>
        <v>58.0952381</v>
      </c>
      <c r="X714" s="22">
        <v>1.0</v>
      </c>
      <c r="Y714" s="22" t="s">
        <v>28</v>
      </c>
      <c r="Z714" s="22">
        <f t="shared" ref="Z714:AI714" si="1982">SUM(D709)</f>
        <v>33</v>
      </c>
      <c r="AA714" s="23">
        <f t="shared" si="1982"/>
        <v>32</v>
      </c>
      <c r="AB714" s="25">
        <f t="shared" si="1982"/>
        <v>6158.069</v>
      </c>
      <c r="AC714" s="23">
        <f t="shared" si="1982"/>
        <v>2513</v>
      </c>
      <c r="AD714" s="23">
        <f t="shared" si="1982"/>
        <v>190</v>
      </c>
      <c r="AE714" s="23">
        <f t="shared" si="1982"/>
        <v>2703</v>
      </c>
      <c r="AF714" s="23">
        <f t="shared" si="1982"/>
        <v>2792</v>
      </c>
      <c r="AG714" s="23">
        <f t="shared" si="1982"/>
        <v>140</v>
      </c>
      <c r="AH714" s="23">
        <f t="shared" si="1982"/>
        <v>2932</v>
      </c>
      <c r="AI714" s="23">
        <f t="shared" si="1982"/>
        <v>5635</v>
      </c>
      <c r="AJ714" s="25">
        <f t="shared" ref="AJ714:AJ720" si="1985">AB714/AA714</f>
        <v>192.4396563</v>
      </c>
      <c r="AK714" s="22">
        <f t="shared" ref="AK714:AK715" si="1986">SUM(O709)</f>
        <v>7315</v>
      </c>
      <c r="AL714" s="26">
        <f t="shared" ref="AL714:AL720" si="1987">AI714/AK714</f>
        <v>0.7703349282</v>
      </c>
      <c r="AM714" s="27">
        <f t="shared" ref="AM714:AM715" si="1988">SUM(Q709)</f>
        <v>1.5</v>
      </c>
      <c r="AN714" s="26">
        <f t="shared" ref="AN714:AN720" si="1989">AO714/AM714</f>
        <v>0.6100397165</v>
      </c>
      <c r="AO714" s="28">
        <f t="shared" ref="AO714:AO720" si="1990">AI714/AB714</f>
        <v>0.9150595747</v>
      </c>
      <c r="AP714" s="27">
        <f t="shared" ref="AP714:AQ714" si="1983">SUM(T709)</f>
        <v>199.3096093</v>
      </c>
      <c r="AQ714" s="27">
        <f t="shared" si="1983"/>
        <v>6.228425292</v>
      </c>
      <c r="AR714" s="23">
        <f t="shared" ref="AR714:AR720" si="1992">AI714/AA714</f>
        <v>176.09375</v>
      </c>
    </row>
    <row r="715" ht="15.75" customHeight="1">
      <c r="A715" s="21"/>
      <c r="B715" s="38">
        <v>8.0</v>
      </c>
      <c r="C715" s="38" t="s">
        <v>25</v>
      </c>
      <c r="D715" s="57">
        <v>32.0</v>
      </c>
      <c r="E715" s="40">
        <f>IFERROR(__xludf.DUMMYFUNCTION("COUNT(IMPORTRANGE(""https://docs.google.com/spreadsheets/d/1KbRFOEYB0B44J_NSh1MwYQ1sLDlZXUHI-wuMLcZDn5k/edit"",""27!d2:D33""))"),32.0)</f>
        <v>32</v>
      </c>
      <c r="F715" s="45">
        <f>IFERROR(__xludf.DUMMYFUNCTION("SUM(IMPORTRANGE(""https://docs.google.com/spreadsheets/d/1KbRFOEYB0B44J_NSh1MwYQ1sLDlZXUHI-wuMLcZDn5k/edit"",""27!Q2:Q33""))"),5717.2080000000005)</f>
        <v>5717.208</v>
      </c>
      <c r="G715" s="40">
        <f>IFERROR(__xludf.DUMMYFUNCTION("IMPORTRANGE(""https://docs.google.com/spreadsheets/d/1KbRFOEYB0B44J_NSh1MwYQ1sLDlZXUHI-wuMLcZDn5k/edit"",""27!e40"")"),2128.0)</f>
        <v>2128</v>
      </c>
      <c r="H715" s="40">
        <f>IFERROR(__xludf.DUMMYFUNCTION("IMPORTRANGE(""https://docs.google.com/spreadsheets/d/1KbRFOEYB0B44J_NSh1MwYQ1sLDlZXUHI-wuMLcZDn5k/edit"",""27!e41"")"),469.0)</f>
        <v>469</v>
      </c>
      <c r="I715" s="40">
        <f t="shared" si="1965"/>
        <v>2597</v>
      </c>
      <c r="J715" s="40">
        <f>IFERROR(__xludf.DUMMYFUNCTION("IMPORTRANGE(""https://docs.google.com/spreadsheets/d/1KbRFOEYB0B44J_NSh1MwYQ1sLDlZXUHI-wuMLcZDn5k/edit"",""27!e44"")"),3291.0)</f>
        <v>3291</v>
      </c>
      <c r="K715" s="40">
        <f>IFERROR(__xludf.DUMMYFUNCTION("IMPORTRANGE(""https://docs.google.com/spreadsheets/d/1KbRFOEYB0B44J_NSh1MwYQ1sLDlZXUHI-wuMLcZDn5k/edit"",""27!e45"")"),367.0)</f>
        <v>367</v>
      </c>
      <c r="L715" s="40">
        <f>J715+K715</f>
        <v>3658</v>
      </c>
      <c r="M715" s="40">
        <f t="shared" si="1967"/>
        <v>6255</v>
      </c>
      <c r="N715" s="41">
        <f t="shared" si="1968"/>
        <v>178.66275</v>
      </c>
      <c r="O715" s="38">
        <v>6622.0</v>
      </c>
      <c r="P715" s="42">
        <f t="shared" si="1969"/>
        <v>0.9445786771</v>
      </c>
      <c r="Q715" s="43">
        <v>1.5</v>
      </c>
      <c r="R715" s="42">
        <f t="shared" si="1970"/>
        <v>0.7293769966</v>
      </c>
      <c r="S715" s="44">
        <f t="shared" si="1971"/>
        <v>1.094065495</v>
      </c>
      <c r="T715" s="43">
        <f>F715/23.84</f>
        <v>239.8157718</v>
      </c>
      <c r="U715" s="43">
        <f t="shared" si="1972"/>
        <v>7.494242869</v>
      </c>
      <c r="V715" s="40">
        <f t="shared" si="1973"/>
        <v>195.46875</v>
      </c>
      <c r="X715" s="31">
        <v>2.0</v>
      </c>
      <c r="Y715" s="31" t="s">
        <v>30</v>
      </c>
      <c r="Z715" s="31">
        <f t="shared" ref="Z715:AI715" si="1984">SUM(D710)</f>
        <v>60</v>
      </c>
      <c r="AA715" s="32">
        <f t="shared" si="1984"/>
        <v>58</v>
      </c>
      <c r="AB715" s="33">
        <f t="shared" si="1984"/>
        <v>11617.075</v>
      </c>
      <c r="AC715" s="32">
        <f t="shared" si="1984"/>
        <v>3730</v>
      </c>
      <c r="AD715" s="32">
        <f t="shared" si="1984"/>
        <v>0</v>
      </c>
      <c r="AE715" s="32">
        <f t="shared" si="1984"/>
        <v>3730</v>
      </c>
      <c r="AF715" s="32">
        <f t="shared" si="1984"/>
        <v>5627</v>
      </c>
      <c r="AG715" s="32">
        <f t="shared" si="1984"/>
        <v>0</v>
      </c>
      <c r="AH715" s="32">
        <f t="shared" si="1984"/>
        <v>5627</v>
      </c>
      <c r="AI715" s="32">
        <f t="shared" si="1984"/>
        <v>9357</v>
      </c>
      <c r="AJ715" s="34">
        <f t="shared" si="1985"/>
        <v>200.2943966</v>
      </c>
      <c r="AK715" s="31">
        <f t="shared" si="1986"/>
        <v>11164</v>
      </c>
      <c r="AL715" s="35">
        <f t="shared" si="1987"/>
        <v>0.8381404515</v>
      </c>
      <c r="AM715" s="36">
        <f t="shared" si="1988"/>
        <v>1.5</v>
      </c>
      <c r="AN715" s="35">
        <f t="shared" si="1989"/>
        <v>0.5369682127</v>
      </c>
      <c r="AO715" s="37">
        <f t="shared" si="1990"/>
        <v>0.8054523191</v>
      </c>
      <c r="AP715" s="36">
        <f t="shared" ref="AP715:AQ715" si="1991">SUM(T710)</f>
        <v>392.4289768</v>
      </c>
      <c r="AQ715" s="36">
        <f t="shared" si="1991"/>
        <v>6.766016841</v>
      </c>
      <c r="AR715" s="32">
        <f t="shared" si="1992"/>
        <v>161.3275862</v>
      </c>
    </row>
    <row r="716" ht="15.75" customHeight="1">
      <c r="A716" s="21"/>
      <c r="B716" s="38">
        <v>9.0</v>
      </c>
      <c r="C716" s="38" t="s">
        <v>36</v>
      </c>
      <c r="D716" s="58">
        <v>30.0</v>
      </c>
      <c r="E716" s="40">
        <f>IFERROR(__xludf.DUMMYFUNCTION("COUNT(IMPORTRANGE(""https://docs.google.com/spreadsheets/d/1VqqqRGfmmkT0JC4ILJva2p8P11jjV0FX-TSKAaqOigw/edit"",""27!d2:d31""))"),29.0)</f>
        <v>29</v>
      </c>
      <c r="F716" s="45">
        <f>IFERROR(__xludf.DUMMYFUNCTION("SUM(IMPORTRANGE(""https://docs.google.com/spreadsheets/d/1VqqqRGfmmkT0JC4ILJva2p8P11jjV0FX-TSKAaqOigw/edit"",""27!Q2:Q31""))"),5792.785999999999)</f>
        <v>5792.786</v>
      </c>
      <c r="G716" s="40">
        <f>IFERROR(__xludf.DUMMYFUNCTION("IMPORTRANGE(""https://docs.google.com/spreadsheets/d/1VqqqRGfmmkT0JC4ILJva2p8P11jjV0FX-TSKAaqOigw/edit"",""27!e38"")"),1608.0)</f>
        <v>1608</v>
      </c>
      <c r="H716" s="40">
        <f>IFERROR(__xludf.DUMMYFUNCTION("IMPORTRANGE(""https://docs.google.com/spreadsheets/d/1VqqqRGfmmkT0JC4ILJva2p8P11jjV0FX-TSKAaqOigw/edit"",""27!e39"")"),0.0)</f>
        <v>0</v>
      </c>
      <c r="I716" s="40">
        <f t="shared" si="1965"/>
        <v>1608</v>
      </c>
      <c r="J716" s="40">
        <f>IFERROR(__xludf.DUMMYFUNCTION("IMPORTRANGE(""https://docs.google.com/spreadsheets/d/1VqqqRGfmmkT0JC4ILJva2p8P11jjV0FX-TSKAaqOigw/edit"",""27!e42"")"),2167.0)</f>
        <v>2167</v>
      </c>
      <c r="K716" s="40">
        <f>IFERROR(__xludf.DUMMYFUNCTION("IMPORTRANGE(""https://docs.google.com/spreadsheets/d/1VqqqRGfmmkT0JC4ILJva2p8P11jjV0FX-TSKAaqOigw/edit"",""27!e43"")"),0.0)</f>
        <v>0</v>
      </c>
      <c r="L716" s="40">
        <f t="shared" ref="L716:L725" si="1995">SUM(J716:K716)</f>
        <v>2167</v>
      </c>
      <c r="M716" s="40">
        <f t="shared" si="1967"/>
        <v>3775</v>
      </c>
      <c r="N716" s="41">
        <f t="shared" si="1968"/>
        <v>199.7512414</v>
      </c>
      <c r="O716" s="38">
        <v>4796.0</v>
      </c>
      <c r="P716" s="42">
        <f t="shared" si="1969"/>
        <v>0.7871142619</v>
      </c>
      <c r="Q716" s="43">
        <v>1.5</v>
      </c>
      <c r="R716" s="42">
        <f t="shared" si="1970"/>
        <v>0.4344484099</v>
      </c>
      <c r="S716" s="44">
        <f t="shared" si="1971"/>
        <v>0.6516726149</v>
      </c>
      <c r="T716" s="43">
        <f>F716/37.414</f>
        <v>154.8293687</v>
      </c>
      <c r="U716" s="43">
        <f t="shared" si="1972"/>
        <v>5.338943748</v>
      </c>
      <c r="V716" s="40">
        <f t="shared" si="1973"/>
        <v>130.1724138</v>
      </c>
      <c r="X716" s="22">
        <v>3.0</v>
      </c>
      <c r="Y716" s="22" t="s">
        <v>34</v>
      </c>
      <c r="Z716" s="22">
        <f t="shared" ref="Z716:AI716" si="1993">SUM(D712)</f>
        <v>40</v>
      </c>
      <c r="AA716" s="23">
        <f t="shared" si="1993"/>
        <v>40</v>
      </c>
      <c r="AB716" s="24">
        <f t="shared" si="1993"/>
        <v>8022.201</v>
      </c>
      <c r="AC716" s="23">
        <f t="shared" si="1993"/>
        <v>2804</v>
      </c>
      <c r="AD716" s="23">
        <f t="shared" si="1993"/>
        <v>0</v>
      </c>
      <c r="AE716" s="23">
        <f t="shared" si="1993"/>
        <v>2804</v>
      </c>
      <c r="AF716" s="23">
        <f t="shared" si="1993"/>
        <v>3299</v>
      </c>
      <c r="AG716" s="23">
        <f t="shared" si="1993"/>
        <v>0</v>
      </c>
      <c r="AH716" s="23">
        <f t="shared" si="1993"/>
        <v>3299</v>
      </c>
      <c r="AI716" s="23">
        <f t="shared" si="1993"/>
        <v>6103</v>
      </c>
      <c r="AJ716" s="25">
        <f t="shared" si="1985"/>
        <v>200.555025</v>
      </c>
      <c r="AK716" s="22">
        <f>SUM(O712)</f>
        <v>9354</v>
      </c>
      <c r="AL716" s="26">
        <f t="shared" si="1987"/>
        <v>0.6524481505</v>
      </c>
      <c r="AM716" s="27">
        <f>SUM(Q712)</f>
        <v>1.5</v>
      </c>
      <c r="AN716" s="26">
        <f t="shared" si="1989"/>
        <v>0.5071758569</v>
      </c>
      <c r="AO716" s="28">
        <f t="shared" si="1990"/>
        <v>0.7607637854</v>
      </c>
      <c r="AP716" s="27">
        <f t="shared" ref="AP716:AQ716" si="1994">SUM(T712)</f>
        <v>261.1988734</v>
      </c>
      <c r="AQ716" s="27">
        <f t="shared" si="1994"/>
        <v>6.529971836</v>
      </c>
      <c r="AR716" s="23">
        <f t="shared" si="1992"/>
        <v>152.575</v>
      </c>
    </row>
    <row r="717" ht="15.75" customHeight="1">
      <c r="A717" s="21"/>
      <c r="B717" s="38">
        <v>10.0</v>
      </c>
      <c r="C717" s="38" t="s">
        <v>37</v>
      </c>
      <c r="D717" s="39">
        <v>30.0</v>
      </c>
      <c r="E717" s="40">
        <f>IFERROR(__xludf.DUMMYFUNCTION("COUNT(IMPORTRANGE(""https://docs.google.com/spreadsheets/d/1IYeRjQd_D6MRqoBKNaky3aSEUloYCJc5XDnPAbdyetk/edit"",""27!d2:d31""))"),29.0)</f>
        <v>29</v>
      </c>
      <c r="F717" s="45">
        <f>IFERROR(__xludf.DUMMYFUNCTION("SUM(IMPORTRANGE(""https://docs.google.com/spreadsheets/d/1IYeRjQd_D6MRqoBKNaky3aSEUloYCJc5XDnPAbdyetk/edit"",""27!Q2:Q31""))"),5625.162000000003)</f>
        <v>5625.162</v>
      </c>
      <c r="G717" s="40">
        <f>IFERROR(__xludf.DUMMYFUNCTION("(IMPORTRANGE(""https://docs.google.com/spreadsheets/d/1IYeRjQd_D6MRqoBKNaky3aSEUloYCJc5XDnPAbdyetk/edit"",""27!e38""))"),2027.0)</f>
        <v>2027</v>
      </c>
      <c r="H717" s="40">
        <f>IFERROR(__xludf.DUMMYFUNCTION("(IMPORTRANGE(""https://docs.google.com/spreadsheets/d/1IYeRjQd_D6MRqoBKNaky3aSEUloYCJc5XDnPAbdyetk/edit"",""27!e39""))"),0.0)</f>
        <v>0</v>
      </c>
      <c r="I717" s="40">
        <f t="shared" si="1965"/>
        <v>2027</v>
      </c>
      <c r="J717" s="40">
        <f>IFERROR(__xludf.DUMMYFUNCTION("(IMPORTRANGE(""https://docs.google.com/spreadsheets/d/1IYeRjQd_D6MRqoBKNaky3aSEUloYCJc5XDnPAbdyetk/edit"",""27!e42""))"),2972.0)</f>
        <v>2972</v>
      </c>
      <c r="K717" s="40">
        <f>IFERROR(__xludf.DUMMYFUNCTION("(IMPORTRANGE(""https://docs.google.com/spreadsheets/d/1IYeRjQd_D6MRqoBKNaky3aSEUloYCJc5XDnPAbdyetk/edit"",""27!e43""))"),0.0)</f>
        <v>0</v>
      </c>
      <c r="L717" s="40">
        <f t="shared" si="1995"/>
        <v>2972</v>
      </c>
      <c r="M717" s="40">
        <f t="shared" si="1967"/>
        <v>4999</v>
      </c>
      <c r="N717" s="41">
        <f t="shared" si="1968"/>
        <v>193.9711034</v>
      </c>
      <c r="O717" s="38">
        <v>5887.0</v>
      </c>
      <c r="P717" s="42">
        <f t="shared" si="1969"/>
        <v>0.8491591643</v>
      </c>
      <c r="Q717" s="43">
        <v>1.5</v>
      </c>
      <c r="R717" s="42">
        <f t="shared" si="1970"/>
        <v>0.5924570113</v>
      </c>
      <c r="S717" s="44">
        <f t="shared" si="1971"/>
        <v>0.888685517</v>
      </c>
      <c r="T717" s="43">
        <f>F717/24.792</f>
        <v>226.8942401</v>
      </c>
      <c r="U717" s="43">
        <f t="shared" si="1972"/>
        <v>7.823939313</v>
      </c>
      <c r="V717" s="40">
        <f t="shared" si="1973"/>
        <v>172.3793103</v>
      </c>
      <c r="X717" s="31">
        <v>4.0</v>
      </c>
      <c r="Y717" s="31" t="s">
        <v>38</v>
      </c>
      <c r="Z717" s="31">
        <f t="shared" ref="Z717:AI717" si="1996">SUM(D720)</f>
        <v>30</v>
      </c>
      <c r="AA717" s="32">
        <f t="shared" si="1996"/>
        <v>30</v>
      </c>
      <c r="AB717" s="33">
        <f t="shared" si="1996"/>
        <v>6408.924</v>
      </c>
      <c r="AC717" s="32">
        <f t="shared" si="1996"/>
        <v>2238</v>
      </c>
      <c r="AD717" s="32">
        <f t="shared" si="1996"/>
        <v>0</v>
      </c>
      <c r="AE717" s="32">
        <f t="shared" si="1996"/>
        <v>2238</v>
      </c>
      <c r="AF717" s="32">
        <f t="shared" si="1996"/>
        <v>2838</v>
      </c>
      <c r="AG717" s="32">
        <f t="shared" si="1996"/>
        <v>0</v>
      </c>
      <c r="AH717" s="32">
        <f t="shared" si="1996"/>
        <v>2838</v>
      </c>
      <c r="AI717" s="32">
        <f t="shared" si="1996"/>
        <v>5076</v>
      </c>
      <c r="AJ717" s="34">
        <f t="shared" si="1985"/>
        <v>213.6308</v>
      </c>
      <c r="AK717" s="31">
        <v>7324.0</v>
      </c>
      <c r="AL717" s="35">
        <f t="shared" si="1987"/>
        <v>0.6930638995</v>
      </c>
      <c r="AM717" s="36">
        <f>SUM(Q720)</f>
        <v>1.5</v>
      </c>
      <c r="AN717" s="35">
        <f t="shared" si="1989"/>
        <v>0.5280137508</v>
      </c>
      <c r="AO717" s="37">
        <f t="shared" si="1990"/>
        <v>0.7920206262</v>
      </c>
      <c r="AP717" s="36">
        <f t="shared" ref="AP717:AQ717" si="1997">SUM(T720)</f>
        <v>155.5375319</v>
      </c>
      <c r="AQ717" s="36">
        <f t="shared" si="1997"/>
        <v>5.184584395</v>
      </c>
      <c r="AR717" s="32">
        <f t="shared" si="1992"/>
        <v>169.2</v>
      </c>
    </row>
    <row r="718" ht="15.75" customHeight="1">
      <c r="A718" s="21"/>
      <c r="B718" s="38">
        <v>12.0</v>
      </c>
      <c r="C718" s="38" t="s">
        <v>39</v>
      </c>
      <c r="D718" s="39">
        <v>28.0</v>
      </c>
      <c r="E718" s="40">
        <f>IFERROR(__xludf.DUMMYFUNCTION("COUNT(IMPORTRANGE(""https://docs.google.com/spreadsheets/d/1TAY2D35yAzyl8a_p5CuZehQvmatfj0b0Q8ICl8GtJBY/edit"",""27!d2:d29""))"),27.0)</f>
        <v>27</v>
      </c>
      <c r="F718" s="45">
        <f>IFERROR(__xludf.DUMMYFUNCTION("SUM(IMPORTRANGE(""https://docs.google.com/spreadsheets/d/1TAY2D35yAzyl8a_p5CuZehQvmatfj0b0Q8ICl8GtJBY/edit"",""27!Q2:Q29""))"),5158.3960000000025)</f>
        <v>5158.396</v>
      </c>
      <c r="G718" s="40">
        <f>IFERROR(__xludf.DUMMYFUNCTION("IMPORTRANGE(""https://docs.google.com/spreadsheets/d/1TAY2D35yAzyl8a_p5CuZehQvmatfj0b0Q8ICl8GtJBY/edit"",""27!e36"")"),1232.0)</f>
        <v>1232</v>
      </c>
      <c r="H718" s="40">
        <f>IFERROR(__xludf.DUMMYFUNCTION("(IMPORTRANGE(""https://docs.google.com/spreadsheets/d/1TAY2D35yAzyl8a_p5CuZehQvmatfj0b0Q8ICl8GtJBY/edit"",""27!e37""))"),0.0)</f>
        <v>0</v>
      </c>
      <c r="I718" s="40">
        <f t="shared" si="1965"/>
        <v>1232</v>
      </c>
      <c r="J718" s="40">
        <f>IFERROR(__xludf.DUMMYFUNCTION("IMPORTRANGE(""https://docs.google.com/spreadsheets/d/1TAY2D35yAzyl8a_p5CuZehQvmatfj0b0Q8ICl8GtJBY/edit"",""27!e40"")"),1310.0)</f>
        <v>1310</v>
      </c>
      <c r="K718" s="40">
        <f>IFERROR(__xludf.DUMMYFUNCTION("IMPORTRANGE(""https://docs.google.com/spreadsheets/d/1TAY2D35yAzyl8a_p5CuZehQvmatfj0b0Q8ICl8GtJBY/edit"",""27!e41"")"),477.0)</f>
        <v>477</v>
      </c>
      <c r="L718" s="40">
        <f t="shared" si="1995"/>
        <v>1787</v>
      </c>
      <c r="M718" s="40">
        <f t="shared" si="1967"/>
        <v>3019</v>
      </c>
      <c r="N718" s="41">
        <f t="shared" si="1968"/>
        <v>191.0517037</v>
      </c>
      <c r="O718" s="38">
        <v>3569.0</v>
      </c>
      <c r="P718" s="42">
        <f t="shared" si="1969"/>
        <v>0.8458952087</v>
      </c>
      <c r="Q718" s="43">
        <v>1.5</v>
      </c>
      <c r="R718" s="42">
        <f t="shared" si="1970"/>
        <v>0.3901729659</v>
      </c>
      <c r="S718" s="44">
        <f t="shared" si="1971"/>
        <v>0.5852594489</v>
      </c>
      <c r="T718" s="43">
        <f>F718/21.463</f>
        <v>240.339002</v>
      </c>
      <c r="U718" s="43">
        <f t="shared" si="1972"/>
        <v>8.901444519</v>
      </c>
      <c r="V718" s="40">
        <f t="shared" si="1973"/>
        <v>111.8148148</v>
      </c>
      <c r="X718" s="31">
        <v>5.0</v>
      </c>
      <c r="Y718" s="31" t="s">
        <v>40</v>
      </c>
      <c r="Z718" s="31">
        <f t="shared" ref="Z718:AI718" si="1998">SUM(D722)</f>
        <v>30</v>
      </c>
      <c r="AA718" s="32">
        <f t="shared" si="1998"/>
        <v>30</v>
      </c>
      <c r="AB718" s="33">
        <f t="shared" si="1998"/>
        <v>5688.6</v>
      </c>
      <c r="AC718" s="32">
        <f t="shared" si="1998"/>
        <v>3135</v>
      </c>
      <c r="AD718" s="32">
        <f t="shared" si="1998"/>
        <v>49</v>
      </c>
      <c r="AE718" s="32">
        <f t="shared" si="1998"/>
        <v>3184</v>
      </c>
      <c r="AF718" s="32">
        <f t="shared" si="1998"/>
        <v>3720</v>
      </c>
      <c r="AG718" s="32">
        <f t="shared" si="1998"/>
        <v>0</v>
      </c>
      <c r="AH718" s="32">
        <f t="shared" si="1998"/>
        <v>3720</v>
      </c>
      <c r="AI718" s="32">
        <f t="shared" si="1998"/>
        <v>6904</v>
      </c>
      <c r="AJ718" s="34">
        <f t="shared" si="1985"/>
        <v>189.62</v>
      </c>
      <c r="AK718" s="31">
        <f t="shared" ref="AK718:AK719" si="2001">SUM(O722)</f>
        <v>8239</v>
      </c>
      <c r="AL718" s="35">
        <f t="shared" si="1987"/>
        <v>0.8379657725</v>
      </c>
      <c r="AM718" s="36">
        <f t="shared" ref="AM718:AM719" si="2002">SUM(Q722)</f>
        <v>1.5</v>
      </c>
      <c r="AN718" s="35">
        <f t="shared" si="1989"/>
        <v>0.8091035873</v>
      </c>
      <c r="AO718" s="37">
        <f t="shared" si="1990"/>
        <v>1.213655381</v>
      </c>
      <c r="AP718" s="36">
        <f t="shared" ref="AP718:AQ718" si="1999">SUM(T722)</f>
        <v>200</v>
      </c>
      <c r="AQ718" s="36">
        <f t="shared" si="1999"/>
        <v>6.666666667</v>
      </c>
      <c r="AR718" s="32">
        <f t="shared" si="1992"/>
        <v>230.1333333</v>
      </c>
    </row>
    <row r="719" ht="15.75" customHeight="1">
      <c r="A719" s="21"/>
      <c r="B719" s="38">
        <v>12.0</v>
      </c>
      <c r="C719" s="38" t="s">
        <v>41</v>
      </c>
      <c r="D719" s="39">
        <v>24.0</v>
      </c>
      <c r="E719" s="40">
        <f>IFERROR(__xludf.DUMMYFUNCTION("COUNT(IMPORTRANGE(""https://docs.google.com/spreadsheets/d/1VAsUtLQHi7oV9NsI9EIHPnO1bcPJHeRgSbMoxSvPBME/edit"",""27!d2:d25""))"),24.0)</f>
        <v>24</v>
      </c>
      <c r="F719" s="45">
        <f>IFERROR(__xludf.DUMMYFUNCTION("SUM(IMPORTRANGE(""https://docs.google.com/spreadsheets/d/1VAsUtLQHi7oV9NsI9EIHPnO1bcPJHeRgSbMoxSvPBME/edit"",""27!Q2:Q25""))"),4717.436000000001)</f>
        <v>4717.436</v>
      </c>
      <c r="G719" s="40">
        <f>IFERROR(__xludf.DUMMYFUNCTION("IMPORTRANGE(""https://docs.google.com/spreadsheets/d/1VAsUtLQHi7oV9NsI9EIHPnO1bcPJHeRgSbMoxSvPBME/edit"",""27!e32"")"),1031.0)</f>
        <v>1031</v>
      </c>
      <c r="H719" s="40">
        <f>IFERROR(__xludf.DUMMYFUNCTION("IMPORTRANGE(""https://docs.google.com/spreadsheets/d/1VAsUtLQHi7oV9NsI9EIHPnO1bcPJHeRgSbMoxSvPBME/edit"",""27!e33"")"),0.0)</f>
        <v>0</v>
      </c>
      <c r="I719" s="40">
        <f t="shared" si="1965"/>
        <v>1031</v>
      </c>
      <c r="J719" s="40">
        <f>IFERROR(__xludf.DUMMYFUNCTION("IMPORTRANGE(""https://docs.google.com/spreadsheets/d/1VAsUtLQHi7oV9NsI9EIHPnO1bcPJHeRgSbMoxSvPBME/edit"",""27!e36"")"),1338.0)</f>
        <v>1338</v>
      </c>
      <c r="K719" s="40">
        <f>IFERROR(__xludf.DUMMYFUNCTION("IMPORTRANGE(""https://docs.google.com/spreadsheets/d/1VAsUtLQHi7oV9NsI9EIHPnO1bcPJHeRgSbMoxSvPBME/edit"",""27!e37"")"),267.0)</f>
        <v>267</v>
      </c>
      <c r="L719" s="40">
        <f t="shared" si="1995"/>
        <v>1605</v>
      </c>
      <c r="M719" s="40">
        <f t="shared" si="1967"/>
        <v>2636</v>
      </c>
      <c r="N719" s="41">
        <f t="shared" si="1968"/>
        <v>196.5598333</v>
      </c>
      <c r="O719" s="38">
        <v>3801.0</v>
      </c>
      <c r="P719" s="42">
        <f t="shared" si="1969"/>
        <v>0.6935017101</v>
      </c>
      <c r="Q719" s="43">
        <v>1.5</v>
      </c>
      <c r="R719" s="42">
        <f t="shared" si="1970"/>
        <v>0.3725187439</v>
      </c>
      <c r="S719" s="44">
        <f t="shared" si="1971"/>
        <v>0.5587781159</v>
      </c>
      <c r="T719" s="43">
        <f>F719/29.628</f>
        <v>159.2222222</v>
      </c>
      <c r="U719" s="43">
        <f t="shared" si="1972"/>
        <v>6.634259259</v>
      </c>
      <c r="V719" s="40">
        <f t="shared" si="1973"/>
        <v>109.8333333</v>
      </c>
      <c r="X719" s="22">
        <v>6.0</v>
      </c>
      <c r="Y719" s="22" t="s">
        <v>42</v>
      </c>
      <c r="Z719" s="22">
        <f t="shared" ref="Z719:AI719" si="2000">SUM(D723)</f>
        <v>33</v>
      </c>
      <c r="AA719" s="23">
        <f t="shared" si="2000"/>
        <v>32</v>
      </c>
      <c r="AB719" s="24">
        <f t="shared" si="2000"/>
        <v>6258.738</v>
      </c>
      <c r="AC719" s="23">
        <f t="shared" si="2000"/>
        <v>3195</v>
      </c>
      <c r="AD719" s="23">
        <f t="shared" si="2000"/>
        <v>0</v>
      </c>
      <c r="AE719" s="23">
        <f t="shared" si="2000"/>
        <v>3195</v>
      </c>
      <c r="AF719" s="23">
        <f t="shared" si="2000"/>
        <v>4131</v>
      </c>
      <c r="AG719" s="23">
        <f t="shared" si="2000"/>
        <v>51</v>
      </c>
      <c r="AH719" s="23">
        <f t="shared" si="2000"/>
        <v>4182</v>
      </c>
      <c r="AI719" s="23">
        <f t="shared" si="2000"/>
        <v>7377</v>
      </c>
      <c r="AJ719" s="25">
        <f t="shared" si="1985"/>
        <v>195.5855625</v>
      </c>
      <c r="AK719" s="22">
        <f t="shared" si="2001"/>
        <v>9877</v>
      </c>
      <c r="AL719" s="26">
        <f t="shared" si="1987"/>
        <v>0.7468867065</v>
      </c>
      <c r="AM719" s="27">
        <f t="shared" si="2002"/>
        <v>1.5</v>
      </c>
      <c r="AN719" s="26">
        <f t="shared" si="1989"/>
        <v>0.7857814147</v>
      </c>
      <c r="AO719" s="28">
        <f t="shared" si="1990"/>
        <v>1.178672122</v>
      </c>
      <c r="AP719" s="27">
        <f t="shared" ref="AP719:AQ719" si="2003">SUM(T723)</f>
        <v>239.2941311</v>
      </c>
      <c r="AQ719" s="27">
        <f t="shared" si="2003"/>
        <v>7.477941598</v>
      </c>
      <c r="AR719" s="23">
        <f t="shared" si="1992"/>
        <v>230.53125</v>
      </c>
    </row>
    <row r="720" ht="15.75" customHeight="1">
      <c r="A720" s="21"/>
      <c r="B720" s="38">
        <v>13.0</v>
      </c>
      <c r="C720" s="38" t="s">
        <v>43</v>
      </c>
      <c r="D720" s="39">
        <v>30.0</v>
      </c>
      <c r="E720" s="40">
        <f>IFERROR(__xludf.DUMMYFUNCTION("COUNT(IMPORTRANGE(""https://docs.google.com/spreadsheets/d/1p9Y_DGk7-TpRBFth-ljZceOIGCjQ0ylUeUq6xqnsZ-Q/edit"",""27!d2:d31""))"),30.0)</f>
        <v>30</v>
      </c>
      <c r="F720" s="45">
        <f>IFERROR(__xludf.DUMMYFUNCTION("SUM(IMPORTRANGE(""https://docs.google.com/spreadsheets/d/1p9Y_DGk7-TpRBFth-ljZceOIGCjQ0ylUeUq6xqnsZ-Q/edit"",""27!Q2:Q31""))"),6408.923999999998)</f>
        <v>6408.924</v>
      </c>
      <c r="G720" s="40">
        <f>IFERROR(__xludf.DUMMYFUNCTION("IMPORTRANGE(""https://docs.google.com/spreadsheets/d/1p9Y_DGk7-TpRBFth-ljZceOIGCjQ0ylUeUq6xqnsZ-Q/edit"",""27!e38"")"),2238.0)</f>
        <v>2238</v>
      </c>
      <c r="H720" s="40">
        <f>IFERROR(__xludf.DUMMYFUNCTION("IMPORTRANGE(""https://docs.google.com/spreadsheets/d/1p9Y_DGk7-TpRBFth-ljZceOIGCjQ0ylUeUq6xqnsZ-Q/edit"",""27!e39"")"),0.0)</f>
        <v>0</v>
      </c>
      <c r="I720" s="40">
        <f t="shared" si="1965"/>
        <v>2238</v>
      </c>
      <c r="J720" s="40">
        <f>IFERROR(__xludf.DUMMYFUNCTION("IMPORTRANGE(""https://docs.google.com/spreadsheets/d/1p9Y_DGk7-TpRBFth-ljZceOIGCjQ0ylUeUq6xqnsZ-Q/edit"",""27!e42"")"),2838.0)</f>
        <v>2838</v>
      </c>
      <c r="K720" s="40">
        <f>IFERROR(__xludf.DUMMYFUNCTION("IMPORTRANGE(""https://docs.google.com/spreadsheets/d/1p9Y_DGk7-TpRBFth-ljZceOIGCjQ0ylUeUq6xqnsZ-Q/edit"",""27!e43"")"),0.0)</f>
        <v>0</v>
      </c>
      <c r="L720" s="40">
        <f t="shared" si="1995"/>
        <v>2838</v>
      </c>
      <c r="M720" s="40">
        <f t="shared" si="1967"/>
        <v>5076</v>
      </c>
      <c r="N720" s="41">
        <f t="shared" si="1968"/>
        <v>213.6308</v>
      </c>
      <c r="O720" s="38">
        <v>8345.0</v>
      </c>
      <c r="P720" s="42">
        <f t="shared" si="1969"/>
        <v>0.6082684242</v>
      </c>
      <c r="Q720" s="43">
        <v>1.5</v>
      </c>
      <c r="R720" s="42">
        <f t="shared" si="1970"/>
        <v>0.5280137508</v>
      </c>
      <c r="S720" s="44">
        <f t="shared" si="1971"/>
        <v>0.7920206262</v>
      </c>
      <c r="T720" s="43">
        <f>F720/41.205</f>
        <v>155.5375319</v>
      </c>
      <c r="U720" s="43">
        <f t="shared" si="1972"/>
        <v>5.184584395</v>
      </c>
      <c r="V720" s="40">
        <f t="shared" si="1973"/>
        <v>169.2</v>
      </c>
      <c r="X720" s="46" t="s">
        <v>33</v>
      </c>
      <c r="Y720" s="46">
        <v>6.0</v>
      </c>
      <c r="Z720" s="46">
        <f t="shared" ref="Z720:AI720" si="2004">SUM(Z714:Z719)</f>
        <v>226</v>
      </c>
      <c r="AA720" s="47">
        <f t="shared" si="2004"/>
        <v>222</v>
      </c>
      <c r="AB720" s="49">
        <f t="shared" si="2004"/>
        <v>44153.607</v>
      </c>
      <c r="AC720" s="47">
        <f t="shared" si="2004"/>
        <v>17615</v>
      </c>
      <c r="AD720" s="47">
        <f t="shared" si="2004"/>
        <v>239</v>
      </c>
      <c r="AE720" s="47">
        <f t="shared" si="2004"/>
        <v>17854</v>
      </c>
      <c r="AF720" s="47">
        <f t="shared" si="2004"/>
        <v>22407</v>
      </c>
      <c r="AG720" s="47">
        <f t="shared" si="2004"/>
        <v>191</v>
      </c>
      <c r="AH720" s="47">
        <f t="shared" si="2004"/>
        <v>22598</v>
      </c>
      <c r="AI720" s="47">
        <f t="shared" si="2004"/>
        <v>40452</v>
      </c>
      <c r="AJ720" s="49">
        <f t="shared" si="1985"/>
        <v>198.8901216</v>
      </c>
      <c r="AK720" s="46">
        <f>SUM(AK714:AK719)</f>
        <v>53273</v>
      </c>
      <c r="AL720" s="50">
        <f t="shared" si="1987"/>
        <v>0.7593339966</v>
      </c>
      <c r="AM720" s="51">
        <v>1.5</v>
      </c>
      <c r="AN720" s="50">
        <f t="shared" si="1989"/>
        <v>0.6107768274</v>
      </c>
      <c r="AO720" s="52">
        <f t="shared" si="1990"/>
        <v>0.916165241</v>
      </c>
      <c r="AP720" s="51">
        <f>SUM(AP714:AP719)</f>
        <v>1447.769123</v>
      </c>
      <c r="AQ720" s="51">
        <f>AP720/AA720</f>
        <v>6.521482534</v>
      </c>
      <c r="AR720" s="47">
        <f t="shared" si="1992"/>
        <v>182.2162162</v>
      </c>
    </row>
    <row r="721" ht="15.75" customHeight="1">
      <c r="A721" s="21"/>
      <c r="B721" s="38">
        <v>14.0</v>
      </c>
      <c r="C721" s="38" t="s">
        <v>27</v>
      </c>
      <c r="D721" s="39">
        <v>30.0</v>
      </c>
      <c r="E721" s="40">
        <f>IFERROR(__xludf.DUMMYFUNCTION("COUNT(IMPORTRANGE(""https://docs.google.com/spreadsheets/d/1zJUDEKztv_fercXA0LYNw155qdzS7TJGhWLhquaW5IY/edit"",""27!d2:d31""))"),27.0)</f>
        <v>27</v>
      </c>
      <c r="F721" s="45">
        <f>IFERROR(__xludf.DUMMYFUNCTION("SUM(IMPORTRANGE(""https://docs.google.com/spreadsheets/d/1zJUDEKztv_fercXA0LYNw155qdzS7TJGhWLhquaW5IY/edit"",""27!Q2:Q31""))"),5092.068)</f>
        <v>5092.068</v>
      </c>
      <c r="G721" s="40">
        <f>IFERROR(__xludf.DUMMYFUNCTION("IMPORTRANGE(""https://docs.google.com/spreadsheets/d/1zJUDEKztv_fercXA0LYNw155qdzS7TJGhWLhquaW5IY/edit"",""27!e38"")"),2196.0)</f>
        <v>2196</v>
      </c>
      <c r="H721" s="40">
        <f>IFERROR(__xludf.DUMMYFUNCTION("IMPORTRANGE(""https://docs.google.com/spreadsheets/d/1zJUDEKztv_fercXA0LYNw155qdzS7TJGhWLhquaW5IY/edit"",""27!e39"")"),121.0)</f>
        <v>121</v>
      </c>
      <c r="I721" s="40">
        <f t="shared" si="1965"/>
        <v>2317</v>
      </c>
      <c r="J721" s="40">
        <f>IFERROR(__xludf.DUMMYFUNCTION("IMPORTRANGE(""https://docs.google.com/spreadsheets/d/1zJUDEKztv_fercXA0LYNw155qdzS7TJGhWLhquaW5IY/edit"",""27!e42"")"),3109.0)</f>
        <v>3109</v>
      </c>
      <c r="K721" s="40">
        <f>IFERROR(__xludf.DUMMYFUNCTION("IMPORTRANGE(""https://docs.google.com/spreadsheets/d/1zJUDEKztv_fercXA0LYNw155qdzS7TJGhWLhquaW5IY/edit"",""27!e43"")"),100.0)</f>
        <v>100</v>
      </c>
      <c r="L721" s="40">
        <f t="shared" si="1995"/>
        <v>3209</v>
      </c>
      <c r="M721" s="40">
        <f t="shared" si="1967"/>
        <v>5526</v>
      </c>
      <c r="N721" s="41">
        <f t="shared" si="1968"/>
        <v>188.5951111</v>
      </c>
      <c r="O721" s="38">
        <v>8101.0</v>
      </c>
      <c r="P721" s="42">
        <f t="shared" si="1969"/>
        <v>0.6821380077</v>
      </c>
      <c r="Q721" s="43">
        <v>1.5</v>
      </c>
      <c r="R721" s="42">
        <f t="shared" si="1970"/>
        <v>0.7234781625</v>
      </c>
      <c r="S721" s="44">
        <f t="shared" si="1971"/>
        <v>1.085217244</v>
      </c>
      <c r="T721" s="43">
        <f>F721/19.985</f>
        <v>254.7944959</v>
      </c>
      <c r="U721" s="43">
        <f t="shared" si="1972"/>
        <v>9.43683318</v>
      </c>
      <c r="V721" s="40">
        <f t="shared" si="1973"/>
        <v>204.6666667</v>
      </c>
      <c r="X721" s="59" t="s">
        <v>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6"/>
    </row>
    <row r="722" ht="15.75" customHeight="1">
      <c r="A722" s="21"/>
      <c r="B722" s="38">
        <v>15.0</v>
      </c>
      <c r="C722" s="38" t="s">
        <v>40</v>
      </c>
      <c r="D722" s="39">
        <v>30.0</v>
      </c>
      <c r="E722" s="40">
        <f>IFERROR(__xludf.DUMMYFUNCTION("COUNT(IMPORTRANGE(""https://docs.google.com/spreadsheets/d/15GJA66Ucb-8RQ5vWVpq5HYaWoZZFX82SCeHChBujbrI/edit"",""27!d2:d31""))"),30.0)</f>
        <v>30</v>
      </c>
      <c r="F722" s="45">
        <f>IFERROR(__xludf.DUMMYFUNCTION("SUM(IMPORTRANGE(""https://docs.google.com/spreadsheets/d/15GJA66Ucb-8RQ5vWVpq5HYaWoZZFX82SCeHChBujbrI/edit"",""27!Q2:Q31""))"),5688.599999999999)</f>
        <v>5688.6</v>
      </c>
      <c r="G722" s="40">
        <f>IFERROR(__xludf.DUMMYFUNCTION("IMPORTRANGE(""https://docs.google.com/spreadsheets/d/15GJA66Ucb-8RQ5vWVpq5HYaWoZZFX82SCeHChBujbrI/edit"",""27!e38"")"),3135.0)</f>
        <v>3135</v>
      </c>
      <c r="H722" s="40">
        <f>IFERROR(__xludf.DUMMYFUNCTION("IMPORTRANGE(""https://docs.google.com/spreadsheets/d/15GJA66Ucb-8RQ5vWVpq5HYaWoZZFX82SCeHChBujbrI/edit"",""27!e39"")"),49.0)</f>
        <v>49</v>
      </c>
      <c r="I722" s="40">
        <f t="shared" si="1965"/>
        <v>3184</v>
      </c>
      <c r="J722" s="40">
        <f>IFERROR(__xludf.DUMMYFUNCTION("IMPORTRANGE(""https://docs.google.com/spreadsheets/d/15GJA66Ucb-8RQ5vWVpq5HYaWoZZFX82SCeHChBujbrI/edit"",""27!e42"")"),3720.0)</f>
        <v>3720</v>
      </c>
      <c r="K722" s="40">
        <f>IFERROR(__xludf.DUMMYFUNCTION("IMPORTRANGE(""https://docs.google.com/spreadsheets/d/15GJA66Ucb-8RQ5vWVpq5HYaWoZZFX82SCeHChBujbrI/edit"",""27!e43"")"),0.0)</f>
        <v>0</v>
      </c>
      <c r="L722" s="40">
        <f t="shared" si="1995"/>
        <v>3720</v>
      </c>
      <c r="M722" s="40">
        <f t="shared" si="1967"/>
        <v>6904</v>
      </c>
      <c r="N722" s="41">
        <f t="shared" si="1968"/>
        <v>189.62</v>
      </c>
      <c r="O722" s="38">
        <v>8239.0</v>
      </c>
      <c r="P722" s="42">
        <f t="shared" si="1969"/>
        <v>0.8379657725</v>
      </c>
      <c r="Q722" s="43">
        <v>1.5</v>
      </c>
      <c r="R722" s="42">
        <f t="shared" si="1970"/>
        <v>0.8091035873</v>
      </c>
      <c r="S722" s="44">
        <f t="shared" si="1971"/>
        <v>1.213655381</v>
      </c>
      <c r="T722" s="43">
        <f>F722/28.443</f>
        <v>200</v>
      </c>
      <c r="U722" s="43">
        <f t="shared" si="1972"/>
        <v>6.666666667</v>
      </c>
      <c r="V722" s="40">
        <f t="shared" si="1973"/>
        <v>230.1333333</v>
      </c>
      <c r="X722" s="14" t="s">
        <v>2</v>
      </c>
      <c r="Y722" s="14" t="s">
        <v>3</v>
      </c>
      <c r="Z722" s="14" t="s">
        <v>4</v>
      </c>
      <c r="AA722" s="14" t="s">
        <v>5</v>
      </c>
      <c r="AB722" s="15" t="s">
        <v>6</v>
      </c>
      <c r="AC722" s="14" t="s">
        <v>7</v>
      </c>
      <c r="AD722" s="14" t="s">
        <v>8</v>
      </c>
      <c r="AE722" s="14" t="s">
        <v>9</v>
      </c>
      <c r="AF722" s="14" t="s">
        <v>10</v>
      </c>
      <c r="AG722" s="14" t="s">
        <v>11</v>
      </c>
      <c r="AH722" s="14" t="s">
        <v>12</v>
      </c>
      <c r="AI722" s="14" t="s">
        <v>13</v>
      </c>
      <c r="AJ722" s="15" t="s">
        <v>14</v>
      </c>
      <c r="AK722" s="14" t="s">
        <v>15</v>
      </c>
      <c r="AL722" s="14" t="s">
        <v>16</v>
      </c>
      <c r="AM722" s="16" t="s">
        <v>17</v>
      </c>
      <c r="AN722" s="17" t="s">
        <v>18</v>
      </c>
      <c r="AO722" s="18" t="s">
        <v>19</v>
      </c>
      <c r="AP722" s="19" t="s">
        <v>20</v>
      </c>
      <c r="AQ722" s="19" t="s">
        <v>21</v>
      </c>
      <c r="AR722" s="20" t="s">
        <v>22</v>
      </c>
    </row>
    <row r="723" ht="15.75" customHeight="1">
      <c r="A723" s="21"/>
      <c r="B723" s="38">
        <v>16.0</v>
      </c>
      <c r="C723" s="38" t="s">
        <v>42</v>
      </c>
      <c r="D723" s="39">
        <v>33.0</v>
      </c>
      <c r="E723" s="40">
        <f>IFERROR(__xludf.DUMMYFUNCTION("COUNT(IMPORTRANGE(""https://docs.google.com/spreadsheets/d/14Tu_jFPEdrIQ6DHYu6vRvJKQsbXr-48NY1tKy4-8JKI/edit"",""27!d2:d34""))"),32.0)</f>
        <v>32</v>
      </c>
      <c r="F723" s="45">
        <f>IFERROR(__xludf.DUMMYFUNCTION("SUM(IMPORTRANGE(""https://docs.google.com/spreadsheets/d/14Tu_jFPEdrIQ6DHYu6vRvJKQsbXr-48NY1tKy4-8JKI/edit"",""27!Q2:Q34""))"),6258.737999999997)</f>
        <v>6258.738</v>
      </c>
      <c r="G723" s="40">
        <f>IFERROR(__xludf.DUMMYFUNCTION("IMPORTRANGE(""https://docs.google.com/spreadsheets/d/14Tu_jFPEdrIQ6DHYu6vRvJKQsbXr-48NY1tKy4-8JKI/edit"",""27!e41"")"),3195.0)</f>
        <v>3195</v>
      </c>
      <c r="H723" s="40">
        <f>IFERROR(__xludf.DUMMYFUNCTION("IMPORTRANGE(""https://docs.google.com/spreadsheets/d/14Tu_jFPEdrIQ6DHYu6vRvJKQsbXr-48NY1tKy4-8JKI/edit"",""27!e42"")"),0.0)</f>
        <v>0</v>
      </c>
      <c r="I723" s="40">
        <f t="shared" si="1965"/>
        <v>3195</v>
      </c>
      <c r="J723" s="40">
        <f>IFERROR(__xludf.DUMMYFUNCTION("IMPORTRANGE(""https://docs.google.com/spreadsheets/d/14Tu_jFPEdrIQ6DHYu6vRvJKQsbXr-48NY1tKy4-8JKI/edit"",""27!e45"")"),4131.0)</f>
        <v>4131</v>
      </c>
      <c r="K723" s="40">
        <f>IFERROR(__xludf.DUMMYFUNCTION("IMPORTRANGE(""https://docs.google.com/spreadsheets/d/14Tu_jFPEdrIQ6DHYu6vRvJKQsbXr-48NY1tKy4-8JKI/edit"",""27!e46"")"),51.0)</f>
        <v>51</v>
      </c>
      <c r="L723" s="40">
        <f t="shared" si="1995"/>
        <v>4182</v>
      </c>
      <c r="M723" s="40">
        <f t="shared" si="1967"/>
        <v>7377</v>
      </c>
      <c r="N723" s="41">
        <f t="shared" si="1968"/>
        <v>195.5855625</v>
      </c>
      <c r="O723" s="38">
        <v>9877.0</v>
      </c>
      <c r="P723" s="42">
        <f t="shared" si="1969"/>
        <v>0.7468867065</v>
      </c>
      <c r="Q723" s="43">
        <v>1.5</v>
      </c>
      <c r="R723" s="42">
        <f t="shared" si="1970"/>
        <v>0.7857814147</v>
      </c>
      <c r="S723" s="44">
        <f t="shared" si="1971"/>
        <v>1.178672122</v>
      </c>
      <c r="T723" s="43">
        <f>F723/26.155</f>
        <v>239.2941311</v>
      </c>
      <c r="U723" s="43">
        <f t="shared" si="1972"/>
        <v>7.477941598</v>
      </c>
      <c r="V723" s="40">
        <f t="shared" si="1973"/>
        <v>230.53125</v>
      </c>
      <c r="X723" s="31">
        <v>1.0</v>
      </c>
      <c r="Y723" s="31" t="s">
        <v>26</v>
      </c>
      <c r="Z723" s="31">
        <f t="shared" ref="Z723:AI723" si="2005">SUM(D708)</f>
        <v>20</v>
      </c>
      <c r="AA723" s="32">
        <f t="shared" si="2005"/>
        <v>19</v>
      </c>
      <c r="AB723" s="34">
        <f t="shared" si="2005"/>
        <v>3654.738</v>
      </c>
      <c r="AC723" s="32">
        <f t="shared" si="2005"/>
        <v>1984</v>
      </c>
      <c r="AD723" s="32">
        <f t="shared" si="2005"/>
        <v>0</v>
      </c>
      <c r="AE723" s="32">
        <f t="shared" si="2005"/>
        <v>1984</v>
      </c>
      <c r="AF723" s="32">
        <f t="shared" si="2005"/>
        <v>2860</v>
      </c>
      <c r="AG723" s="32">
        <f t="shared" si="2005"/>
        <v>0</v>
      </c>
      <c r="AH723" s="32">
        <f t="shared" si="2005"/>
        <v>2860</v>
      </c>
      <c r="AI723" s="32">
        <f t="shared" si="2005"/>
        <v>4844</v>
      </c>
      <c r="AJ723" s="34">
        <f t="shared" ref="AJ723:AJ729" si="2008">AB723/AA723</f>
        <v>192.3546316</v>
      </c>
      <c r="AK723" s="31">
        <f>SUM(O708)</f>
        <v>5161</v>
      </c>
      <c r="AL723" s="35">
        <f t="shared" ref="AL723:AL729" si="2009">AI723/AK723</f>
        <v>0.938577795</v>
      </c>
      <c r="AM723" s="36">
        <f>SUM(Q708)</f>
        <v>1.5</v>
      </c>
      <c r="AN723" s="35">
        <f t="shared" ref="AN723:AN729" si="2010">AO723/AM723</f>
        <v>0.8836018706</v>
      </c>
      <c r="AO723" s="37">
        <f t="shared" ref="AO723:AO729" si="2011">AI723/AB723</f>
        <v>1.325402806</v>
      </c>
      <c r="AP723" s="36">
        <f t="shared" ref="AP723:AQ723" si="2006">SUM(T708)</f>
        <v>253.5371488</v>
      </c>
      <c r="AQ723" s="36">
        <f t="shared" si="2006"/>
        <v>13.34406046</v>
      </c>
      <c r="AR723" s="32">
        <f t="shared" ref="AR723:AR729" si="2013">AI723/AA723</f>
        <v>254.9473684</v>
      </c>
    </row>
    <row r="724" ht="15.75" customHeight="1">
      <c r="A724" s="21"/>
      <c r="B724" s="38">
        <v>17.0</v>
      </c>
      <c r="C724" s="38" t="s">
        <v>29</v>
      </c>
      <c r="D724" s="39">
        <v>30.0</v>
      </c>
      <c r="E724" s="40">
        <f>IFERROR(__xludf.DUMMYFUNCTION("COUNT(IMPORTRANGE(""https://docs.google.com/spreadsheets/d/1ja_RQYsP0p5wRrACHojay4CW1wLx0QdS5tSwp-vYQ-s/edit"",""27!d2:d31""))"),30.0)</f>
        <v>30</v>
      </c>
      <c r="F724" s="45">
        <f>IFERROR(__xludf.DUMMYFUNCTION("SUM(IMPORTRANGE(""https://docs.google.com/spreadsheets/d/1ja_RQYsP0p5wRrACHojay4CW1wLx0QdS5tSwp-vYQ-s/edit"",""27!Q2:Q31""))"),6066.438999999998)</f>
        <v>6066.439</v>
      </c>
      <c r="G724" s="40">
        <f>IFERROR(__xludf.DUMMYFUNCTION("IMPORTRANGE(""https://docs.google.com/spreadsheets/d/1ja_RQYsP0p5wRrACHojay4CW1wLx0QdS5tSwp-vYQ-s/edit"",""27!e38"")"),2738.0)</f>
        <v>2738</v>
      </c>
      <c r="H724" s="40">
        <f>IFERROR(__xludf.DUMMYFUNCTION("IMPORTRANGE(""https://docs.google.com/spreadsheets/d/1ja_RQYsP0p5wRrACHojay4CW1wLx0QdS5tSwp-vYQ-s/edit"",""27!e39"")"),0.0)</f>
        <v>0</v>
      </c>
      <c r="I724" s="40">
        <f t="shared" si="1965"/>
        <v>2738</v>
      </c>
      <c r="J724" s="40">
        <f>IFERROR(__xludf.DUMMYFUNCTION("IMPORTRANGE(""https://docs.google.com/spreadsheets/d/1ja_RQYsP0p5wRrACHojay4CW1wLx0QdS5tSwp-vYQ-s/edit"",""27!e42"")"),4029.0)</f>
        <v>4029</v>
      </c>
      <c r="K724" s="40">
        <f>IFERROR(__xludf.DUMMYFUNCTION("IMPORTRANGE(""https://docs.google.com/spreadsheets/d/1ja_RQYsP0p5wRrACHojay4CW1wLx0QdS5tSwp-vYQ-s/edit"",""27!e43"")"),0.0)</f>
        <v>0</v>
      </c>
      <c r="L724" s="40">
        <f t="shared" si="1995"/>
        <v>4029</v>
      </c>
      <c r="M724" s="40">
        <f t="shared" si="1967"/>
        <v>6767</v>
      </c>
      <c r="N724" s="41">
        <f t="shared" si="1968"/>
        <v>202.2146333</v>
      </c>
      <c r="O724" s="38">
        <v>9201.0</v>
      </c>
      <c r="P724" s="42">
        <f t="shared" si="1969"/>
        <v>0.7354635366</v>
      </c>
      <c r="Q724" s="43">
        <v>1.5</v>
      </c>
      <c r="R724" s="42">
        <f t="shared" si="1970"/>
        <v>0.7436542811</v>
      </c>
      <c r="S724" s="44">
        <f t="shared" si="1971"/>
        <v>1.115481422</v>
      </c>
      <c r="T724" s="43">
        <f>F724/26.491</f>
        <v>229</v>
      </c>
      <c r="U724" s="43">
        <f t="shared" si="1972"/>
        <v>7.633333333</v>
      </c>
      <c r="V724" s="40">
        <f t="shared" si="1973"/>
        <v>225.5666667</v>
      </c>
      <c r="X724" s="31">
        <v>2.0</v>
      </c>
      <c r="Y724" s="31" t="s">
        <v>32</v>
      </c>
      <c r="Z724" s="31">
        <f t="shared" ref="Z724:AI724" si="2007">SUM(D711)</f>
        <v>42</v>
      </c>
      <c r="AA724" s="32">
        <f t="shared" si="2007"/>
        <v>42</v>
      </c>
      <c r="AB724" s="33">
        <f t="shared" si="2007"/>
        <v>8078.658</v>
      </c>
      <c r="AC724" s="31">
        <f t="shared" si="2007"/>
        <v>4602</v>
      </c>
      <c r="AD724" s="31">
        <f t="shared" si="2007"/>
        <v>0</v>
      </c>
      <c r="AE724" s="32">
        <f t="shared" si="2007"/>
        <v>4602</v>
      </c>
      <c r="AF724" s="31">
        <f t="shared" si="2007"/>
        <v>5903</v>
      </c>
      <c r="AG724" s="31">
        <f t="shared" si="2007"/>
        <v>0</v>
      </c>
      <c r="AH724" s="32">
        <f t="shared" si="2007"/>
        <v>5903</v>
      </c>
      <c r="AI724" s="32">
        <f t="shared" si="2007"/>
        <v>10505</v>
      </c>
      <c r="AJ724" s="34">
        <f t="shared" si="2008"/>
        <v>192.349</v>
      </c>
      <c r="AK724" s="31">
        <f>SUM(O711)</f>
        <v>13817</v>
      </c>
      <c r="AL724" s="35">
        <f t="shared" si="2009"/>
        <v>0.7602952884</v>
      </c>
      <c r="AM724" s="36">
        <f>SUM(Q711)</f>
        <v>1.5</v>
      </c>
      <c r="AN724" s="35">
        <f t="shared" si="2010"/>
        <v>0.8668931564</v>
      </c>
      <c r="AO724" s="37">
        <f t="shared" si="2011"/>
        <v>1.300339735</v>
      </c>
      <c r="AP724" s="36">
        <f t="shared" ref="AP724:AQ724" si="2012">SUM(T711)</f>
        <v>322</v>
      </c>
      <c r="AQ724" s="36">
        <f t="shared" si="2012"/>
        <v>7.666666667</v>
      </c>
      <c r="AR724" s="32">
        <f t="shared" si="2013"/>
        <v>250.1190476</v>
      </c>
    </row>
    <row r="725" ht="15.75" customHeight="1">
      <c r="A725" s="21"/>
      <c r="B725" s="38">
        <v>18.0</v>
      </c>
      <c r="C725" s="38" t="s">
        <v>31</v>
      </c>
      <c r="D725" s="39">
        <v>15.0</v>
      </c>
      <c r="E725" s="40">
        <f>IFERROR(__xludf.DUMMYFUNCTION("COUNT(IMPORTRANGE(""https://docs.google.com/spreadsheets/d/1ObnK1oSznTOmyW9Zcd2kxExl7TOnO2MNq_0giEKc_mE/edit"",""27!d2:d16""))"),14.0)</f>
        <v>14</v>
      </c>
      <c r="F725" s="41">
        <f>IFERROR(__xludf.DUMMYFUNCTION("SUM(IMPORTRANGE(""https://docs.google.com/spreadsheets/d/1ObnK1oSznTOmyW9Zcd2kxExl7TOnO2MNq_0giEKc_mE/edit"",""27!Q2:Q16""))"),2694.8299999999995)</f>
        <v>2694.83</v>
      </c>
      <c r="G725" s="40">
        <f>IFERROR(__xludf.DUMMYFUNCTION("IMPORTRANGE(""https://docs.google.com/spreadsheets/d/1ObnK1oSznTOmyW9Zcd2kxExl7TOnO2MNq_0giEKc_mE/edit"",""27!e23"")"),875.0)</f>
        <v>875</v>
      </c>
      <c r="H725" s="40">
        <f>IFERROR(__xludf.DUMMYFUNCTION("IMPORTRANGE(""https://docs.google.com/spreadsheets/d/1ObnK1oSznTOmyW9Zcd2kxExl7TOnO2MNq_0giEKc_mE/edit"",""27!e24"")"),0.0)</f>
        <v>0</v>
      </c>
      <c r="I725" s="40">
        <f t="shared" si="1965"/>
        <v>875</v>
      </c>
      <c r="J725" s="40">
        <f>IFERROR(__xludf.DUMMYFUNCTION("IMPORTRANGE(""https://docs.google.com/spreadsheets/d/1ObnK1oSznTOmyW9Zcd2kxExl7TOnO2MNq_0giEKc_mE/edit"",""27!e27"")"),975.0)</f>
        <v>975</v>
      </c>
      <c r="K725" s="40">
        <f>IFERROR(__xludf.DUMMYFUNCTION("IMPORTRANGE(""https://docs.google.com/spreadsheets/d/1ObnK1oSznTOmyW9Zcd2kxExl7TOnO2MNq_0giEKc_mE/edit"",""27!e28"")"),23.0)</f>
        <v>23</v>
      </c>
      <c r="L725" s="40">
        <f t="shared" si="1995"/>
        <v>998</v>
      </c>
      <c r="M725" s="40">
        <f t="shared" si="1967"/>
        <v>1873</v>
      </c>
      <c r="N725" s="41">
        <f t="shared" si="1968"/>
        <v>192.4878571</v>
      </c>
      <c r="O725" s="38">
        <v>2717.0</v>
      </c>
      <c r="P725" s="42">
        <f t="shared" si="1969"/>
        <v>0.6893632683</v>
      </c>
      <c r="Q725" s="43">
        <v>1.5</v>
      </c>
      <c r="R725" s="42">
        <f t="shared" si="1970"/>
        <v>0.4633563775</v>
      </c>
      <c r="S725" s="44">
        <f t="shared" si="1971"/>
        <v>0.6950345662</v>
      </c>
      <c r="T725" s="43">
        <f>F725/43.465</f>
        <v>62</v>
      </c>
      <c r="U725" s="43">
        <f t="shared" si="1972"/>
        <v>4.428571429</v>
      </c>
      <c r="V725" s="40">
        <f t="shared" si="1973"/>
        <v>133.7857143</v>
      </c>
      <c r="X725" s="31">
        <v>3.0</v>
      </c>
      <c r="Y725" s="31" t="s">
        <v>36</v>
      </c>
      <c r="Z725" s="31">
        <f t="shared" ref="Z725:AI725" si="2014">SUM(D716)</f>
        <v>30</v>
      </c>
      <c r="AA725" s="32">
        <f t="shared" si="2014"/>
        <v>29</v>
      </c>
      <c r="AB725" s="33">
        <f t="shared" si="2014"/>
        <v>5792.786</v>
      </c>
      <c r="AC725" s="32">
        <f t="shared" si="2014"/>
        <v>1608</v>
      </c>
      <c r="AD725" s="32">
        <f t="shared" si="2014"/>
        <v>0</v>
      </c>
      <c r="AE725" s="32">
        <f t="shared" si="2014"/>
        <v>1608</v>
      </c>
      <c r="AF725" s="32">
        <f t="shared" si="2014"/>
        <v>2167</v>
      </c>
      <c r="AG725" s="32">
        <f t="shared" si="2014"/>
        <v>0</v>
      </c>
      <c r="AH725" s="32">
        <f t="shared" si="2014"/>
        <v>2167</v>
      </c>
      <c r="AI725" s="32">
        <f t="shared" si="2014"/>
        <v>3775</v>
      </c>
      <c r="AJ725" s="34">
        <f t="shared" si="2008"/>
        <v>199.7512414</v>
      </c>
      <c r="AK725" s="31">
        <f t="shared" ref="AK725:AK728" si="2018">SUM(O716)</f>
        <v>4796</v>
      </c>
      <c r="AL725" s="35">
        <f t="shared" si="2009"/>
        <v>0.7871142619</v>
      </c>
      <c r="AM725" s="36">
        <f t="shared" ref="AM725:AM728" si="2019">SUM(Q716)</f>
        <v>1.5</v>
      </c>
      <c r="AN725" s="35">
        <f t="shared" si="2010"/>
        <v>0.4344484099</v>
      </c>
      <c r="AO725" s="37">
        <f t="shared" si="2011"/>
        <v>0.6516726149</v>
      </c>
      <c r="AP725" s="36">
        <f t="shared" ref="AP725:AQ725" si="2015">SUM(T716)</f>
        <v>154.8293687</v>
      </c>
      <c r="AQ725" s="36">
        <f t="shared" si="2015"/>
        <v>5.338943748</v>
      </c>
      <c r="AR725" s="32">
        <f t="shared" si="2013"/>
        <v>130.1724138</v>
      </c>
    </row>
    <row r="726" ht="15.75" customHeight="1">
      <c r="A726" s="21"/>
      <c r="B726" s="60" t="s">
        <v>33</v>
      </c>
      <c r="C726" s="60">
        <v>18.0</v>
      </c>
      <c r="D726" s="60">
        <f t="shared" ref="D726:M726" si="2016">SUM(D708:D725)</f>
        <v>586</v>
      </c>
      <c r="E726" s="61">
        <f t="shared" si="2016"/>
        <v>572</v>
      </c>
      <c r="F726" s="62">
        <f t="shared" si="2016"/>
        <v>111741.684</v>
      </c>
      <c r="G726" s="61">
        <f t="shared" si="2016"/>
        <v>40801</v>
      </c>
      <c r="H726" s="61">
        <f t="shared" si="2016"/>
        <v>850</v>
      </c>
      <c r="I726" s="61">
        <f t="shared" si="2016"/>
        <v>41651</v>
      </c>
      <c r="J726" s="61">
        <f t="shared" si="2016"/>
        <v>54687</v>
      </c>
      <c r="K726" s="61">
        <f t="shared" si="2016"/>
        <v>1425</v>
      </c>
      <c r="L726" s="61">
        <f t="shared" si="2016"/>
        <v>56112</v>
      </c>
      <c r="M726" s="61">
        <f t="shared" si="2016"/>
        <v>97763</v>
      </c>
      <c r="N726" s="62">
        <f t="shared" si="1968"/>
        <v>195.3525944</v>
      </c>
      <c r="O726" s="60">
        <f>SUM(O708:O725)</f>
        <v>126399</v>
      </c>
      <c r="P726" s="63">
        <f t="shared" si="1969"/>
        <v>0.7734475747</v>
      </c>
      <c r="Q726" s="64">
        <v>1.5</v>
      </c>
      <c r="R726" s="63">
        <f t="shared" si="1970"/>
        <v>0.5832678639</v>
      </c>
      <c r="S726" s="65">
        <f t="shared" si="1971"/>
        <v>0.8749017958</v>
      </c>
      <c r="T726" s="64">
        <f>SUM(T708:T725)</f>
        <v>4097.953321</v>
      </c>
      <c r="U726" s="64">
        <f t="shared" si="1972"/>
        <v>7.164254058</v>
      </c>
      <c r="V726" s="61">
        <f t="shared" si="1973"/>
        <v>170.9143357</v>
      </c>
      <c r="X726" s="31">
        <v>4.0</v>
      </c>
      <c r="Y726" s="31" t="s">
        <v>37</v>
      </c>
      <c r="Z726" s="31">
        <f t="shared" ref="Z726:AI726" si="2017">SUM(D717)</f>
        <v>30</v>
      </c>
      <c r="AA726" s="32">
        <f t="shared" si="2017"/>
        <v>29</v>
      </c>
      <c r="AB726" s="33">
        <f t="shared" si="2017"/>
        <v>5625.162</v>
      </c>
      <c r="AC726" s="32">
        <f t="shared" si="2017"/>
        <v>2027</v>
      </c>
      <c r="AD726" s="32">
        <f t="shared" si="2017"/>
        <v>0</v>
      </c>
      <c r="AE726" s="32">
        <f t="shared" si="2017"/>
        <v>2027</v>
      </c>
      <c r="AF726" s="32">
        <f t="shared" si="2017"/>
        <v>2972</v>
      </c>
      <c r="AG726" s="32">
        <f t="shared" si="2017"/>
        <v>0</v>
      </c>
      <c r="AH726" s="32">
        <f t="shared" si="2017"/>
        <v>2972</v>
      </c>
      <c r="AI726" s="32">
        <f t="shared" si="2017"/>
        <v>4999</v>
      </c>
      <c r="AJ726" s="34">
        <f t="shared" si="2008"/>
        <v>193.9711034</v>
      </c>
      <c r="AK726" s="31">
        <f t="shared" si="2018"/>
        <v>5887</v>
      </c>
      <c r="AL726" s="35">
        <f t="shared" si="2009"/>
        <v>0.8491591643</v>
      </c>
      <c r="AM726" s="36">
        <f t="shared" si="2019"/>
        <v>1.5</v>
      </c>
      <c r="AN726" s="35">
        <f t="shared" si="2010"/>
        <v>0.5924570113</v>
      </c>
      <c r="AO726" s="37">
        <f t="shared" si="2011"/>
        <v>0.888685517</v>
      </c>
      <c r="AP726" s="36">
        <f t="shared" ref="AP726:AQ726" si="2020">SUM(T717)</f>
        <v>226.8942401</v>
      </c>
      <c r="AQ726" s="36">
        <f t="shared" si="2020"/>
        <v>7.823939313</v>
      </c>
      <c r="AR726" s="32">
        <f t="shared" si="2013"/>
        <v>172.3793103</v>
      </c>
    </row>
    <row r="727" ht="15.7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X727" s="31">
        <v>5.0</v>
      </c>
      <c r="Y727" s="31" t="s">
        <v>39</v>
      </c>
      <c r="Z727" s="31">
        <f t="shared" ref="Z727:AI727" si="2021">SUM(D718)</f>
        <v>28</v>
      </c>
      <c r="AA727" s="32">
        <f t="shared" si="2021"/>
        <v>27</v>
      </c>
      <c r="AB727" s="33">
        <f t="shared" si="2021"/>
        <v>5158.396</v>
      </c>
      <c r="AC727" s="32">
        <f t="shared" si="2021"/>
        <v>1232</v>
      </c>
      <c r="AD727" s="32">
        <f t="shared" si="2021"/>
        <v>0</v>
      </c>
      <c r="AE727" s="32">
        <f t="shared" si="2021"/>
        <v>1232</v>
      </c>
      <c r="AF727" s="32">
        <f t="shared" si="2021"/>
        <v>1310</v>
      </c>
      <c r="AG727" s="32">
        <f t="shared" si="2021"/>
        <v>477</v>
      </c>
      <c r="AH727" s="32">
        <f t="shared" si="2021"/>
        <v>1787</v>
      </c>
      <c r="AI727" s="32">
        <f t="shared" si="2021"/>
        <v>3019</v>
      </c>
      <c r="AJ727" s="34">
        <f t="shared" si="2008"/>
        <v>191.0517037</v>
      </c>
      <c r="AK727" s="31">
        <f t="shared" si="2018"/>
        <v>3569</v>
      </c>
      <c r="AL727" s="35">
        <f t="shared" si="2009"/>
        <v>0.8458952087</v>
      </c>
      <c r="AM727" s="36">
        <f t="shared" si="2019"/>
        <v>1.5</v>
      </c>
      <c r="AN727" s="35">
        <f t="shared" si="2010"/>
        <v>0.3901729659</v>
      </c>
      <c r="AO727" s="37">
        <f t="shared" si="2011"/>
        <v>0.5852594489</v>
      </c>
      <c r="AP727" s="36">
        <f t="shared" ref="AP727:AQ727" si="2022">SUM(T718)</f>
        <v>240.339002</v>
      </c>
      <c r="AQ727" s="36">
        <f t="shared" si="2022"/>
        <v>8.901444519</v>
      </c>
      <c r="AR727" s="32">
        <f t="shared" si="2013"/>
        <v>111.8148148</v>
      </c>
    </row>
    <row r="728" ht="15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X728" s="31">
        <v>6.0</v>
      </c>
      <c r="Y728" s="31" t="s">
        <v>41</v>
      </c>
      <c r="Z728" s="31">
        <f t="shared" ref="Z728:AI728" si="2023">SUM(D719)</f>
        <v>24</v>
      </c>
      <c r="AA728" s="32">
        <f t="shared" si="2023"/>
        <v>24</v>
      </c>
      <c r="AB728" s="33">
        <f t="shared" si="2023"/>
        <v>4717.436</v>
      </c>
      <c r="AC728" s="32">
        <f t="shared" si="2023"/>
        <v>1031</v>
      </c>
      <c r="AD728" s="32">
        <f t="shared" si="2023"/>
        <v>0</v>
      </c>
      <c r="AE728" s="32">
        <f t="shared" si="2023"/>
        <v>1031</v>
      </c>
      <c r="AF728" s="32">
        <f t="shared" si="2023"/>
        <v>1338</v>
      </c>
      <c r="AG728" s="32">
        <f t="shared" si="2023"/>
        <v>267</v>
      </c>
      <c r="AH728" s="32">
        <f t="shared" si="2023"/>
        <v>1605</v>
      </c>
      <c r="AI728" s="32">
        <f t="shared" si="2023"/>
        <v>2636</v>
      </c>
      <c r="AJ728" s="34">
        <f t="shared" si="2008"/>
        <v>196.5598333</v>
      </c>
      <c r="AK728" s="31">
        <f t="shared" si="2018"/>
        <v>3801</v>
      </c>
      <c r="AL728" s="35">
        <f t="shared" si="2009"/>
        <v>0.6935017101</v>
      </c>
      <c r="AM728" s="36">
        <f t="shared" si="2019"/>
        <v>1.5</v>
      </c>
      <c r="AN728" s="35">
        <f t="shared" si="2010"/>
        <v>0.3725187439</v>
      </c>
      <c r="AO728" s="37">
        <f t="shared" si="2011"/>
        <v>0.5587781159</v>
      </c>
      <c r="AP728" s="36">
        <f t="shared" ref="AP728:AQ728" si="2024">SUM(T719)</f>
        <v>159.2222222</v>
      </c>
      <c r="AQ728" s="36">
        <f t="shared" si="2024"/>
        <v>6.634259259</v>
      </c>
      <c r="AR728" s="32">
        <f t="shared" si="2013"/>
        <v>109.8333333</v>
      </c>
    </row>
    <row r="729" ht="15.75" customHeight="1">
      <c r="A729" s="1" t="s">
        <v>45</v>
      </c>
      <c r="D729" s="2"/>
      <c r="X729" s="46" t="s">
        <v>33</v>
      </c>
      <c r="Y729" s="46">
        <v>6.0</v>
      </c>
      <c r="Z729" s="46">
        <f t="shared" ref="Z729:AI729" si="2025">SUM(Z723:Z728)</f>
        <v>174</v>
      </c>
      <c r="AA729" s="47">
        <f t="shared" si="2025"/>
        <v>170</v>
      </c>
      <c r="AB729" s="49">
        <f t="shared" si="2025"/>
        <v>33027.176</v>
      </c>
      <c r="AC729" s="47">
        <f t="shared" si="2025"/>
        <v>12484</v>
      </c>
      <c r="AD729" s="47">
        <f t="shared" si="2025"/>
        <v>0</v>
      </c>
      <c r="AE729" s="47">
        <f t="shared" si="2025"/>
        <v>12484</v>
      </c>
      <c r="AF729" s="47">
        <f t="shared" si="2025"/>
        <v>16550</v>
      </c>
      <c r="AG729" s="47">
        <f t="shared" si="2025"/>
        <v>744</v>
      </c>
      <c r="AH729" s="47">
        <f t="shared" si="2025"/>
        <v>17294</v>
      </c>
      <c r="AI729" s="47">
        <f t="shared" si="2025"/>
        <v>29778</v>
      </c>
      <c r="AJ729" s="49">
        <f t="shared" si="2008"/>
        <v>194.2775059</v>
      </c>
      <c r="AK729" s="46">
        <f>SUM(AK723:AK728)</f>
        <v>37031</v>
      </c>
      <c r="AL729" s="50">
        <f t="shared" si="2009"/>
        <v>0.8041370743</v>
      </c>
      <c r="AM729" s="51">
        <v>1.5</v>
      </c>
      <c r="AN729" s="50">
        <f t="shared" si="2010"/>
        <v>0.6010807585</v>
      </c>
      <c r="AO729" s="52">
        <f t="shared" si="2011"/>
        <v>0.9016211377</v>
      </c>
      <c r="AP729" s="51">
        <f>SUM(AP723:AP728)</f>
        <v>1356.821982</v>
      </c>
      <c r="AQ729" s="51">
        <f>AP729/AA729</f>
        <v>7.981305775</v>
      </c>
      <c r="AR729" s="47">
        <f t="shared" si="2013"/>
        <v>175.1647059</v>
      </c>
    </row>
    <row r="730" ht="15.75" customHeight="1">
      <c r="A730" s="1" t="s">
        <v>45</v>
      </c>
      <c r="D730" s="2"/>
      <c r="X730" s="66" t="s">
        <v>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6"/>
    </row>
    <row r="731" ht="15.75" customHeight="1">
      <c r="A731" s="7">
        <v>46262.0</v>
      </c>
      <c r="B731" s="8" t="s">
        <v>2</v>
      </c>
      <c r="C731" s="8" t="s">
        <v>3</v>
      </c>
      <c r="D731" s="8" t="s">
        <v>4</v>
      </c>
      <c r="E731" s="8" t="s">
        <v>5</v>
      </c>
      <c r="F731" s="9" t="s">
        <v>6</v>
      </c>
      <c r="G731" s="8" t="s">
        <v>7</v>
      </c>
      <c r="H731" s="8" t="s">
        <v>8</v>
      </c>
      <c r="I731" s="8" t="s">
        <v>9</v>
      </c>
      <c r="J731" s="8" t="s">
        <v>10</v>
      </c>
      <c r="K731" s="8" t="s">
        <v>11</v>
      </c>
      <c r="L731" s="8" t="s">
        <v>12</v>
      </c>
      <c r="M731" s="8" t="s">
        <v>13</v>
      </c>
      <c r="N731" s="9" t="s">
        <v>14</v>
      </c>
      <c r="O731" s="8" t="s">
        <v>15</v>
      </c>
      <c r="P731" s="8" t="s">
        <v>16</v>
      </c>
      <c r="Q731" s="8" t="s">
        <v>17</v>
      </c>
      <c r="R731" s="8" t="s">
        <v>18</v>
      </c>
      <c r="S731" s="11" t="s">
        <v>19</v>
      </c>
      <c r="T731" s="12" t="s">
        <v>20</v>
      </c>
      <c r="U731" s="12" t="s">
        <v>21</v>
      </c>
      <c r="V731" s="13" t="s">
        <v>22</v>
      </c>
      <c r="X731" s="14" t="s">
        <v>2</v>
      </c>
      <c r="Y731" s="14" t="s">
        <v>3</v>
      </c>
      <c r="Z731" s="14" t="s">
        <v>4</v>
      </c>
      <c r="AA731" s="14" t="s">
        <v>5</v>
      </c>
      <c r="AB731" s="15" t="s">
        <v>6</v>
      </c>
      <c r="AC731" s="14" t="s">
        <v>7</v>
      </c>
      <c r="AD731" s="14" t="s">
        <v>8</v>
      </c>
      <c r="AE731" s="14" t="s">
        <v>9</v>
      </c>
      <c r="AF731" s="14" t="s">
        <v>10</v>
      </c>
      <c r="AG731" s="14" t="s">
        <v>11</v>
      </c>
      <c r="AH731" s="14" t="s">
        <v>12</v>
      </c>
      <c r="AI731" s="14" t="s">
        <v>13</v>
      </c>
      <c r="AJ731" s="15" t="s">
        <v>14</v>
      </c>
      <c r="AK731" s="14" t="s">
        <v>15</v>
      </c>
      <c r="AL731" s="14" t="s">
        <v>16</v>
      </c>
      <c r="AM731" s="16" t="s">
        <v>17</v>
      </c>
      <c r="AN731" s="17" t="s">
        <v>18</v>
      </c>
      <c r="AO731" s="18" t="s">
        <v>19</v>
      </c>
      <c r="AP731" s="19" t="s">
        <v>20</v>
      </c>
      <c r="AQ731" s="19" t="s">
        <v>21</v>
      </c>
      <c r="AR731" s="20" t="s">
        <v>22</v>
      </c>
    </row>
    <row r="732" ht="15.7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X732" s="22">
        <v>1.0</v>
      </c>
      <c r="Y732" s="22" t="s">
        <v>23</v>
      </c>
      <c r="Z732" s="22">
        <f t="shared" ref="Z732:AI732" si="2026">SUM(D740)</f>
        <v>35</v>
      </c>
      <c r="AA732" s="23">
        <f t="shared" si="2026"/>
        <v>34</v>
      </c>
      <c r="AB732" s="24">
        <f t="shared" si="2026"/>
        <v>6748</v>
      </c>
      <c r="AC732" s="23">
        <f t="shared" si="2026"/>
        <v>1739</v>
      </c>
      <c r="AD732" s="23">
        <f t="shared" si="2026"/>
        <v>0</v>
      </c>
      <c r="AE732" s="23">
        <f t="shared" si="2026"/>
        <v>1739</v>
      </c>
      <c r="AF732" s="23">
        <f t="shared" si="2026"/>
        <v>3251</v>
      </c>
      <c r="AG732" s="23">
        <f t="shared" si="2026"/>
        <v>0</v>
      </c>
      <c r="AH732" s="23">
        <f t="shared" si="2026"/>
        <v>3251</v>
      </c>
      <c r="AI732" s="23">
        <f t="shared" si="2026"/>
        <v>4990</v>
      </c>
      <c r="AJ732" s="25">
        <f t="shared" ref="AJ732:AJ734" si="2029">AB732/AA732</f>
        <v>198.4705882</v>
      </c>
      <c r="AK732" s="22">
        <f>SUM(O740)</f>
        <v>6853</v>
      </c>
      <c r="AL732" s="26">
        <f t="shared" ref="AL732:AL738" si="2030">AI732/AK732</f>
        <v>0.7281482562</v>
      </c>
      <c r="AM732" s="27">
        <f t="shared" ref="AM732:AM734" si="2031">SUM(Q740)</f>
        <v>1.5</v>
      </c>
      <c r="AN732" s="26">
        <f t="shared" ref="AN732:AN738" si="2032">AO732/AM732</f>
        <v>0.492985576</v>
      </c>
      <c r="AO732" s="28">
        <f t="shared" ref="AO732:AO738" si="2033">AI732/AB732</f>
        <v>0.739478364</v>
      </c>
      <c r="AP732" s="27">
        <f t="shared" ref="AP732:AQ732" si="2027">SUM(T740)</f>
        <v>200</v>
      </c>
      <c r="AQ732" s="27">
        <f t="shared" si="2027"/>
        <v>5.882352941</v>
      </c>
      <c r="AR732" s="23">
        <f t="shared" ref="AR732:AR738" si="2035">AI732/AA732</f>
        <v>146.7647059</v>
      </c>
    </row>
    <row r="733" ht="15.7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X733" s="22">
        <v>2.0</v>
      </c>
      <c r="Y733" s="22" t="s">
        <v>24</v>
      </c>
      <c r="Z733" s="22">
        <f t="shared" ref="Z733:AI733" si="2028">SUM(D741)</f>
        <v>44</v>
      </c>
      <c r="AA733" s="23">
        <f t="shared" si="2028"/>
        <v>43</v>
      </c>
      <c r="AB733" s="24">
        <f t="shared" si="2028"/>
        <v>7875.174</v>
      </c>
      <c r="AC733" s="23">
        <f t="shared" si="2028"/>
        <v>1152</v>
      </c>
      <c r="AD733" s="23">
        <f t="shared" si="2028"/>
        <v>0</v>
      </c>
      <c r="AE733" s="23">
        <f t="shared" si="2028"/>
        <v>1152</v>
      </c>
      <c r="AF733" s="23">
        <f t="shared" si="2028"/>
        <v>1345</v>
      </c>
      <c r="AG733" s="23">
        <f t="shared" si="2028"/>
        <v>0</v>
      </c>
      <c r="AH733" s="23">
        <f t="shared" si="2028"/>
        <v>1345</v>
      </c>
      <c r="AI733" s="23">
        <f t="shared" si="2028"/>
        <v>2497</v>
      </c>
      <c r="AJ733" s="25">
        <f t="shared" si="2029"/>
        <v>183.1435814</v>
      </c>
      <c r="AK733" s="22">
        <v>1580.0</v>
      </c>
      <c r="AL733" s="29">
        <f t="shared" si="2030"/>
        <v>1.580379747</v>
      </c>
      <c r="AM733" s="27">
        <f t="shared" si="2031"/>
        <v>1.5</v>
      </c>
      <c r="AN733" s="26">
        <f t="shared" si="2032"/>
        <v>0.2113815729</v>
      </c>
      <c r="AO733" s="28">
        <f t="shared" si="2033"/>
        <v>0.3170723593</v>
      </c>
      <c r="AP733" s="27">
        <f t="shared" ref="AP733:AQ733" si="2034">SUM(T741)</f>
        <v>293.7949636</v>
      </c>
      <c r="AQ733" s="27">
        <f t="shared" si="2034"/>
        <v>6.832441015</v>
      </c>
      <c r="AR733" s="23">
        <f t="shared" si="2035"/>
        <v>58.06976744</v>
      </c>
    </row>
    <row r="734" ht="15.75" customHeight="1">
      <c r="A734" s="21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X734" s="31">
        <v>3.0</v>
      </c>
      <c r="Y734" s="31" t="s">
        <v>25</v>
      </c>
      <c r="Z734" s="31">
        <f t="shared" ref="Z734:AI734" si="2036">SUM(D742)</f>
        <v>32</v>
      </c>
      <c r="AA734" s="32">
        <f t="shared" si="2036"/>
        <v>31</v>
      </c>
      <c r="AB734" s="33">
        <f t="shared" si="2036"/>
        <v>5672.152</v>
      </c>
      <c r="AC734" s="32">
        <f t="shared" si="2036"/>
        <v>2296</v>
      </c>
      <c r="AD734" s="32">
        <f t="shared" si="2036"/>
        <v>301</v>
      </c>
      <c r="AE734" s="32">
        <f t="shared" si="2036"/>
        <v>2597</v>
      </c>
      <c r="AF734" s="32">
        <f t="shared" si="2036"/>
        <v>3593</v>
      </c>
      <c r="AG734" s="32">
        <f t="shared" si="2036"/>
        <v>382</v>
      </c>
      <c r="AH734" s="32">
        <f t="shared" si="2036"/>
        <v>3975</v>
      </c>
      <c r="AI734" s="32">
        <f t="shared" si="2036"/>
        <v>6572</v>
      </c>
      <c r="AJ734" s="34">
        <f t="shared" si="2029"/>
        <v>182.9726452</v>
      </c>
      <c r="AK734" s="31">
        <f>SUM(O742)</f>
        <v>6622</v>
      </c>
      <c r="AL734" s="35">
        <f t="shared" si="2030"/>
        <v>0.9924494111</v>
      </c>
      <c r="AM734" s="36">
        <f t="shared" si="2031"/>
        <v>1.5</v>
      </c>
      <c r="AN734" s="35">
        <f t="shared" si="2032"/>
        <v>0.7724287595</v>
      </c>
      <c r="AO734" s="37">
        <f t="shared" si="2033"/>
        <v>1.158643139</v>
      </c>
      <c r="AP734" s="36">
        <f t="shared" ref="AP734:AQ734" si="2037">SUM(T742)</f>
        <v>237.9258389</v>
      </c>
      <c r="AQ734" s="36">
        <f t="shared" si="2037"/>
        <v>7.675027062</v>
      </c>
      <c r="AR734" s="32">
        <f t="shared" si="2035"/>
        <v>212</v>
      </c>
    </row>
    <row r="735" ht="15.75" customHeight="1">
      <c r="A735" s="21"/>
      <c r="B735" s="38">
        <v>1.0</v>
      </c>
      <c r="C735" s="38" t="s">
        <v>26</v>
      </c>
      <c r="D735" s="39">
        <v>20.0</v>
      </c>
      <c r="E735" s="40">
        <f>IFERROR(__xludf.DUMMYFUNCTION("COUNT(IMPORTRANGE(""https://docs.google.com/spreadsheets/d/1iVFEBQOAONhqDIMRa2hQ7WkCQv0dJWSAmc0AzfvSCMg/edit"",""28!d2:d21""))"),20.0)</f>
        <v>20</v>
      </c>
      <c r="F735" s="41">
        <f>IFERROR(__xludf.DUMMYFUNCTION("SUM(IMPORTRANGE(""https://docs.google.com/spreadsheets/d/1iVFEBQOAONhqDIMRa2hQ7WkCQv0dJWSAmc0AzfvSCMg/edit"",""28!Q2:Q21""))"),3950.322)</f>
        <v>3950.322</v>
      </c>
      <c r="G735" s="40">
        <f>IFERROR(__xludf.DUMMYFUNCTION("IMPORTRANGE(""https://docs.google.com/spreadsheets/d/1iVFEBQOAONhqDIMRa2hQ7WkCQv0dJWSAmc0AzfvSCMg/edit"",""28!e28"")"),2448.0)</f>
        <v>2448</v>
      </c>
      <c r="H735" s="40">
        <f>IFERROR(__xludf.DUMMYFUNCTION("IMPORTRANGE(""https://docs.google.com/spreadsheets/d/1iVFEBQOAONhqDIMRa2hQ7WkCQv0dJWSAmc0AzfvSCMg/edit"",""28!e29"")"),0.0)</f>
        <v>0</v>
      </c>
      <c r="I735" s="40">
        <f t="shared" ref="I735:I752" si="2040">SUM(G735:H735)</f>
        <v>2448</v>
      </c>
      <c r="J735" s="40">
        <f>IFERROR(__xludf.DUMMYFUNCTION("IMPORTRANGE(""https://docs.google.com/spreadsheets/d/1iVFEBQOAONhqDIMRa2hQ7WkCQv0dJWSAmc0AzfvSCMg/edit"",""28!e32"")"),2383.0)</f>
        <v>2383</v>
      </c>
      <c r="K735" s="40">
        <f>IFERROR(__xludf.DUMMYFUNCTION("IMPORTRANGE(""https://docs.google.com/spreadsheets/d/1iVFEBQOAONhqDIMRa2hQ7WkCQv0dJWSAmc0AzfvSCMg/edit"",""28!e33"")"),0.0)</f>
        <v>0</v>
      </c>
      <c r="L735" s="40">
        <f t="shared" ref="L735:L741" si="2041">SUM(J735:K735)</f>
        <v>2383</v>
      </c>
      <c r="M735" s="40">
        <f t="shared" ref="M735:M752" si="2042">SUM(I735+L735)</f>
        <v>4831</v>
      </c>
      <c r="N735" s="41">
        <f t="shared" ref="N735:N753" si="2043">F735/E735</f>
        <v>197.5161</v>
      </c>
      <c r="O735" s="38">
        <v>5161.0</v>
      </c>
      <c r="P735" s="42">
        <f t="shared" ref="P735:P753" si="2044">M735/O735</f>
        <v>0.9360589033</v>
      </c>
      <c r="Q735" s="43">
        <v>1.5</v>
      </c>
      <c r="R735" s="42">
        <f t="shared" ref="R735:R753" si="2045">S735/Q735</f>
        <v>0.815292188</v>
      </c>
      <c r="S735" s="44">
        <f t="shared" ref="S735:S753" si="2046">M735/F735</f>
        <v>1.222938282</v>
      </c>
      <c r="T735" s="43">
        <f>F735/14.415</f>
        <v>274.0424558</v>
      </c>
      <c r="U735" s="43">
        <f t="shared" ref="U735:U753" si="2047">T735/E735</f>
        <v>13.70212279</v>
      </c>
      <c r="V735" s="40">
        <f t="shared" ref="V735:V753" si="2048">M735/E735</f>
        <v>241.55</v>
      </c>
      <c r="X735" s="22">
        <v>4.0</v>
      </c>
      <c r="Y735" s="22" t="s">
        <v>27</v>
      </c>
      <c r="Z735" s="22">
        <f t="shared" ref="Z735:AK735" si="2038">SUM(D748)</f>
        <v>30</v>
      </c>
      <c r="AA735" s="23">
        <f t="shared" si="2038"/>
        <v>27</v>
      </c>
      <c r="AB735" s="24">
        <f t="shared" si="2038"/>
        <v>5185.97</v>
      </c>
      <c r="AC735" s="23">
        <f t="shared" si="2038"/>
        <v>2394</v>
      </c>
      <c r="AD735" s="23">
        <f t="shared" si="2038"/>
        <v>96</v>
      </c>
      <c r="AE735" s="23">
        <f t="shared" si="2038"/>
        <v>2490</v>
      </c>
      <c r="AF735" s="23">
        <f t="shared" si="2038"/>
        <v>3106</v>
      </c>
      <c r="AG735" s="23">
        <f t="shared" si="2038"/>
        <v>111</v>
      </c>
      <c r="AH735" s="23">
        <f t="shared" si="2038"/>
        <v>3217</v>
      </c>
      <c r="AI735" s="23">
        <f t="shared" si="2038"/>
        <v>5707</v>
      </c>
      <c r="AJ735" s="25">
        <f t="shared" si="2038"/>
        <v>192.072963</v>
      </c>
      <c r="AK735" s="22">
        <f t="shared" si="2038"/>
        <v>8101</v>
      </c>
      <c r="AL735" s="26">
        <f t="shared" si="2030"/>
        <v>0.7044809283</v>
      </c>
      <c r="AM735" s="27">
        <f>SUM(Q748)</f>
        <v>1.5</v>
      </c>
      <c r="AN735" s="26">
        <f t="shared" si="2032"/>
        <v>0.7336461003</v>
      </c>
      <c r="AO735" s="28">
        <f t="shared" si="2033"/>
        <v>1.10046915</v>
      </c>
      <c r="AP735" s="27">
        <f t="shared" ref="AP735:AQ735" si="2039">SUM(T748)</f>
        <v>259.4931198</v>
      </c>
      <c r="AQ735" s="27">
        <f t="shared" si="2039"/>
        <v>9.61085629</v>
      </c>
      <c r="AR735" s="23">
        <f t="shared" si="2035"/>
        <v>211.3703704</v>
      </c>
    </row>
    <row r="736" ht="15.75" customHeight="1">
      <c r="A736" s="21"/>
      <c r="B736" s="38">
        <v>2.0</v>
      </c>
      <c r="C736" s="38" t="s">
        <v>28</v>
      </c>
      <c r="D736" s="39">
        <v>33.0</v>
      </c>
      <c r="E736" s="40">
        <f>IFERROR(__xludf.DUMMYFUNCTION("COUNT(IMPORTRANGE(""https://docs.google.com/spreadsheets/d/1tJCeYclgeJZ4Dc78t_SkhVjtacKW-5-VGim8X1rzUzk/edit"",""28!d2:d34""))"),33.0)</f>
        <v>33</v>
      </c>
      <c r="F736" s="41">
        <f>IFERROR(__xludf.DUMMYFUNCTION("SUM(IMPORTRANGE(""https://docs.google.com/spreadsheets/d/1tJCeYclgeJZ4Dc78t_SkhVjtacKW-5-VGim8X1rzUzk/edit"",""28!Q2:Q34""))"),6497.936)</f>
        <v>6497.936</v>
      </c>
      <c r="G736" s="40">
        <f>IFERROR(__xludf.DUMMYFUNCTION("IMPORTRANGE(""https://docs.google.com/spreadsheets/d/1tJCeYclgeJZ4Dc78t_SkhVjtacKW-5-VGim8X1rzUzk/edit"",""28!e41"")"),2888.0)</f>
        <v>2888</v>
      </c>
      <c r="H736" s="40">
        <f>IFERROR(__xludf.DUMMYFUNCTION("IMPORTRANGE(""https://docs.google.com/spreadsheets/d/1tJCeYclgeJZ4Dc78t_SkhVjtacKW-5-VGim8X1rzUzk/edit"",""28!e42"")"),161.0)</f>
        <v>161</v>
      </c>
      <c r="I736" s="40">
        <f t="shared" si="2040"/>
        <v>3049</v>
      </c>
      <c r="J736" s="40">
        <f>IFERROR(__xludf.DUMMYFUNCTION("IMPORTRANGE(""https://docs.google.com/spreadsheets/d/1tJCeYclgeJZ4Dc78t_SkhVjtacKW-5-VGim8X1rzUzk/edit"",""28!e45"")"),2691.0)</f>
        <v>2691</v>
      </c>
      <c r="K736" s="40">
        <f>IFERROR(__xludf.DUMMYFUNCTION("IMPORTRANGE(""https://docs.google.com/spreadsheets/d/1tJCeYclgeJZ4Dc78t_SkhVjtacKW-5-VGim8X1rzUzk/edit"",""28!e46"")"),323.0)</f>
        <v>323</v>
      </c>
      <c r="L736" s="40">
        <f t="shared" si="2041"/>
        <v>3014</v>
      </c>
      <c r="M736" s="40">
        <f t="shared" si="2042"/>
        <v>6063</v>
      </c>
      <c r="N736" s="41">
        <f t="shared" si="2043"/>
        <v>196.9071515</v>
      </c>
      <c r="O736" s="38">
        <v>7315.0</v>
      </c>
      <c r="P736" s="42">
        <f t="shared" si="2044"/>
        <v>0.8288448394</v>
      </c>
      <c r="Q736" s="43">
        <v>1.5</v>
      </c>
      <c r="R736" s="42">
        <f t="shared" si="2045"/>
        <v>0.6220436766</v>
      </c>
      <c r="S736" s="44">
        <f t="shared" si="2046"/>
        <v>0.933065515</v>
      </c>
      <c r="T736" s="43">
        <f>F736/30.897</f>
        <v>210.3096093</v>
      </c>
      <c r="U736" s="43">
        <f t="shared" si="2047"/>
        <v>6.373018465</v>
      </c>
      <c r="V736" s="40">
        <f t="shared" si="2048"/>
        <v>183.7272727</v>
      </c>
      <c r="X736" s="22">
        <v>5.0</v>
      </c>
      <c r="Y736" s="22" t="s">
        <v>29</v>
      </c>
      <c r="Z736" s="22">
        <f t="shared" ref="Z736:AI736" si="2049">SUM(D751)</f>
        <v>30</v>
      </c>
      <c r="AA736" s="23">
        <f t="shared" si="2049"/>
        <v>30</v>
      </c>
      <c r="AB736" s="24">
        <f t="shared" si="2049"/>
        <v>6172.403</v>
      </c>
      <c r="AC736" s="23">
        <f t="shared" si="2049"/>
        <v>3072</v>
      </c>
      <c r="AD736" s="23">
        <f t="shared" si="2049"/>
        <v>0</v>
      </c>
      <c r="AE736" s="23">
        <f t="shared" si="2049"/>
        <v>3072</v>
      </c>
      <c r="AF736" s="23">
        <f t="shared" si="2049"/>
        <v>4164</v>
      </c>
      <c r="AG736" s="23">
        <f t="shared" si="2049"/>
        <v>0</v>
      </c>
      <c r="AH736" s="23">
        <f t="shared" si="2049"/>
        <v>4164</v>
      </c>
      <c r="AI736" s="23">
        <f t="shared" si="2049"/>
        <v>7236</v>
      </c>
      <c r="AJ736" s="25">
        <f t="shared" ref="AJ736:AJ738" si="2052">AB736/AA736</f>
        <v>205.7467667</v>
      </c>
      <c r="AK736" s="22">
        <f t="shared" ref="AK736:AK737" si="2053">SUM(O751)</f>
        <v>9201</v>
      </c>
      <c r="AL736" s="26">
        <f t="shared" si="2030"/>
        <v>0.7864362569</v>
      </c>
      <c r="AM736" s="27">
        <f t="shared" ref="AM736:AM737" si="2054">SUM(Q751)</f>
        <v>1.5</v>
      </c>
      <c r="AN736" s="26">
        <f t="shared" si="2032"/>
        <v>0.7815432661</v>
      </c>
      <c r="AO736" s="28">
        <f t="shared" si="2033"/>
        <v>1.172314899</v>
      </c>
      <c r="AP736" s="27">
        <f t="shared" ref="AP736:AQ736" si="2050">SUM(T751)</f>
        <v>233</v>
      </c>
      <c r="AQ736" s="27">
        <f t="shared" si="2050"/>
        <v>7.766666667</v>
      </c>
      <c r="AR736" s="23">
        <f t="shared" si="2035"/>
        <v>241.2</v>
      </c>
    </row>
    <row r="737" ht="15.75" customHeight="1">
      <c r="A737" s="21"/>
      <c r="B737" s="38">
        <v>3.0</v>
      </c>
      <c r="C737" s="38" t="s">
        <v>30</v>
      </c>
      <c r="D737" s="39">
        <v>60.0</v>
      </c>
      <c r="E737" s="40">
        <f>IFERROR(__xludf.DUMMYFUNCTION("COUNT(IMPORTRANGE(""https://docs.google.com/spreadsheets/d/130gLEONC13J8KkQ6dk06x3bLRy_jCrAw2hXatQf2W50/edit"",""28!d2:d61""))"),59.0)</f>
        <v>59</v>
      </c>
      <c r="F737" s="45">
        <f>IFERROR(__xludf.DUMMYFUNCTION("SUM(IMPORTRANGE(""https://docs.google.com/spreadsheets/d/130gLEONC13J8KkQ6dk06x3bLRy_jCrAw2hXatQf2W50/edit"",""28!Q2:Q61""))"),11794.692999999987)</f>
        <v>11794.693</v>
      </c>
      <c r="G737" s="40">
        <f>IFERROR(__xludf.DUMMYFUNCTION("IMPORTRANGE(""https://docs.google.com/spreadsheets/d/130gLEONC13J8KkQ6dk06x3bLRy_jCrAw2hXatQf2W50/edit"",""28!e68"")"),3341.0)</f>
        <v>3341</v>
      </c>
      <c r="H737" s="40">
        <f>IFERROR(__xludf.DUMMYFUNCTION("IMPORTRANGE(""https://docs.google.com/spreadsheets/d/130gLEONC13J8KkQ6dk06x3bLRy_jCrAw2hXatQf2W50/edit"",""28!e69"")"),54.0)</f>
        <v>54</v>
      </c>
      <c r="I737" s="40">
        <f t="shared" si="2040"/>
        <v>3395</v>
      </c>
      <c r="J737" s="40">
        <f>IFERROR(__xludf.DUMMYFUNCTION("IMPORTRANGE(""https://docs.google.com/spreadsheets/d/130gLEONC13J8KkQ6dk06x3bLRy_jCrAw2hXatQf2W50/edit"",""28!e72"")"),4421.0)</f>
        <v>4421</v>
      </c>
      <c r="K737" s="40">
        <f>IFERROR(__xludf.DUMMYFUNCTION("IMPORTRANGE(""https://docs.google.com/spreadsheets/d/130gLEONC13J8KkQ6dk06x3bLRy_jCrAw2hXatQf2W50/edit"",""28!e73"")"),66.0)</f>
        <v>66</v>
      </c>
      <c r="L737" s="40">
        <f t="shared" si="2041"/>
        <v>4487</v>
      </c>
      <c r="M737" s="40">
        <f t="shared" si="2042"/>
        <v>7882</v>
      </c>
      <c r="N737" s="41">
        <f t="shared" si="2043"/>
        <v>199.9100508</v>
      </c>
      <c r="O737" s="38">
        <v>11164.0</v>
      </c>
      <c r="P737" s="42">
        <f t="shared" si="2044"/>
        <v>0.7060193479</v>
      </c>
      <c r="Q737" s="43">
        <v>1.5</v>
      </c>
      <c r="R737" s="42">
        <f t="shared" si="2045"/>
        <v>0.4455111012</v>
      </c>
      <c r="S737" s="44">
        <f t="shared" si="2046"/>
        <v>0.6682666518</v>
      </c>
      <c r="T737" s="43">
        <f>F737/29.603</f>
        <v>398.4289768</v>
      </c>
      <c r="U737" s="43">
        <f t="shared" si="2047"/>
        <v>6.753033505</v>
      </c>
      <c r="V737" s="40">
        <f t="shared" si="2048"/>
        <v>133.5932203</v>
      </c>
      <c r="X737" s="22">
        <v>6.0</v>
      </c>
      <c r="Y737" s="22" t="s">
        <v>31</v>
      </c>
      <c r="Z737" s="22">
        <f t="shared" ref="Z737:AI737" si="2051">SUM(D752)</f>
        <v>15</v>
      </c>
      <c r="AA737" s="23">
        <f t="shared" si="2051"/>
        <v>14</v>
      </c>
      <c r="AB737" s="25">
        <f t="shared" si="2051"/>
        <v>2694.83</v>
      </c>
      <c r="AC737" s="23">
        <f t="shared" si="2051"/>
        <v>866</v>
      </c>
      <c r="AD737" s="23">
        <f t="shared" si="2051"/>
        <v>0</v>
      </c>
      <c r="AE737" s="23">
        <f t="shared" si="2051"/>
        <v>866</v>
      </c>
      <c r="AF737" s="23">
        <f t="shared" si="2051"/>
        <v>1072</v>
      </c>
      <c r="AG737" s="23">
        <f t="shared" si="2051"/>
        <v>12</v>
      </c>
      <c r="AH737" s="23">
        <f t="shared" si="2051"/>
        <v>1084</v>
      </c>
      <c r="AI737" s="23">
        <f t="shared" si="2051"/>
        <v>1950</v>
      </c>
      <c r="AJ737" s="25">
        <f t="shared" si="2052"/>
        <v>192.4878571</v>
      </c>
      <c r="AK737" s="22">
        <f t="shared" si="2053"/>
        <v>2717</v>
      </c>
      <c r="AL737" s="26">
        <f t="shared" si="2030"/>
        <v>0.7177033493</v>
      </c>
      <c r="AM737" s="27">
        <f t="shared" si="2054"/>
        <v>1.5</v>
      </c>
      <c r="AN737" s="26">
        <f t="shared" si="2032"/>
        <v>0.4824051981</v>
      </c>
      <c r="AO737" s="28">
        <f t="shared" si="2033"/>
        <v>0.7236077972</v>
      </c>
      <c r="AP737" s="27">
        <f t="shared" ref="AP737:AQ737" si="2055">SUM(T752)</f>
        <v>62</v>
      </c>
      <c r="AQ737" s="27">
        <f t="shared" si="2055"/>
        <v>4.428571429</v>
      </c>
      <c r="AR737" s="23">
        <f t="shared" si="2035"/>
        <v>139.2857143</v>
      </c>
    </row>
    <row r="738" ht="15.75" customHeight="1">
      <c r="A738" s="21"/>
      <c r="B738" s="38">
        <v>4.0</v>
      </c>
      <c r="C738" s="38" t="s">
        <v>32</v>
      </c>
      <c r="D738" s="39">
        <v>42.0</v>
      </c>
      <c r="E738" s="40">
        <f>IFERROR(__xludf.DUMMYFUNCTION("COUNT(IMPORTRANGE(""https://docs.google.com/spreadsheets/d/1gYHli7FuKQLm2Q-5LMR0UtkD-gRRA_p8s-phLPLDLgc/edit"",""28!d2:d43""))"),42.0)</f>
        <v>42</v>
      </c>
      <c r="F738" s="45">
        <f>IFERROR(__xludf.DUMMYFUNCTION("SUM(IMPORTRANGE(""https://docs.google.com/spreadsheets/d/1gYHli7FuKQLm2Q-5LMR0UtkD-gRRA_p8s-phLPLDLgc/edit"",""28!Q2:Q43""))"),8329.54799999999)</f>
        <v>8329.548</v>
      </c>
      <c r="G738" s="38">
        <f>IFERROR(__xludf.DUMMYFUNCTION("IMPORTRANGE(""https://docs.google.com/spreadsheets/d/1gYHli7FuKQLm2Q-5LMR0UtkD-gRRA_p8s-phLPLDLgc/edit"",""28!e50"")"),4813.0)</f>
        <v>4813</v>
      </c>
      <c r="H738" s="38">
        <f>IFERROR(__xludf.DUMMYFUNCTION("IMPORTRANGE(""https://docs.google.com/spreadsheets/d/1gYHli7FuKQLm2Q-5LMR0UtkD-gRRA_p8s-phLPLDLgc/edit"",""28!e51"")"),0.0)</f>
        <v>0</v>
      </c>
      <c r="I738" s="40">
        <f t="shared" si="2040"/>
        <v>4813</v>
      </c>
      <c r="J738" s="38">
        <f>IFERROR(__xludf.DUMMYFUNCTION("IMPORTRANGE(""https://docs.google.com/spreadsheets/d/1gYHli7FuKQLm2Q-5LMR0UtkD-gRRA_p8s-phLPLDLgc/edit"",""28!e54"")"),5794.0)</f>
        <v>5794</v>
      </c>
      <c r="K738" s="38">
        <f>IFERROR(__xludf.DUMMYFUNCTION("IMPORTRANGE(""https://docs.google.com/spreadsheets/d/1gYHli7FuKQLm2Q-5LMR0UtkD-gRRA_p8s-phLPLDLgc/edit"",""28!e55"")"),0.0)</f>
        <v>0</v>
      </c>
      <c r="L738" s="40">
        <f t="shared" si="2041"/>
        <v>5794</v>
      </c>
      <c r="M738" s="40">
        <f t="shared" si="2042"/>
        <v>10607</v>
      </c>
      <c r="N738" s="41">
        <f t="shared" si="2043"/>
        <v>198.3225714</v>
      </c>
      <c r="O738" s="38">
        <v>13817.0</v>
      </c>
      <c r="P738" s="42">
        <f t="shared" si="2044"/>
        <v>0.7676774987</v>
      </c>
      <c r="Q738" s="43">
        <v>1.5</v>
      </c>
      <c r="R738" s="42">
        <f t="shared" si="2045"/>
        <v>0.8489456251</v>
      </c>
      <c r="S738" s="44">
        <f t="shared" si="2046"/>
        <v>1.273418438</v>
      </c>
      <c r="T738" s="43">
        <f>F738/25.089</f>
        <v>332</v>
      </c>
      <c r="U738" s="43">
        <f t="shared" si="2047"/>
        <v>7.904761905</v>
      </c>
      <c r="V738" s="40">
        <f t="shared" si="2048"/>
        <v>252.547619</v>
      </c>
      <c r="X738" s="46" t="s">
        <v>33</v>
      </c>
      <c r="Y738" s="46">
        <v>6.0</v>
      </c>
      <c r="Z738" s="46">
        <f t="shared" ref="Z738:AI738" si="2056">SUM(Z732:Z737)</f>
        <v>186</v>
      </c>
      <c r="AA738" s="47">
        <f t="shared" si="2056"/>
        <v>179</v>
      </c>
      <c r="AB738" s="48">
        <f t="shared" si="2056"/>
        <v>34348.529</v>
      </c>
      <c r="AC738" s="47">
        <f t="shared" si="2056"/>
        <v>11519</v>
      </c>
      <c r="AD738" s="47">
        <f t="shared" si="2056"/>
        <v>397</v>
      </c>
      <c r="AE738" s="47">
        <f t="shared" si="2056"/>
        <v>11916</v>
      </c>
      <c r="AF738" s="47">
        <f t="shared" si="2056"/>
        <v>16531</v>
      </c>
      <c r="AG738" s="47">
        <f t="shared" si="2056"/>
        <v>505</v>
      </c>
      <c r="AH738" s="47">
        <f t="shared" si="2056"/>
        <v>17036</v>
      </c>
      <c r="AI738" s="47">
        <f t="shared" si="2056"/>
        <v>28952</v>
      </c>
      <c r="AJ738" s="49">
        <f t="shared" si="2052"/>
        <v>191.8912235</v>
      </c>
      <c r="AK738" s="46">
        <f>SUM(AK732:AK737)</f>
        <v>35074</v>
      </c>
      <c r="AL738" s="50">
        <f t="shared" si="2030"/>
        <v>0.8254547528</v>
      </c>
      <c r="AM738" s="51">
        <v>1.5</v>
      </c>
      <c r="AN738" s="50">
        <f t="shared" si="2032"/>
        <v>0.5619260532</v>
      </c>
      <c r="AO738" s="52">
        <f t="shared" si="2033"/>
        <v>0.8428890798</v>
      </c>
      <c r="AP738" s="51">
        <f>SUM(AP732:AP737)</f>
        <v>1286.213922</v>
      </c>
      <c r="AQ738" s="51">
        <f>AP738/AA738</f>
        <v>7.185552639</v>
      </c>
      <c r="AR738" s="47">
        <f t="shared" si="2035"/>
        <v>161.7430168</v>
      </c>
    </row>
    <row r="739" ht="15.75" customHeight="1">
      <c r="A739" s="21"/>
      <c r="B739" s="38">
        <v>5.0</v>
      </c>
      <c r="C739" s="38" t="s">
        <v>34</v>
      </c>
      <c r="D739" s="39">
        <v>40.0</v>
      </c>
      <c r="E739" s="40">
        <f>IFERROR(__xludf.DUMMYFUNCTION("COUNT(IMPORTRANGE(""https://docs.google.com/spreadsheets/d/1ptS0qWBCKWkc9h2aXWT_YgMhN7yIv5WgAHRbF8l9Zpo/edit"",""28!d2:d41""))"),39.0)</f>
        <v>39</v>
      </c>
      <c r="F739" s="45">
        <f>IFERROR(__xludf.DUMMYFUNCTION("SUM(IMPORTRANGE(""https://docs.google.com/spreadsheets/d/1ptS0qWBCKWkc9h2aXWT_YgMhN7yIv5WgAHRbF8l9Zpo/edit"",""28!Q2:Q41""))"),7595.589000000003)</f>
        <v>7595.589</v>
      </c>
      <c r="G739" s="40">
        <f>IFERROR(__xludf.DUMMYFUNCTION("IMPORTRANGE(""https://docs.google.com/spreadsheets/d/1ptS0qWBCKWkc9h2aXWT_YgMhN7yIv5WgAHRbF8l9Zpo/edit"",""28!e48"")"),3059.0)</f>
        <v>3059</v>
      </c>
      <c r="H739" s="40">
        <f>IFERROR(__xludf.DUMMYFUNCTION("IMPORTRANGE(""https://docs.google.com/spreadsheets/d/1ptS0qWBCKWkc9h2aXWT_YgMhN7yIv5WgAHRbF8l9Zpo/edit"",""28!e49"")"),0.0)</f>
        <v>0</v>
      </c>
      <c r="I739" s="40">
        <f t="shared" si="2040"/>
        <v>3059</v>
      </c>
      <c r="J739" s="40">
        <f>IFERROR(__xludf.DUMMYFUNCTION("IMPORTRANGE(""https://docs.google.com/spreadsheets/d/1ptS0qWBCKWkc9h2aXWT_YgMhN7yIv5WgAHRbF8l9Zpo/edit"",""28!e52"")"),3189.0)</f>
        <v>3189</v>
      </c>
      <c r="K739" s="40">
        <f>IFERROR(__xludf.DUMMYFUNCTION("IMPORTRANGE(""https://docs.google.com/spreadsheets/d/1ptS0qWBCKWkc9h2aXWT_YgMhN7yIv5WgAHRbF8l9Zpo/edit"",""28!e53"")"),0.0)</f>
        <v>0</v>
      </c>
      <c r="L739" s="40">
        <f t="shared" si="2041"/>
        <v>3189</v>
      </c>
      <c r="M739" s="40">
        <f t="shared" si="2042"/>
        <v>6248</v>
      </c>
      <c r="N739" s="41">
        <f t="shared" si="2043"/>
        <v>194.7586923</v>
      </c>
      <c r="O739" s="38">
        <v>9354.0</v>
      </c>
      <c r="P739" s="42">
        <f t="shared" si="2044"/>
        <v>0.6679495403</v>
      </c>
      <c r="Q739" s="43">
        <v>1.5</v>
      </c>
      <c r="R739" s="42">
        <f t="shared" si="2045"/>
        <v>0.5483884572</v>
      </c>
      <c r="S739" s="44">
        <f t="shared" si="2046"/>
        <v>0.8225826858</v>
      </c>
      <c r="T739" s="43">
        <f>F739/30.713</f>
        <v>247.308599</v>
      </c>
      <c r="U739" s="43">
        <f t="shared" si="2047"/>
        <v>6.341246127</v>
      </c>
      <c r="V739" s="40">
        <f t="shared" si="2048"/>
        <v>160.2051282</v>
      </c>
      <c r="X739" s="53" t="s">
        <v>35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6"/>
    </row>
    <row r="740" ht="15.75" customHeight="1">
      <c r="A740" s="21"/>
      <c r="B740" s="38">
        <v>6.0</v>
      </c>
      <c r="C740" s="38" t="s">
        <v>23</v>
      </c>
      <c r="D740" s="39">
        <v>35.0</v>
      </c>
      <c r="E740" s="40">
        <f>IFERROR(__xludf.DUMMYFUNCTION("COUNT(IMPORTRANGE(""https://docs.google.com/spreadsheets/d/1829CoYW82aTBBUgqkPnJa94KlBWI-DowAnP4ENQCmaQ/edit"",""28!d2:d36""))"),34.0)</f>
        <v>34</v>
      </c>
      <c r="F740" s="45">
        <f>IFERROR(__xludf.DUMMYFUNCTION("SUM(IMPORTRANGE(""https://docs.google.com/spreadsheets/d/1829CoYW82aTBBUgqkPnJa94KlBWI-DowAnP4ENQCmaQ/edit"",""28!Q2:Q36""))"),6747.999999999995)</f>
        <v>6748</v>
      </c>
      <c r="G740" s="40">
        <f>IFERROR(__xludf.DUMMYFUNCTION("IMPORTRANGE(""https://docs.google.com/spreadsheets/d/1829CoYW82aTBBUgqkPnJa94KlBWI-DowAnP4ENQCmaQ/edit"",""28!e43"")"),1739.0)</f>
        <v>1739</v>
      </c>
      <c r="H740" s="40">
        <f>IFERROR(__xludf.DUMMYFUNCTION("IMPORTRANGE(""https://docs.google.com/spreadsheets/d/1829CoYW82aTBBUgqkPnJa94KlBWI-DowAnP4ENQCmaQ/edit"",""28!e44"")"),0.0)</f>
        <v>0</v>
      </c>
      <c r="I740" s="40">
        <f t="shared" si="2040"/>
        <v>1739</v>
      </c>
      <c r="J740" s="40">
        <f>IFERROR(__xludf.DUMMYFUNCTION("IMPORTRANGE(""https://docs.google.com/spreadsheets/d/1829CoYW82aTBBUgqkPnJa94KlBWI-DowAnP4ENQCmaQ/edit"",""28!e47"")"),3251.0)</f>
        <v>3251</v>
      </c>
      <c r="K740" s="40">
        <f>IFERROR(__xludf.DUMMYFUNCTION("IMPORTRANGE(""https://docs.google.com/spreadsheets/d/1829CoYW82aTBBUgqkPnJa94KlBWI-DowAnP4ENQCmaQ/edit"",""28!e48"")"),0.0)</f>
        <v>0</v>
      </c>
      <c r="L740" s="40">
        <f t="shared" si="2041"/>
        <v>3251</v>
      </c>
      <c r="M740" s="40">
        <f t="shared" si="2042"/>
        <v>4990</v>
      </c>
      <c r="N740" s="41">
        <f t="shared" si="2043"/>
        <v>198.4705882</v>
      </c>
      <c r="O740" s="38">
        <v>6853.0</v>
      </c>
      <c r="P740" s="42">
        <f t="shared" si="2044"/>
        <v>0.7281482562</v>
      </c>
      <c r="Q740" s="43">
        <v>1.5</v>
      </c>
      <c r="R740" s="42">
        <f t="shared" si="2045"/>
        <v>0.492985576</v>
      </c>
      <c r="S740" s="44">
        <f t="shared" si="2046"/>
        <v>0.739478364</v>
      </c>
      <c r="T740" s="43">
        <f>F740/33.74</f>
        <v>200</v>
      </c>
      <c r="U740" s="43">
        <f t="shared" si="2047"/>
        <v>5.882352941</v>
      </c>
      <c r="V740" s="40">
        <f t="shared" si="2048"/>
        <v>146.7647059</v>
      </c>
      <c r="X740" s="14" t="s">
        <v>2</v>
      </c>
      <c r="Y740" s="14" t="s">
        <v>3</v>
      </c>
      <c r="Z740" s="14" t="s">
        <v>4</v>
      </c>
      <c r="AA740" s="14" t="s">
        <v>5</v>
      </c>
      <c r="AB740" s="15" t="s">
        <v>6</v>
      </c>
      <c r="AC740" s="14" t="s">
        <v>7</v>
      </c>
      <c r="AD740" s="14" t="s">
        <v>8</v>
      </c>
      <c r="AE740" s="14" t="s">
        <v>9</v>
      </c>
      <c r="AF740" s="14" t="s">
        <v>10</v>
      </c>
      <c r="AG740" s="14" t="s">
        <v>11</v>
      </c>
      <c r="AH740" s="14" t="s">
        <v>12</v>
      </c>
      <c r="AI740" s="14" t="s">
        <v>13</v>
      </c>
      <c r="AJ740" s="15" t="s">
        <v>14</v>
      </c>
      <c r="AK740" s="14" t="s">
        <v>15</v>
      </c>
      <c r="AL740" s="14" t="s">
        <v>16</v>
      </c>
      <c r="AM740" s="16" t="s">
        <v>17</v>
      </c>
      <c r="AN740" s="17" t="s">
        <v>18</v>
      </c>
      <c r="AO740" s="18" t="s">
        <v>19</v>
      </c>
      <c r="AP740" s="19" t="s">
        <v>20</v>
      </c>
      <c r="AQ740" s="19" t="s">
        <v>21</v>
      </c>
      <c r="AR740" s="20" t="s">
        <v>22</v>
      </c>
    </row>
    <row r="741" ht="15.75" customHeight="1">
      <c r="A741" s="21"/>
      <c r="B741" s="38">
        <v>7.0</v>
      </c>
      <c r="C741" s="38" t="s">
        <v>24</v>
      </c>
      <c r="D741" s="39">
        <v>44.0</v>
      </c>
      <c r="E741" s="54">
        <f>IFERROR(__xludf.DUMMYFUNCTION("COUNT(IMPORTRANGE(""https://docs.google.com/spreadsheets/d/1E2x4oDZxEIsuC5nl-5Z0--MoN8b1dt9SbpRcCfNP84Q/edit"",""28!d2:d45""))"),43.0)</f>
        <v>43</v>
      </c>
      <c r="F741" s="55">
        <f>IFERROR(__xludf.DUMMYFUNCTION("SUM(IMPORTRANGE(""https://docs.google.com/spreadsheets/d/1E2x4oDZxEIsuC5nl-5Z0--MoN8b1dt9SbpRcCfNP84Q/edit"",""28!Q2:Q45""))"),7875.1739999999945)</f>
        <v>7875.174</v>
      </c>
      <c r="G741" s="54">
        <f>IFERROR(__xludf.DUMMYFUNCTION("IMPORTRANGE(""https://docs.google.com/spreadsheets/d/1E2x4oDZxEIsuC5nl-5Z0--MoN8b1dt9SbpRcCfNP84Q/edit"",""28!e53"")"),1152.0)</f>
        <v>1152</v>
      </c>
      <c r="H741" s="54">
        <f>IFERROR(__xludf.DUMMYFUNCTION("IMPORTRANGE(""https://docs.google.com/spreadsheets/d/1E2x4oDZxEIsuC5nl-5Z0--MoN8b1dt9SbpRcCfNP84Q/edit"",""28!e54"")"),0.0)</f>
        <v>0</v>
      </c>
      <c r="I741" s="54">
        <f t="shared" si="2040"/>
        <v>1152</v>
      </c>
      <c r="J741" s="54">
        <f>IFERROR(__xludf.DUMMYFUNCTION("IMPORTRANGE(""https://docs.google.com/spreadsheets/d/1E2x4oDZxEIsuC5nl-5Z0--MoN8b1dt9SbpRcCfNP84Q/edit"",""28!e57"")"),1345.0)</f>
        <v>1345</v>
      </c>
      <c r="K741" s="54">
        <f>IFERROR(__xludf.DUMMYFUNCTION("IMPORTRANGE(""https://docs.google.com/spreadsheets/d/1E2x4oDZxEIsuC5nl-5Z0--MoN8b1dt9SbpRcCfNP84Q/edit"",""28!e58"")"),0.0)</f>
        <v>0</v>
      </c>
      <c r="L741" s="40">
        <f t="shared" si="2041"/>
        <v>1345</v>
      </c>
      <c r="M741" s="40">
        <f t="shared" si="2042"/>
        <v>2497</v>
      </c>
      <c r="N741" s="41">
        <f t="shared" si="2043"/>
        <v>183.1435814</v>
      </c>
      <c r="O741" s="38">
        <v>1580.0</v>
      </c>
      <c r="P741" s="56">
        <f t="shared" si="2044"/>
        <v>1.580379747</v>
      </c>
      <c r="Q741" s="43">
        <v>1.5</v>
      </c>
      <c r="R741" s="42">
        <f t="shared" si="2045"/>
        <v>0.2113815729</v>
      </c>
      <c r="S741" s="44">
        <f t="shared" si="2046"/>
        <v>0.3170723593</v>
      </c>
      <c r="T741" s="43">
        <f>F741/26.805</f>
        <v>293.7949636</v>
      </c>
      <c r="U741" s="43">
        <f t="shared" si="2047"/>
        <v>6.832441015</v>
      </c>
      <c r="V741" s="40">
        <f t="shared" si="2048"/>
        <v>58.06976744</v>
      </c>
      <c r="X741" s="22">
        <v>1.0</v>
      </c>
      <c r="Y741" s="22" t="s">
        <v>28</v>
      </c>
      <c r="Z741" s="22">
        <f t="shared" ref="Z741:AI741" si="2057">SUM(D736)</f>
        <v>33</v>
      </c>
      <c r="AA741" s="23">
        <f t="shared" si="2057"/>
        <v>33</v>
      </c>
      <c r="AB741" s="25">
        <f t="shared" si="2057"/>
        <v>6497.936</v>
      </c>
      <c r="AC741" s="23">
        <f t="shared" si="2057"/>
        <v>2888</v>
      </c>
      <c r="AD741" s="23">
        <f t="shared" si="2057"/>
        <v>161</v>
      </c>
      <c r="AE741" s="23">
        <f t="shared" si="2057"/>
        <v>3049</v>
      </c>
      <c r="AF741" s="23">
        <f t="shared" si="2057"/>
        <v>2691</v>
      </c>
      <c r="AG741" s="23">
        <f t="shared" si="2057"/>
        <v>323</v>
      </c>
      <c r="AH741" s="23">
        <f t="shared" si="2057"/>
        <v>3014</v>
      </c>
      <c r="AI741" s="23">
        <f t="shared" si="2057"/>
        <v>6063</v>
      </c>
      <c r="AJ741" s="25">
        <f t="shared" ref="AJ741:AJ747" si="2060">AB741/AA741</f>
        <v>196.9071515</v>
      </c>
      <c r="AK741" s="22">
        <f t="shared" ref="AK741:AK742" si="2061">SUM(O736)</f>
        <v>7315</v>
      </c>
      <c r="AL741" s="26">
        <f t="shared" ref="AL741:AL747" si="2062">AI741/AK741</f>
        <v>0.8288448394</v>
      </c>
      <c r="AM741" s="27">
        <f t="shared" ref="AM741:AM742" si="2063">SUM(Q736)</f>
        <v>1.5</v>
      </c>
      <c r="AN741" s="26">
        <f t="shared" ref="AN741:AN747" si="2064">AO741/AM741</f>
        <v>0.6220436766</v>
      </c>
      <c r="AO741" s="28">
        <f t="shared" ref="AO741:AO747" si="2065">AI741/AB741</f>
        <v>0.933065515</v>
      </c>
      <c r="AP741" s="27">
        <f t="shared" ref="AP741:AQ741" si="2058">SUM(T736)</f>
        <v>210.3096093</v>
      </c>
      <c r="AQ741" s="27">
        <f t="shared" si="2058"/>
        <v>6.373018465</v>
      </c>
      <c r="AR741" s="23">
        <f t="shared" ref="AR741:AR747" si="2067">AI741/AA741</f>
        <v>183.7272727</v>
      </c>
    </row>
    <row r="742" ht="15.75" customHeight="1">
      <c r="A742" s="21"/>
      <c r="B742" s="38">
        <v>8.0</v>
      </c>
      <c r="C742" s="38" t="s">
        <v>25</v>
      </c>
      <c r="D742" s="57">
        <v>32.0</v>
      </c>
      <c r="E742" s="40">
        <f>IFERROR(__xludf.DUMMYFUNCTION("COUNT(IMPORTRANGE(""https://docs.google.com/spreadsheets/d/1KbRFOEYB0B44J_NSh1MwYQ1sLDlZXUHI-wuMLcZDn5k/edit"",""28!d2:D33""))"),31.0)</f>
        <v>31</v>
      </c>
      <c r="F742" s="45">
        <f>IFERROR(__xludf.DUMMYFUNCTION("SUM(IMPORTRANGE(""https://docs.google.com/spreadsheets/d/1KbRFOEYB0B44J_NSh1MwYQ1sLDlZXUHI-wuMLcZDn5k/edit"",""28!Q2:Q33""))"),5672.152000000001)</f>
        <v>5672.152</v>
      </c>
      <c r="G742" s="40">
        <f>IFERROR(__xludf.DUMMYFUNCTION("IMPORTRANGE(""https://docs.google.com/spreadsheets/d/1KbRFOEYB0B44J_NSh1MwYQ1sLDlZXUHI-wuMLcZDn5k/edit"",""28!e40"")"),2296.0)</f>
        <v>2296</v>
      </c>
      <c r="H742" s="40">
        <f>IFERROR(__xludf.DUMMYFUNCTION("IMPORTRANGE(""https://docs.google.com/spreadsheets/d/1KbRFOEYB0B44J_NSh1MwYQ1sLDlZXUHI-wuMLcZDn5k/edit"",""28!e41"")"),301.0)</f>
        <v>301</v>
      </c>
      <c r="I742" s="40">
        <f t="shared" si="2040"/>
        <v>2597</v>
      </c>
      <c r="J742" s="40">
        <f>IFERROR(__xludf.DUMMYFUNCTION("IMPORTRANGE(""https://docs.google.com/spreadsheets/d/1KbRFOEYB0B44J_NSh1MwYQ1sLDlZXUHI-wuMLcZDn5k/edit"",""28!e44"")"),3593.0)</f>
        <v>3593</v>
      </c>
      <c r="K742" s="40">
        <f>IFERROR(__xludf.DUMMYFUNCTION("IMPORTRANGE(""https://docs.google.com/spreadsheets/d/1KbRFOEYB0B44J_NSh1MwYQ1sLDlZXUHI-wuMLcZDn5k/edit"",""28!e45"")"),382.0)</f>
        <v>382</v>
      </c>
      <c r="L742" s="40">
        <f>J742+K742</f>
        <v>3975</v>
      </c>
      <c r="M742" s="40">
        <f t="shared" si="2042"/>
        <v>6572</v>
      </c>
      <c r="N742" s="41">
        <f t="shared" si="2043"/>
        <v>182.9726452</v>
      </c>
      <c r="O742" s="38">
        <v>6622.0</v>
      </c>
      <c r="P742" s="42">
        <f t="shared" si="2044"/>
        <v>0.9924494111</v>
      </c>
      <c r="Q742" s="43">
        <v>1.5</v>
      </c>
      <c r="R742" s="42">
        <f t="shared" si="2045"/>
        <v>0.7724287595</v>
      </c>
      <c r="S742" s="44">
        <f t="shared" si="2046"/>
        <v>1.158643139</v>
      </c>
      <c r="T742" s="43">
        <f>F742/23.84</f>
        <v>237.9258389</v>
      </c>
      <c r="U742" s="43">
        <f t="shared" si="2047"/>
        <v>7.675027062</v>
      </c>
      <c r="V742" s="40">
        <f t="shared" si="2048"/>
        <v>212</v>
      </c>
      <c r="X742" s="31">
        <v>2.0</v>
      </c>
      <c r="Y742" s="31" t="s">
        <v>30</v>
      </c>
      <c r="Z742" s="31">
        <f t="shared" ref="Z742:AI742" si="2059">SUM(D737)</f>
        <v>60</v>
      </c>
      <c r="AA742" s="32">
        <f t="shared" si="2059"/>
        <v>59</v>
      </c>
      <c r="AB742" s="33">
        <f t="shared" si="2059"/>
        <v>11794.693</v>
      </c>
      <c r="AC742" s="32">
        <f t="shared" si="2059"/>
        <v>3341</v>
      </c>
      <c r="AD742" s="32">
        <f t="shared" si="2059"/>
        <v>54</v>
      </c>
      <c r="AE742" s="32">
        <f t="shared" si="2059"/>
        <v>3395</v>
      </c>
      <c r="AF742" s="32">
        <f t="shared" si="2059"/>
        <v>4421</v>
      </c>
      <c r="AG742" s="32">
        <f t="shared" si="2059"/>
        <v>66</v>
      </c>
      <c r="AH742" s="32">
        <f t="shared" si="2059"/>
        <v>4487</v>
      </c>
      <c r="AI742" s="32">
        <f t="shared" si="2059"/>
        <v>7882</v>
      </c>
      <c r="AJ742" s="34">
        <f t="shared" si="2060"/>
        <v>199.9100508</v>
      </c>
      <c r="AK742" s="31">
        <f t="shared" si="2061"/>
        <v>11164</v>
      </c>
      <c r="AL742" s="35">
        <f t="shared" si="2062"/>
        <v>0.7060193479</v>
      </c>
      <c r="AM742" s="36">
        <f t="shared" si="2063"/>
        <v>1.5</v>
      </c>
      <c r="AN742" s="35">
        <f t="shared" si="2064"/>
        <v>0.4455111012</v>
      </c>
      <c r="AO742" s="37">
        <f t="shared" si="2065"/>
        <v>0.6682666518</v>
      </c>
      <c r="AP742" s="36">
        <f t="shared" ref="AP742:AQ742" si="2066">SUM(T737)</f>
        <v>398.4289768</v>
      </c>
      <c r="AQ742" s="36">
        <f t="shared" si="2066"/>
        <v>6.753033505</v>
      </c>
      <c r="AR742" s="32">
        <f t="shared" si="2067"/>
        <v>133.5932203</v>
      </c>
    </row>
    <row r="743" ht="15.75" customHeight="1">
      <c r="A743" s="21"/>
      <c r="B743" s="38">
        <v>9.0</v>
      </c>
      <c r="C743" s="38" t="s">
        <v>36</v>
      </c>
      <c r="D743" s="58">
        <v>30.0</v>
      </c>
      <c r="E743" s="40">
        <f>IFERROR(__xludf.DUMMYFUNCTION("COUNT(IMPORTRANGE(""https://docs.google.com/spreadsheets/d/1VqqqRGfmmkT0JC4ILJva2p8P11jjV0FX-TSKAaqOigw/edit"",""28!d2:d31""))"),30.0)</f>
        <v>30</v>
      </c>
      <c r="F743" s="45">
        <f>IFERROR(__xludf.DUMMYFUNCTION("SUM(IMPORTRANGE(""https://docs.google.com/spreadsheets/d/1VqqqRGfmmkT0JC4ILJva2p8P11jjV0FX-TSKAaqOigw/edit"",""28!Q2:Q31""))"),5905.027999999999)</f>
        <v>5905.028</v>
      </c>
      <c r="G743" s="40">
        <f>IFERROR(__xludf.DUMMYFUNCTION("IMPORTRANGE(""https://docs.google.com/spreadsheets/d/1VqqqRGfmmkT0JC4ILJva2p8P11jjV0FX-TSKAaqOigw/edit"",""28!e38"")"),1727.0)</f>
        <v>1727</v>
      </c>
      <c r="H743" s="40">
        <f>IFERROR(__xludf.DUMMYFUNCTION("IMPORTRANGE(""https://docs.google.com/spreadsheets/d/1VqqqRGfmmkT0JC4ILJva2p8P11jjV0FX-TSKAaqOigw/edit"",""28!e39"")"),0.0)</f>
        <v>0</v>
      </c>
      <c r="I743" s="40">
        <f t="shared" si="2040"/>
        <v>1727</v>
      </c>
      <c r="J743" s="40">
        <f>IFERROR(__xludf.DUMMYFUNCTION("IMPORTRANGE(""https://docs.google.com/spreadsheets/d/1VqqqRGfmmkT0JC4ILJva2p8P11jjV0FX-TSKAaqOigw/edit"",""28!e42"")"),2137.0)</f>
        <v>2137</v>
      </c>
      <c r="K743" s="40">
        <f>IFERROR(__xludf.DUMMYFUNCTION("IMPORTRANGE(""https://docs.google.com/spreadsheets/d/1VqqqRGfmmkT0JC4ILJva2p8P11jjV0FX-TSKAaqOigw/edit"",""28!e43"")"),50.0)</f>
        <v>50</v>
      </c>
      <c r="L743" s="40">
        <f t="shared" ref="L743:L752" si="2070">SUM(J743:K743)</f>
        <v>2187</v>
      </c>
      <c r="M743" s="40">
        <f t="shared" si="2042"/>
        <v>3914</v>
      </c>
      <c r="N743" s="41">
        <f t="shared" si="2043"/>
        <v>196.8342667</v>
      </c>
      <c r="O743" s="38">
        <v>4796.0</v>
      </c>
      <c r="P743" s="42">
        <f t="shared" si="2044"/>
        <v>0.8160967473</v>
      </c>
      <c r="Q743" s="43">
        <v>1.5</v>
      </c>
      <c r="R743" s="42">
        <f t="shared" si="2045"/>
        <v>0.4418833125</v>
      </c>
      <c r="S743" s="44">
        <f t="shared" si="2046"/>
        <v>0.6628249688</v>
      </c>
      <c r="T743" s="43">
        <f>F743/37.414</f>
        <v>157.8293687</v>
      </c>
      <c r="U743" s="43">
        <f t="shared" si="2047"/>
        <v>5.260978956</v>
      </c>
      <c r="V743" s="40">
        <f t="shared" si="2048"/>
        <v>130.4666667</v>
      </c>
      <c r="X743" s="22">
        <v>3.0</v>
      </c>
      <c r="Y743" s="22" t="s">
        <v>34</v>
      </c>
      <c r="Z743" s="22">
        <f t="shared" ref="Z743:AI743" si="2068">SUM(D739)</f>
        <v>40</v>
      </c>
      <c r="AA743" s="23">
        <f t="shared" si="2068"/>
        <v>39</v>
      </c>
      <c r="AB743" s="24">
        <f t="shared" si="2068"/>
        <v>7595.589</v>
      </c>
      <c r="AC743" s="23">
        <f t="shared" si="2068"/>
        <v>3059</v>
      </c>
      <c r="AD743" s="23">
        <f t="shared" si="2068"/>
        <v>0</v>
      </c>
      <c r="AE743" s="23">
        <f t="shared" si="2068"/>
        <v>3059</v>
      </c>
      <c r="AF743" s="23">
        <f t="shared" si="2068"/>
        <v>3189</v>
      </c>
      <c r="AG743" s="23">
        <f t="shared" si="2068"/>
        <v>0</v>
      </c>
      <c r="AH743" s="23">
        <f t="shared" si="2068"/>
        <v>3189</v>
      </c>
      <c r="AI743" s="23">
        <f t="shared" si="2068"/>
        <v>6248</v>
      </c>
      <c r="AJ743" s="25">
        <f t="shared" si="2060"/>
        <v>194.7586923</v>
      </c>
      <c r="AK743" s="22">
        <f>SUM(O739)</f>
        <v>9354</v>
      </c>
      <c r="AL743" s="26">
        <f t="shared" si="2062"/>
        <v>0.6679495403</v>
      </c>
      <c r="AM743" s="27">
        <f>SUM(Q739)</f>
        <v>1.5</v>
      </c>
      <c r="AN743" s="26">
        <f t="shared" si="2064"/>
        <v>0.5483884572</v>
      </c>
      <c r="AO743" s="28">
        <f t="shared" si="2065"/>
        <v>0.8225826858</v>
      </c>
      <c r="AP743" s="27">
        <f t="shared" ref="AP743:AQ743" si="2069">SUM(T739)</f>
        <v>247.308599</v>
      </c>
      <c r="AQ743" s="27">
        <f t="shared" si="2069"/>
        <v>6.341246127</v>
      </c>
      <c r="AR743" s="23">
        <f t="shared" si="2067"/>
        <v>160.2051282</v>
      </c>
    </row>
    <row r="744" ht="15.75" customHeight="1">
      <c r="A744" s="21"/>
      <c r="B744" s="38">
        <v>10.0</v>
      </c>
      <c r="C744" s="38" t="s">
        <v>37</v>
      </c>
      <c r="D744" s="39">
        <v>30.0</v>
      </c>
      <c r="E744" s="40">
        <f>IFERROR(__xludf.DUMMYFUNCTION("COUNT(IMPORTRANGE(""https://docs.google.com/spreadsheets/d/1IYeRjQd_D6MRqoBKNaky3aSEUloYCJc5XDnPAbdyetk/edit"",""28!d2:d31""))"),30.0)</f>
        <v>30</v>
      </c>
      <c r="F744" s="45">
        <f>IFERROR(__xludf.DUMMYFUNCTION("SUM(IMPORTRANGE(""https://docs.google.com/spreadsheets/d/1IYeRjQd_D6MRqoBKNaky3aSEUloYCJc5XDnPAbdyetk/edit"",""28!Q2:Q31""))"),5861.7720000000045)</f>
        <v>5861.772</v>
      </c>
      <c r="G744" s="40">
        <f>IFERROR(__xludf.DUMMYFUNCTION("(IMPORTRANGE(""https://docs.google.com/spreadsheets/d/1IYeRjQd_D6MRqoBKNaky3aSEUloYCJc5XDnPAbdyetk/edit"",""28!e38""))"),2123.0)</f>
        <v>2123</v>
      </c>
      <c r="H744" s="40">
        <f>IFERROR(__xludf.DUMMYFUNCTION("(IMPORTRANGE(""https://docs.google.com/spreadsheets/d/1IYeRjQd_D6MRqoBKNaky3aSEUloYCJc5XDnPAbdyetk/edit"",""28!e39""))"),0.0)</f>
        <v>0</v>
      </c>
      <c r="I744" s="40">
        <f t="shared" si="2040"/>
        <v>2123</v>
      </c>
      <c r="J744" s="40">
        <f>IFERROR(__xludf.DUMMYFUNCTION("(IMPORTRANGE(""https://docs.google.com/spreadsheets/d/1IYeRjQd_D6MRqoBKNaky3aSEUloYCJc5XDnPAbdyetk/edit"",""28!e42""))"),3187.0)</f>
        <v>3187</v>
      </c>
      <c r="K744" s="40">
        <f>IFERROR(__xludf.DUMMYFUNCTION("(IMPORTRANGE(""https://docs.google.com/spreadsheets/d/1IYeRjQd_D6MRqoBKNaky3aSEUloYCJc5XDnPAbdyetk/edit"",""28!e43""))"),0.0)</f>
        <v>0</v>
      </c>
      <c r="L744" s="40">
        <f t="shared" si="2070"/>
        <v>3187</v>
      </c>
      <c r="M744" s="40">
        <f t="shared" si="2042"/>
        <v>5310</v>
      </c>
      <c r="N744" s="41">
        <f t="shared" si="2043"/>
        <v>195.3924</v>
      </c>
      <c r="O744" s="38">
        <v>5887.0</v>
      </c>
      <c r="P744" s="42">
        <f t="shared" si="2044"/>
        <v>0.9019874299</v>
      </c>
      <c r="Q744" s="43">
        <v>1.5</v>
      </c>
      <c r="R744" s="42">
        <f t="shared" si="2045"/>
        <v>0.6039129465</v>
      </c>
      <c r="S744" s="44">
        <f t="shared" si="2046"/>
        <v>0.9058694197</v>
      </c>
      <c r="T744" s="43">
        <f>F744/24.792</f>
        <v>236.4380445</v>
      </c>
      <c r="U744" s="43">
        <f t="shared" si="2047"/>
        <v>7.881268151</v>
      </c>
      <c r="V744" s="40">
        <f t="shared" si="2048"/>
        <v>177</v>
      </c>
      <c r="X744" s="31">
        <v>4.0</v>
      </c>
      <c r="Y744" s="31" t="s">
        <v>38</v>
      </c>
      <c r="Z744" s="31">
        <f t="shared" ref="Z744:AI744" si="2071">SUM(D747)</f>
        <v>30</v>
      </c>
      <c r="AA744" s="32">
        <f t="shared" si="2071"/>
        <v>30</v>
      </c>
      <c r="AB744" s="33">
        <f t="shared" si="2071"/>
        <v>6366.688</v>
      </c>
      <c r="AC744" s="32">
        <f t="shared" si="2071"/>
        <v>1942</v>
      </c>
      <c r="AD744" s="32">
        <f t="shared" si="2071"/>
        <v>258</v>
      </c>
      <c r="AE744" s="32">
        <f t="shared" si="2071"/>
        <v>2200</v>
      </c>
      <c r="AF744" s="32">
        <f t="shared" si="2071"/>
        <v>3162</v>
      </c>
      <c r="AG744" s="32">
        <f t="shared" si="2071"/>
        <v>309</v>
      </c>
      <c r="AH744" s="32">
        <f t="shared" si="2071"/>
        <v>3471</v>
      </c>
      <c r="AI744" s="32">
        <f t="shared" si="2071"/>
        <v>5671</v>
      </c>
      <c r="AJ744" s="34">
        <f t="shared" si="2060"/>
        <v>212.2229333</v>
      </c>
      <c r="AK744" s="31">
        <v>7324.0</v>
      </c>
      <c r="AL744" s="35">
        <f t="shared" si="2062"/>
        <v>0.7743036592</v>
      </c>
      <c r="AM744" s="36">
        <f>SUM(Q747)</f>
        <v>1.5</v>
      </c>
      <c r="AN744" s="35">
        <f t="shared" si="2064"/>
        <v>0.5938199998</v>
      </c>
      <c r="AO744" s="37">
        <f t="shared" si="2065"/>
        <v>0.8907299996</v>
      </c>
      <c r="AP744" s="36">
        <f t="shared" ref="AP744:AQ744" si="2072">SUM(T747)</f>
        <v>154.5125106</v>
      </c>
      <c r="AQ744" s="36">
        <f t="shared" si="2072"/>
        <v>5.150417021</v>
      </c>
      <c r="AR744" s="32">
        <f t="shared" si="2067"/>
        <v>189.0333333</v>
      </c>
    </row>
    <row r="745" ht="15.75" customHeight="1">
      <c r="A745" s="21"/>
      <c r="B745" s="38">
        <v>12.0</v>
      </c>
      <c r="C745" s="38" t="s">
        <v>39</v>
      </c>
      <c r="D745" s="39">
        <v>28.0</v>
      </c>
      <c r="E745" s="40">
        <f>IFERROR(__xludf.DUMMYFUNCTION("COUNT(IMPORTRANGE(""https://docs.google.com/spreadsheets/d/1TAY2D35yAzyl8a_p5CuZehQvmatfj0b0Q8ICl8GtJBY/edit"",""28!d2:d29""))"),26.0)</f>
        <v>26</v>
      </c>
      <c r="F745" s="45">
        <f>IFERROR(__xludf.DUMMYFUNCTION("SUM(IMPORTRANGE(""https://docs.google.com/spreadsheets/d/1TAY2D35yAzyl8a_p5CuZehQvmatfj0b0Q8ICl8GtJBY/edit"",""28!Q2:Q29""))"),4996.514000000002)</f>
        <v>4996.514</v>
      </c>
      <c r="G745" s="40">
        <f>IFERROR(__xludf.DUMMYFUNCTION("IMPORTRANGE(""https://docs.google.com/spreadsheets/d/1TAY2D35yAzyl8a_p5CuZehQvmatfj0b0Q8ICl8GtJBY/edit"",""28!e36"")"),1287.0)</f>
        <v>1287</v>
      </c>
      <c r="H745" s="40">
        <f>IFERROR(__xludf.DUMMYFUNCTION("(IMPORTRANGE(""https://docs.google.com/spreadsheets/d/1TAY2D35yAzyl8a_p5CuZehQvmatfj0b0Q8ICl8GtJBY/edit"",""28!e37""))"),0.0)</f>
        <v>0</v>
      </c>
      <c r="I745" s="40">
        <f t="shared" si="2040"/>
        <v>1287</v>
      </c>
      <c r="J745" s="40">
        <f>IFERROR(__xludf.DUMMYFUNCTION("IMPORTRANGE(""https://docs.google.com/spreadsheets/d/1TAY2D35yAzyl8a_p5CuZehQvmatfj0b0Q8ICl8GtJBY/edit"",""28!e40"")"),1706.0)</f>
        <v>1706</v>
      </c>
      <c r="K745" s="40">
        <f>IFERROR(__xludf.DUMMYFUNCTION("IMPORTRANGE(""https://docs.google.com/spreadsheets/d/1TAY2D35yAzyl8a_p5CuZehQvmatfj0b0Q8ICl8GtJBY/edit"",""28!e41"")"),135.0)</f>
        <v>135</v>
      </c>
      <c r="L745" s="40">
        <f t="shared" si="2070"/>
        <v>1841</v>
      </c>
      <c r="M745" s="40">
        <f t="shared" si="2042"/>
        <v>3128</v>
      </c>
      <c r="N745" s="41">
        <f t="shared" si="2043"/>
        <v>192.1736154</v>
      </c>
      <c r="O745" s="38">
        <v>3569.0</v>
      </c>
      <c r="P745" s="42">
        <f t="shared" si="2044"/>
        <v>0.8764359765</v>
      </c>
      <c r="Q745" s="43">
        <v>1.5</v>
      </c>
      <c r="R745" s="42">
        <f t="shared" si="2045"/>
        <v>0.4173576484</v>
      </c>
      <c r="S745" s="44">
        <f t="shared" si="2046"/>
        <v>0.6260364726</v>
      </c>
      <c r="T745" s="43">
        <f>F745/21.463</f>
        <v>232.7966268</v>
      </c>
      <c r="U745" s="43">
        <f t="shared" si="2047"/>
        <v>8.953716414</v>
      </c>
      <c r="V745" s="40">
        <f t="shared" si="2048"/>
        <v>120.3076923</v>
      </c>
      <c r="X745" s="31">
        <v>5.0</v>
      </c>
      <c r="Y745" s="31" t="s">
        <v>40</v>
      </c>
      <c r="Z745" s="31">
        <f t="shared" ref="Z745:AI745" si="2073">SUM(D749)</f>
        <v>30</v>
      </c>
      <c r="AA745" s="32">
        <f t="shared" si="2073"/>
        <v>30</v>
      </c>
      <c r="AB745" s="33">
        <f t="shared" si="2073"/>
        <v>5675.045</v>
      </c>
      <c r="AC745" s="32">
        <f t="shared" si="2073"/>
        <v>3587</v>
      </c>
      <c r="AD745" s="32">
        <f t="shared" si="2073"/>
        <v>0</v>
      </c>
      <c r="AE745" s="32">
        <f t="shared" si="2073"/>
        <v>3587</v>
      </c>
      <c r="AF745" s="32">
        <f t="shared" si="2073"/>
        <v>3965</v>
      </c>
      <c r="AG745" s="32">
        <f t="shared" si="2073"/>
        <v>0</v>
      </c>
      <c r="AH745" s="32">
        <f t="shared" si="2073"/>
        <v>3965</v>
      </c>
      <c r="AI745" s="32">
        <f t="shared" si="2073"/>
        <v>7552</v>
      </c>
      <c r="AJ745" s="34">
        <f t="shared" si="2060"/>
        <v>189.1681667</v>
      </c>
      <c r="AK745" s="31">
        <f t="shared" ref="AK745:AK746" si="2076">SUM(O749)</f>
        <v>8239</v>
      </c>
      <c r="AL745" s="35">
        <f t="shared" si="2062"/>
        <v>0.9166160942</v>
      </c>
      <c r="AM745" s="36">
        <f t="shared" ref="AM745:AM746" si="2077">SUM(Q749)</f>
        <v>1.5</v>
      </c>
      <c r="AN745" s="35">
        <f t="shared" si="2064"/>
        <v>0.8871588977</v>
      </c>
      <c r="AO745" s="37">
        <f t="shared" si="2065"/>
        <v>1.330738347</v>
      </c>
      <c r="AP745" s="36">
        <f t="shared" ref="AP745:AQ745" si="2074">SUM(T749)</f>
        <v>199.5234328</v>
      </c>
      <c r="AQ745" s="36">
        <f t="shared" si="2074"/>
        <v>6.650781094</v>
      </c>
      <c r="AR745" s="32">
        <f t="shared" si="2067"/>
        <v>251.7333333</v>
      </c>
    </row>
    <row r="746" ht="15.75" customHeight="1">
      <c r="A746" s="21"/>
      <c r="B746" s="38">
        <v>12.0</v>
      </c>
      <c r="C746" s="38" t="s">
        <v>41</v>
      </c>
      <c r="D746" s="39">
        <v>24.0</v>
      </c>
      <c r="E746" s="40">
        <f>IFERROR(__xludf.DUMMYFUNCTION("COUNT(IMPORTRANGE(""https://docs.google.com/spreadsheets/d/1VAsUtLQHi7oV9NsI9EIHPnO1bcPJHeRgSbMoxSvPBME/edit"",""28!d2:d25""))"),24.0)</f>
        <v>24</v>
      </c>
      <c r="F746" s="45">
        <f>IFERROR(__xludf.DUMMYFUNCTION("SUM(IMPORTRANGE(""https://docs.google.com/spreadsheets/d/1VAsUtLQHi7oV9NsI9EIHPnO1bcPJHeRgSbMoxSvPBME/edit"",""28!Q2:Q25""))"),4806.32)</f>
        <v>4806.32</v>
      </c>
      <c r="G746" s="40">
        <f>IFERROR(__xludf.DUMMYFUNCTION("IMPORTRANGE(""https://docs.google.com/spreadsheets/d/1VAsUtLQHi7oV9NsI9EIHPnO1bcPJHeRgSbMoxSvPBME/edit"",""28!e32"")"),1436.0)</f>
        <v>1436</v>
      </c>
      <c r="H746" s="40">
        <f>IFERROR(__xludf.DUMMYFUNCTION("IMPORTRANGE(""https://docs.google.com/spreadsheets/d/1VAsUtLQHi7oV9NsI9EIHPnO1bcPJHeRgSbMoxSvPBME/edit"",""28!e33"")"),0.0)</f>
        <v>0</v>
      </c>
      <c r="I746" s="40">
        <f t="shared" si="2040"/>
        <v>1436</v>
      </c>
      <c r="J746" s="40">
        <f>IFERROR(__xludf.DUMMYFUNCTION("IMPORTRANGE(""https://docs.google.com/spreadsheets/d/1VAsUtLQHi7oV9NsI9EIHPnO1bcPJHeRgSbMoxSvPBME/edit"",""28!e36"")"),1639.0)</f>
        <v>1639</v>
      </c>
      <c r="K746" s="40">
        <f>IFERROR(__xludf.DUMMYFUNCTION("IMPORTRANGE(""https://docs.google.com/spreadsheets/d/1VAsUtLQHi7oV9NsI9EIHPnO1bcPJHeRgSbMoxSvPBME/edit"",""28!e37"")"),129.0)</f>
        <v>129</v>
      </c>
      <c r="L746" s="40">
        <f t="shared" si="2070"/>
        <v>1768</v>
      </c>
      <c r="M746" s="40">
        <f t="shared" si="2042"/>
        <v>3204</v>
      </c>
      <c r="N746" s="41">
        <f t="shared" si="2043"/>
        <v>200.2633333</v>
      </c>
      <c r="O746" s="38">
        <v>3801.0</v>
      </c>
      <c r="P746" s="42">
        <f t="shared" si="2044"/>
        <v>0.8429360695</v>
      </c>
      <c r="Q746" s="43">
        <v>1.5</v>
      </c>
      <c r="R746" s="42">
        <f t="shared" si="2045"/>
        <v>0.4444148538</v>
      </c>
      <c r="S746" s="44">
        <f t="shared" si="2046"/>
        <v>0.6666222807</v>
      </c>
      <c r="T746" s="43">
        <f>F746/29.628</f>
        <v>162.2222222</v>
      </c>
      <c r="U746" s="43">
        <f t="shared" si="2047"/>
        <v>6.759259259</v>
      </c>
      <c r="V746" s="40">
        <f t="shared" si="2048"/>
        <v>133.5</v>
      </c>
      <c r="X746" s="22">
        <v>6.0</v>
      </c>
      <c r="Y746" s="22" t="s">
        <v>42</v>
      </c>
      <c r="Z746" s="22">
        <f t="shared" ref="Z746:AI746" si="2075">SUM(D750)</f>
        <v>33</v>
      </c>
      <c r="AA746" s="23">
        <f t="shared" si="2075"/>
        <v>32</v>
      </c>
      <c r="AB746" s="24">
        <f t="shared" si="2075"/>
        <v>6317.203</v>
      </c>
      <c r="AC746" s="23">
        <f t="shared" si="2075"/>
        <v>3464</v>
      </c>
      <c r="AD746" s="23">
        <f t="shared" si="2075"/>
        <v>43</v>
      </c>
      <c r="AE746" s="23">
        <f t="shared" si="2075"/>
        <v>3507</v>
      </c>
      <c r="AF746" s="23">
        <f t="shared" si="2075"/>
        <v>3637</v>
      </c>
      <c r="AG746" s="23">
        <f t="shared" si="2075"/>
        <v>126</v>
      </c>
      <c r="AH746" s="23">
        <f t="shared" si="2075"/>
        <v>3763</v>
      </c>
      <c r="AI746" s="23">
        <f t="shared" si="2075"/>
        <v>7270</v>
      </c>
      <c r="AJ746" s="25">
        <f t="shared" si="2060"/>
        <v>197.4125938</v>
      </c>
      <c r="AK746" s="22">
        <f t="shared" si="2076"/>
        <v>9877</v>
      </c>
      <c r="AL746" s="26">
        <f t="shared" si="2062"/>
        <v>0.7360534575</v>
      </c>
      <c r="AM746" s="27">
        <f t="shared" si="2077"/>
        <v>1.5</v>
      </c>
      <c r="AN746" s="26">
        <f t="shared" si="2064"/>
        <v>0.7672171793</v>
      </c>
      <c r="AO746" s="28">
        <f t="shared" si="2065"/>
        <v>1.150825769</v>
      </c>
      <c r="AP746" s="27">
        <f t="shared" ref="AP746:AQ746" si="2078">SUM(T750)</f>
        <v>241.529459</v>
      </c>
      <c r="AQ746" s="27">
        <f t="shared" si="2078"/>
        <v>7.547795594</v>
      </c>
      <c r="AR746" s="23">
        <f t="shared" si="2067"/>
        <v>227.1875</v>
      </c>
    </row>
    <row r="747" ht="15.75" customHeight="1">
      <c r="A747" s="21"/>
      <c r="B747" s="38">
        <v>13.0</v>
      </c>
      <c r="C747" s="38" t="s">
        <v>43</v>
      </c>
      <c r="D747" s="39">
        <v>30.0</v>
      </c>
      <c r="E747" s="40">
        <f>IFERROR(__xludf.DUMMYFUNCTION("COUNT(IMPORTRANGE(""https://docs.google.com/spreadsheets/d/1p9Y_DGk7-TpRBFth-ljZceOIGCjQ0ylUeUq6xqnsZ-Q/edit"",""28!d2:d31""))"),30.0)</f>
        <v>30</v>
      </c>
      <c r="F747" s="45">
        <f>IFERROR(__xludf.DUMMYFUNCTION("SUM(IMPORTRANGE(""https://docs.google.com/spreadsheets/d/1p9Y_DGk7-TpRBFth-ljZceOIGCjQ0ylUeUq6xqnsZ-Q/edit"",""28!Q2:Q31""))"),6366.687999999998)</f>
        <v>6366.688</v>
      </c>
      <c r="G747" s="40">
        <f>IFERROR(__xludf.DUMMYFUNCTION("IMPORTRANGE(""https://docs.google.com/spreadsheets/d/1p9Y_DGk7-TpRBFth-ljZceOIGCjQ0ylUeUq6xqnsZ-Q/edit"",""28!e38"")"),1942.0)</f>
        <v>1942</v>
      </c>
      <c r="H747" s="40">
        <f>IFERROR(__xludf.DUMMYFUNCTION("IMPORTRANGE(""https://docs.google.com/spreadsheets/d/1p9Y_DGk7-TpRBFth-ljZceOIGCjQ0ylUeUq6xqnsZ-Q/edit"",""28!e39"")"),258.0)</f>
        <v>258</v>
      </c>
      <c r="I747" s="40">
        <f t="shared" si="2040"/>
        <v>2200</v>
      </c>
      <c r="J747" s="40">
        <f>IFERROR(__xludf.DUMMYFUNCTION("IMPORTRANGE(""https://docs.google.com/spreadsheets/d/1p9Y_DGk7-TpRBFth-ljZceOIGCjQ0ylUeUq6xqnsZ-Q/edit"",""28!e42"")"),3162.0)</f>
        <v>3162</v>
      </c>
      <c r="K747" s="40">
        <f>IFERROR(__xludf.DUMMYFUNCTION("IMPORTRANGE(""https://docs.google.com/spreadsheets/d/1p9Y_DGk7-TpRBFth-ljZceOIGCjQ0ylUeUq6xqnsZ-Q/edit"",""28!e43"")"),309.0)</f>
        <v>309</v>
      </c>
      <c r="L747" s="40">
        <f t="shared" si="2070"/>
        <v>3471</v>
      </c>
      <c r="M747" s="40">
        <f t="shared" si="2042"/>
        <v>5671</v>
      </c>
      <c r="N747" s="41">
        <f t="shared" si="2043"/>
        <v>212.2229333</v>
      </c>
      <c r="O747" s="38">
        <v>8345.0</v>
      </c>
      <c r="P747" s="42">
        <f t="shared" si="2044"/>
        <v>0.679568604</v>
      </c>
      <c r="Q747" s="43">
        <v>1.5</v>
      </c>
      <c r="R747" s="42">
        <f t="shared" si="2045"/>
        <v>0.5938199998</v>
      </c>
      <c r="S747" s="44">
        <f t="shared" si="2046"/>
        <v>0.8907299996</v>
      </c>
      <c r="T747" s="43">
        <f>F747/41.205</f>
        <v>154.5125106</v>
      </c>
      <c r="U747" s="43">
        <f t="shared" si="2047"/>
        <v>5.150417021</v>
      </c>
      <c r="V747" s="40">
        <f t="shared" si="2048"/>
        <v>189.0333333</v>
      </c>
      <c r="X747" s="46" t="s">
        <v>33</v>
      </c>
      <c r="Y747" s="46">
        <v>6.0</v>
      </c>
      <c r="Z747" s="46">
        <f t="shared" ref="Z747:AI747" si="2079">SUM(Z741:Z746)</f>
        <v>226</v>
      </c>
      <c r="AA747" s="47">
        <f t="shared" si="2079"/>
        <v>223</v>
      </c>
      <c r="AB747" s="49">
        <f t="shared" si="2079"/>
        <v>44247.154</v>
      </c>
      <c r="AC747" s="47">
        <f t="shared" si="2079"/>
        <v>18281</v>
      </c>
      <c r="AD747" s="47">
        <f t="shared" si="2079"/>
        <v>516</v>
      </c>
      <c r="AE747" s="47">
        <f t="shared" si="2079"/>
        <v>18797</v>
      </c>
      <c r="AF747" s="47">
        <f t="shared" si="2079"/>
        <v>21065</v>
      </c>
      <c r="AG747" s="47">
        <f t="shared" si="2079"/>
        <v>824</v>
      </c>
      <c r="AH747" s="47">
        <f t="shared" si="2079"/>
        <v>21889</v>
      </c>
      <c r="AI747" s="47">
        <f t="shared" si="2079"/>
        <v>40686</v>
      </c>
      <c r="AJ747" s="49">
        <f t="shared" si="2060"/>
        <v>198.4177309</v>
      </c>
      <c r="AK747" s="46">
        <f>SUM(AK741:AK746)</f>
        <v>53273</v>
      </c>
      <c r="AL747" s="50">
        <f t="shared" si="2062"/>
        <v>0.7637264656</v>
      </c>
      <c r="AM747" s="51">
        <v>1.5</v>
      </c>
      <c r="AN747" s="50">
        <f t="shared" si="2064"/>
        <v>0.6130111781</v>
      </c>
      <c r="AO747" s="52">
        <f t="shared" si="2065"/>
        <v>0.9195167671</v>
      </c>
      <c r="AP747" s="51">
        <f>SUM(AP741:AP746)</f>
        <v>1451.612588</v>
      </c>
      <c r="AQ747" s="51">
        <f>AP747/AA747</f>
        <v>6.509473487</v>
      </c>
      <c r="AR747" s="47">
        <f t="shared" si="2067"/>
        <v>182.4484305</v>
      </c>
    </row>
    <row r="748" ht="15.75" customHeight="1">
      <c r="A748" s="21"/>
      <c r="B748" s="38">
        <v>14.0</v>
      </c>
      <c r="C748" s="38" t="s">
        <v>27</v>
      </c>
      <c r="D748" s="39">
        <v>30.0</v>
      </c>
      <c r="E748" s="40">
        <f>IFERROR(__xludf.DUMMYFUNCTION("COUNT(IMPORTRANGE(""https://docs.google.com/spreadsheets/d/1zJUDEKztv_fercXA0LYNw155qdzS7TJGhWLhquaW5IY/edit"",""28!d2:d31""))"),27.0)</f>
        <v>27</v>
      </c>
      <c r="F748" s="45">
        <f>IFERROR(__xludf.DUMMYFUNCTION("SUM(IMPORTRANGE(""https://docs.google.com/spreadsheets/d/1zJUDEKztv_fercXA0LYNw155qdzS7TJGhWLhquaW5IY/edit"",""28!Q2:Q31""))"),5185.969999999999)</f>
        <v>5185.97</v>
      </c>
      <c r="G748" s="40">
        <f>IFERROR(__xludf.DUMMYFUNCTION("IMPORTRANGE(""https://docs.google.com/spreadsheets/d/1zJUDEKztv_fercXA0LYNw155qdzS7TJGhWLhquaW5IY/edit"",""28!e38"")"),2394.0)</f>
        <v>2394</v>
      </c>
      <c r="H748" s="40">
        <f>IFERROR(__xludf.DUMMYFUNCTION("IMPORTRANGE(""https://docs.google.com/spreadsheets/d/1zJUDEKztv_fercXA0LYNw155qdzS7TJGhWLhquaW5IY/edit"",""28!e39"")"),96.0)</f>
        <v>96</v>
      </c>
      <c r="I748" s="40">
        <f t="shared" si="2040"/>
        <v>2490</v>
      </c>
      <c r="J748" s="40">
        <f>IFERROR(__xludf.DUMMYFUNCTION("IMPORTRANGE(""https://docs.google.com/spreadsheets/d/1zJUDEKztv_fercXA0LYNw155qdzS7TJGhWLhquaW5IY/edit"",""28!e42"")"),3106.0)</f>
        <v>3106</v>
      </c>
      <c r="K748" s="40">
        <f>IFERROR(__xludf.DUMMYFUNCTION("IMPORTRANGE(""https://docs.google.com/spreadsheets/d/1zJUDEKztv_fercXA0LYNw155qdzS7TJGhWLhquaW5IY/edit"",""28!e43"")"),111.0)</f>
        <v>111</v>
      </c>
      <c r="L748" s="40">
        <f t="shared" si="2070"/>
        <v>3217</v>
      </c>
      <c r="M748" s="40">
        <f t="shared" si="2042"/>
        <v>5707</v>
      </c>
      <c r="N748" s="41">
        <f t="shared" si="2043"/>
        <v>192.072963</v>
      </c>
      <c r="O748" s="38">
        <v>8101.0</v>
      </c>
      <c r="P748" s="42">
        <f t="shared" si="2044"/>
        <v>0.7044809283</v>
      </c>
      <c r="Q748" s="43">
        <v>1.5</v>
      </c>
      <c r="R748" s="42">
        <f t="shared" si="2045"/>
        <v>0.7336461003</v>
      </c>
      <c r="S748" s="44">
        <f t="shared" si="2046"/>
        <v>1.10046915</v>
      </c>
      <c r="T748" s="43">
        <f>F748/19.985</f>
        <v>259.4931198</v>
      </c>
      <c r="U748" s="43">
        <f t="shared" si="2047"/>
        <v>9.61085629</v>
      </c>
      <c r="V748" s="40">
        <f t="shared" si="2048"/>
        <v>211.3703704</v>
      </c>
      <c r="X748" s="59" t="s">
        <v>44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6"/>
    </row>
    <row r="749" ht="15.75" customHeight="1">
      <c r="A749" s="21"/>
      <c r="B749" s="38">
        <v>15.0</v>
      </c>
      <c r="C749" s="38" t="s">
        <v>40</v>
      </c>
      <c r="D749" s="39">
        <v>30.0</v>
      </c>
      <c r="E749" s="40">
        <f>IFERROR(__xludf.DUMMYFUNCTION("COUNT(IMPORTRANGE(""https://docs.google.com/spreadsheets/d/15GJA66Ucb-8RQ5vWVpq5HYaWoZZFX82SCeHChBujbrI/edit"",""28!d2:d31""))"),30.0)</f>
        <v>30</v>
      </c>
      <c r="F749" s="45">
        <f>IFERROR(__xludf.DUMMYFUNCTION("SUM(IMPORTRANGE(""https://docs.google.com/spreadsheets/d/15GJA66Ucb-8RQ5vWVpq5HYaWoZZFX82SCeHChBujbrI/edit"",""28!Q2:Q31""))"),5675.044999999998)</f>
        <v>5675.045</v>
      </c>
      <c r="G749" s="40">
        <f>IFERROR(__xludf.DUMMYFUNCTION("IMPORTRANGE(""https://docs.google.com/spreadsheets/d/15GJA66Ucb-8RQ5vWVpq5HYaWoZZFX82SCeHChBujbrI/edit"",""28!e38"")"),3587.0)</f>
        <v>3587</v>
      </c>
      <c r="H749" s="40">
        <f>IFERROR(__xludf.DUMMYFUNCTION("IMPORTRANGE(""https://docs.google.com/spreadsheets/d/15GJA66Ucb-8RQ5vWVpq5HYaWoZZFX82SCeHChBujbrI/edit"",""28!e39"")"),0.0)</f>
        <v>0</v>
      </c>
      <c r="I749" s="40">
        <f t="shared" si="2040"/>
        <v>3587</v>
      </c>
      <c r="J749" s="40">
        <f>IFERROR(__xludf.DUMMYFUNCTION("IMPORTRANGE(""https://docs.google.com/spreadsheets/d/15GJA66Ucb-8RQ5vWVpq5HYaWoZZFX82SCeHChBujbrI/edit"",""28!e42"")"),3965.0)</f>
        <v>3965</v>
      </c>
      <c r="K749" s="40">
        <f>IFERROR(__xludf.DUMMYFUNCTION("IMPORTRANGE(""https://docs.google.com/spreadsheets/d/15GJA66Ucb-8RQ5vWVpq5HYaWoZZFX82SCeHChBujbrI/edit"",""28!e43"")"),0.0)</f>
        <v>0</v>
      </c>
      <c r="L749" s="40">
        <f t="shared" si="2070"/>
        <v>3965</v>
      </c>
      <c r="M749" s="40">
        <f t="shared" si="2042"/>
        <v>7552</v>
      </c>
      <c r="N749" s="41">
        <f t="shared" si="2043"/>
        <v>189.1681667</v>
      </c>
      <c r="O749" s="38">
        <v>8239.0</v>
      </c>
      <c r="P749" s="42">
        <f t="shared" si="2044"/>
        <v>0.9166160942</v>
      </c>
      <c r="Q749" s="43">
        <v>1.5</v>
      </c>
      <c r="R749" s="42">
        <f t="shared" si="2045"/>
        <v>0.8871588977</v>
      </c>
      <c r="S749" s="44">
        <f t="shared" si="2046"/>
        <v>1.330738347</v>
      </c>
      <c r="T749" s="43">
        <f>F749/28.443</f>
        <v>199.5234328</v>
      </c>
      <c r="U749" s="43">
        <f t="shared" si="2047"/>
        <v>6.650781094</v>
      </c>
      <c r="V749" s="40">
        <f t="shared" si="2048"/>
        <v>251.7333333</v>
      </c>
      <c r="X749" s="14" t="s">
        <v>2</v>
      </c>
      <c r="Y749" s="14" t="s">
        <v>3</v>
      </c>
      <c r="Z749" s="14" t="s">
        <v>4</v>
      </c>
      <c r="AA749" s="14" t="s">
        <v>5</v>
      </c>
      <c r="AB749" s="15" t="s">
        <v>6</v>
      </c>
      <c r="AC749" s="14" t="s">
        <v>7</v>
      </c>
      <c r="AD749" s="14" t="s">
        <v>8</v>
      </c>
      <c r="AE749" s="14" t="s">
        <v>9</v>
      </c>
      <c r="AF749" s="14" t="s">
        <v>10</v>
      </c>
      <c r="AG749" s="14" t="s">
        <v>11</v>
      </c>
      <c r="AH749" s="14" t="s">
        <v>12</v>
      </c>
      <c r="AI749" s="14" t="s">
        <v>13</v>
      </c>
      <c r="AJ749" s="15" t="s">
        <v>14</v>
      </c>
      <c r="AK749" s="14" t="s">
        <v>15</v>
      </c>
      <c r="AL749" s="14" t="s">
        <v>16</v>
      </c>
      <c r="AM749" s="16" t="s">
        <v>17</v>
      </c>
      <c r="AN749" s="17" t="s">
        <v>18</v>
      </c>
      <c r="AO749" s="18" t="s">
        <v>19</v>
      </c>
      <c r="AP749" s="19" t="s">
        <v>20</v>
      </c>
      <c r="AQ749" s="19" t="s">
        <v>21</v>
      </c>
      <c r="AR749" s="20" t="s">
        <v>22</v>
      </c>
    </row>
    <row r="750" ht="15.75" customHeight="1">
      <c r="A750" s="21"/>
      <c r="B750" s="38">
        <v>16.0</v>
      </c>
      <c r="C750" s="38" t="s">
        <v>42</v>
      </c>
      <c r="D750" s="39">
        <v>33.0</v>
      </c>
      <c r="E750" s="40">
        <f>IFERROR(__xludf.DUMMYFUNCTION("COUNT(IMPORTRANGE(""https://docs.google.com/spreadsheets/d/14Tu_jFPEdrIQ6DHYu6vRvJKQsbXr-48NY1tKy4-8JKI/edit"",""28!d2:d34""))"),32.0)</f>
        <v>32</v>
      </c>
      <c r="F750" s="45">
        <f>IFERROR(__xludf.DUMMYFUNCTION("SUM(IMPORTRANGE(""https://docs.google.com/spreadsheets/d/14Tu_jFPEdrIQ6DHYu6vRvJKQsbXr-48NY1tKy4-8JKI/edit"",""28!Q2:Q34""))"),6317.202999999999)</f>
        <v>6317.203</v>
      </c>
      <c r="G750" s="40">
        <f>IFERROR(__xludf.DUMMYFUNCTION("IMPORTRANGE(""https://docs.google.com/spreadsheets/d/14Tu_jFPEdrIQ6DHYu6vRvJKQsbXr-48NY1tKy4-8JKI/edit"",""28!e41"")"),3464.0)</f>
        <v>3464</v>
      </c>
      <c r="H750" s="40">
        <f>IFERROR(__xludf.DUMMYFUNCTION("IMPORTRANGE(""https://docs.google.com/spreadsheets/d/14Tu_jFPEdrIQ6DHYu6vRvJKQsbXr-48NY1tKy4-8JKI/edit"",""28!e42"")"),43.0)</f>
        <v>43</v>
      </c>
      <c r="I750" s="40">
        <f t="shared" si="2040"/>
        <v>3507</v>
      </c>
      <c r="J750" s="40">
        <f>IFERROR(__xludf.DUMMYFUNCTION("IMPORTRANGE(""https://docs.google.com/spreadsheets/d/14Tu_jFPEdrIQ6DHYu6vRvJKQsbXr-48NY1tKy4-8JKI/edit"",""28!e45"")"),3637.0)</f>
        <v>3637</v>
      </c>
      <c r="K750" s="40">
        <f>IFERROR(__xludf.DUMMYFUNCTION("IMPORTRANGE(""https://docs.google.com/spreadsheets/d/14Tu_jFPEdrIQ6DHYu6vRvJKQsbXr-48NY1tKy4-8JKI/edit"",""28!e46"")"),126.0)</f>
        <v>126</v>
      </c>
      <c r="L750" s="40">
        <f t="shared" si="2070"/>
        <v>3763</v>
      </c>
      <c r="M750" s="40">
        <f t="shared" si="2042"/>
        <v>7270</v>
      </c>
      <c r="N750" s="41">
        <f t="shared" si="2043"/>
        <v>197.4125938</v>
      </c>
      <c r="O750" s="38">
        <v>9877.0</v>
      </c>
      <c r="P750" s="42">
        <f t="shared" si="2044"/>
        <v>0.7360534575</v>
      </c>
      <c r="Q750" s="43">
        <v>1.5</v>
      </c>
      <c r="R750" s="42">
        <f t="shared" si="2045"/>
        <v>0.7672171793</v>
      </c>
      <c r="S750" s="44">
        <f t="shared" si="2046"/>
        <v>1.150825769</v>
      </c>
      <c r="T750" s="43">
        <f>F750/26.155</f>
        <v>241.529459</v>
      </c>
      <c r="U750" s="43">
        <f t="shared" si="2047"/>
        <v>7.547795594</v>
      </c>
      <c r="V750" s="40">
        <f t="shared" si="2048"/>
        <v>227.1875</v>
      </c>
      <c r="X750" s="31">
        <v>1.0</v>
      </c>
      <c r="Y750" s="31" t="s">
        <v>26</v>
      </c>
      <c r="Z750" s="31">
        <f t="shared" ref="Z750:AI750" si="2080">SUM(D735)</f>
        <v>20</v>
      </c>
      <c r="AA750" s="32">
        <f t="shared" si="2080"/>
        <v>20</v>
      </c>
      <c r="AB750" s="34">
        <f t="shared" si="2080"/>
        <v>3950.322</v>
      </c>
      <c r="AC750" s="32">
        <f t="shared" si="2080"/>
        <v>2448</v>
      </c>
      <c r="AD750" s="32">
        <f t="shared" si="2080"/>
        <v>0</v>
      </c>
      <c r="AE750" s="32">
        <f t="shared" si="2080"/>
        <v>2448</v>
      </c>
      <c r="AF750" s="32">
        <f t="shared" si="2080"/>
        <v>2383</v>
      </c>
      <c r="AG750" s="32">
        <f t="shared" si="2080"/>
        <v>0</v>
      </c>
      <c r="AH750" s="32">
        <f t="shared" si="2080"/>
        <v>2383</v>
      </c>
      <c r="AI750" s="32">
        <f t="shared" si="2080"/>
        <v>4831</v>
      </c>
      <c r="AJ750" s="34">
        <f t="shared" ref="AJ750:AJ756" si="2083">AB750/AA750</f>
        <v>197.5161</v>
      </c>
      <c r="AK750" s="31">
        <f>SUM(O735)</f>
        <v>5161</v>
      </c>
      <c r="AL750" s="35">
        <f t="shared" ref="AL750:AL756" si="2084">AI750/AK750</f>
        <v>0.9360589033</v>
      </c>
      <c r="AM750" s="36">
        <f>SUM(Q735)</f>
        <v>1.5</v>
      </c>
      <c r="AN750" s="35">
        <f t="shared" ref="AN750:AN756" si="2085">AO750/AM750</f>
        <v>0.815292188</v>
      </c>
      <c r="AO750" s="37">
        <f t="shared" ref="AO750:AO756" si="2086">AI750/AB750</f>
        <v>1.222938282</v>
      </c>
      <c r="AP750" s="36">
        <f t="shared" ref="AP750:AQ750" si="2081">SUM(T735)</f>
        <v>274.0424558</v>
      </c>
      <c r="AQ750" s="36">
        <f t="shared" si="2081"/>
        <v>13.70212279</v>
      </c>
      <c r="AR750" s="32">
        <f t="shared" ref="AR750:AR756" si="2088">AI750/AA750</f>
        <v>241.55</v>
      </c>
    </row>
    <row r="751" ht="15.75" customHeight="1">
      <c r="A751" s="21"/>
      <c r="B751" s="38">
        <v>17.0</v>
      </c>
      <c r="C751" s="38" t="s">
        <v>29</v>
      </c>
      <c r="D751" s="39">
        <v>30.0</v>
      </c>
      <c r="E751" s="40">
        <f>IFERROR(__xludf.DUMMYFUNCTION("COUNT(IMPORTRANGE(""https://docs.google.com/spreadsheets/d/1ja_RQYsP0p5wRrACHojay4CW1wLx0QdS5tSwp-vYQ-s/edit"",""28!d2:d31""))"),30.0)</f>
        <v>30</v>
      </c>
      <c r="F751" s="45">
        <f>IFERROR(__xludf.DUMMYFUNCTION("SUM(IMPORTRANGE(""https://docs.google.com/spreadsheets/d/1ja_RQYsP0p5wRrACHojay4CW1wLx0QdS5tSwp-vYQ-s/edit"",""28!Q2:Q31""))"),6172.4029999999975)</f>
        <v>6172.403</v>
      </c>
      <c r="G751" s="40">
        <f>IFERROR(__xludf.DUMMYFUNCTION("IMPORTRANGE(""https://docs.google.com/spreadsheets/d/1ja_RQYsP0p5wRrACHojay4CW1wLx0QdS5tSwp-vYQ-s/edit"",""28!e38"")"),3072.0)</f>
        <v>3072</v>
      </c>
      <c r="H751" s="40">
        <f>IFERROR(__xludf.DUMMYFUNCTION("IMPORTRANGE(""https://docs.google.com/spreadsheets/d/1ja_RQYsP0p5wRrACHojay4CW1wLx0QdS5tSwp-vYQ-s/edit"",""28!e39"")"),0.0)</f>
        <v>0</v>
      </c>
      <c r="I751" s="40">
        <f t="shared" si="2040"/>
        <v>3072</v>
      </c>
      <c r="J751" s="40">
        <f>IFERROR(__xludf.DUMMYFUNCTION("IMPORTRANGE(""https://docs.google.com/spreadsheets/d/1ja_RQYsP0p5wRrACHojay4CW1wLx0QdS5tSwp-vYQ-s/edit"",""28!e42"")"),4164.0)</f>
        <v>4164</v>
      </c>
      <c r="K751" s="40">
        <f>IFERROR(__xludf.DUMMYFUNCTION("IMPORTRANGE(""https://docs.google.com/spreadsheets/d/1ja_RQYsP0p5wRrACHojay4CW1wLx0QdS5tSwp-vYQ-s/edit"",""28!e43"")"),0.0)</f>
        <v>0</v>
      </c>
      <c r="L751" s="40">
        <f t="shared" si="2070"/>
        <v>4164</v>
      </c>
      <c r="M751" s="40">
        <f t="shared" si="2042"/>
        <v>7236</v>
      </c>
      <c r="N751" s="41">
        <f t="shared" si="2043"/>
        <v>205.7467667</v>
      </c>
      <c r="O751" s="38">
        <v>9201.0</v>
      </c>
      <c r="P751" s="42">
        <f t="shared" si="2044"/>
        <v>0.7864362569</v>
      </c>
      <c r="Q751" s="43">
        <v>1.5</v>
      </c>
      <c r="R751" s="42">
        <f t="shared" si="2045"/>
        <v>0.7815432661</v>
      </c>
      <c r="S751" s="44">
        <f t="shared" si="2046"/>
        <v>1.172314899</v>
      </c>
      <c r="T751" s="43">
        <f>F751/26.491</f>
        <v>233</v>
      </c>
      <c r="U751" s="43">
        <f t="shared" si="2047"/>
        <v>7.766666667</v>
      </c>
      <c r="V751" s="40">
        <f t="shared" si="2048"/>
        <v>241.2</v>
      </c>
      <c r="X751" s="31">
        <v>2.0</v>
      </c>
      <c r="Y751" s="31" t="s">
        <v>32</v>
      </c>
      <c r="Z751" s="31">
        <f t="shared" ref="Z751:AI751" si="2082">SUM(D738)</f>
        <v>42</v>
      </c>
      <c r="AA751" s="32">
        <f t="shared" si="2082"/>
        <v>42</v>
      </c>
      <c r="AB751" s="33">
        <f t="shared" si="2082"/>
        <v>8329.548</v>
      </c>
      <c r="AC751" s="31">
        <f t="shared" si="2082"/>
        <v>4813</v>
      </c>
      <c r="AD751" s="31">
        <f t="shared" si="2082"/>
        <v>0</v>
      </c>
      <c r="AE751" s="32">
        <f t="shared" si="2082"/>
        <v>4813</v>
      </c>
      <c r="AF751" s="31">
        <f t="shared" si="2082"/>
        <v>5794</v>
      </c>
      <c r="AG751" s="31">
        <f t="shared" si="2082"/>
        <v>0</v>
      </c>
      <c r="AH751" s="32">
        <f t="shared" si="2082"/>
        <v>5794</v>
      </c>
      <c r="AI751" s="32">
        <f t="shared" si="2082"/>
        <v>10607</v>
      </c>
      <c r="AJ751" s="34">
        <f t="shared" si="2083"/>
        <v>198.3225714</v>
      </c>
      <c r="AK751" s="31">
        <f>SUM(O738)</f>
        <v>13817</v>
      </c>
      <c r="AL751" s="35">
        <f t="shared" si="2084"/>
        <v>0.7676774987</v>
      </c>
      <c r="AM751" s="36">
        <f>SUM(Q738)</f>
        <v>1.5</v>
      </c>
      <c r="AN751" s="35">
        <f t="shared" si="2085"/>
        <v>0.8489456251</v>
      </c>
      <c r="AO751" s="37">
        <f t="shared" si="2086"/>
        <v>1.273418438</v>
      </c>
      <c r="AP751" s="36">
        <f t="shared" ref="AP751:AQ751" si="2087">SUM(T738)</f>
        <v>332</v>
      </c>
      <c r="AQ751" s="36">
        <f t="shared" si="2087"/>
        <v>7.904761905</v>
      </c>
      <c r="AR751" s="32">
        <f t="shared" si="2088"/>
        <v>252.547619</v>
      </c>
    </row>
    <row r="752" ht="15.75" customHeight="1">
      <c r="A752" s="21"/>
      <c r="B752" s="38">
        <v>18.0</v>
      </c>
      <c r="C752" s="38" t="s">
        <v>31</v>
      </c>
      <c r="D752" s="39">
        <v>15.0</v>
      </c>
      <c r="E752" s="40">
        <f>IFERROR(__xludf.DUMMYFUNCTION("COUNT(IMPORTRANGE(""https://docs.google.com/spreadsheets/d/1ObnK1oSznTOmyW9Zcd2kxExl7TOnO2MNq_0giEKc_mE/edit"",""28!d2:d16""))"),14.0)</f>
        <v>14</v>
      </c>
      <c r="F752" s="41">
        <f>IFERROR(__xludf.DUMMYFUNCTION("SUM(IMPORTRANGE(""https://docs.google.com/spreadsheets/d/1ObnK1oSznTOmyW9Zcd2kxExl7TOnO2MNq_0giEKc_mE/edit"",""28!Q2:Q16""))"),2694.8299999999995)</f>
        <v>2694.83</v>
      </c>
      <c r="G752" s="40">
        <f>IFERROR(__xludf.DUMMYFUNCTION("IMPORTRANGE(""https://docs.google.com/spreadsheets/d/1ObnK1oSznTOmyW9Zcd2kxExl7TOnO2MNq_0giEKc_mE/edit"",""28!e23"")"),866.0)</f>
        <v>866</v>
      </c>
      <c r="H752" s="40">
        <f>IFERROR(__xludf.DUMMYFUNCTION("IMPORTRANGE(""https://docs.google.com/spreadsheets/d/1ObnK1oSznTOmyW9Zcd2kxExl7TOnO2MNq_0giEKc_mE/edit"",""28!e24"")"),0.0)</f>
        <v>0</v>
      </c>
      <c r="I752" s="40">
        <f t="shared" si="2040"/>
        <v>866</v>
      </c>
      <c r="J752" s="40">
        <f>IFERROR(__xludf.DUMMYFUNCTION("IMPORTRANGE(""https://docs.google.com/spreadsheets/d/1ObnK1oSznTOmyW9Zcd2kxExl7TOnO2MNq_0giEKc_mE/edit"",""28!e27"")"),1072.0)</f>
        <v>1072</v>
      </c>
      <c r="K752" s="40">
        <f>IFERROR(__xludf.DUMMYFUNCTION("IMPORTRANGE(""https://docs.google.com/spreadsheets/d/1ObnK1oSznTOmyW9Zcd2kxExl7TOnO2MNq_0giEKc_mE/edit"",""28!e28"")"),12.0)</f>
        <v>12</v>
      </c>
      <c r="L752" s="40">
        <f t="shared" si="2070"/>
        <v>1084</v>
      </c>
      <c r="M752" s="40">
        <f t="shared" si="2042"/>
        <v>1950</v>
      </c>
      <c r="N752" s="41">
        <f t="shared" si="2043"/>
        <v>192.4878571</v>
      </c>
      <c r="O752" s="38">
        <v>2717.0</v>
      </c>
      <c r="P752" s="42">
        <f t="shared" si="2044"/>
        <v>0.7177033493</v>
      </c>
      <c r="Q752" s="43">
        <v>1.5</v>
      </c>
      <c r="R752" s="42">
        <f t="shared" si="2045"/>
        <v>0.4824051981</v>
      </c>
      <c r="S752" s="44">
        <f t="shared" si="2046"/>
        <v>0.7236077972</v>
      </c>
      <c r="T752" s="43">
        <f>F752/43.465</f>
        <v>62</v>
      </c>
      <c r="U752" s="43">
        <f t="shared" si="2047"/>
        <v>4.428571429</v>
      </c>
      <c r="V752" s="40">
        <f t="shared" si="2048"/>
        <v>139.2857143</v>
      </c>
      <c r="X752" s="31">
        <v>3.0</v>
      </c>
      <c r="Y752" s="31" t="s">
        <v>36</v>
      </c>
      <c r="Z752" s="31">
        <f t="shared" ref="Z752:AI752" si="2089">SUM(D743)</f>
        <v>30</v>
      </c>
      <c r="AA752" s="32">
        <f t="shared" si="2089"/>
        <v>30</v>
      </c>
      <c r="AB752" s="33">
        <f t="shared" si="2089"/>
        <v>5905.028</v>
      </c>
      <c r="AC752" s="32">
        <f t="shared" si="2089"/>
        <v>1727</v>
      </c>
      <c r="AD752" s="32">
        <f t="shared" si="2089"/>
        <v>0</v>
      </c>
      <c r="AE752" s="32">
        <f t="shared" si="2089"/>
        <v>1727</v>
      </c>
      <c r="AF752" s="32">
        <f t="shared" si="2089"/>
        <v>2137</v>
      </c>
      <c r="AG752" s="32">
        <f t="shared" si="2089"/>
        <v>50</v>
      </c>
      <c r="AH752" s="32">
        <f t="shared" si="2089"/>
        <v>2187</v>
      </c>
      <c r="AI752" s="32">
        <f t="shared" si="2089"/>
        <v>3914</v>
      </c>
      <c r="AJ752" s="34">
        <f t="shared" si="2083"/>
        <v>196.8342667</v>
      </c>
      <c r="AK752" s="31">
        <f t="shared" ref="AK752:AK755" si="2093">SUM(O743)</f>
        <v>4796</v>
      </c>
      <c r="AL752" s="35">
        <f t="shared" si="2084"/>
        <v>0.8160967473</v>
      </c>
      <c r="AM752" s="36">
        <f t="shared" ref="AM752:AM755" si="2094">SUM(Q743)</f>
        <v>1.5</v>
      </c>
      <c r="AN752" s="35">
        <f t="shared" si="2085"/>
        <v>0.4418833125</v>
      </c>
      <c r="AO752" s="37">
        <f t="shared" si="2086"/>
        <v>0.6628249688</v>
      </c>
      <c r="AP752" s="36">
        <f t="shared" ref="AP752:AQ752" si="2090">SUM(T743)</f>
        <v>157.8293687</v>
      </c>
      <c r="AQ752" s="36">
        <f t="shared" si="2090"/>
        <v>5.260978956</v>
      </c>
      <c r="AR752" s="32">
        <f t="shared" si="2088"/>
        <v>130.4666667</v>
      </c>
    </row>
    <row r="753" ht="15.75" customHeight="1">
      <c r="A753" s="21"/>
      <c r="B753" s="60" t="s">
        <v>33</v>
      </c>
      <c r="C753" s="60">
        <v>18.0</v>
      </c>
      <c r="D753" s="60">
        <f t="shared" ref="D753:M753" si="2091">SUM(D735:D752)</f>
        <v>586</v>
      </c>
      <c r="E753" s="61">
        <f t="shared" si="2091"/>
        <v>574</v>
      </c>
      <c r="F753" s="62">
        <f t="shared" si="2091"/>
        <v>112445.187</v>
      </c>
      <c r="G753" s="61">
        <f t="shared" si="2091"/>
        <v>43634</v>
      </c>
      <c r="H753" s="61">
        <f t="shared" si="2091"/>
        <v>913</v>
      </c>
      <c r="I753" s="61">
        <f t="shared" si="2091"/>
        <v>44547</v>
      </c>
      <c r="J753" s="61">
        <f t="shared" si="2091"/>
        <v>54442</v>
      </c>
      <c r="K753" s="61">
        <f t="shared" si="2091"/>
        <v>1643</v>
      </c>
      <c r="L753" s="61">
        <f t="shared" si="2091"/>
        <v>56085</v>
      </c>
      <c r="M753" s="61">
        <f t="shared" si="2091"/>
        <v>100632</v>
      </c>
      <c r="N753" s="62">
        <f t="shared" si="2043"/>
        <v>195.8975383</v>
      </c>
      <c r="O753" s="60">
        <f>SUM(O735:O752)</f>
        <v>126399</v>
      </c>
      <c r="P753" s="63">
        <f t="shared" si="2044"/>
        <v>0.7961455391</v>
      </c>
      <c r="Q753" s="64">
        <v>1.5</v>
      </c>
      <c r="R753" s="63">
        <f t="shared" si="2045"/>
        <v>0.5966284711</v>
      </c>
      <c r="S753" s="65">
        <f t="shared" si="2046"/>
        <v>0.8949427066</v>
      </c>
      <c r="T753" s="64">
        <f>SUM(T735:T752)</f>
        <v>4133.155228</v>
      </c>
      <c r="U753" s="64">
        <f t="shared" si="2047"/>
        <v>7.200618864</v>
      </c>
      <c r="V753" s="61">
        <f t="shared" si="2048"/>
        <v>175.3170732</v>
      </c>
      <c r="X753" s="31">
        <v>4.0</v>
      </c>
      <c r="Y753" s="31" t="s">
        <v>37</v>
      </c>
      <c r="Z753" s="31">
        <f t="shared" ref="Z753:AI753" si="2092">SUM(D744)</f>
        <v>30</v>
      </c>
      <c r="AA753" s="32">
        <f t="shared" si="2092"/>
        <v>30</v>
      </c>
      <c r="AB753" s="33">
        <f t="shared" si="2092"/>
        <v>5861.772</v>
      </c>
      <c r="AC753" s="32">
        <f t="shared" si="2092"/>
        <v>2123</v>
      </c>
      <c r="AD753" s="32">
        <f t="shared" si="2092"/>
        <v>0</v>
      </c>
      <c r="AE753" s="32">
        <f t="shared" si="2092"/>
        <v>2123</v>
      </c>
      <c r="AF753" s="32">
        <f t="shared" si="2092"/>
        <v>3187</v>
      </c>
      <c r="AG753" s="32">
        <f t="shared" si="2092"/>
        <v>0</v>
      </c>
      <c r="AH753" s="32">
        <f t="shared" si="2092"/>
        <v>3187</v>
      </c>
      <c r="AI753" s="32">
        <f t="shared" si="2092"/>
        <v>5310</v>
      </c>
      <c r="AJ753" s="34">
        <f t="shared" si="2083"/>
        <v>195.3924</v>
      </c>
      <c r="AK753" s="31">
        <f t="shared" si="2093"/>
        <v>5887</v>
      </c>
      <c r="AL753" s="35">
        <f t="shared" si="2084"/>
        <v>0.9019874299</v>
      </c>
      <c r="AM753" s="36">
        <f t="shared" si="2094"/>
        <v>1.5</v>
      </c>
      <c r="AN753" s="35">
        <f t="shared" si="2085"/>
        <v>0.6039129465</v>
      </c>
      <c r="AO753" s="37">
        <f t="shared" si="2086"/>
        <v>0.9058694197</v>
      </c>
      <c r="AP753" s="36">
        <f t="shared" ref="AP753:AQ753" si="2095">SUM(T744)</f>
        <v>236.4380445</v>
      </c>
      <c r="AQ753" s="36">
        <f t="shared" si="2095"/>
        <v>7.881268151</v>
      </c>
      <c r="AR753" s="32">
        <f t="shared" si="2088"/>
        <v>177</v>
      </c>
    </row>
    <row r="754" ht="15.7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X754" s="31">
        <v>5.0</v>
      </c>
      <c r="Y754" s="31" t="s">
        <v>39</v>
      </c>
      <c r="Z754" s="31">
        <f t="shared" ref="Z754:AI754" si="2096">SUM(D745)</f>
        <v>28</v>
      </c>
      <c r="AA754" s="32">
        <f t="shared" si="2096"/>
        <v>26</v>
      </c>
      <c r="AB754" s="33">
        <f t="shared" si="2096"/>
        <v>4996.514</v>
      </c>
      <c r="AC754" s="32">
        <f t="shared" si="2096"/>
        <v>1287</v>
      </c>
      <c r="AD754" s="32">
        <f t="shared" si="2096"/>
        <v>0</v>
      </c>
      <c r="AE754" s="32">
        <f t="shared" si="2096"/>
        <v>1287</v>
      </c>
      <c r="AF754" s="32">
        <f t="shared" si="2096"/>
        <v>1706</v>
      </c>
      <c r="AG754" s="32">
        <f t="shared" si="2096"/>
        <v>135</v>
      </c>
      <c r="AH754" s="32">
        <f t="shared" si="2096"/>
        <v>1841</v>
      </c>
      <c r="AI754" s="32">
        <f t="shared" si="2096"/>
        <v>3128</v>
      </c>
      <c r="AJ754" s="34">
        <f t="shared" si="2083"/>
        <v>192.1736154</v>
      </c>
      <c r="AK754" s="31">
        <f t="shared" si="2093"/>
        <v>3569</v>
      </c>
      <c r="AL754" s="35">
        <f t="shared" si="2084"/>
        <v>0.8764359765</v>
      </c>
      <c r="AM754" s="36">
        <f t="shared" si="2094"/>
        <v>1.5</v>
      </c>
      <c r="AN754" s="35">
        <f t="shared" si="2085"/>
        <v>0.4173576484</v>
      </c>
      <c r="AO754" s="37">
        <f t="shared" si="2086"/>
        <v>0.6260364726</v>
      </c>
      <c r="AP754" s="36">
        <f t="shared" ref="AP754:AQ754" si="2097">SUM(T745)</f>
        <v>232.7966268</v>
      </c>
      <c r="AQ754" s="36">
        <f t="shared" si="2097"/>
        <v>8.953716414</v>
      </c>
      <c r="AR754" s="32">
        <f t="shared" si="2088"/>
        <v>120.3076923</v>
      </c>
    </row>
    <row r="755" ht="15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X755" s="31">
        <v>6.0</v>
      </c>
      <c r="Y755" s="31" t="s">
        <v>41</v>
      </c>
      <c r="Z755" s="31">
        <f t="shared" ref="Z755:AI755" si="2098">SUM(D746)</f>
        <v>24</v>
      </c>
      <c r="AA755" s="32">
        <f t="shared" si="2098"/>
        <v>24</v>
      </c>
      <c r="AB755" s="33">
        <f t="shared" si="2098"/>
        <v>4806.32</v>
      </c>
      <c r="AC755" s="32">
        <f t="shared" si="2098"/>
        <v>1436</v>
      </c>
      <c r="AD755" s="32">
        <f t="shared" si="2098"/>
        <v>0</v>
      </c>
      <c r="AE755" s="32">
        <f t="shared" si="2098"/>
        <v>1436</v>
      </c>
      <c r="AF755" s="32">
        <f t="shared" si="2098"/>
        <v>1639</v>
      </c>
      <c r="AG755" s="32">
        <f t="shared" si="2098"/>
        <v>129</v>
      </c>
      <c r="AH755" s="32">
        <f t="shared" si="2098"/>
        <v>1768</v>
      </c>
      <c r="AI755" s="32">
        <f t="shared" si="2098"/>
        <v>3204</v>
      </c>
      <c r="AJ755" s="34">
        <f t="shared" si="2083"/>
        <v>200.2633333</v>
      </c>
      <c r="AK755" s="31">
        <f t="shared" si="2093"/>
        <v>3801</v>
      </c>
      <c r="AL755" s="35">
        <f t="shared" si="2084"/>
        <v>0.8429360695</v>
      </c>
      <c r="AM755" s="36">
        <f t="shared" si="2094"/>
        <v>1.5</v>
      </c>
      <c r="AN755" s="35">
        <f t="shared" si="2085"/>
        <v>0.4444148538</v>
      </c>
      <c r="AO755" s="37">
        <f t="shared" si="2086"/>
        <v>0.6666222807</v>
      </c>
      <c r="AP755" s="36">
        <f t="shared" ref="AP755:AQ755" si="2099">SUM(T746)</f>
        <v>162.2222222</v>
      </c>
      <c r="AQ755" s="36">
        <f t="shared" si="2099"/>
        <v>6.759259259</v>
      </c>
      <c r="AR755" s="32">
        <f t="shared" si="2088"/>
        <v>133.5</v>
      </c>
    </row>
    <row r="756" ht="15.75" customHeight="1">
      <c r="A756" s="1" t="s">
        <v>45</v>
      </c>
      <c r="D756" s="2"/>
      <c r="X756" s="46" t="s">
        <v>33</v>
      </c>
      <c r="Y756" s="46">
        <v>6.0</v>
      </c>
      <c r="Z756" s="46">
        <f t="shared" ref="Z756:AI756" si="2100">SUM(Z750:Z755)</f>
        <v>174</v>
      </c>
      <c r="AA756" s="47">
        <f t="shared" si="2100"/>
        <v>172</v>
      </c>
      <c r="AB756" s="49">
        <f t="shared" si="2100"/>
        <v>33849.504</v>
      </c>
      <c r="AC756" s="47">
        <f t="shared" si="2100"/>
        <v>13834</v>
      </c>
      <c r="AD756" s="47">
        <f t="shared" si="2100"/>
        <v>0</v>
      </c>
      <c r="AE756" s="47">
        <f t="shared" si="2100"/>
        <v>13834</v>
      </c>
      <c r="AF756" s="47">
        <f t="shared" si="2100"/>
        <v>16846</v>
      </c>
      <c r="AG756" s="47">
        <f t="shared" si="2100"/>
        <v>314</v>
      </c>
      <c r="AH756" s="47">
        <f t="shared" si="2100"/>
        <v>17160</v>
      </c>
      <c r="AI756" s="47">
        <f t="shared" si="2100"/>
        <v>30994</v>
      </c>
      <c r="AJ756" s="49">
        <f t="shared" si="2083"/>
        <v>196.7994419</v>
      </c>
      <c r="AK756" s="46">
        <f>SUM(AK750:AK755)</f>
        <v>37031</v>
      </c>
      <c r="AL756" s="50">
        <f t="shared" si="2084"/>
        <v>0.8369744268</v>
      </c>
      <c r="AM756" s="51">
        <v>1.5</v>
      </c>
      <c r="AN756" s="50">
        <f t="shared" si="2085"/>
        <v>0.6104274576</v>
      </c>
      <c r="AO756" s="52">
        <f t="shared" si="2086"/>
        <v>0.9156411864</v>
      </c>
      <c r="AP756" s="51">
        <f>SUM(AP750:AP755)</f>
        <v>1395.328718</v>
      </c>
      <c r="AQ756" s="51">
        <f>AP756/AA756</f>
        <v>8.112376267</v>
      </c>
      <c r="AR756" s="47">
        <f t="shared" si="2088"/>
        <v>180.1976744</v>
      </c>
    </row>
    <row r="757" ht="15.75" customHeight="1">
      <c r="A757" s="1" t="s">
        <v>45</v>
      </c>
      <c r="D757" s="2"/>
      <c r="X757" s="66" t="s">
        <v>1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6"/>
    </row>
    <row r="758" ht="15.75" customHeight="1">
      <c r="A758" s="10">
        <v>46263.0</v>
      </c>
      <c r="B758" s="8" t="s">
        <v>2</v>
      </c>
      <c r="C758" s="8" t="s">
        <v>3</v>
      </c>
      <c r="D758" s="8" t="s">
        <v>4</v>
      </c>
      <c r="E758" s="8" t="s">
        <v>5</v>
      </c>
      <c r="F758" s="9" t="s">
        <v>6</v>
      </c>
      <c r="G758" s="8" t="s">
        <v>7</v>
      </c>
      <c r="H758" s="8" t="s">
        <v>8</v>
      </c>
      <c r="I758" s="8" t="s">
        <v>9</v>
      </c>
      <c r="J758" s="8" t="s">
        <v>10</v>
      </c>
      <c r="K758" s="8" t="s">
        <v>11</v>
      </c>
      <c r="L758" s="8" t="s">
        <v>12</v>
      </c>
      <c r="M758" s="8" t="s">
        <v>13</v>
      </c>
      <c r="N758" s="9" t="s">
        <v>14</v>
      </c>
      <c r="O758" s="8" t="s">
        <v>15</v>
      </c>
      <c r="P758" s="8" t="s">
        <v>16</v>
      </c>
      <c r="Q758" s="8" t="s">
        <v>17</v>
      </c>
      <c r="R758" s="8" t="s">
        <v>18</v>
      </c>
      <c r="S758" s="11" t="s">
        <v>19</v>
      </c>
      <c r="T758" s="12" t="s">
        <v>20</v>
      </c>
      <c r="U758" s="12" t="s">
        <v>21</v>
      </c>
      <c r="V758" s="13" t="s">
        <v>22</v>
      </c>
      <c r="X758" s="14" t="s">
        <v>2</v>
      </c>
      <c r="Y758" s="14" t="s">
        <v>3</v>
      </c>
      <c r="Z758" s="14" t="s">
        <v>4</v>
      </c>
      <c r="AA758" s="14" t="s">
        <v>5</v>
      </c>
      <c r="AB758" s="15" t="s">
        <v>6</v>
      </c>
      <c r="AC758" s="14" t="s">
        <v>7</v>
      </c>
      <c r="AD758" s="14" t="s">
        <v>8</v>
      </c>
      <c r="AE758" s="14" t="s">
        <v>9</v>
      </c>
      <c r="AF758" s="14" t="s">
        <v>10</v>
      </c>
      <c r="AG758" s="14" t="s">
        <v>11</v>
      </c>
      <c r="AH758" s="14" t="s">
        <v>12</v>
      </c>
      <c r="AI758" s="14" t="s">
        <v>13</v>
      </c>
      <c r="AJ758" s="15" t="s">
        <v>14</v>
      </c>
      <c r="AK758" s="14" t="s">
        <v>15</v>
      </c>
      <c r="AL758" s="14" t="s">
        <v>16</v>
      </c>
      <c r="AM758" s="16" t="s">
        <v>17</v>
      </c>
      <c r="AN758" s="17" t="s">
        <v>18</v>
      </c>
      <c r="AO758" s="18" t="s">
        <v>19</v>
      </c>
      <c r="AP758" s="19" t="s">
        <v>20</v>
      </c>
      <c r="AQ758" s="19" t="s">
        <v>21</v>
      </c>
      <c r="AR758" s="20" t="s">
        <v>22</v>
      </c>
    </row>
    <row r="759" ht="15.7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X759" s="22">
        <v>1.0</v>
      </c>
      <c r="Y759" s="22" t="s">
        <v>23</v>
      </c>
      <c r="Z759" s="22">
        <f t="shared" ref="Z759:AI759" si="2101">SUM(D767)</f>
        <v>28</v>
      </c>
      <c r="AA759" s="23">
        <f t="shared" si="2101"/>
        <v>26</v>
      </c>
      <c r="AB759" s="24">
        <f t="shared" si="2101"/>
        <v>5162.22</v>
      </c>
      <c r="AC759" s="23">
        <f t="shared" si="2101"/>
        <v>1199</v>
      </c>
      <c r="AD759" s="23">
        <f t="shared" si="2101"/>
        <v>8</v>
      </c>
      <c r="AE759" s="23">
        <f t="shared" si="2101"/>
        <v>1207</v>
      </c>
      <c r="AF759" s="23">
        <f t="shared" si="2101"/>
        <v>2451</v>
      </c>
      <c r="AG759" s="23">
        <f t="shared" si="2101"/>
        <v>15</v>
      </c>
      <c r="AH759" s="23">
        <f t="shared" si="2101"/>
        <v>2466</v>
      </c>
      <c r="AI759" s="23">
        <f t="shared" si="2101"/>
        <v>3673</v>
      </c>
      <c r="AJ759" s="25">
        <f t="shared" ref="AJ759:AJ761" si="2104">AB759/AA759</f>
        <v>198.5469231</v>
      </c>
      <c r="AK759" s="22">
        <f>SUM(O767)</f>
        <v>6853</v>
      </c>
      <c r="AL759" s="26">
        <f t="shared" ref="AL759:AL765" si="2105">AI759/AK759</f>
        <v>0.5359696483</v>
      </c>
      <c r="AM759" s="27">
        <f t="shared" ref="AM759:AM761" si="2106">SUM(Q767)</f>
        <v>1.5</v>
      </c>
      <c r="AN759" s="26">
        <f t="shared" ref="AN759:AN765" si="2107">AO759/AM759</f>
        <v>0.4743437255</v>
      </c>
      <c r="AO759" s="28">
        <f t="shared" ref="AO759:AO765" si="2108">AI759/AB759</f>
        <v>0.7115155883</v>
      </c>
      <c r="AP759" s="27">
        <f t="shared" ref="AP759:AQ759" si="2102">SUM(T767)</f>
        <v>153</v>
      </c>
      <c r="AQ759" s="27">
        <f t="shared" si="2102"/>
        <v>5.884615385</v>
      </c>
      <c r="AR759" s="23">
        <f t="shared" ref="AR759:AR765" si="2110">AI759/AA759</f>
        <v>141.2692308</v>
      </c>
    </row>
    <row r="760" ht="15.7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X760" s="22">
        <v>2.0</v>
      </c>
      <c r="Y760" s="22" t="s">
        <v>24</v>
      </c>
      <c r="Z760" s="22">
        <f t="shared" ref="Z760:AI760" si="2103">SUM(D768)</f>
        <v>37</v>
      </c>
      <c r="AA760" s="23">
        <f t="shared" si="2103"/>
        <v>37</v>
      </c>
      <c r="AB760" s="24">
        <f t="shared" si="2103"/>
        <v>7050.949</v>
      </c>
      <c r="AC760" s="23">
        <f t="shared" si="2103"/>
        <v>797</v>
      </c>
      <c r="AD760" s="23">
        <f t="shared" si="2103"/>
        <v>0</v>
      </c>
      <c r="AE760" s="23">
        <f t="shared" si="2103"/>
        <v>797</v>
      </c>
      <c r="AF760" s="23">
        <f t="shared" si="2103"/>
        <v>1161</v>
      </c>
      <c r="AG760" s="23">
        <f t="shared" si="2103"/>
        <v>0</v>
      </c>
      <c r="AH760" s="23">
        <f t="shared" si="2103"/>
        <v>1161</v>
      </c>
      <c r="AI760" s="23">
        <f t="shared" si="2103"/>
        <v>1958</v>
      </c>
      <c r="AJ760" s="25">
        <f t="shared" si="2104"/>
        <v>190.5661892</v>
      </c>
      <c r="AK760" s="22">
        <v>1580.0</v>
      </c>
      <c r="AL760" s="29">
        <f t="shared" si="2105"/>
        <v>1.239240506</v>
      </c>
      <c r="AM760" s="27">
        <f t="shared" si="2106"/>
        <v>1.5</v>
      </c>
      <c r="AN760" s="26">
        <f t="shared" si="2107"/>
        <v>0.1851287441</v>
      </c>
      <c r="AO760" s="28">
        <f t="shared" si="2108"/>
        <v>0.2776931162</v>
      </c>
      <c r="AP760" s="27">
        <f t="shared" ref="AP760:AQ760" si="2109">SUM(T768)</f>
        <v>263.0460362</v>
      </c>
      <c r="AQ760" s="27">
        <f t="shared" si="2109"/>
        <v>7.109352329</v>
      </c>
      <c r="AR760" s="23">
        <f t="shared" si="2110"/>
        <v>52.91891892</v>
      </c>
    </row>
    <row r="761" ht="15.75" customHeight="1">
      <c r="A761" s="21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X761" s="31">
        <v>3.0</v>
      </c>
      <c r="Y761" s="31" t="s">
        <v>25</v>
      </c>
      <c r="Z761" s="31">
        <f t="shared" ref="Z761:AI761" si="2111">SUM(D769)</f>
        <v>27</v>
      </c>
      <c r="AA761" s="32">
        <f t="shared" si="2111"/>
        <v>26</v>
      </c>
      <c r="AB761" s="33">
        <f t="shared" si="2111"/>
        <v>4560.94</v>
      </c>
      <c r="AC761" s="32">
        <f t="shared" si="2111"/>
        <v>1690</v>
      </c>
      <c r="AD761" s="32">
        <f t="shared" si="2111"/>
        <v>179</v>
      </c>
      <c r="AE761" s="32">
        <f t="shared" si="2111"/>
        <v>1869</v>
      </c>
      <c r="AF761" s="32">
        <f t="shared" si="2111"/>
        <v>2795</v>
      </c>
      <c r="AG761" s="32">
        <f t="shared" si="2111"/>
        <v>331</v>
      </c>
      <c r="AH761" s="32">
        <f t="shared" si="2111"/>
        <v>3126</v>
      </c>
      <c r="AI761" s="32">
        <f t="shared" si="2111"/>
        <v>4995</v>
      </c>
      <c r="AJ761" s="34">
        <f t="shared" si="2104"/>
        <v>175.4207692</v>
      </c>
      <c r="AK761" s="31">
        <f>SUM(O769)</f>
        <v>6622</v>
      </c>
      <c r="AL761" s="35">
        <f t="shared" si="2105"/>
        <v>0.7543038357</v>
      </c>
      <c r="AM761" s="36">
        <f t="shared" si="2106"/>
        <v>1.5</v>
      </c>
      <c r="AN761" s="35">
        <f t="shared" si="2107"/>
        <v>0.7301126522</v>
      </c>
      <c r="AO761" s="37">
        <f t="shared" si="2108"/>
        <v>1.095168978</v>
      </c>
      <c r="AP761" s="36">
        <f t="shared" ref="AP761:AQ761" si="2112">SUM(T769)</f>
        <v>191.3145973</v>
      </c>
      <c r="AQ761" s="36">
        <f t="shared" si="2112"/>
        <v>7.358253743</v>
      </c>
      <c r="AR761" s="32">
        <f t="shared" si="2110"/>
        <v>192.1153846</v>
      </c>
    </row>
    <row r="762" ht="15.75" customHeight="1">
      <c r="A762" s="21"/>
      <c r="B762" s="38">
        <v>1.0</v>
      </c>
      <c r="C762" s="38" t="s">
        <v>26</v>
      </c>
      <c r="D762" s="39">
        <v>16.0</v>
      </c>
      <c r="E762" s="40">
        <f>IFERROR(__xludf.DUMMYFUNCTION("COUNT(IMPORTRANGE(""https://docs.google.com/spreadsheets/d/1iVFEBQOAONhqDIMRa2hQ7WkCQv0dJWSAmc0AzfvSCMg/edit"",""29!d2:d21""))"),16.0)</f>
        <v>16</v>
      </c>
      <c r="F762" s="41">
        <f>IFERROR(__xludf.DUMMYFUNCTION("SUM(IMPORTRANGE(""https://docs.google.com/spreadsheets/d/1iVFEBQOAONhqDIMRa2hQ7WkCQv0dJWSAmc0AzfvSCMg/edit"",""29!Q2:Q21""))"),3114.099)</f>
        <v>3114.099</v>
      </c>
      <c r="G762" s="40">
        <f>IFERROR(__xludf.DUMMYFUNCTION("IMPORTRANGE(""https://docs.google.com/spreadsheets/d/1iVFEBQOAONhqDIMRa2hQ7WkCQv0dJWSAmc0AzfvSCMg/edit"",""29!e28"")"),1435.0)</f>
        <v>1435</v>
      </c>
      <c r="H762" s="40">
        <f>IFERROR(__xludf.DUMMYFUNCTION("IMPORTRANGE(""https://docs.google.com/spreadsheets/d/1iVFEBQOAONhqDIMRa2hQ7WkCQv0dJWSAmc0AzfvSCMg/edit"",""29!e29"")"),0.0)</f>
        <v>0</v>
      </c>
      <c r="I762" s="40">
        <f t="shared" ref="I762:I779" si="2115">SUM(G762:H762)</f>
        <v>1435</v>
      </c>
      <c r="J762" s="40">
        <f>IFERROR(__xludf.DUMMYFUNCTION("IMPORTRANGE(""https://docs.google.com/spreadsheets/d/1iVFEBQOAONhqDIMRa2hQ7WkCQv0dJWSAmc0AzfvSCMg/edit"",""29!e32"")"),1960.0)</f>
        <v>1960</v>
      </c>
      <c r="K762" s="40">
        <f>IFERROR(__xludf.DUMMYFUNCTION("IMPORTRANGE(""https://docs.google.com/spreadsheets/d/1iVFEBQOAONhqDIMRa2hQ7WkCQv0dJWSAmc0AzfvSCMg/edit"",""29!e33"")"),0.0)</f>
        <v>0</v>
      </c>
      <c r="L762" s="40">
        <f t="shared" ref="L762:L768" si="2116">SUM(J762:K762)</f>
        <v>1960</v>
      </c>
      <c r="M762" s="40">
        <f t="shared" ref="M762:M779" si="2117">SUM(I762+L762)</f>
        <v>3395</v>
      </c>
      <c r="N762" s="41">
        <f t="shared" ref="N762:N780" si="2118">F762/E762</f>
        <v>194.6311875</v>
      </c>
      <c r="O762" s="38">
        <v>5161.0</v>
      </c>
      <c r="P762" s="42">
        <f t="shared" ref="P762:P780" si="2119">M762/O762</f>
        <v>0.6578182523</v>
      </c>
      <c r="Q762" s="43">
        <v>1.5</v>
      </c>
      <c r="R762" s="42">
        <f t="shared" ref="R762:R780" si="2120">S762/Q762</f>
        <v>0.7268019846</v>
      </c>
      <c r="S762" s="44">
        <f t="shared" ref="S762:S780" si="2121">M762/F762</f>
        <v>1.090202977</v>
      </c>
      <c r="T762" s="43">
        <f>F762/14.415</f>
        <v>216.0318418</v>
      </c>
      <c r="U762" s="43">
        <f t="shared" ref="U762:U780" si="2122">T762/E762</f>
        <v>13.50199011</v>
      </c>
      <c r="V762" s="40">
        <f t="shared" ref="V762:V780" si="2123">M762/E762</f>
        <v>212.1875</v>
      </c>
      <c r="X762" s="22">
        <v>4.0</v>
      </c>
      <c r="Y762" s="22" t="s">
        <v>27</v>
      </c>
      <c r="Z762" s="22">
        <f t="shared" ref="Z762:AK762" si="2113">SUM(D775)</f>
        <v>24</v>
      </c>
      <c r="AA762" s="23">
        <f t="shared" si="2113"/>
        <v>22</v>
      </c>
      <c r="AB762" s="24">
        <f t="shared" si="2113"/>
        <v>4166.735</v>
      </c>
      <c r="AC762" s="23">
        <f t="shared" si="2113"/>
        <v>1684</v>
      </c>
      <c r="AD762" s="23">
        <f t="shared" si="2113"/>
        <v>0</v>
      </c>
      <c r="AE762" s="23">
        <f t="shared" si="2113"/>
        <v>1684</v>
      </c>
      <c r="AF762" s="23">
        <f t="shared" si="2113"/>
        <v>2246</v>
      </c>
      <c r="AG762" s="23">
        <f t="shared" si="2113"/>
        <v>0</v>
      </c>
      <c r="AH762" s="23">
        <f t="shared" si="2113"/>
        <v>2246</v>
      </c>
      <c r="AI762" s="23">
        <f t="shared" si="2113"/>
        <v>3930</v>
      </c>
      <c r="AJ762" s="25">
        <f t="shared" si="2113"/>
        <v>189.3970455</v>
      </c>
      <c r="AK762" s="22">
        <f t="shared" si="2113"/>
        <v>8101</v>
      </c>
      <c r="AL762" s="26">
        <f t="shared" si="2105"/>
        <v>0.4851252932</v>
      </c>
      <c r="AM762" s="27">
        <f>SUM(Q775)</f>
        <v>1.5</v>
      </c>
      <c r="AN762" s="26">
        <f t="shared" si="2107"/>
        <v>0.6287896878</v>
      </c>
      <c r="AO762" s="28">
        <f t="shared" si="2108"/>
        <v>0.9431845318</v>
      </c>
      <c r="AP762" s="27">
        <f t="shared" ref="AP762:AQ762" si="2114">SUM(T775)</f>
        <v>208.4931198</v>
      </c>
      <c r="AQ762" s="27">
        <f t="shared" si="2114"/>
        <v>9.476959993</v>
      </c>
      <c r="AR762" s="23">
        <f t="shared" si="2110"/>
        <v>178.6363636</v>
      </c>
    </row>
    <row r="763" ht="15.75" customHeight="1">
      <c r="A763" s="21"/>
      <c r="B763" s="38">
        <v>2.0</v>
      </c>
      <c r="C763" s="38" t="s">
        <v>28</v>
      </c>
      <c r="D763" s="39">
        <v>26.0</v>
      </c>
      <c r="E763" s="40">
        <f>IFERROR(__xludf.DUMMYFUNCTION("COUNT(IMPORTRANGE(""https://docs.google.com/spreadsheets/d/1tJCeYclgeJZ4Dc78t_SkhVjtacKW-5-VGim8X1rzUzk/edit"",""29!d2:d34""))"),26.0)</f>
        <v>26</v>
      </c>
      <c r="F763" s="41">
        <f>IFERROR(__xludf.DUMMYFUNCTION("SUM(IMPORTRANGE(""https://docs.google.com/spreadsheets/d/1tJCeYclgeJZ4Dc78t_SkhVjtacKW-5-VGim8X1rzUzk/edit"",""29!Q2:Q34""))"),5155.093000000001)</f>
        <v>5155.093</v>
      </c>
      <c r="G763" s="40">
        <f>IFERROR(__xludf.DUMMYFUNCTION("IMPORTRANGE(""https://docs.google.com/spreadsheets/d/1tJCeYclgeJZ4Dc78t_SkhVjtacKW-5-VGim8X1rzUzk/edit"",""29!e41"")"),1876.0)</f>
        <v>1876</v>
      </c>
      <c r="H763" s="40">
        <f>IFERROR(__xludf.DUMMYFUNCTION("IMPORTRANGE(""https://docs.google.com/spreadsheets/d/1tJCeYclgeJZ4Dc78t_SkhVjtacKW-5-VGim8X1rzUzk/edit"",""29!e42"")"),129.0)</f>
        <v>129</v>
      </c>
      <c r="I763" s="40">
        <f t="shared" si="2115"/>
        <v>2005</v>
      </c>
      <c r="J763" s="40">
        <f>IFERROR(__xludf.DUMMYFUNCTION("IMPORTRANGE(""https://docs.google.com/spreadsheets/d/1tJCeYclgeJZ4Dc78t_SkhVjtacKW-5-VGim8X1rzUzk/edit"",""29!e45"")"),2105.0)</f>
        <v>2105</v>
      </c>
      <c r="K763" s="40">
        <f>IFERROR(__xludf.DUMMYFUNCTION("IMPORTRANGE(""https://docs.google.com/spreadsheets/d/1tJCeYclgeJZ4Dc78t_SkhVjtacKW-5-VGim8X1rzUzk/edit"",""29!e46"")"),167.0)</f>
        <v>167</v>
      </c>
      <c r="L763" s="40">
        <f t="shared" si="2116"/>
        <v>2272</v>
      </c>
      <c r="M763" s="40">
        <f t="shared" si="2117"/>
        <v>4277</v>
      </c>
      <c r="N763" s="41">
        <f t="shared" si="2118"/>
        <v>198.2728077</v>
      </c>
      <c r="O763" s="38">
        <v>7315.0</v>
      </c>
      <c r="P763" s="42">
        <f t="shared" si="2119"/>
        <v>0.5846889952</v>
      </c>
      <c r="Q763" s="43">
        <v>1.5</v>
      </c>
      <c r="R763" s="42">
        <f t="shared" si="2120"/>
        <v>0.5531099698</v>
      </c>
      <c r="S763" s="44">
        <f t="shared" si="2121"/>
        <v>0.8296649546</v>
      </c>
      <c r="T763" s="43">
        <f>F763/30.897</f>
        <v>166.8476875</v>
      </c>
      <c r="U763" s="43">
        <f t="shared" si="2122"/>
        <v>6.417218749</v>
      </c>
      <c r="V763" s="40">
        <f t="shared" si="2123"/>
        <v>164.5</v>
      </c>
      <c r="X763" s="22">
        <v>5.0</v>
      </c>
      <c r="Y763" s="22" t="s">
        <v>29</v>
      </c>
      <c r="Z763" s="22">
        <f t="shared" ref="Z763:AI763" si="2124">SUM(D778)</f>
        <v>24</v>
      </c>
      <c r="AA763" s="23">
        <f t="shared" si="2124"/>
        <v>24</v>
      </c>
      <c r="AB763" s="24">
        <f t="shared" si="2124"/>
        <v>4768.38</v>
      </c>
      <c r="AC763" s="23">
        <f t="shared" si="2124"/>
        <v>2019</v>
      </c>
      <c r="AD763" s="23">
        <f t="shared" si="2124"/>
        <v>0</v>
      </c>
      <c r="AE763" s="23">
        <f t="shared" si="2124"/>
        <v>2019</v>
      </c>
      <c r="AF763" s="23">
        <f t="shared" si="2124"/>
        <v>3048</v>
      </c>
      <c r="AG763" s="23">
        <f t="shared" si="2124"/>
        <v>0</v>
      </c>
      <c r="AH763" s="23">
        <f t="shared" si="2124"/>
        <v>3048</v>
      </c>
      <c r="AI763" s="23">
        <f t="shared" si="2124"/>
        <v>5067</v>
      </c>
      <c r="AJ763" s="25">
        <f t="shared" ref="AJ763:AJ765" si="2127">AB763/AA763</f>
        <v>198.6825</v>
      </c>
      <c r="AK763" s="22">
        <f t="shared" ref="AK763:AK764" si="2128">SUM(O778)</f>
        <v>9201</v>
      </c>
      <c r="AL763" s="26">
        <f t="shared" si="2105"/>
        <v>0.5507010108</v>
      </c>
      <c r="AM763" s="27">
        <f t="shared" ref="AM763:AM764" si="2129">SUM(Q778)</f>
        <v>1.5</v>
      </c>
      <c r="AN763" s="26">
        <f t="shared" si="2107"/>
        <v>0.708416695</v>
      </c>
      <c r="AO763" s="28">
        <f t="shared" si="2108"/>
        <v>1.062625042</v>
      </c>
      <c r="AP763" s="27">
        <f t="shared" ref="AP763:AQ763" si="2125">SUM(T778)</f>
        <v>180</v>
      </c>
      <c r="AQ763" s="27">
        <f t="shared" si="2125"/>
        <v>7.5</v>
      </c>
      <c r="AR763" s="23">
        <f t="shared" si="2110"/>
        <v>211.125</v>
      </c>
    </row>
    <row r="764" ht="15.75" customHeight="1">
      <c r="A764" s="21"/>
      <c r="B764" s="38">
        <v>3.0</v>
      </c>
      <c r="C764" s="38" t="s">
        <v>30</v>
      </c>
      <c r="D764" s="39">
        <v>48.0</v>
      </c>
      <c r="E764" s="40">
        <f>IFERROR(__xludf.DUMMYFUNCTION("COUNT(IMPORTRANGE(""https://docs.google.com/spreadsheets/d/130gLEONC13J8KkQ6dk06x3bLRy_jCrAw2hXatQf2W50/edit"",""29!d2:d61""))"),48.0)</f>
        <v>48</v>
      </c>
      <c r="F764" s="45">
        <f>IFERROR(__xludf.DUMMYFUNCTION("SUM(IMPORTRANGE(""https://docs.google.com/spreadsheets/d/130gLEONC13J8KkQ6dk06x3bLRy_jCrAw2hXatQf2W50/edit"",""29!Q2:Q61""))"),9743.591999999993)</f>
        <v>9743.592</v>
      </c>
      <c r="G764" s="40">
        <f>IFERROR(__xludf.DUMMYFUNCTION("IMPORTRANGE(""https://docs.google.com/spreadsheets/d/130gLEONC13J8KkQ6dk06x3bLRy_jCrAw2hXatQf2W50/edit"",""29!e68"")"),2802.0)</f>
        <v>2802</v>
      </c>
      <c r="H764" s="40">
        <f>IFERROR(__xludf.DUMMYFUNCTION("IMPORTRANGE(""https://docs.google.com/spreadsheets/d/130gLEONC13J8KkQ6dk06x3bLRy_jCrAw2hXatQf2W50/edit"",""29!e69"")"),0.0)</f>
        <v>0</v>
      </c>
      <c r="I764" s="40">
        <f t="shared" si="2115"/>
        <v>2802</v>
      </c>
      <c r="J764" s="40">
        <f>IFERROR(__xludf.DUMMYFUNCTION("IMPORTRANGE(""https://docs.google.com/spreadsheets/d/130gLEONC13J8KkQ6dk06x3bLRy_jCrAw2hXatQf2W50/edit"",""29!e72"")"),3018.0)</f>
        <v>3018</v>
      </c>
      <c r="K764" s="40">
        <f>IFERROR(__xludf.DUMMYFUNCTION("IMPORTRANGE(""https://docs.google.com/spreadsheets/d/130gLEONC13J8KkQ6dk06x3bLRy_jCrAw2hXatQf2W50/edit"",""29!e73"")"),0.0)</f>
        <v>0</v>
      </c>
      <c r="L764" s="40">
        <f t="shared" si="2116"/>
        <v>3018</v>
      </c>
      <c r="M764" s="40">
        <f t="shared" si="2117"/>
        <v>5820</v>
      </c>
      <c r="N764" s="41">
        <f t="shared" si="2118"/>
        <v>202.9915</v>
      </c>
      <c r="O764" s="38">
        <v>11164.0</v>
      </c>
      <c r="P764" s="42">
        <f t="shared" si="2119"/>
        <v>0.5213185238</v>
      </c>
      <c r="Q764" s="43">
        <v>1.5</v>
      </c>
      <c r="R764" s="42">
        <f t="shared" si="2120"/>
        <v>0.3982104341</v>
      </c>
      <c r="S764" s="44">
        <f t="shared" si="2121"/>
        <v>0.5973156511</v>
      </c>
      <c r="T764" s="43">
        <f>F764/29.603</f>
        <v>329.1420464</v>
      </c>
      <c r="U764" s="43">
        <f t="shared" si="2122"/>
        <v>6.857125967</v>
      </c>
      <c r="V764" s="40">
        <f t="shared" si="2123"/>
        <v>121.25</v>
      </c>
      <c r="X764" s="22">
        <v>6.0</v>
      </c>
      <c r="Y764" s="22" t="s">
        <v>31</v>
      </c>
      <c r="Z764" s="22">
        <f t="shared" ref="Z764:AI764" si="2126">SUM(D779)</f>
        <v>12</v>
      </c>
      <c r="AA764" s="23">
        <f t="shared" si="2126"/>
        <v>11</v>
      </c>
      <c r="AB764" s="25">
        <f t="shared" si="2126"/>
        <v>1912.46</v>
      </c>
      <c r="AC764" s="23">
        <f t="shared" si="2126"/>
        <v>647</v>
      </c>
      <c r="AD764" s="23">
        <f t="shared" si="2126"/>
        <v>0</v>
      </c>
      <c r="AE764" s="23">
        <f t="shared" si="2126"/>
        <v>647</v>
      </c>
      <c r="AF764" s="23">
        <f t="shared" si="2126"/>
        <v>646</v>
      </c>
      <c r="AG764" s="23">
        <f t="shared" si="2126"/>
        <v>0</v>
      </c>
      <c r="AH764" s="23">
        <f t="shared" si="2126"/>
        <v>646</v>
      </c>
      <c r="AI764" s="23">
        <f t="shared" si="2126"/>
        <v>1293</v>
      </c>
      <c r="AJ764" s="25">
        <f t="shared" si="2127"/>
        <v>173.86</v>
      </c>
      <c r="AK764" s="22">
        <f t="shared" si="2128"/>
        <v>2717</v>
      </c>
      <c r="AL764" s="26">
        <f t="shared" si="2105"/>
        <v>0.4758925285</v>
      </c>
      <c r="AM764" s="27">
        <f t="shared" si="2129"/>
        <v>1.5</v>
      </c>
      <c r="AN764" s="26">
        <f t="shared" si="2107"/>
        <v>0.4507283812</v>
      </c>
      <c r="AO764" s="28">
        <f t="shared" si="2108"/>
        <v>0.6760925719</v>
      </c>
      <c r="AP764" s="27">
        <f t="shared" ref="AP764:AQ764" si="2130">SUM(T779)</f>
        <v>44</v>
      </c>
      <c r="AQ764" s="27">
        <f t="shared" si="2130"/>
        <v>4</v>
      </c>
      <c r="AR764" s="23">
        <f t="shared" si="2110"/>
        <v>117.5454545</v>
      </c>
    </row>
    <row r="765" ht="15.75" customHeight="1">
      <c r="A765" s="21"/>
      <c r="B765" s="38">
        <v>4.0</v>
      </c>
      <c r="C765" s="38" t="s">
        <v>32</v>
      </c>
      <c r="D765" s="39">
        <v>33.0</v>
      </c>
      <c r="E765" s="40">
        <f>IFERROR(__xludf.DUMMYFUNCTION("COUNT(IMPORTRANGE(""https://docs.google.com/spreadsheets/d/1gYHli7FuKQLm2Q-5LMR0UtkD-gRRA_p8s-phLPLDLgc/edit"",""29!d2:d43""))"),33.0)</f>
        <v>33</v>
      </c>
      <c r="F765" s="45">
        <f>IFERROR(__xludf.DUMMYFUNCTION("SUM(IMPORTRANGE(""https://docs.google.com/spreadsheets/d/1gYHli7FuKQLm2Q-5LMR0UtkD-gRRA_p8s-phLPLDLgc/edit"",""29!Q2:Q43""))"),6399.8439999999955)</f>
        <v>6399.844</v>
      </c>
      <c r="G765" s="38">
        <f>IFERROR(__xludf.DUMMYFUNCTION("IMPORTRANGE(""https://docs.google.com/spreadsheets/d/1gYHli7FuKQLm2Q-5LMR0UtkD-gRRA_p8s-phLPLDLgc/edit"",""29!e50"")"),3881.0)</f>
        <v>3881</v>
      </c>
      <c r="H765" s="38">
        <f>IFERROR(__xludf.DUMMYFUNCTION("IMPORTRANGE(""https://docs.google.com/spreadsheets/d/1gYHli7FuKQLm2Q-5LMR0UtkD-gRRA_p8s-phLPLDLgc/edit"",""29!e51"")"),0.0)</f>
        <v>0</v>
      </c>
      <c r="I765" s="40">
        <f t="shared" si="2115"/>
        <v>3881</v>
      </c>
      <c r="J765" s="38">
        <f>IFERROR(__xludf.DUMMYFUNCTION("IMPORTRANGE(""https://docs.google.com/spreadsheets/d/1gYHli7FuKQLm2Q-5LMR0UtkD-gRRA_p8s-phLPLDLgc/edit"",""29!e54"")"),3934.0)</f>
        <v>3934</v>
      </c>
      <c r="K765" s="38">
        <f>IFERROR(__xludf.DUMMYFUNCTION("IMPORTRANGE(""https://docs.google.com/spreadsheets/d/1gYHli7FuKQLm2Q-5LMR0UtkD-gRRA_p8s-phLPLDLgc/edit"",""29!e55"")"),0.0)</f>
        <v>0</v>
      </c>
      <c r="L765" s="40">
        <f t="shared" si="2116"/>
        <v>3934</v>
      </c>
      <c r="M765" s="40">
        <f t="shared" si="2117"/>
        <v>7815</v>
      </c>
      <c r="N765" s="41">
        <f t="shared" si="2118"/>
        <v>193.9346667</v>
      </c>
      <c r="O765" s="38">
        <v>13817.0</v>
      </c>
      <c r="P765" s="42">
        <f t="shared" si="2119"/>
        <v>0.5656075849</v>
      </c>
      <c r="Q765" s="43">
        <v>1.5</v>
      </c>
      <c r="R765" s="42">
        <f t="shared" si="2120"/>
        <v>0.8140823433</v>
      </c>
      <c r="S765" s="44">
        <f t="shared" si="2121"/>
        <v>1.221123515</v>
      </c>
      <c r="T765" s="43">
        <f>F765/25.089</f>
        <v>255.0856551</v>
      </c>
      <c r="U765" s="43">
        <f t="shared" si="2122"/>
        <v>7.729868335</v>
      </c>
      <c r="V765" s="40">
        <f t="shared" si="2123"/>
        <v>236.8181818</v>
      </c>
      <c r="X765" s="46" t="s">
        <v>33</v>
      </c>
      <c r="Y765" s="46">
        <v>6.0</v>
      </c>
      <c r="Z765" s="46">
        <f t="shared" ref="Z765:AI765" si="2131">SUM(Z759:Z764)</f>
        <v>152</v>
      </c>
      <c r="AA765" s="47">
        <f t="shared" si="2131"/>
        <v>146</v>
      </c>
      <c r="AB765" s="48">
        <f t="shared" si="2131"/>
        <v>27621.684</v>
      </c>
      <c r="AC765" s="47">
        <f t="shared" si="2131"/>
        <v>8036</v>
      </c>
      <c r="AD765" s="47">
        <f t="shared" si="2131"/>
        <v>187</v>
      </c>
      <c r="AE765" s="47">
        <f t="shared" si="2131"/>
        <v>8223</v>
      </c>
      <c r="AF765" s="47">
        <f t="shared" si="2131"/>
        <v>12347</v>
      </c>
      <c r="AG765" s="47">
        <f t="shared" si="2131"/>
        <v>346</v>
      </c>
      <c r="AH765" s="47">
        <f t="shared" si="2131"/>
        <v>12693</v>
      </c>
      <c r="AI765" s="47">
        <f t="shared" si="2131"/>
        <v>20916</v>
      </c>
      <c r="AJ765" s="49">
        <f t="shared" si="2127"/>
        <v>189.1896164</v>
      </c>
      <c r="AK765" s="46">
        <f>SUM(AK759:AK764)</f>
        <v>35074</v>
      </c>
      <c r="AL765" s="50">
        <f t="shared" si="2105"/>
        <v>0.5963391686</v>
      </c>
      <c r="AM765" s="51">
        <v>1.5</v>
      </c>
      <c r="AN765" s="50">
        <f t="shared" si="2107"/>
        <v>0.5048207778</v>
      </c>
      <c r="AO765" s="52">
        <f t="shared" si="2108"/>
        <v>0.7572311666</v>
      </c>
      <c r="AP765" s="51">
        <f>SUM(AP759:AP764)</f>
        <v>1039.853753</v>
      </c>
      <c r="AQ765" s="51">
        <f>AP765/AA765</f>
        <v>7.122285982</v>
      </c>
      <c r="AR765" s="47">
        <f t="shared" si="2110"/>
        <v>143.260274</v>
      </c>
    </row>
    <row r="766" ht="15.75" customHeight="1">
      <c r="A766" s="21"/>
      <c r="B766" s="38">
        <v>5.0</v>
      </c>
      <c r="C766" s="38" t="s">
        <v>34</v>
      </c>
      <c r="D766" s="39">
        <v>32.0</v>
      </c>
      <c r="E766" s="40">
        <f>IFERROR(__xludf.DUMMYFUNCTION("COUNT(IMPORTRANGE(""https://docs.google.com/spreadsheets/d/1ptS0qWBCKWkc9h2aXWT_YgMhN7yIv5WgAHRbF8l9Zpo/edit"",""29!d2:d41""))"),32.0)</f>
        <v>32</v>
      </c>
      <c r="F766" s="45">
        <f>IFERROR(__xludf.DUMMYFUNCTION("SUM(IMPORTRANGE(""https://docs.google.com/spreadsheets/d/1ptS0qWBCKWkc9h2aXWT_YgMhN7yIv5WgAHRbF8l9Zpo/edit"",""29!Q2:Q41""))"),6406.422000000002)</f>
        <v>6406.422</v>
      </c>
      <c r="G766" s="40">
        <f>IFERROR(__xludf.DUMMYFUNCTION("IMPORTRANGE(""https://docs.google.com/spreadsheets/d/1ptS0qWBCKWkc9h2aXWT_YgMhN7yIv5WgAHRbF8l9Zpo/edit"",""29!e48"")"),1837.0)</f>
        <v>1837</v>
      </c>
      <c r="H766" s="40">
        <f>IFERROR(__xludf.DUMMYFUNCTION("IMPORTRANGE(""https://docs.google.com/spreadsheets/d/1ptS0qWBCKWkc9h2aXWT_YgMhN7yIv5WgAHRbF8l9Zpo/edit"",""29!e49"")"),0.0)</f>
        <v>0</v>
      </c>
      <c r="I766" s="40">
        <f t="shared" si="2115"/>
        <v>1837</v>
      </c>
      <c r="J766" s="40">
        <f>IFERROR(__xludf.DUMMYFUNCTION("IMPORTRANGE(""https://docs.google.com/spreadsheets/d/1ptS0qWBCKWkc9h2aXWT_YgMhN7yIv5WgAHRbF8l9Zpo/edit"",""29!e52"")"),2742.0)</f>
        <v>2742</v>
      </c>
      <c r="K766" s="40">
        <f>IFERROR(__xludf.DUMMYFUNCTION("IMPORTRANGE(""https://docs.google.com/spreadsheets/d/1ptS0qWBCKWkc9h2aXWT_YgMhN7yIv5WgAHRbF8l9Zpo/edit"",""29!e53"")"),0.0)</f>
        <v>0</v>
      </c>
      <c r="L766" s="40">
        <f t="shared" si="2116"/>
        <v>2742</v>
      </c>
      <c r="M766" s="40">
        <f t="shared" si="2117"/>
        <v>4579</v>
      </c>
      <c r="N766" s="41">
        <f t="shared" si="2118"/>
        <v>200.2006875</v>
      </c>
      <c r="O766" s="38">
        <v>9354.0</v>
      </c>
      <c r="P766" s="42">
        <f t="shared" si="2119"/>
        <v>0.4895231986</v>
      </c>
      <c r="Q766" s="43">
        <v>1.5</v>
      </c>
      <c r="R766" s="42">
        <f t="shared" si="2120"/>
        <v>0.4765010277</v>
      </c>
      <c r="S766" s="44">
        <f t="shared" si="2121"/>
        <v>0.7147515415</v>
      </c>
      <c r="T766" s="43">
        <f>F766/30.713</f>
        <v>208.5899131</v>
      </c>
      <c r="U766" s="43">
        <f t="shared" si="2122"/>
        <v>6.518434783</v>
      </c>
      <c r="V766" s="40">
        <f t="shared" si="2123"/>
        <v>143.09375</v>
      </c>
      <c r="X766" s="53" t="s">
        <v>35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6"/>
    </row>
    <row r="767" ht="15.75" customHeight="1">
      <c r="A767" s="21"/>
      <c r="B767" s="38">
        <v>6.0</v>
      </c>
      <c r="C767" s="38" t="s">
        <v>23</v>
      </c>
      <c r="D767" s="39">
        <v>28.0</v>
      </c>
      <c r="E767" s="40">
        <f>IFERROR(__xludf.DUMMYFUNCTION("COUNT(IMPORTRANGE(""https://docs.google.com/spreadsheets/d/1829CoYW82aTBBUgqkPnJa94KlBWI-DowAnP4ENQCmaQ/edit"",""29!d2:d36""))"),26.0)</f>
        <v>26</v>
      </c>
      <c r="F767" s="45">
        <f>IFERROR(__xludf.DUMMYFUNCTION("SUM(IMPORTRANGE(""https://docs.google.com/spreadsheets/d/1829CoYW82aTBBUgqkPnJa94KlBWI-DowAnP4ENQCmaQ/edit"",""29!Q2:Q36""))"),5162.219999999998)</f>
        <v>5162.22</v>
      </c>
      <c r="G767" s="40">
        <f>IFERROR(__xludf.DUMMYFUNCTION("IMPORTRANGE(""https://docs.google.com/spreadsheets/d/1829CoYW82aTBBUgqkPnJa94KlBWI-DowAnP4ENQCmaQ/edit"",""29!e43"")"),1199.0)</f>
        <v>1199</v>
      </c>
      <c r="H767" s="40">
        <f>IFERROR(__xludf.DUMMYFUNCTION("IMPORTRANGE(""https://docs.google.com/spreadsheets/d/1829CoYW82aTBBUgqkPnJa94KlBWI-DowAnP4ENQCmaQ/edit"",""29!e44"")"),8.0)</f>
        <v>8</v>
      </c>
      <c r="I767" s="40">
        <f t="shared" si="2115"/>
        <v>1207</v>
      </c>
      <c r="J767" s="40">
        <f>IFERROR(__xludf.DUMMYFUNCTION("IMPORTRANGE(""https://docs.google.com/spreadsheets/d/1829CoYW82aTBBUgqkPnJa94KlBWI-DowAnP4ENQCmaQ/edit"",""29!e47"")"),2451.0)</f>
        <v>2451</v>
      </c>
      <c r="K767" s="40">
        <f>IFERROR(__xludf.DUMMYFUNCTION("IMPORTRANGE(""https://docs.google.com/spreadsheets/d/1829CoYW82aTBBUgqkPnJa94KlBWI-DowAnP4ENQCmaQ/edit"",""29!e48"")"),15.0)</f>
        <v>15</v>
      </c>
      <c r="L767" s="40">
        <f t="shared" si="2116"/>
        <v>2466</v>
      </c>
      <c r="M767" s="40">
        <f t="shared" si="2117"/>
        <v>3673</v>
      </c>
      <c r="N767" s="41">
        <f t="shared" si="2118"/>
        <v>198.5469231</v>
      </c>
      <c r="O767" s="38">
        <v>6853.0</v>
      </c>
      <c r="P767" s="42">
        <f t="shared" si="2119"/>
        <v>0.5359696483</v>
      </c>
      <c r="Q767" s="43">
        <v>1.5</v>
      </c>
      <c r="R767" s="42">
        <f t="shared" si="2120"/>
        <v>0.4743437255</v>
      </c>
      <c r="S767" s="44">
        <f t="shared" si="2121"/>
        <v>0.7115155883</v>
      </c>
      <c r="T767" s="43">
        <f>F767/33.74</f>
        <v>153</v>
      </c>
      <c r="U767" s="43">
        <f t="shared" si="2122"/>
        <v>5.884615385</v>
      </c>
      <c r="V767" s="40">
        <f t="shared" si="2123"/>
        <v>141.2692308</v>
      </c>
      <c r="X767" s="14" t="s">
        <v>2</v>
      </c>
      <c r="Y767" s="14" t="s">
        <v>3</v>
      </c>
      <c r="Z767" s="14" t="s">
        <v>4</v>
      </c>
      <c r="AA767" s="14" t="s">
        <v>5</v>
      </c>
      <c r="AB767" s="15" t="s">
        <v>6</v>
      </c>
      <c r="AC767" s="14" t="s">
        <v>7</v>
      </c>
      <c r="AD767" s="14" t="s">
        <v>8</v>
      </c>
      <c r="AE767" s="14" t="s">
        <v>9</v>
      </c>
      <c r="AF767" s="14" t="s">
        <v>10</v>
      </c>
      <c r="AG767" s="14" t="s">
        <v>11</v>
      </c>
      <c r="AH767" s="14" t="s">
        <v>12</v>
      </c>
      <c r="AI767" s="14" t="s">
        <v>13</v>
      </c>
      <c r="AJ767" s="15" t="s">
        <v>14</v>
      </c>
      <c r="AK767" s="14" t="s">
        <v>15</v>
      </c>
      <c r="AL767" s="14" t="s">
        <v>16</v>
      </c>
      <c r="AM767" s="16" t="s">
        <v>17</v>
      </c>
      <c r="AN767" s="17" t="s">
        <v>18</v>
      </c>
      <c r="AO767" s="18" t="s">
        <v>19</v>
      </c>
      <c r="AP767" s="19" t="s">
        <v>20</v>
      </c>
      <c r="AQ767" s="19" t="s">
        <v>21</v>
      </c>
      <c r="AR767" s="20" t="s">
        <v>22</v>
      </c>
    </row>
    <row r="768" ht="15.75" customHeight="1">
      <c r="A768" s="21"/>
      <c r="B768" s="38">
        <v>7.0</v>
      </c>
      <c r="C768" s="38" t="s">
        <v>24</v>
      </c>
      <c r="D768" s="39">
        <v>37.0</v>
      </c>
      <c r="E768" s="54">
        <f>IFERROR(__xludf.DUMMYFUNCTION("COUNT(IMPORTRANGE(""https://docs.google.com/spreadsheets/d/1E2x4oDZxEIsuC5nl-5Z0--MoN8b1dt9SbpRcCfNP84Q/edit"",""29!d2:d45""))"),37.0)</f>
        <v>37</v>
      </c>
      <c r="F768" s="55">
        <f>IFERROR(__xludf.DUMMYFUNCTION("SUM(IMPORTRANGE(""https://docs.google.com/spreadsheets/d/1E2x4oDZxEIsuC5nl-5Z0--MoN8b1dt9SbpRcCfNP84Q/edit"",""29!Q2:Q45""))"),7050.948999999995)</f>
        <v>7050.949</v>
      </c>
      <c r="G768" s="54">
        <f>IFERROR(__xludf.DUMMYFUNCTION("IMPORTRANGE(""https://docs.google.com/spreadsheets/d/1E2x4oDZxEIsuC5nl-5Z0--MoN8b1dt9SbpRcCfNP84Q/edit"",""29!e53"")"),797.0)</f>
        <v>797</v>
      </c>
      <c r="H768" s="54">
        <f>IFERROR(__xludf.DUMMYFUNCTION("IMPORTRANGE(""https://docs.google.com/spreadsheets/d/1E2x4oDZxEIsuC5nl-5Z0--MoN8b1dt9SbpRcCfNP84Q/edit"",""29!e54"")"),0.0)</f>
        <v>0</v>
      </c>
      <c r="I768" s="54">
        <f t="shared" si="2115"/>
        <v>797</v>
      </c>
      <c r="J768" s="54">
        <f>IFERROR(__xludf.DUMMYFUNCTION("IMPORTRANGE(""https://docs.google.com/spreadsheets/d/1E2x4oDZxEIsuC5nl-5Z0--MoN8b1dt9SbpRcCfNP84Q/edit"",""29!e57"")"),1161.0)</f>
        <v>1161</v>
      </c>
      <c r="K768" s="54">
        <f>IFERROR(__xludf.DUMMYFUNCTION("IMPORTRANGE(""https://docs.google.com/spreadsheets/d/1E2x4oDZxEIsuC5nl-5Z0--MoN8b1dt9SbpRcCfNP84Q/edit"",""29!e58"")"),0.0)</f>
        <v>0</v>
      </c>
      <c r="L768" s="40">
        <f t="shared" si="2116"/>
        <v>1161</v>
      </c>
      <c r="M768" s="40">
        <f t="shared" si="2117"/>
        <v>1958</v>
      </c>
      <c r="N768" s="41">
        <f t="shared" si="2118"/>
        <v>190.5661892</v>
      </c>
      <c r="O768" s="38">
        <v>1580.0</v>
      </c>
      <c r="P768" s="56">
        <f t="shared" si="2119"/>
        <v>1.239240506</v>
      </c>
      <c r="Q768" s="43">
        <v>1.5</v>
      </c>
      <c r="R768" s="42">
        <f t="shared" si="2120"/>
        <v>0.1851287441</v>
      </c>
      <c r="S768" s="44">
        <f t="shared" si="2121"/>
        <v>0.2776931162</v>
      </c>
      <c r="T768" s="43">
        <f>F768/26.805</f>
        <v>263.0460362</v>
      </c>
      <c r="U768" s="43">
        <f t="shared" si="2122"/>
        <v>7.109352329</v>
      </c>
      <c r="V768" s="40">
        <f t="shared" si="2123"/>
        <v>52.91891892</v>
      </c>
      <c r="X768" s="22">
        <v>1.0</v>
      </c>
      <c r="Y768" s="22" t="s">
        <v>28</v>
      </c>
      <c r="Z768" s="22">
        <f t="shared" ref="Z768:AI768" si="2132">SUM(D763)</f>
        <v>26</v>
      </c>
      <c r="AA768" s="23">
        <f t="shared" si="2132"/>
        <v>26</v>
      </c>
      <c r="AB768" s="25">
        <f t="shared" si="2132"/>
        <v>5155.093</v>
      </c>
      <c r="AC768" s="23">
        <f t="shared" si="2132"/>
        <v>1876</v>
      </c>
      <c r="AD768" s="23">
        <f t="shared" si="2132"/>
        <v>129</v>
      </c>
      <c r="AE768" s="23">
        <f t="shared" si="2132"/>
        <v>2005</v>
      </c>
      <c r="AF768" s="23">
        <f t="shared" si="2132"/>
        <v>2105</v>
      </c>
      <c r="AG768" s="23">
        <f t="shared" si="2132"/>
        <v>167</v>
      </c>
      <c r="AH768" s="23">
        <f t="shared" si="2132"/>
        <v>2272</v>
      </c>
      <c r="AI768" s="23">
        <f t="shared" si="2132"/>
        <v>4277</v>
      </c>
      <c r="AJ768" s="25">
        <f t="shared" ref="AJ768:AJ774" si="2135">AB768/AA768</f>
        <v>198.2728077</v>
      </c>
      <c r="AK768" s="22">
        <f t="shared" ref="AK768:AK769" si="2136">SUM(O763)</f>
        <v>7315</v>
      </c>
      <c r="AL768" s="26">
        <f t="shared" ref="AL768:AL774" si="2137">AI768/AK768</f>
        <v>0.5846889952</v>
      </c>
      <c r="AM768" s="27">
        <f t="shared" ref="AM768:AM769" si="2138">SUM(Q763)</f>
        <v>1.5</v>
      </c>
      <c r="AN768" s="26">
        <f t="shared" ref="AN768:AN774" si="2139">AO768/AM768</f>
        <v>0.5531099698</v>
      </c>
      <c r="AO768" s="28">
        <f t="shared" ref="AO768:AO774" si="2140">AI768/AB768</f>
        <v>0.8296649546</v>
      </c>
      <c r="AP768" s="27">
        <f t="shared" ref="AP768:AQ768" si="2133">SUM(T763)</f>
        <v>166.8476875</v>
      </c>
      <c r="AQ768" s="27">
        <f t="shared" si="2133"/>
        <v>6.417218749</v>
      </c>
      <c r="AR768" s="23">
        <f t="shared" ref="AR768:AR774" si="2142">AI768/AA768</f>
        <v>164.5</v>
      </c>
    </row>
    <row r="769" ht="15.75" customHeight="1">
      <c r="A769" s="21"/>
      <c r="B769" s="38">
        <v>8.0</v>
      </c>
      <c r="C769" s="38" t="s">
        <v>25</v>
      </c>
      <c r="D769" s="57">
        <v>27.0</v>
      </c>
      <c r="E769" s="40">
        <f>IFERROR(__xludf.DUMMYFUNCTION("COUNT(IMPORTRANGE(""https://docs.google.com/spreadsheets/d/1KbRFOEYB0B44J_NSh1MwYQ1sLDlZXUHI-wuMLcZDn5k/edit"",""29!d2:D33""))"),26.0)</f>
        <v>26</v>
      </c>
      <c r="F769" s="45">
        <f>IFERROR(__xludf.DUMMYFUNCTION("SUM(IMPORTRANGE(""https://docs.google.com/spreadsheets/d/1KbRFOEYB0B44J_NSh1MwYQ1sLDlZXUHI-wuMLcZDn5k/edit"",""29!Q2:Q33""))"),4560.9400000000005)</f>
        <v>4560.94</v>
      </c>
      <c r="G769" s="40">
        <f>IFERROR(__xludf.DUMMYFUNCTION("IMPORTRANGE(""https://docs.google.com/spreadsheets/d/1KbRFOEYB0B44J_NSh1MwYQ1sLDlZXUHI-wuMLcZDn5k/edit"",""29!e40"")"),1690.0)</f>
        <v>1690</v>
      </c>
      <c r="H769" s="40">
        <f>IFERROR(__xludf.DUMMYFUNCTION("IMPORTRANGE(""https://docs.google.com/spreadsheets/d/1KbRFOEYB0B44J_NSh1MwYQ1sLDlZXUHI-wuMLcZDn5k/edit"",""29!e41"")"),179.0)</f>
        <v>179</v>
      </c>
      <c r="I769" s="40">
        <f t="shared" si="2115"/>
        <v>1869</v>
      </c>
      <c r="J769" s="40">
        <f>IFERROR(__xludf.DUMMYFUNCTION("IMPORTRANGE(""https://docs.google.com/spreadsheets/d/1KbRFOEYB0B44J_NSh1MwYQ1sLDlZXUHI-wuMLcZDn5k/edit"",""29!e44"")"),2795.0)</f>
        <v>2795</v>
      </c>
      <c r="K769" s="40">
        <f>IFERROR(__xludf.DUMMYFUNCTION("IMPORTRANGE(""https://docs.google.com/spreadsheets/d/1KbRFOEYB0B44J_NSh1MwYQ1sLDlZXUHI-wuMLcZDn5k/edit"",""29!e45"")"),331.0)</f>
        <v>331</v>
      </c>
      <c r="L769" s="40">
        <f>J769+K769</f>
        <v>3126</v>
      </c>
      <c r="M769" s="40">
        <f t="shared" si="2117"/>
        <v>4995</v>
      </c>
      <c r="N769" s="41">
        <f t="shared" si="2118"/>
        <v>175.4207692</v>
      </c>
      <c r="O769" s="38">
        <v>6622.0</v>
      </c>
      <c r="P769" s="42">
        <f t="shared" si="2119"/>
        <v>0.7543038357</v>
      </c>
      <c r="Q769" s="43">
        <v>1.5</v>
      </c>
      <c r="R769" s="42">
        <f t="shared" si="2120"/>
        <v>0.7301126522</v>
      </c>
      <c r="S769" s="44">
        <f t="shared" si="2121"/>
        <v>1.095168978</v>
      </c>
      <c r="T769" s="43">
        <f>F769/23.84</f>
        <v>191.3145973</v>
      </c>
      <c r="U769" s="43">
        <f t="shared" si="2122"/>
        <v>7.358253743</v>
      </c>
      <c r="V769" s="40">
        <f t="shared" si="2123"/>
        <v>192.1153846</v>
      </c>
      <c r="X769" s="31">
        <v>2.0</v>
      </c>
      <c r="Y769" s="31" t="s">
        <v>30</v>
      </c>
      <c r="Z769" s="31">
        <f t="shared" ref="Z769:AI769" si="2134">SUM(D764)</f>
        <v>48</v>
      </c>
      <c r="AA769" s="32">
        <f t="shared" si="2134"/>
        <v>48</v>
      </c>
      <c r="AB769" s="33">
        <f t="shared" si="2134"/>
        <v>9743.592</v>
      </c>
      <c r="AC769" s="32">
        <f t="shared" si="2134"/>
        <v>2802</v>
      </c>
      <c r="AD769" s="32">
        <f t="shared" si="2134"/>
        <v>0</v>
      </c>
      <c r="AE769" s="32">
        <f t="shared" si="2134"/>
        <v>2802</v>
      </c>
      <c r="AF769" s="32">
        <f t="shared" si="2134"/>
        <v>3018</v>
      </c>
      <c r="AG769" s="32">
        <f t="shared" si="2134"/>
        <v>0</v>
      </c>
      <c r="AH769" s="32">
        <f t="shared" si="2134"/>
        <v>3018</v>
      </c>
      <c r="AI769" s="32">
        <f t="shared" si="2134"/>
        <v>5820</v>
      </c>
      <c r="AJ769" s="34">
        <f t="shared" si="2135"/>
        <v>202.9915</v>
      </c>
      <c r="AK769" s="31">
        <f t="shared" si="2136"/>
        <v>11164</v>
      </c>
      <c r="AL769" s="35">
        <f t="shared" si="2137"/>
        <v>0.5213185238</v>
      </c>
      <c r="AM769" s="36">
        <f t="shared" si="2138"/>
        <v>1.5</v>
      </c>
      <c r="AN769" s="35">
        <f t="shared" si="2139"/>
        <v>0.3982104341</v>
      </c>
      <c r="AO769" s="37">
        <f t="shared" si="2140"/>
        <v>0.5973156511</v>
      </c>
      <c r="AP769" s="36">
        <f t="shared" ref="AP769:AQ769" si="2141">SUM(T764)</f>
        <v>329.1420464</v>
      </c>
      <c r="AQ769" s="36">
        <f t="shared" si="2141"/>
        <v>6.857125967</v>
      </c>
      <c r="AR769" s="32">
        <f t="shared" si="2142"/>
        <v>121.25</v>
      </c>
    </row>
    <row r="770" ht="15.75" customHeight="1">
      <c r="A770" s="21"/>
      <c r="B770" s="38">
        <v>9.0</v>
      </c>
      <c r="C770" s="38" t="s">
        <v>36</v>
      </c>
      <c r="D770" s="58">
        <v>24.0</v>
      </c>
      <c r="E770" s="40">
        <f>IFERROR(__xludf.DUMMYFUNCTION("COUNT(IMPORTRANGE(""https://docs.google.com/spreadsheets/d/1VqqqRGfmmkT0JC4ILJva2p8P11jjV0FX-TSKAaqOigw/edit"",""29!d2:d31""))"),24.0)</f>
        <v>24</v>
      </c>
      <c r="F770" s="45">
        <f>IFERROR(__xludf.DUMMYFUNCTION("SUM(IMPORTRANGE(""https://docs.google.com/spreadsheets/d/1VqqqRGfmmkT0JC4ILJva2p8P11jjV0FX-TSKAaqOigw/edit"",""29!Q2:Q31""))"),4615.042999999999)</f>
        <v>4615.043</v>
      </c>
      <c r="G770" s="40">
        <f>IFERROR(__xludf.DUMMYFUNCTION("IMPORTRANGE(""https://docs.google.com/spreadsheets/d/1VqqqRGfmmkT0JC4ILJva2p8P11jjV0FX-TSKAaqOigw/edit"",""29!e38"")"),1034.0)</f>
        <v>1034</v>
      </c>
      <c r="H770" s="40">
        <f>IFERROR(__xludf.DUMMYFUNCTION("IMPORTRANGE(""https://docs.google.com/spreadsheets/d/1VqqqRGfmmkT0JC4ILJva2p8P11jjV0FX-TSKAaqOigw/edit"",""29!e39"")"),0.0)</f>
        <v>0</v>
      </c>
      <c r="I770" s="40">
        <f t="shared" si="2115"/>
        <v>1034</v>
      </c>
      <c r="J770" s="40">
        <f>IFERROR(__xludf.DUMMYFUNCTION("IMPORTRANGE(""https://docs.google.com/spreadsheets/d/1VqqqRGfmmkT0JC4ILJva2p8P11jjV0FX-TSKAaqOigw/edit"",""29!e42"")"),1577.0)</f>
        <v>1577</v>
      </c>
      <c r="K770" s="40">
        <f>IFERROR(__xludf.DUMMYFUNCTION("IMPORTRANGE(""https://docs.google.com/spreadsheets/d/1VqqqRGfmmkT0JC4ILJva2p8P11jjV0FX-TSKAaqOigw/edit"",""29!e43"")"),0.0)</f>
        <v>0</v>
      </c>
      <c r="L770" s="40">
        <f t="shared" ref="L770:L779" si="2145">SUM(J770:K770)</f>
        <v>1577</v>
      </c>
      <c r="M770" s="40">
        <f t="shared" si="2117"/>
        <v>2611</v>
      </c>
      <c r="N770" s="41">
        <f t="shared" si="2118"/>
        <v>192.2934583</v>
      </c>
      <c r="O770" s="38">
        <v>4796.0</v>
      </c>
      <c r="P770" s="42">
        <f t="shared" si="2119"/>
        <v>0.54441201</v>
      </c>
      <c r="Q770" s="43">
        <v>1.5</v>
      </c>
      <c r="R770" s="42">
        <f t="shared" si="2120"/>
        <v>0.3771723615</v>
      </c>
      <c r="S770" s="44">
        <f t="shared" si="2121"/>
        <v>0.5657585422</v>
      </c>
      <c r="T770" s="43">
        <f>F770/37.414</f>
        <v>123.3506976</v>
      </c>
      <c r="U770" s="43">
        <f t="shared" si="2122"/>
        <v>5.1396124</v>
      </c>
      <c r="V770" s="40">
        <f t="shared" si="2123"/>
        <v>108.7916667</v>
      </c>
      <c r="X770" s="22">
        <v>3.0</v>
      </c>
      <c r="Y770" s="22" t="s">
        <v>34</v>
      </c>
      <c r="Z770" s="22">
        <f t="shared" ref="Z770:AI770" si="2143">SUM(D766)</f>
        <v>32</v>
      </c>
      <c r="AA770" s="23">
        <f t="shared" si="2143"/>
        <v>32</v>
      </c>
      <c r="AB770" s="24">
        <f t="shared" si="2143"/>
        <v>6406.422</v>
      </c>
      <c r="AC770" s="23">
        <f t="shared" si="2143"/>
        <v>1837</v>
      </c>
      <c r="AD770" s="23">
        <f t="shared" si="2143"/>
        <v>0</v>
      </c>
      <c r="AE770" s="23">
        <f t="shared" si="2143"/>
        <v>1837</v>
      </c>
      <c r="AF770" s="23">
        <f t="shared" si="2143"/>
        <v>2742</v>
      </c>
      <c r="AG770" s="23">
        <f t="shared" si="2143"/>
        <v>0</v>
      </c>
      <c r="AH770" s="23">
        <f t="shared" si="2143"/>
        <v>2742</v>
      </c>
      <c r="AI770" s="23">
        <f t="shared" si="2143"/>
        <v>4579</v>
      </c>
      <c r="AJ770" s="25">
        <f t="shared" si="2135"/>
        <v>200.2006875</v>
      </c>
      <c r="AK770" s="22">
        <f>SUM(O766)</f>
        <v>9354</v>
      </c>
      <c r="AL770" s="26">
        <f t="shared" si="2137"/>
        <v>0.4895231986</v>
      </c>
      <c r="AM770" s="27">
        <f>SUM(Q766)</f>
        <v>1.5</v>
      </c>
      <c r="AN770" s="26">
        <f t="shared" si="2139"/>
        <v>0.4765010277</v>
      </c>
      <c r="AO770" s="28">
        <f t="shared" si="2140"/>
        <v>0.7147515415</v>
      </c>
      <c r="AP770" s="27">
        <f t="shared" ref="AP770:AQ770" si="2144">SUM(T766)</f>
        <v>208.5899131</v>
      </c>
      <c r="AQ770" s="27">
        <f t="shared" si="2144"/>
        <v>6.518434783</v>
      </c>
      <c r="AR770" s="23">
        <f t="shared" si="2142"/>
        <v>143.09375</v>
      </c>
    </row>
    <row r="771" ht="15.75" customHeight="1">
      <c r="A771" s="21"/>
      <c r="B771" s="38">
        <v>10.0</v>
      </c>
      <c r="C771" s="38" t="s">
        <v>37</v>
      </c>
      <c r="D771" s="39">
        <v>24.0</v>
      </c>
      <c r="E771" s="40">
        <f>IFERROR(__xludf.DUMMYFUNCTION("COUNT(IMPORTRANGE(""https://docs.google.com/spreadsheets/d/1IYeRjQd_D6MRqoBKNaky3aSEUloYCJc5XDnPAbdyetk/edit"",""29!d2:d31""))"),24.0)</f>
        <v>24</v>
      </c>
      <c r="F771" s="45">
        <f>IFERROR(__xludf.DUMMYFUNCTION("SUM(IMPORTRANGE(""https://docs.google.com/spreadsheets/d/1IYeRjQd_D6MRqoBKNaky3aSEUloYCJc5XDnPAbdyetk/edit"",""29!Q2:Q31""))"),4770.924000000002)</f>
        <v>4770.924</v>
      </c>
      <c r="G771" s="40">
        <f>IFERROR(__xludf.DUMMYFUNCTION("(IMPORTRANGE(""https://docs.google.com/spreadsheets/d/1IYeRjQd_D6MRqoBKNaky3aSEUloYCJc5XDnPAbdyetk/edit"",""29!e38""))"),1296.0)</f>
        <v>1296</v>
      </c>
      <c r="H771" s="40">
        <f>IFERROR(__xludf.DUMMYFUNCTION("(IMPORTRANGE(""https://docs.google.com/spreadsheets/d/1IYeRjQd_D6MRqoBKNaky3aSEUloYCJc5XDnPAbdyetk/edit"",""29!e39""))"),0.0)</f>
        <v>0</v>
      </c>
      <c r="I771" s="40">
        <f t="shared" si="2115"/>
        <v>1296</v>
      </c>
      <c r="J771" s="40">
        <f>IFERROR(__xludf.DUMMYFUNCTION("(IMPORTRANGE(""https://docs.google.com/spreadsheets/d/1IYeRjQd_D6MRqoBKNaky3aSEUloYCJc5XDnPAbdyetk/edit"",""29!e42""))"),2392.0)</f>
        <v>2392</v>
      </c>
      <c r="K771" s="40">
        <f>IFERROR(__xludf.DUMMYFUNCTION("(IMPORTRANGE(""https://docs.google.com/spreadsheets/d/1IYeRjQd_D6MRqoBKNaky3aSEUloYCJc5XDnPAbdyetk/edit"",""29!e43""))"),0.0)</f>
        <v>0</v>
      </c>
      <c r="L771" s="40">
        <f t="shared" si="2145"/>
        <v>2392</v>
      </c>
      <c r="M771" s="40">
        <f t="shared" si="2117"/>
        <v>3688</v>
      </c>
      <c r="N771" s="41">
        <f t="shared" si="2118"/>
        <v>198.7885</v>
      </c>
      <c r="O771" s="38">
        <v>5887.0</v>
      </c>
      <c r="P771" s="42">
        <f t="shared" si="2119"/>
        <v>0.6264650926</v>
      </c>
      <c r="Q771" s="43">
        <v>1.5</v>
      </c>
      <c r="R771" s="42">
        <f t="shared" si="2120"/>
        <v>0.515343918</v>
      </c>
      <c r="S771" s="44">
        <f t="shared" si="2121"/>
        <v>0.773015877</v>
      </c>
      <c r="T771" s="43">
        <f>F771/24.792</f>
        <v>192.4380445</v>
      </c>
      <c r="U771" s="43">
        <f t="shared" si="2122"/>
        <v>8.018251855</v>
      </c>
      <c r="V771" s="40">
        <f t="shared" si="2123"/>
        <v>153.6666667</v>
      </c>
      <c r="X771" s="31">
        <v>4.0</v>
      </c>
      <c r="Y771" s="31" t="s">
        <v>38</v>
      </c>
      <c r="Z771" s="31">
        <f t="shared" ref="Z771:AI771" si="2146">SUM(D774)</f>
        <v>24</v>
      </c>
      <c r="AA771" s="32">
        <f t="shared" si="2146"/>
        <v>23</v>
      </c>
      <c r="AB771" s="33">
        <f t="shared" si="2146"/>
        <v>4532.55</v>
      </c>
      <c r="AC771" s="32">
        <f t="shared" si="2146"/>
        <v>1592</v>
      </c>
      <c r="AD771" s="32">
        <f t="shared" si="2146"/>
        <v>57</v>
      </c>
      <c r="AE771" s="32">
        <f t="shared" si="2146"/>
        <v>1649</v>
      </c>
      <c r="AF771" s="32">
        <f t="shared" si="2146"/>
        <v>2041</v>
      </c>
      <c r="AG771" s="32">
        <f t="shared" si="2146"/>
        <v>0</v>
      </c>
      <c r="AH771" s="32">
        <f t="shared" si="2146"/>
        <v>2041</v>
      </c>
      <c r="AI771" s="32">
        <f t="shared" si="2146"/>
        <v>3690</v>
      </c>
      <c r="AJ771" s="34">
        <f t="shared" si="2135"/>
        <v>197.0673913</v>
      </c>
      <c r="AK771" s="31">
        <v>7324.0</v>
      </c>
      <c r="AL771" s="35">
        <f t="shared" si="2137"/>
        <v>0.5038230475</v>
      </c>
      <c r="AM771" s="36">
        <f>SUM(Q774)</f>
        <v>1.5</v>
      </c>
      <c r="AN771" s="35">
        <f t="shared" si="2139"/>
        <v>0.5427408412</v>
      </c>
      <c r="AO771" s="37">
        <f t="shared" si="2140"/>
        <v>0.8141112619</v>
      </c>
      <c r="AP771" s="36">
        <f t="shared" ref="AP771:AQ771" si="2147">SUM(T774)</f>
        <v>110</v>
      </c>
      <c r="AQ771" s="36">
        <f t="shared" si="2147"/>
        <v>4.782608696</v>
      </c>
      <c r="AR771" s="32">
        <f t="shared" si="2142"/>
        <v>160.4347826</v>
      </c>
    </row>
    <row r="772" ht="15.75" customHeight="1">
      <c r="A772" s="21"/>
      <c r="B772" s="38">
        <v>12.0</v>
      </c>
      <c r="C772" s="38" t="s">
        <v>39</v>
      </c>
      <c r="D772" s="39">
        <v>22.0</v>
      </c>
      <c r="E772" s="40">
        <f>IFERROR(__xludf.DUMMYFUNCTION("COUNT(IMPORTRANGE(""https://docs.google.com/spreadsheets/d/1TAY2D35yAzyl8a_p5CuZehQvmatfj0b0Q8ICl8GtJBY/edit"",""29!d2:d29""))"),22.0)</f>
        <v>22</v>
      </c>
      <c r="F772" s="45">
        <f>IFERROR(__xludf.DUMMYFUNCTION("SUM(IMPORTRANGE(""https://docs.google.com/spreadsheets/d/1TAY2D35yAzyl8a_p5CuZehQvmatfj0b0Q8ICl8GtJBY/edit"",""29!Q2:Q29""))"),4298.057000000002)</f>
        <v>4298.057</v>
      </c>
      <c r="G772" s="40">
        <f>IFERROR(__xludf.DUMMYFUNCTION("IMPORTRANGE(""https://docs.google.com/spreadsheets/d/1TAY2D35yAzyl8a_p5CuZehQvmatfj0b0Q8ICl8GtJBY/edit"",""29!e36"")"),907.0)</f>
        <v>907</v>
      </c>
      <c r="H772" s="40">
        <f>IFERROR(__xludf.DUMMYFUNCTION("(IMPORTRANGE(""https://docs.google.com/spreadsheets/d/1TAY2D35yAzyl8a_p5CuZehQvmatfj0b0Q8ICl8GtJBY/edit"",""29!e37""))"),69.0)</f>
        <v>69</v>
      </c>
      <c r="I772" s="40">
        <f t="shared" si="2115"/>
        <v>976</v>
      </c>
      <c r="J772" s="40">
        <f>IFERROR(__xludf.DUMMYFUNCTION("IMPORTRANGE(""https://docs.google.com/spreadsheets/d/1TAY2D35yAzyl8a_p5CuZehQvmatfj0b0Q8ICl8GtJBY/edit"",""29!e40"")"),2002.0)</f>
        <v>2002</v>
      </c>
      <c r="K772" s="40">
        <f>IFERROR(__xludf.DUMMYFUNCTION("IMPORTRANGE(""https://docs.google.com/spreadsheets/d/1TAY2D35yAzyl8a_p5CuZehQvmatfj0b0Q8ICl8GtJBY/edit"",""29!e41"")"),0.0)</f>
        <v>0</v>
      </c>
      <c r="L772" s="40">
        <f t="shared" si="2145"/>
        <v>2002</v>
      </c>
      <c r="M772" s="40">
        <f t="shared" si="2117"/>
        <v>2978</v>
      </c>
      <c r="N772" s="41">
        <f t="shared" si="2118"/>
        <v>195.3662273</v>
      </c>
      <c r="O772" s="38">
        <v>3569.0</v>
      </c>
      <c r="P772" s="42">
        <f t="shared" si="2119"/>
        <v>0.834407397</v>
      </c>
      <c r="Q772" s="43">
        <v>1.5</v>
      </c>
      <c r="R772" s="42">
        <f t="shared" si="2120"/>
        <v>0.4619141471</v>
      </c>
      <c r="S772" s="44">
        <f t="shared" si="2121"/>
        <v>0.6928712206</v>
      </c>
      <c r="T772" s="43">
        <f>F772/21.463</f>
        <v>200.2542515</v>
      </c>
      <c r="U772" s="43">
        <f t="shared" si="2122"/>
        <v>9.102465977</v>
      </c>
      <c r="V772" s="40">
        <f t="shared" si="2123"/>
        <v>135.3636364</v>
      </c>
      <c r="X772" s="31">
        <v>5.0</v>
      </c>
      <c r="Y772" s="31" t="s">
        <v>40</v>
      </c>
      <c r="Z772" s="31">
        <f t="shared" ref="Z772:AI772" si="2148">SUM(D776)</f>
        <v>24</v>
      </c>
      <c r="AA772" s="32">
        <f t="shared" si="2148"/>
        <v>22</v>
      </c>
      <c r="AB772" s="33">
        <f t="shared" si="2148"/>
        <v>4251.562</v>
      </c>
      <c r="AC772" s="32">
        <f t="shared" si="2148"/>
        <v>2521</v>
      </c>
      <c r="AD772" s="32">
        <f t="shared" si="2148"/>
        <v>0</v>
      </c>
      <c r="AE772" s="32">
        <f t="shared" si="2148"/>
        <v>2521</v>
      </c>
      <c r="AF772" s="32">
        <f t="shared" si="2148"/>
        <v>2258</v>
      </c>
      <c r="AG772" s="32">
        <f t="shared" si="2148"/>
        <v>0</v>
      </c>
      <c r="AH772" s="32">
        <f t="shared" si="2148"/>
        <v>2258</v>
      </c>
      <c r="AI772" s="32">
        <f t="shared" si="2148"/>
        <v>4779</v>
      </c>
      <c r="AJ772" s="34">
        <f t="shared" si="2135"/>
        <v>193.2528182</v>
      </c>
      <c r="AK772" s="31">
        <f t="shared" ref="AK772:AK773" si="2151">SUM(O776)</f>
        <v>8239</v>
      </c>
      <c r="AL772" s="35">
        <f t="shared" si="2137"/>
        <v>0.5800461221</v>
      </c>
      <c r="AM772" s="36">
        <f t="shared" ref="AM772:AM773" si="2152">SUM(Q776)</f>
        <v>1.5</v>
      </c>
      <c r="AN772" s="35">
        <f t="shared" si="2139"/>
        <v>0.7493716427</v>
      </c>
      <c r="AO772" s="37">
        <f t="shared" si="2140"/>
        <v>1.124057464</v>
      </c>
      <c r="AP772" s="36">
        <f t="shared" ref="AP772:AQ772" si="2149">SUM(T776)</f>
        <v>149.4765672</v>
      </c>
      <c r="AQ772" s="36">
        <f t="shared" si="2149"/>
        <v>6.794389417</v>
      </c>
      <c r="AR772" s="32">
        <f t="shared" si="2142"/>
        <v>217.2272727</v>
      </c>
    </row>
    <row r="773" ht="15.75" customHeight="1">
      <c r="A773" s="21"/>
      <c r="B773" s="38">
        <v>12.0</v>
      </c>
      <c r="C773" s="38" t="s">
        <v>41</v>
      </c>
      <c r="D773" s="39">
        <v>20.0</v>
      </c>
      <c r="E773" s="40">
        <f>IFERROR(__xludf.DUMMYFUNCTION("COUNT(IMPORTRANGE(""https://docs.google.com/spreadsheets/d/1VAsUtLQHi7oV9NsI9EIHPnO1bcPJHeRgSbMoxSvPBME/edit"",""29!d2:d25""))"),20.0)</f>
        <v>20</v>
      </c>
      <c r="F773" s="45">
        <f>IFERROR(__xludf.DUMMYFUNCTION("SUM(IMPORTRANGE(""https://docs.google.com/spreadsheets/d/1VAsUtLQHi7oV9NsI9EIHPnO1bcPJHeRgSbMoxSvPBME/edit"",""29!Q2:Q25""))"),4006.364000000001)</f>
        <v>4006.364</v>
      </c>
      <c r="G773" s="40">
        <f>IFERROR(__xludf.DUMMYFUNCTION("IMPORTRANGE(""https://docs.google.com/spreadsheets/d/1VAsUtLQHi7oV9NsI9EIHPnO1bcPJHeRgSbMoxSvPBME/edit"",""29!e32"")"),876.0)</f>
        <v>876</v>
      </c>
      <c r="H773" s="40">
        <f>IFERROR(__xludf.DUMMYFUNCTION("IMPORTRANGE(""https://docs.google.com/spreadsheets/d/1VAsUtLQHi7oV9NsI9EIHPnO1bcPJHeRgSbMoxSvPBME/edit"",""29!e33"")"),0.0)</f>
        <v>0</v>
      </c>
      <c r="I773" s="40">
        <f t="shared" si="2115"/>
        <v>876</v>
      </c>
      <c r="J773" s="40">
        <f>IFERROR(__xludf.DUMMYFUNCTION("IMPORTRANGE(""https://docs.google.com/spreadsheets/d/1VAsUtLQHi7oV9NsI9EIHPnO1bcPJHeRgSbMoxSvPBME/edit"",""29!e36"")"),1574.0)</f>
        <v>1574</v>
      </c>
      <c r="K773" s="40">
        <f>IFERROR(__xludf.DUMMYFUNCTION("IMPORTRANGE(""https://docs.google.com/spreadsheets/d/1VAsUtLQHi7oV9NsI9EIHPnO1bcPJHeRgSbMoxSvPBME/edit"",""29!e37"")"),0.0)</f>
        <v>0</v>
      </c>
      <c r="L773" s="40">
        <f t="shared" si="2145"/>
        <v>1574</v>
      </c>
      <c r="M773" s="40">
        <f t="shared" si="2117"/>
        <v>2450</v>
      </c>
      <c r="N773" s="41">
        <f t="shared" si="2118"/>
        <v>200.3182</v>
      </c>
      <c r="O773" s="38">
        <v>3801.0</v>
      </c>
      <c r="P773" s="42">
        <f t="shared" si="2119"/>
        <v>0.6445672192</v>
      </c>
      <c r="Q773" s="43">
        <v>1.5</v>
      </c>
      <c r="R773" s="42">
        <f t="shared" si="2120"/>
        <v>0.407684707</v>
      </c>
      <c r="S773" s="44">
        <f t="shared" si="2121"/>
        <v>0.6115270604</v>
      </c>
      <c r="T773" s="43">
        <f>F773/29.628</f>
        <v>135.2222222</v>
      </c>
      <c r="U773" s="43">
        <f t="shared" si="2122"/>
        <v>6.761111111</v>
      </c>
      <c r="V773" s="40">
        <f t="shared" si="2123"/>
        <v>122.5</v>
      </c>
      <c r="X773" s="22">
        <v>6.0</v>
      </c>
      <c r="Y773" s="22" t="s">
        <v>42</v>
      </c>
      <c r="Z773" s="22">
        <f t="shared" ref="Z773:AI773" si="2150">SUM(D777)</f>
        <v>26</v>
      </c>
      <c r="AA773" s="23">
        <f t="shared" si="2150"/>
        <v>25</v>
      </c>
      <c r="AB773" s="24">
        <f t="shared" si="2150"/>
        <v>4752.517</v>
      </c>
      <c r="AC773" s="23">
        <f t="shared" si="2150"/>
        <v>2175</v>
      </c>
      <c r="AD773" s="23">
        <f t="shared" si="2150"/>
        <v>252</v>
      </c>
      <c r="AE773" s="23">
        <f t="shared" si="2150"/>
        <v>2427</v>
      </c>
      <c r="AF773" s="23">
        <f t="shared" si="2150"/>
        <v>2901</v>
      </c>
      <c r="AG773" s="23">
        <f t="shared" si="2150"/>
        <v>320</v>
      </c>
      <c r="AH773" s="23">
        <f t="shared" si="2150"/>
        <v>3221</v>
      </c>
      <c r="AI773" s="23">
        <f t="shared" si="2150"/>
        <v>5648</v>
      </c>
      <c r="AJ773" s="25">
        <f t="shared" si="2135"/>
        <v>190.10068</v>
      </c>
      <c r="AK773" s="22">
        <f t="shared" si="2151"/>
        <v>9877</v>
      </c>
      <c r="AL773" s="26">
        <f t="shared" si="2137"/>
        <v>0.5718335527</v>
      </c>
      <c r="AM773" s="27">
        <f t="shared" si="2152"/>
        <v>1.5</v>
      </c>
      <c r="AN773" s="26">
        <f t="shared" si="2139"/>
        <v>0.7922819284</v>
      </c>
      <c r="AO773" s="28">
        <f t="shared" si="2140"/>
        <v>1.188422893</v>
      </c>
      <c r="AP773" s="27">
        <f t="shared" ref="AP773:AQ773" si="2153">SUM(T777)</f>
        <v>181.7058689</v>
      </c>
      <c r="AQ773" s="27">
        <f t="shared" si="2153"/>
        <v>7.268234754</v>
      </c>
      <c r="AR773" s="23">
        <f t="shared" si="2142"/>
        <v>225.92</v>
      </c>
    </row>
    <row r="774" ht="15.75" customHeight="1">
      <c r="A774" s="21"/>
      <c r="B774" s="38">
        <v>13.0</v>
      </c>
      <c r="C774" s="38" t="s">
        <v>43</v>
      </c>
      <c r="D774" s="39">
        <v>24.0</v>
      </c>
      <c r="E774" s="40">
        <f>IFERROR(__xludf.DUMMYFUNCTION("COUNT(IMPORTRANGE(""https://docs.google.com/spreadsheets/d/1p9Y_DGk7-TpRBFth-ljZceOIGCjQ0ylUeUq6xqnsZ-Q/edit"",""29!d2:d31""))"),23.0)</f>
        <v>23</v>
      </c>
      <c r="F774" s="45">
        <f>IFERROR(__xludf.DUMMYFUNCTION("SUM(IMPORTRANGE(""https://docs.google.com/spreadsheets/d/1p9Y_DGk7-TpRBFth-ljZceOIGCjQ0ylUeUq6xqnsZ-Q/edit"",""29!Q2:Q31""))"),4532.55)</f>
        <v>4532.55</v>
      </c>
      <c r="G774" s="40">
        <f>IFERROR(__xludf.DUMMYFUNCTION("IMPORTRANGE(""https://docs.google.com/spreadsheets/d/1p9Y_DGk7-TpRBFth-ljZceOIGCjQ0ylUeUq6xqnsZ-Q/edit"",""29!e38"")"),1592.0)</f>
        <v>1592</v>
      </c>
      <c r="H774" s="40">
        <f>IFERROR(__xludf.DUMMYFUNCTION("IMPORTRANGE(""https://docs.google.com/spreadsheets/d/1p9Y_DGk7-TpRBFth-ljZceOIGCjQ0ylUeUq6xqnsZ-Q/edit"",""29!e39"")"),57.0)</f>
        <v>57</v>
      </c>
      <c r="I774" s="40">
        <f t="shared" si="2115"/>
        <v>1649</v>
      </c>
      <c r="J774" s="40">
        <f>IFERROR(__xludf.DUMMYFUNCTION("IMPORTRANGE(""https://docs.google.com/spreadsheets/d/1p9Y_DGk7-TpRBFth-ljZceOIGCjQ0ylUeUq6xqnsZ-Q/edit"",""29!e42"")"),2041.0)</f>
        <v>2041</v>
      </c>
      <c r="K774" s="40">
        <f>IFERROR(__xludf.DUMMYFUNCTION("IMPORTRANGE(""https://docs.google.com/spreadsheets/d/1p9Y_DGk7-TpRBFth-ljZceOIGCjQ0ylUeUq6xqnsZ-Q/edit"",""29!e43"")"),0.0)</f>
        <v>0</v>
      </c>
      <c r="L774" s="40">
        <f t="shared" si="2145"/>
        <v>2041</v>
      </c>
      <c r="M774" s="40">
        <f t="shared" si="2117"/>
        <v>3690</v>
      </c>
      <c r="N774" s="41">
        <f t="shared" si="2118"/>
        <v>197.0673913</v>
      </c>
      <c r="O774" s="38">
        <v>8345.0</v>
      </c>
      <c r="P774" s="42">
        <f t="shared" si="2119"/>
        <v>0.4421809467</v>
      </c>
      <c r="Q774" s="43">
        <v>1.5</v>
      </c>
      <c r="R774" s="42">
        <f t="shared" si="2120"/>
        <v>0.5427408412</v>
      </c>
      <c r="S774" s="44">
        <f t="shared" si="2121"/>
        <v>0.8141112619</v>
      </c>
      <c r="T774" s="43">
        <f>F774/41.205</f>
        <v>110</v>
      </c>
      <c r="U774" s="43">
        <f t="shared" si="2122"/>
        <v>4.782608696</v>
      </c>
      <c r="V774" s="40">
        <f t="shared" si="2123"/>
        <v>160.4347826</v>
      </c>
      <c r="X774" s="46" t="s">
        <v>33</v>
      </c>
      <c r="Y774" s="46">
        <v>6.0</v>
      </c>
      <c r="Z774" s="46">
        <f t="shared" ref="Z774:AI774" si="2154">SUM(Z768:Z773)</f>
        <v>180</v>
      </c>
      <c r="AA774" s="47">
        <f t="shared" si="2154"/>
        <v>176</v>
      </c>
      <c r="AB774" s="49">
        <f t="shared" si="2154"/>
        <v>34841.736</v>
      </c>
      <c r="AC774" s="47">
        <f t="shared" si="2154"/>
        <v>12803</v>
      </c>
      <c r="AD774" s="47">
        <f t="shared" si="2154"/>
        <v>438</v>
      </c>
      <c r="AE774" s="47">
        <f t="shared" si="2154"/>
        <v>13241</v>
      </c>
      <c r="AF774" s="47">
        <f t="shared" si="2154"/>
        <v>15065</v>
      </c>
      <c r="AG774" s="47">
        <f t="shared" si="2154"/>
        <v>487</v>
      </c>
      <c r="AH774" s="47">
        <f t="shared" si="2154"/>
        <v>15552</v>
      </c>
      <c r="AI774" s="47">
        <f t="shared" si="2154"/>
        <v>28793</v>
      </c>
      <c r="AJ774" s="49">
        <f t="shared" si="2135"/>
        <v>197.9644091</v>
      </c>
      <c r="AK774" s="46">
        <f>SUM(AK768:AK773)</f>
        <v>53273</v>
      </c>
      <c r="AL774" s="50">
        <f t="shared" si="2137"/>
        <v>0.5404801682</v>
      </c>
      <c r="AM774" s="51">
        <v>1.5</v>
      </c>
      <c r="AN774" s="50">
        <f t="shared" si="2139"/>
        <v>0.5509293031</v>
      </c>
      <c r="AO774" s="52">
        <f t="shared" si="2140"/>
        <v>0.8263939547</v>
      </c>
      <c r="AP774" s="51">
        <f>SUM(AP768:AP773)</f>
        <v>1145.762083</v>
      </c>
      <c r="AQ774" s="51">
        <f>AP774/AA774</f>
        <v>6.510011835</v>
      </c>
      <c r="AR774" s="47">
        <f t="shared" si="2142"/>
        <v>163.5965909</v>
      </c>
    </row>
    <row r="775" ht="15.75" customHeight="1">
      <c r="A775" s="21"/>
      <c r="B775" s="38">
        <v>14.0</v>
      </c>
      <c r="C775" s="38" t="s">
        <v>27</v>
      </c>
      <c r="D775" s="39">
        <v>24.0</v>
      </c>
      <c r="E775" s="40">
        <f>IFERROR(__xludf.DUMMYFUNCTION("COUNT(IMPORTRANGE(""https://docs.google.com/spreadsheets/d/1zJUDEKztv_fercXA0LYNw155qdzS7TJGhWLhquaW5IY/edit"",""29!d2:d31""))"),22.0)</f>
        <v>22</v>
      </c>
      <c r="F775" s="45">
        <f>IFERROR(__xludf.DUMMYFUNCTION("SUM(IMPORTRANGE(""https://docs.google.com/spreadsheets/d/1zJUDEKztv_fercXA0LYNw155qdzS7TJGhWLhquaW5IY/edit"",""29!Q2:Q31""))"),4166.734999999999)</f>
        <v>4166.735</v>
      </c>
      <c r="G775" s="40">
        <f>IFERROR(__xludf.DUMMYFUNCTION("IMPORTRANGE(""https://docs.google.com/spreadsheets/d/1zJUDEKztv_fercXA0LYNw155qdzS7TJGhWLhquaW5IY/edit"",""29!e38"")"),1684.0)</f>
        <v>1684</v>
      </c>
      <c r="H775" s="40">
        <f>IFERROR(__xludf.DUMMYFUNCTION("IMPORTRANGE(""https://docs.google.com/spreadsheets/d/1zJUDEKztv_fercXA0LYNw155qdzS7TJGhWLhquaW5IY/edit"",""29!e39"")"),0.0)</f>
        <v>0</v>
      </c>
      <c r="I775" s="40">
        <f t="shared" si="2115"/>
        <v>1684</v>
      </c>
      <c r="J775" s="40">
        <f>IFERROR(__xludf.DUMMYFUNCTION("IMPORTRANGE(""https://docs.google.com/spreadsheets/d/1zJUDEKztv_fercXA0LYNw155qdzS7TJGhWLhquaW5IY/edit"",""29!e42"")"),2246.0)</f>
        <v>2246</v>
      </c>
      <c r="K775" s="40">
        <f>IFERROR(__xludf.DUMMYFUNCTION("IMPORTRANGE(""https://docs.google.com/spreadsheets/d/1zJUDEKztv_fercXA0LYNw155qdzS7TJGhWLhquaW5IY/edit"",""29!e43"")"),0.0)</f>
        <v>0</v>
      </c>
      <c r="L775" s="40">
        <f t="shared" si="2145"/>
        <v>2246</v>
      </c>
      <c r="M775" s="40">
        <f t="shared" si="2117"/>
        <v>3930</v>
      </c>
      <c r="N775" s="41">
        <f t="shared" si="2118"/>
        <v>189.3970455</v>
      </c>
      <c r="O775" s="38">
        <v>8101.0</v>
      </c>
      <c r="P775" s="42">
        <f t="shared" si="2119"/>
        <v>0.4851252932</v>
      </c>
      <c r="Q775" s="43">
        <v>1.5</v>
      </c>
      <c r="R775" s="42">
        <f t="shared" si="2120"/>
        <v>0.6287896878</v>
      </c>
      <c r="S775" s="44">
        <f t="shared" si="2121"/>
        <v>0.9431845318</v>
      </c>
      <c r="T775" s="43">
        <f>F775/19.985</f>
        <v>208.4931198</v>
      </c>
      <c r="U775" s="43">
        <f t="shared" si="2122"/>
        <v>9.476959993</v>
      </c>
      <c r="V775" s="40">
        <f t="shared" si="2123"/>
        <v>178.6363636</v>
      </c>
      <c r="X775" s="59" t="s">
        <v>44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6"/>
    </row>
    <row r="776" ht="15.75" customHeight="1">
      <c r="A776" s="21"/>
      <c r="B776" s="38">
        <v>15.0</v>
      </c>
      <c r="C776" s="38" t="s">
        <v>40</v>
      </c>
      <c r="D776" s="39">
        <v>24.0</v>
      </c>
      <c r="E776" s="40">
        <f>IFERROR(__xludf.DUMMYFUNCTION("COUNT(IMPORTRANGE(""https://docs.google.com/spreadsheets/d/15GJA66Ucb-8RQ5vWVpq5HYaWoZZFX82SCeHChBujbrI/edit"",""29!d2:d31""))"),22.0)</f>
        <v>22</v>
      </c>
      <c r="F776" s="45">
        <f>IFERROR(__xludf.DUMMYFUNCTION("SUM(IMPORTRANGE(""https://docs.google.com/spreadsheets/d/15GJA66Ucb-8RQ5vWVpq5HYaWoZZFX82SCeHChBujbrI/edit"",""29!Q2:Q31""))"),4251.562000000001)</f>
        <v>4251.562</v>
      </c>
      <c r="G776" s="40">
        <f>IFERROR(__xludf.DUMMYFUNCTION("IMPORTRANGE(""https://docs.google.com/spreadsheets/d/15GJA66Ucb-8RQ5vWVpq5HYaWoZZFX82SCeHChBujbrI/edit"",""29!e38"")"),2521.0)</f>
        <v>2521</v>
      </c>
      <c r="H776" s="40">
        <f>IFERROR(__xludf.DUMMYFUNCTION("IMPORTRANGE(""https://docs.google.com/spreadsheets/d/15GJA66Ucb-8RQ5vWVpq5HYaWoZZFX82SCeHChBujbrI/edit"",""29!e39"")"),0.0)</f>
        <v>0</v>
      </c>
      <c r="I776" s="40">
        <f t="shared" si="2115"/>
        <v>2521</v>
      </c>
      <c r="J776" s="40">
        <f>IFERROR(__xludf.DUMMYFUNCTION("IMPORTRANGE(""https://docs.google.com/spreadsheets/d/15GJA66Ucb-8RQ5vWVpq5HYaWoZZFX82SCeHChBujbrI/edit"",""29!e42"")"),2258.0)</f>
        <v>2258</v>
      </c>
      <c r="K776" s="40">
        <f>IFERROR(__xludf.DUMMYFUNCTION("IMPORTRANGE(""https://docs.google.com/spreadsheets/d/15GJA66Ucb-8RQ5vWVpq5HYaWoZZFX82SCeHChBujbrI/edit"",""29!e43"")"),0.0)</f>
        <v>0</v>
      </c>
      <c r="L776" s="40">
        <f t="shared" si="2145"/>
        <v>2258</v>
      </c>
      <c r="M776" s="40">
        <f t="shared" si="2117"/>
        <v>4779</v>
      </c>
      <c r="N776" s="41">
        <f t="shared" si="2118"/>
        <v>193.2528182</v>
      </c>
      <c r="O776" s="38">
        <v>8239.0</v>
      </c>
      <c r="P776" s="42">
        <f t="shared" si="2119"/>
        <v>0.5800461221</v>
      </c>
      <c r="Q776" s="43">
        <v>1.5</v>
      </c>
      <c r="R776" s="42">
        <f t="shared" si="2120"/>
        <v>0.7493716427</v>
      </c>
      <c r="S776" s="44">
        <f t="shared" si="2121"/>
        <v>1.124057464</v>
      </c>
      <c r="T776" s="43">
        <f>F776/28.443</f>
        <v>149.4765672</v>
      </c>
      <c r="U776" s="43">
        <f t="shared" si="2122"/>
        <v>6.794389417</v>
      </c>
      <c r="V776" s="40">
        <f t="shared" si="2123"/>
        <v>217.2272727</v>
      </c>
      <c r="X776" s="14" t="s">
        <v>2</v>
      </c>
      <c r="Y776" s="14" t="s">
        <v>3</v>
      </c>
      <c r="Z776" s="14" t="s">
        <v>4</v>
      </c>
      <c r="AA776" s="14" t="s">
        <v>5</v>
      </c>
      <c r="AB776" s="15" t="s">
        <v>6</v>
      </c>
      <c r="AC776" s="14" t="s">
        <v>7</v>
      </c>
      <c r="AD776" s="14" t="s">
        <v>8</v>
      </c>
      <c r="AE776" s="14" t="s">
        <v>9</v>
      </c>
      <c r="AF776" s="14" t="s">
        <v>10</v>
      </c>
      <c r="AG776" s="14" t="s">
        <v>11</v>
      </c>
      <c r="AH776" s="14" t="s">
        <v>12</v>
      </c>
      <c r="AI776" s="14" t="s">
        <v>13</v>
      </c>
      <c r="AJ776" s="15" t="s">
        <v>14</v>
      </c>
      <c r="AK776" s="14" t="s">
        <v>15</v>
      </c>
      <c r="AL776" s="14" t="s">
        <v>16</v>
      </c>
      <c r="AM776" s="16" t="s">
        <v>17</v>
      </c>
      <c r="AN776" s="17" t="s">
        <v>18</v>
      </c>
      <c r="AO776" s="18" t="s">
        <v>19</v>
      </c>
      <c r="AP776" s="19" t="s">
        <v>20</v>
      </c>
      <c r="AQ776" s="19" t="s">
        <v>21</v>
      </c>
      <c r="AR776" s="20" t="s">
        <v>22</v>
      </c>
    </row>
    <row r="777" ht="15.75" customHeight="1">
      <c r="A777" s="21"/>
      <c r="B777" s="38">
        <v>16.0</v>
      </c>
      <c r="C777" s="38" t="s">
        <v>42</v>
      </c>
      <c r="D777" s="39">
        <v>26.0</v>
      </c>
      <c r="E777" s="40">
        <f>IFERROR(__xludf.DUMMYFUNCTION("COUNT(IMPORTRANGE(""https://docs.google.com/spreadsheets/d/14Tu_jFPEdrIQ6DHYu6vRvJKQsbXr-48NY1tKy4-8JKI/edit"",""29!d2:d34""))"),25.0)</f>
        <v>25</v>
      </c>
      <c r="F777" s="45">
        <f>IFERROR(__xludf.DUMMYFUNCTION("SUM(IMPORTRANGE(""https://docs.google.com/spreadsheets/d/14Tu_jFPEdrIQ6DHYu6vRvJKQsbXr-48NY1tKy4-8JKI/edit"",""29!Q2:Q34""))"),4752.516999999999)</f>
        <v>4752.517</v>
      </c>
      <c r="G777" s="40">
        <f>IFERROR(__xludf.DUMMYFUNCTION("IMPORTRANGE(""https://docs.google.com/spreadsheets/d/14Tu_jFPEdrIQ6DHYu6vRvJKQsbXr-48NY1tKy4-8JKI/edit"",""29!e41"")"),2175.0)</f>
        <v>2175</v>
      </c>
      <c r="H777" s="40">
        <f>IFERROR(__xludf.DUMMYFUNCTION("IMPORTRANGE(""https://docs.google.com/spreadsheets/d/14Tu_jFPEdrIQ6DHYu6vRvJKQsbXr-48NY1tKy4-8JKI/edit"",""29!e42"")"),252.0)</f>
        <v>252</v>
      </c>
      <c r="I777" s="40">
        <f t="shared" si="2115"/>
        <v>2427</v>
      </c>
      <c r="J777" s="40">
        <f>IFERROR(__xludf.DUMMYFUNCTION("IMPORTRANGE(""https://docs.google.com/spreadsheets/d/14Tu_jFPEdrIQ6DHYu6vRvJKQsbXr-48NY1tKy4-8JKI/edit"",""29!e45"")"),2901.0)</f>
        <v>2901</v>
      </c>
      <c r="K777" s="40">
        <f>IFERROR(__xludf.DUMMYFUNCTION("IMPORTRANGE(""https://docs.google.com/spreadsheets/d/14Tu_jFPEdrIQ6DHYu6vRvJKQsbXr-48NY1tKy4-8JKI/edit"",""29!e46"")"),320.0)</f>
        <v>320</v>
      </c>
      <c r="L777" s="40">
        <f t="shared" si="2145"/>
        <v>3221</v>
      </c>
      <c r="M777" s="40">
        <f t="shared" si="2117"/>
        <v>5648</v>
      </c>
      <c r="N777" s="41">
        <f t="shared" si="2118"/>
        <v>190.10068</v>
      </c>
      <c r="O777" s="38">
        <v>9877.0</v>
      </c>
      <c r="P777" s="42">
        <f t="shared" si="2119"/>
        <v>0.5718335527</v>
      </c>
      <c r="Q777" s="43">
        <v>1.5</v>
      </c>
      <c r="R777" s="42">
        <f t="shared" si="2120"/>
        <v>0.7922819284</v>
      </c>
      <c r="S777" s="44">
        <f t="shared" si="2121"/>
        <v>1.188422893</v>
      </c>
      <c r="T777" s="43">
        <f>F777/26.155</f>
        <v>181.7058689</v>
      </c>
      <c r="U777" s="43">
        <f t="shared" si="2122"/>
        <v>7.268234754</v>
      </c>
      <c r="V777" s="40">
        <f t="shared" si="2123"/>
        <v>225.92</v>
      </c>
      <c r="X777" s="31">
        <v>1.0</v>
      </c>
      <c r="Y777" s="31" t="s">
        <v>26</v>
      </c>
      <c r="Z777" s="31">
        <f t="shared" ref="Z777:AI777" si="2155">SUM(D762)</f>
        <v>16</v>
      </c>
      <c r="AA777" s="32">
        <f t="shared" si="2155"/>
        <v>16</v>
      </c>
      <c r="AB777" s="34">
        <f t="shared" si="2155"/>
        <v>3114.099</v>
      </c>
      <c r="AC777" s="32">
        <f t="shared" si="2155"/>
        <v>1435</v>
      </c>
      <c r="AD777" s="32">
        <f t="shared" si="2155"/>
        <v>0</v>
      </c>
      <c r="AE777" s="32">
        <f t="shared" si="2155"/>
        <v>1435</v>
      </c>
      <c r="AF777" s="32">
        <f t="shared" si="2155"/>
        <v>1960</v>
      </c>
      <c r="AG777" s="32">
        <f t="shared" si="2155"/>
        <v>0</v>
      </c>
      <c r="AH777" s="32">
        <f t="shared" si="2155"/>
        <v>1960</v>
      </c>
      <c r="AI777" s="32">
        <f t="shared" si="2155"/>
        <v>3395</v>
      </c>
      <c r="AJ777" s="34">
        <f t="shared" ref="AJ777:AJ783" si="2158">AB777/AA777</f>
        <v>194.6311875</v>
      </c>
      <c r="AK777" s="31">
        <f>SUM(O762)</f>
        <v>5161</v>
      </c>
      <c r="AL777" s="35">
        <f t="shared" ref="AL777:AL783" si="2159">AI777/AK777</f>
        <v>0.6578182523</v>
      </c>
      <c r="AM777" s="36">
        <f>SUM(Q762)</f>
        <v>1.5</v>
      </c>
      <c r="AN777" s="35">
        <f t="shared" ref="AN777:AN783" si="2160">AO777/AM777</f>
        <v>0.7268019846</v>
      </c>
      <c r="AO777" s="37">
        <f t="shared" ref="AO777:AO783" si="2161">AI777/AB777</f>
        <v>1.090202977</v>
      </c>
      <c r="AP777" s="36">
        <f t="shared" ref="AP777:AQ777" si="2156">SUM(T762)</f>
        <v>216.0318418</v>
      </c>
      <c r="AQ777" s="36">
        <f t="shared" si="2156"/>
        <v>13.50199011</v>
      </c>
      <c r="AR777" s="32">
        <f t="shared" ref="AR777:AR783" si="2163">AI777/AA777</f>
        <v>212.1875</v>
      </c>
    </row>
    <row r="778" ht="15.75" customHeight="1">
      <c r="A778" s="21"/>
      <c r="B778" s="38">
        <v>17.0</v>
      </c>
      <c r="C778" s="38" t="s">
        <v>29</v>
      </c>
      <c r="D778" s="39">
        <v>24.0</v>
      </c>
      <c r="E778" s="40">
        <f>IFERROR(__xludf.DUMMYFUNCTION("COUNT(IMPORTRANGE(""https://docs.google.com/spreadsheets/d/1ja_RQYsP0p5wRrACHojay4CW1wLx0QdS5tSwp-vYQ-s/edit"",""29!d2:d31""))"),24.0)</f>
        <v>24</v>
      </c>
      <c r="F778" s="45">
        <f>IFERROR(__xludf.DUMMYFUNCTION("SUM(IMPORTRANGE(""https://docs.google.com/spreadsheets/d/1ja_RQYsP0p5wRrACHojay4CW1wLx0QdS5tSwp-vYQ-s/edit"",""29!Q2:Q31""))"),4768.379999999998)</f>
        <v>4768.38</v>
      </c>
      <c r="G778" s="40">
        <f>IFERROR(__xludf.DUMMYFUNCTION("IMPORTRANGE(""https://docs.google.com/spreadsheets/d/1ja_RQYsP0p5wRrACHojay4CW1wLx0QdS5tSwp-vYQ-s/edit"",""29!e38"")"),2019.0)</f>
        <v>2019</v>
      </c>
      <c r="H778" s="40">
        <f>IFERROR(__xludf.DUMMYFUNCTION("IMPORTRANGE(""https://docs.google.com/spreadsheets/d/1ja_RQYsP0p5wRrACHojay4CW1wLx0QdS5tSwp-vYQ-s/edit"",""29!e39"")"),0.0)</f>
        <v>0</v>
      </c>
      <c r="I778" s="40">
        <f t="shared" si="2115"/>
        <v>2019</v>
      </c>
      <c r="J778" s="40">
        <f>IFERROR(__xludf.DUMMYFUNCTION("IMPORTRANGE(""https://docs.google.com/spreadsheets/d/1ja_RQYsP0p5wRrACHojay4CW1wLx0QdS5tSwp-vYQ-s/edit"",""29!e42"")"),3048.0)</f>
        <v>3048</v>
      </c>
      <c r="K778" s="40">
        <f>IFERROR(__xludf.DUMMYFUNCTION("IMPORTRANGE(""https://docs.google.com/spreadsheets/d/1ja_RQYsP0p5wRrACHojay4CW1wLx0QdS5tSwp-vYQ-s/edit"",""29!e43"")"),0.0)</f>
        <v>0</v>
      </c>
      <c r="L778" s="40">
        <f t="shared" si="2145"/>
        <v>3048</v>
      </c>
      <c r="M778" s="40">
        <f t="shared" si="2117"/>
        <v>5067</v>
      </c>
      <c r="N778" s="41">
        <f t="shared" si="2118"/>
        <v>198.6825</v>
      </c>
      <c r="O778" s="38">
        <v>9201.0</v>
      </c>
      <c r="P778" s="42">
        <f t="shared" si="2119"/>
        <v>0.5507010108</v>
      </c>
      <c r="Q778" s="43">
        <v>1.5</v>
      </c>
      <c r="R778" s="42">
        <f t="shared" si="2120"/>
        <v>0.708416695</v>
      </c>
      <c r="S778" s="44">
        <f t="shared" si="2121"/>
        <v>1.062625042</v>
      </c>
      <c r="T778" s="43">
        <f>F778/26.491</f>
        <v>180</v>
      </c>
      <c r="U778" s="43">
        <f t="shared" si="2122"/>
        <v>7.5</v>
      </c>
      <c r="V778" s="40">
        <f t="shared" si="2123"/>
        <v>211.125</v>
      </c>
      <c r="X778" s="31">
        <v>2.0</v>
      </c>
      <c r="Y778" s="31" t="s">
        <v>32</v>
      </c>
      <c r="Z778" s="31">
        <f t="shared" ref="Z778:AI778" si="2157">SUM(D765)</f>
        <v>33</v>
      </c>
      <c r="AA778" s="32">
        <f t="shared" si="2157"/>
        <v>33</v>
      </c>
      <c r="AB778" s="33">
        <f t="shared" si="2157"/>
        <v>6399.844</v>
      </c>
      <c r="AC778" s="31">
        <f t="shared" si="2157"/>
        <v>3881</v>
      </c>
      <c r="AD778" s="31">
        <f t="shared" si="2157"/>
        <v>0</v>
      </c>
      <c r="AE778" s="32">
        <f t="shared" si="2157"/>
        <v>3881</v>
      </c>
      <c r="AF778" s="31">
        <f t="shared" si="2157"/>
        <v>3934</v>
      </c>
      <c r="AG778" s="31">
        <f t="shared" si="2157"/>
        <v>0</v>
      </c>
      <c r="AH778" s="32">
        <f t="shared" si="2157"/>
        <v>3934</v>
      </c>
      <c r="AI778" s="32">
        <f t="shared" si="2157"/>
        <v>7815</v>
      </c>
      <c r="AJ778" s="34">
        <f t="shared" si="2158"/>
        <v>193.9346667</v>
      </c>
      <c r="AK778" s="31">
        <f>SUM(O765)</f>
        <v>13817</v>
      </c>
      <c r="AL778" s="35">
        <f t="shared" si="2159"/>
        <v>0.5656075849</v>
      </c>
      <c r="AM778" s="36">
        <f>SUM(Q765)</f>
        <v>1.5</v>
      </c>
      <c r="AN778" s="35">
        <f t="shared" si="2160"/>
        <v>0.8140823433</v>
      </c>
      <c r="AO778" s="37">
        <f t="shared" si="2161"/>
        <v>1.221123515</v>
      </c>
      <c r="AP778" s="36">
        <f t="shared" ref="AP778:AQ778" si="2162">SUM(T765)</f>
        <v>255.0856551</v>
      </c>
      <c r="AQ778" s="36">
        <f t="shared" si="2162"/>
        <v>7.729868335</v>
      </c>
      <c r="AR778" s="32">
        <f t="shared" si="2163"/>
        <v>236.8181818</v>
      </c>
    </row>
    <row r="779" ht="15.75" customHeight="1">
      <c r="A779" s="21"/>
      <c r="B779" s="38">
        <v>18.0</v>
      </c>
      <c r="C779" s="38" t="s">
        <v>31</v>
      </c>
      <c r="D779" s="39">
        <v>12.0</v>
      </c>
      <c r="E779" s="40">
        <f>IFERROR(__xludf.DUMMYFUNCTION("COUNT(IMPORTRANGE(""https://docs.google.com/spreadsheets/d/1ObnK1oSznTOmyW9Zcd2kxExl7TOnO2MNq_0giEKc_mE/edit"",""29!d2:d16""))"),11.0)</f>
        <v>11</v>
      </c>
      <c r="F779" s="41">
        <f>IFERROR(__xludf.DUMMYFUNCTION("SUM(IMPORTRANGE(""https://docs.google.com/spreadsheets/d/1ObnK1oSznTOmyW9Zcd2kxExl7TOnO2MNq_0giEKc_mE/edit"",""29!Q2:Q16""))"),1912.46)</f>
        <v>1912.46</v>
      </c>
      <c r="G779" s="40">
        <f>IFERROR(__xludf.DUMMYFUNCTION("IMPORTRANGE(""https://docs.google.com/spreadsheets/d/1ObnK1oSznTOmyW9Zcd2kxExl7TOnO2MNq_0giEKc_mE/edit"",""29!e23"")"),647.0)</f>
        <v>647</v>
      </c>
      <c r="H779" s="40">
        <f>IFERROR(__xludf.DUMMYFUNCTION("IMPORTRANGE(""https://docs.google.com/spreadsheets/d/1ObnK1oSznTOmyW9Zcd2kxExl7TOnO2MNq_0giEKc_mE/edit"",""29!e24"")"),0.0)</f>
        <v>0</v>
      </c>
      <c r="I779" s="40">
        <f t="shared" si="2115"/>
        <v>647</v>
      </c>
      <c r="J779" s="40">
        <f>IFERROR(__xludf.DUMMYFUNCTION("IMPORTRANGE(""https://docs.google.com/spreadsheets/d/1ObnK1oSznTOmyW9Zcd2kxExl7TOnO2MNq_0giEKc_mE/edit"",""29!e27"")"),646.0)</f>
        <v>646</v>
      </c>
      <c r="K779" s="40">
        <f>IFERROR(__xludf.DUMMYFUNCTION("IMPORTRANGE(""https://docs.google.com/spreadsheets/d/1ObnK1oSznTOmyW9Zcd2kxExl7TOnO2MNq_0giEKc_mE/edit"",""29!e28"")"),0.0)</f>
        <v>0</v>
      </c>
      <c r="L779" s="40">
        <f t="shared" si="2145"/>
        <v>646</v>
      </c>
      <c r="M779" s="40">
        <f t="shared" si="2117"/>
        <v>1293</v>
      </c>
      <c r="N779" s="41">
        <f t="shared" si="2118"/>
        <v>173.86</v>
      </c>
      <c r="O779" s="38">
        <v>2717.0</v>
      </c>
      <c r="P779" s="42">
        <f t="shared" si="2119"/>
        <v>0.4758925285</v>
      </c>
      <c r="Q779" s="43">
        <v>1.5</v>
      </c>
      <c r="R779" s="42">
        <f t="shared" si="2120"/>
        <v>0.4507283812</v>
      </c>
      <c r="S779" s="44">
        <f t="shared" si="2121"/>
        <v>0.6760925719</v>
      </c>
      <c r="T779" s="43">
        <f>F779/43.465</f>
        <v>44</v>
      </c>
      <c r="U779" s="43">
        <f t="shared" si="2122"/>
        <v>4</v>
      </c>
      <c r="V779" s="40">
        <f t="shared" si="2123"/>
        <v>117.5454545</v>
      </c>
      <c r="X779" s="31">
        <v>3.0</v>
      </c>
      <c r="Y779" s="31" t="s">
        <v>36</v>
      </c>
      <c r="Z779" s="31">
        <f t="shared" ref="Z779:AI779" si="2164">SUM(D770)</f>
        <v>24</v>
      </c>
      <c r="AA779" s="32">
        <f t="shared" si="2164"/>
        <v>24</v>
      </c>
      <c r="AB779" s="33">
        <f t="shared" si="2164"/>
        <v>4615.043</v>
      </c>
      <c r="AC779" s="32">
        <f t="shared" si="2164"/>
        <v>1034</v>
      </c>
      <c r="AD779" s="32">
        <f t="shared" si="2164"/>
        <v>0</v>
      </c>
      <c r="AE779" s="32">
        <f t="shared" si="2164"/>
        <v>1034</v>
      </c>
      <c r="AF779" s="32">
        <f t="shared" si="2164"/>
        <v>1577</v>
      </c>
      <c r="AG779" s="32">
        <f t="shared" si="2164"/>
        <v>0</v>
      </c>
      <c r="AH779" s="32">
        <f t="shared" si="2164"/>
        <v>1577</v>
      </c>
      <c r="AI779" s="32">
        <f t="shared" si="2164"/>
        <v>2611</v>
      </c>
      <c r="AJ779" s="34">
        <f t="shared" si="2158"/>
        <v>192.2934583</v>
      </c>
      <c r="AK779" s="31">
        <f t="shared" ref="AK779:AK782" si="2168">SUM(O770)</f>
        <v>4796</v>
      </c>
      <c r="AL779" s="35">
        <f t="shared" si="2159"/>
        <v>0.54441201</v>
      </c>
      <c r="AM779" s="36">
        <f t="shared" ref="AM779:AM782" si="2169">SUM(Q770)</f>
        <v>1.5</v>
      </c>
      <c r="AN779" s="35">
        <f t="shared" si="2160"/>
        <v>0.3771723615</v>
      </c>
      <c r="AO779" s="37">
        <f t="shared" si="2161"/>
        <v>0.5657585422</v>
      </c>
      <c r="AP779" s="36">
        <f t="shared" ref="AP779:AQ779" si="2165">SUM(T770)</f>
        <v>123.3506976</v>
      </c>
      <c r="AQ779" s="36">
        <f t="shared" si="2165"/>
        <v>5.1396124</v>
      </c>
      <c r="AR779" s="32">
        <f t="shared" si="2163"/>
        <v>108.7916667</v>
      </c>
    </row>
    <row r="780" ht="15.75" customHeight="1">
      <c r="A780" s="21"/>
      <c r="B780" s="60" t="s">
        <v>33</v>
      </c>
      <c r="C780" s="60">
        <v>18.0</v>
      </c>
      <c r="D780" s="60">
        <f t="shared" ref="D780:M780" si="2166">SUM(D762:D779)</f>
        <v>471</v>
      </c>
      <c r="E780" s="61">
        <f t="shared" si="2166"/>
        <v>461</v>
      </c>
      <c r="F780" s="62">
        <f t="shared" si="2166"/>
        <v>89667.751</v>
      </c>
      <c r="G780" s="61">
        <f t="shared" si="2166"/>
        <v>30268</v>
      </c>
      <c r="H780" s="61">
        <f t="shared" si="2166"/>
        <v>694</v>
      </c>
      <c r="I780" s="61">
        <f t="shared" si="2166"/>
        <v>30962</v>
      </c>
      <c r="J780" s="61">
        <f t="shared" si="2166"/>
        <v>40851</v>
      </c>
      <c r="K780" s="61">
        <f t="shared" si="2166"/>
        <v>833</v>
      </c>
      <c r="L780" s="61">
        <f t="shared" si="2166"/>
        <v>41684</v>
      </c>
      <c r="M780" s="61">
        <f t="shared" si="2166"/>
        <v>72646</v>
      </c>
      <c r="N780" s="62">
        <f t="shared" si="2118"/>
        <v>194.5070521</v>
      </c>
      <c r="O780" s="60">
        <f>SUM(O762:O779)</f>
        <v>126399</v>
      </c>
      <c r="P780" s="63">
        <f t="shared" si="2119"/>
        <v>0.5747355596</v>
      </c>
      <c r="Q780" s="64">
        <v>1.5</v>
      </c>
      <c r="R780" s="63">
        <f t="shared" si="2120"/>
        <v>0.5401124276</v>
      </c>
      <c r="S780" s="65">
        <f t="shared" si="2121"/>
        <v>0.8101686413</v>
      </c>
      <c r="T780" s="64">
        <f>SUM(T762:T779)</f>
        <v>3307.998549</v>
      </c>
      <c r="U780" s="64">
        <f t="shared" si="2122"/>
        <v>7.175701842</v>
      </c>
      <c r="V780" s="61">
        <f t="shared" si="2123"/>
        <v>157.5835141</v>
      </c>
      <c r="X780" s="31">
        <v>4.0</v>
      </c>
      <c r="Y780" s="31" t="s">
        <v>37</v>
      </c>
      <c r="Z780" s="31">
        <f t="shared" ref="Z780:AI780" si="2167">SUM(D771)</f>
        <v>24</v>
      </c>
      <c r="AA780" s="32">
        <f t="shared" si="2167"/>
        <v>24</v>
      </c>
      <c r="AB780" s="33">
        <f t="shared" si="2167"/>
        <v>4770.924</v>
      </c>
      <c r="AC780" s="32">
        <f t="shared" si="2167"/>
        <v>1296</v>
      </c>
      <c r="AD780" s="32">
        <f t="shared" si="2167"/>
        <v>0</v>
      </c>
      <c r="AE780" s="32">
        <f t="shared" si="2167"/>
        <v>1296</v>
      </c>
      <c r="AF780" s="32">
        <f t="shared" si="2167"/>
        <v>2392</v>
      </c>
      <c r="AG780" s="32">
        <f t="shared" si="2167"/>
        <v>0</v>
      </c>
      <c r="AH780" s="32">
        <f t="shared" si="2167"/>
        <v>2392</v>
      </c>
      <c r="AI780" s="32">
        <f t="shared" si="2167"/>
        <v>3688</v>
      </c>
      <c r="AJ780" s="34">
        <f t="shared" si="2158"/>
        <v>198.7885</v>
      </c>
      <c r="AK780" s="31">
        <f t="shared" si="2168"/>
        <v>5887</v>
      </c>
      <c r="AL780" s="35">
        <f t="shared" si="2159"/>
        <v>0.6264650926</v>
      </c>
      <c r="AM780" s="36">
        <f t="shared" si="2169"/>
        <v>1.5</v>
      </c>
      <c r="AN780" s="35">
        <f t="shared" si="2160"/>
        <v>0.515343918</v>
      </c>
      <c r="AO780" s="37">
        <f t="shared" si="2161"/>
        <v>0.773015877</v>
      </c>
      <c r="AP780" s="36">
        <f t="shared" ref="AP780:AQ780" si="2170">SUM(T771)</f>
        <v>192.4380445</v>
      </c>
      <c r="AQ780" s="36">
        <f t="shared" si="2170"/>
        <v>8.018251855</v>
      </c>
      <c r="AR780" s="32">
        <f t="shared" si="2163"/>
        <v>153.6666667</v>
      </c>
    </row>
    <row r="781" ht="15.7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X781" s="31">
        <v>5.0</v>
      </c>
      <c r="Y781" s="31" t="s">
        <v>39</v>
      </c>
      <c r="Z781" s="31">
        <f t="shared" ref="Z781:AI781" si="2171">SUM(D772)</f>
        <v>22</v>
      </c>
      <c r="AA781" s="32">
        <f t="shared" si="2171"/>
        <v>22</v>
      </c>
      <c r="AB781" s="33">
        <f t="shared" si="2171"/>
        <v>4298.057</v>
      </c>
      <c r="AC781" s="32">
        <f t="shared" si="2171"/>
        <v>907</v>
      </c>
      <c r="AD781" s="32">
        <f t="shared" si="2171"/>
        <v>69</v>
      </c>
      <c r="AE781" s="32">
        <f t="shared" si="2171"/>
        <v>976</v>
      </c>
      <c r="AF781" s="32">
        <f t="shared" si="2171"/>
        <v>2002</v>
      </c>
      <c r="AG781" s="32">
        <f t="shared" si="2171"/>
        <v>0</v>
      </c>
      <c r="AH781" s="32">
        <f t="shared" si="2171"/>
        <v>2002</v>
      </c>
      <c r="AI781" s="32">
        <f t="shared" si="2171"/>
        <v>2978</v>
      </c>
      <c r="AJ781" s="34">
        <f t="shared" si="2158"/>
        <v>195.3662273</v>
      </c>
      <c r="AK781" s="31">
        <f t="shared" si="2168"/>
        <v>3569</v>
      </c>
      <c r="AL781" s="35">
        <f t="shared" si="2159"/>
        <v>0.834407397</v>
      </c>
      <c r="AM781" s="36">
        <f t="shared" si="2169"/>
        <v>1.5</v>
      </c>
      <c r="AN781" s="35">
        <f t="shared" si="2160"/>
        <v>0.4619141471</v>
      </c>
      <c r="AO781" s="37">
        <f t="shared" si="2161"/>
        <v>0.6928712206</v>
      </c>
      <c r="AP781" s="36">
        <f t="shared" ref="AP781:AQ781" si="2172">SUM(T772)</f>
        <v>200.2542515</v>
      </c>
      <c r="AQ781" s="36">
        <f t="shared" si="2172"/>
        <v>9.102465977</v>
      </c>
      <c r="AR781" s="32">
        <f t="shared" si="2163"/>
        <v>135.3636364</v>
      </c>
    </row>
    <row r="782" ht="15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X782" s="31">
        <v>6.0</v>
      </c>
      <c r="Y782" s="31" t="s">
        <v>41</v>
      </c>
      <c r="Z782" s="31">
        <f t="shared" ref="Z782:AI782" si="2173">SUM(D773)</f>
        <v>20</v>
      </c>
      <c r="AA782" s="32">
        <f t="shared" si="2173"/>
        <v>20</v>
      </c>
      <c r="AB782" s="33">
        <f t="shared" si="2173"/>
        <v>4006.364</v>
      </c>
      <c r="AC782" s="32">
        <f t="shared" si="2173"/>
        <v>876</v>
      </c>
      <c r="AD782" s="32">
        <f t="shared" si="2173"/>
        <v>0</v>
      </c>
      <c r="AE782" s="32">
        <f t="shared" si="2173"/>
        <v>876</v>
      </c>
      <c r="AF782" s="32">
        <f t="shared" si="2173"/>
        <v>1574</v>
      </c>
      <c r="AG782" s="32">
        <f t="shared" si="2173"/>
        <v>0</v>
      </c>
      <c r="AH782" s="32">
        <f t="shared" si="2173"/>
        <v>1574</v>
      </c>
      <c r="AI782" s="32">
        <f t="shared" si="2173"/>
        <v>2450</v>
      </c>
      <c r="AJ782" s="34">
        <f t="shared" si="2158"/>
        <v>200.3182</v>
      </c>
      <c r="AK782" s="31">
        <f t="shared" si="2168"/>
        <v>3801</v>
      </c>
      <c r="AL782" s="35">
        <f t="shared" si="2159"/>
        <v>0.6445672192</v>
      </c>
      <c r="AM782" s="36">
        <f t="shared" si="2169"/>
        <v>1.5</v>
      </c>
      <c r="AN782" s="35">
        <f t="shared" si="2160"/>
        <v>0.407684707</v>
      </c>
      <c r="AO782" s="37">
        <f t="shared" si="2161"/>
        <v>0.6115270604</v>
      </c>
      <c r="AP782" s="36">
        <f t="shared" ref="AP782:AQ782" si="2174">SUM(T773)</f>
        <v>135.2222222</v>
      </c>
      <c r="AQ782" s="36">
        <f t="shared" si="2174"/>
        <v>6.761111111</v>
      </c>
      <c r="AR782" s="32">
        <f t="shared" si="2163"/>
        <v>122.5</v>
      </c>
    </row>
    <row r="783" ht="15.75" customHeight="1">
      <c r="A783" s="1" t="s">
        <v>45</v>
      </c>
      <c r="D783" s="2"/>
      <c r="X783" s="46" t="s">
        <v>33</v>
      </c>
      <c r="Y783" s="46">
        <v>6.0</v>
      </c>
      <c r="Z783" s="46">
        <f t="shared" ref="Z783:AI783" si="2175">SUM(Z777:Z782)</f>
        <v>139</v>
      </c>
      <c r="AA783" s="47">
        <f t="shared" si="2175"/>
        <v>139</v>
      </c>
      <c r="AB783" s="49">
        <f t="shared" si="2175"/>
        <v>27204.331</v>
      </c>
      <c r="AC783" s="47">
        <f t="shared" si="2175"/>
        <v>9429</v>
      </c>
      <c r="AD783" s="47">
        <f t="shared" si="2175"/>
        <v>69</v>
      </c>
      <c r="AE783" s="47">
        <f t="shared" si="2175"/>
        <v>9498</v>
      </c>
      <c r="AF783" s="47">
        <f t="shared" si="2175"/>
        <v>13439</v>
      </c>
      <c r="AG783" s="47">
        <f t="shared" si="2175"/>
        <v>0</v>
      </c>
      <c r="AH783" s="47">
        <f t="shared" si="2175"/>
        <v>13439</v>
      </c>
      <c r="AI783" s="47">
        <f t="shared" si="2175"/>
        <v>22937</v>
      </c>
      <c r="AJ783" s="49">
        <f t="shared" si="2158"/>
        <v>195.7146115</v>
      </c>
      <c r="AK783" s="46">
        <f>SUM(AK777:AK782)</f>
        <v>37031</v>
      </c>
      <c r="AL783" s="50">
        <f t="shared" si="2159"/>
        <v>0.6193999622</v>
      </c>
      <c r="AM783" s="51">
        <v>1.5</v>
      </c>
      <c r="AN783" s="50">
        <f t="shared" si="2160"/>
        <v>0.5620918718</v>
      </c>
      <c r="AO783" s="52">
        <f t="shared" si="2161"/>
        <v>0.8431378077</v>
      </c>
      <c r="AP783" s="51">
        <f>SUM(AP777:AP782)</f>
        <v>1122.382713</v>
      </c>
      <c r="AQ783" s="51">
        <f>AP783/AA783</f>
        <v>8.074695775</v>
      </c>
      <c r="AR783" s="47">
        <f t="shared" si="2163"/>
        <v>165.0143885</v>
      </c>
    </row>
    <row r="784" ht="15.75" customHeight="1">
      <c r="A784" s="1" t="s">
        <v>45</v>
      </c>
      <c r="D784" s="2"/>
      <c r="X784" s="66" t="s">
        <v>1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6"/>
    </row>
    <row r="785" ht="15.75" customHeight="1">
      <c r="A785" s="10">
        <v>46264.0</v>
      </c>
      <c r="B785" s="8" t="s">
        <v>2</v>
      </c>
      <c r="C785" s="8" t="s">
        <v>3</v>
      </c>
      <c r="D785" s="8" t="s">
        <v>4</v>
      </c>
      <c r="E785" s="8" t="s">
        <v>5</v>
      </c>
      <c r="F785" s="9" t="s">
        <v>6</v>
      </c>
      <c r="G785" s="8" t="s">
        <v>7</v>
      </c>
      <c r="H785" s="8" t="s">
        <v>8</v>
      </c>
      <c r="I785" s="8" t="s">
        <v>9</v>
      </c>
      <c r="J785" s="8" t="s">
        <v>10</v>
      </c>
      <c r="K785" s="8" t="s">
        <v>11</v>
      </c>
      <c r="L785" s="8" t="s">
        <v>12</v>
      </c>
      <c r="M785" s="8" t="s">
        <v>13</v>
      </c>
      <c r="N785" s="9" t="s">
        <v>14</v>
      </c>
      <c r="O785" s="8" t="s">
        <v>15</v>
      </c>
      <c r="P785" s="8" t="s">
        <v>16</v>
      </c>
      <c r="Q785" s="8" t="s">
        <v>17</v>
      </c>
      <c r="R785" s="8" t="s">
        <v>18</v>
      </c>
      <c r="S785" s="11" t="s">
        <v>19</v>
      </c>
      <c r="T785" s="12" t="s">
        <v>20</v>
      </c>
      <c r="U785" s="12" t="s">
        <v>21</v>
      </c>
      <c r="V785" s="13" t="s">
        <v>22</v>
      </c>
      <c r="X785" s="14" t="s">
        <v>2</v>
      </c>
      <c r="Y785" s="14" t="s">
        <v>3</v>
      </c>
      <c r="Z785" s="14" t="s">
        <v>4</v>
      </c>
      <c r="AA785" s="14" t="s">
        <v>5</v>
      </c>
      <c r="AB785" s="15" t="s">
        <v>6</v>
      </c>
      <c r="AC785" s="14" t="s">
        <v>7</v>
      </c>
      <c r="AD785" s="14" t="s">
        <v>8</v>
      </c>
      <c r="AE785" s="14" t="s">
        <v>9</v>
      </c>
      <c r="AF785" s="14" t="s">
        <v>10</v>
      </c>
      <c r="AG785" s="14" t="s">
        <v>11</v>
      </c>
      <c r="AH785" s="14" t="s">
        <v>12</v>
      </c>
      <c r="AI785" s="14" t="s">
        <v>13</v>
      </c>
      <c r="AJ785" s="15" t="s">
        <v>14</v>
      </c>
      <c r="AK785" s="14" t="s">
        <v>15</v>
      </c>
      <c r="AL785" s="14" t="s">
        <v>16</v>
      </c>
      <c r="AM785" s="16" t="s">
        <v>17</v>
      </c>
      <c r="AN785" s="17" t="s">
        <v>18</v>
      </c>
      <c r="AO785" s="18" t="s">
        <v>19</v>
      </c>
      <c r="AP785" s="19" t="s">
        <v>20</v>
      </c>
      <c r="AQ785" s="19" t="s">
        <v>21</v>
      </c>
      <c r="AR785" s="20" t="s">
        <v>22</v>
      </c>
    </row>
    <row r="786" ht="15.7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X786" s="22">
        <v>1.0</v>
      </c>
      <c r="Y786" s="22" t="s">
        <v>23</v>
      </c>
      <c r="Z786" s="22">
        <f t="shared" ref="Z786:AI786" si="2176">SUM(D794)</f>
        <v>26</v>
      </c>
      <c r="AA786" s="23">
        <f t="shared" si="2176"/>
        <v>26</v>
      </c>
      <c r="AB786" s="24">
        <f t="shared" si="2176"/>
        <v>5195.96</v>
      </c>
      <c r="AC786" s="23">
        <f t="shared" si="2176"/>
        <v>1006</v>
      </c>
      <c r="AD786" s="23">
        <f t="shared" si="2176"/>
        <v>0</v>
      </c>
      <c r="AE786" s="23">
        <f t="shared" si="2176"/>
        <v>1006</v>
      </c>
      <c r="AF786" s="23">
        <f t="shared" si="2176"/>
        <v>2021</v>
      </c>
      <c r="AG786" s="23">
        <f t="shared" si="2176"/>
        <v>0</v>
      </c>
      <c r="AH786" s="23">
        <f t="shared" si="2176"/>
        <v>2021</v>
      </c>
      <c r="AI786" s="23">
        <f t="shared" si="2176"/>
        <v>3027</v>
      </c>
      <c r="AJ786" s="25">
        <f t="shared" ref="AJ786:AJ788" si="2179">AB786/AA786</f>
        <v>199.8446154</v>
      </c>
      <c r="AK786" s="22">
        <f>SUM(O794)</f>
        <v>6853</v>
      </c>
      <c r="AL786" s="26">
        <f t="shared" ref="AL786:AL792" si="2180">AI786/AK786</f>
        <v>0.4417043631</v>
      </c>
      <c r="AM786" s="27">
        <f t="shared" ref="AM786:AM788" si="2181">SUM(Q794)</f>
        <v>1.5</v>
      </c>
      <c r="AN786" s="26">
        <f t="shared" ref="AN786:AN792" si="2182">AO786/AM786</f>
        <v>0.3883786634</v>
      </c>
      <c r="AO786" s="28">
        <f t="shared" ref="AO786:AO792" si="2183">AI786/AB786</f>
        <v>0.5825679951</v>
      </c>
      <c r="AP786" s="27">
        <f t="shared" ref="AP786:AQ786" si="2177">SUM(T794)</f>
        <v>154</v>
      </c>
      <c r="AQ786" s="27">
        <f t="shared" si="2177"/>
        <v>5.923076923</v>
      </c>
      <c r="AR786" s="23">
        <f t="shared" ref="AR786:AR792" si="2185">AI786/AA786</f>
        <v>116.4230769</v>
      </c>
    </row>
    <row r="787" ht="15.7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X787" s="22">
        <v>2.0</v>
      </c>
      <c r="Y787" s="22" t="s">
        <v>24</v>
      </c>
      <c r="Z787" s="22">
        <f t="shared" ref="Z787:AI787" si="2178">SUM(D795)</f>
        <v>35</v>
      </c>
      <c r="AA787" s="23">
        <f t="shared" si="2178"/>
        <v>35</v>
      </c>
      <c r="AB787" s="24">
        <f t="shared" si="2178"/>
        <v>6664.038</v>
      </c>
      <c r="AC787" s="23">
        <f t="shared" si="2178"/>
        <v>791</v>
      </c>
      <c r="AD787" s="23">
        <f t="shared" si="2178"/>
        <v>0</v>
      </c>
      <c r="AE787" s="23">
        <f t="shared" si="2178"/>
        <v>791</v>
      </c>
      <c r="AF787" s="23">
        <f t="shared" si="2178"/>
        <v>1132</v>
      </c>
      <c r="AG787" s="23">
        <f t="shared" si="2178"/>
        <v>0</v>
      </c>
      <c r="AH787" s="23">
        <f t="shared" si="2178"/>
        <v>1132</v>
      </c>
      <c r="AI787" s="23">
        <f t="shared" si="2178"/>
        <v>1923</v>
      </c>
      <c r="AJ787" s="25">
        <f t="shared" si="2179"/>
        <v>190.4010857</v>
      </c>
      <c r="AK787" s="22">
        <v>1580.0</v>
      </c>
      <c r="AL787" s="29">
        <f t="shared" si="2180"/>
        <v>1.217088608</v>
      </c>
      <c r="AM787" s="27">
        <f t="shared" si="2181"/>
        <v>1.5</v>
      </c>
      <c r="AN787" s="26">
        <f t="shared" si="2182"/>
        <v>0.1923758538</v>
      </c>
      <c r="AO787" s="28">
        <f t="shared" si="2183"/>
        <v>0.2885637807</v>
      </c>
      <c r="AP787" s="27">
        <f t="shared" ref="AP787:AQ787" si="2184">SUM(T795)</f>
        <v>248.6117515</v>
      </c>
      <c r="AQ787" s="27">
        <f t="shared" si="2184"/>
        <v>7.103192901</v>
      </c>
      <c r="AR787" s="23">
        <f t="shared" si="2185"/>
        <v>54.94285714</v>
      </c>
    </row>
    <row r="788" ht="15.75" customHeight="1">
      <c r="A788" s="21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X788" s="31">
        <v>3.0</v>
      </c>
      <c r="Y788" s="31" t="s">
        <v>25</v>
      </c>
      <c r="Z788" s="31">
        <f t="shared" ref="Z788:AI788" si="2186">SUM(D796)</f>
        <v>26</v>
      </c>
      <c r="AA788" s="32">
        <f t="shared" si="2186"/>
        <v>26</v>
      </c>
      <c r="AB788" s="33">
        <f t="shared" si="2186"/>
        <v>4938.416</v>
      </c>
      <c r="AC788" s="32">
        <f t="shared" si="2186"/>
        <v>1574</v>
      </c>
      <c r="AD788" s="32">
        <f t="shared" si="2186"/>
        <v>43</v>
      </c>
      <c r="AE788" s="32">
        <f t="shared" si="2186"/>
        <v>1617</v>
      </c>
      <c r="AF788" s="32">
        <f t="shared" si="2186"/>
        <v>2405</v>
      </c>
      <c r="AG788" s="32">
        <f t="shared" si="2186"/>
        <v>198</v>
      </c>
      <c r="AH788" s="32">
        <f t="shared" si="2186"/>
        <v>2603</v>
      </c>
      <c r="AI788" s="32">
        <f t="shared" si="2186"/>
        <v>4220</v>
      </c>
      <c r="AJ788" s="34">
        <f t="shared" si="2179"/>
        <v>189.9390769</v>
      </c>
      <c r="AK788" s="31">
        <f>SUM(O796)</f>
        <v>6622</v>
      </c>
      <c r="AL788" s="35">
        <f t="shared" si="2180"/>
        <v>0.637269707</v>
      </c>
      <c r="AM788" s="36">
        <f t="shared" si="2181"/>
        <v>1.5</v>
      </c>
      <c r="AN788" s="35">
        <f t="shared" si="2182"/>
        <v>0.5696833425</v>
      </c>
      <c r="AO788" s="37">
        <f t="shared" si="2183"/>
        <v>0.8545250137</v>
      </c>
      <c r="AP788" s="36">
        <f t="shared" ref="AP788:AQ788" si="2187">SUM(T796)</f>
        <v>207.1483221</v>
      </c>
      <c r="AQ788" s="36">
        <f t="shared" si="2187"/>
        <v>7.96724316</v>
      </c>
      <c r="AR788" s="32">
        <f t="shared" si="2185"/>
        <v>162.3076923</v>
      </c>
    </row>
    <row r="789" ht="15.75" customHeight="1">
      <c r="A789" s="21"/>
      <c r="B789" s="38">
        <v>1.0</v>
      </c>
      <c r="C789" s="38" t="s">
        <v>26</v>
      </c>
      <c r="D789" s="39">
        <v>15.0</v>
      </c>
      <c r="E789" s="40">
        <f>IFERROR(__xludf.DUMMYFUNCTION("COUNT(IMPORTRANGE(""https://docs.google.com/spreadsheets/d/1iVFEBQOAONhqDIMRa2hQ7WkCQv0dJWSAmc0AzfvSCMg/edit"",""30!d2:d21""))"),15.0)</f>
        <v>15</v>
      </c>
      <c r="F789" s="41">
        <f>IFERROR(__xludf.DUMMYFUNCTION("SUM(IMPORTRANGE(""https://docs.google.com/spreadsheets/d/1iVFEBQOAONhqDIMRa2hQ7WkCQv0dJWSAmc0AzfvSCMg/edit"",""30!Q2:Q21""))"),2710.4790000000003)</f>
        <v>2710.479</v>
      </c>
      <c r="G789" s="40">
        <f>IFERROR(__xludf.DUMMYFUNCTION("IMPORTRANGE(""https://docs.google.com/spreadsheets/d/1iVFEBQOAONhqDIMRa2hQ7WkCQv0dJWSAmc0AzfvSCMg/edit"",""30!e28"")"),1343.0)</f>
        <v>1343</v>
      </c>
      <c r="H789" s="40">
        <f>IFERROR(__xludf.DUMMYFUNCTION("IMPORTRANGE(""https://docs.google.com/spreadsheets/d/1iVFEBQOAONhqDIMRa2hQ7WkCQv0dJWSAmc0AzfvSCMg/edit"",""30!e29"")"),0.0)</f>
        <v>0</v>
      </c>
      <c r="I789" s="40">
        <f t="shared" ref="I789:I806" si="2190">SUM(G789:H789)</f>
        <v>1343</v>
      </c>
      <c r="J789" s="40">
        <f>IFERROR(__xludf.DUMMYFUNCTION("IMPORTRANGE(""https://docs.google.com/spreadsheets/d/1iVFEBQOAONhqDIMRa2hQ7WkCQv0dJWSAmc0AzfvSCMg/edit"",""30!e32"")"),1756.0)</f>
        <v>1756</v>
      </c>
      <c r="K789" s="40">
        <f>IFERROR(__xludf.DUMMYFUNCTION("IMPORTRANGE(""https://docs.google.com/spreadsheets/d/1iVFEBQOAONhqDIMRa2hQ7WkCQv0dJWSAmc0AzfvSCMg/edit"",""30!e33"")"),50.0)</f>
        <v>50</v>
      </c>
      <c r="L789" s="40">
        <f t="shared" ref="L789:L795" si="2191">SUM(J789:K789)</f>
        <v>1806</v>
      </c>
      <c r="M789" s="40">
        <f t="shared" ref="M789:M806" si="2192">SUM(I789+L789)</f>
        <v>3149</v>
      </c>
      <c r="N789" s="41">
        <f t="shared" ref="N789:N807" si="2193">F789/E789</f>
        <v>180.6986</v>
      </c>
      <c r="O789" s="38">
        <v>5161.0</v>
      </c>
      <c r="P789" s="42">
        <f t="shared" ref="P789:P807" si="2194">M789/O789</f>
        <v>0.6101530711</v>
      </c>
      <c r="Q789" s="43">
        <v>1.5</v>
      </c>
      <c r="R789" s="42">
        <f t="shared" ref="R789:R807" si="2195">S789/Q789</f>
        <v>0.7745248472</v>
      </c>
      <c r="S789" s="44">
        <f t="shared" ref="S789:S807" si="2196">M789/F789</f>
        <v>1.161787271</v>
      </c>
      <c r="T789" s="43">
        <f>F789/14.415</f>
        <v>188.0318418</v>
      </c>
      <c r="U789" s="43">
        <f t="shared" ref="U789:U807" si="2197">T789/E789</f>
        <v>12.53545612</v>
      </c>
      <c r="V789" s="40">
        <f t="shared" ref="V789:V807" si="2198">M789/E789</f>
        <v>209.9333333</v>
      </c>
      <c r="X789" s="22">
        <v>4.0</v>
      </c>
      <c r="Y789" s="22" t="s">
        <v>27</v>
      </c>
      <c r="Z789" s="22">
        <f t="shared" ref="Z789:AK789" si="2188">SUM(D802)</f>
        <v>23</v>
      </c>
      <c r="AA789" s="23">
        <f t="shared" si="2188"/>
        <v>23</v>
      </c>
      <c r="AB789" s="24">
        <f t="shared" si="2188"/>
        <v>4272.683</v>
      </c>
      <c r="AC789" s="23">
        <f t="shared" si="2188"/>
        <v>1510</v>
      </c>
      <c r="AD789" s="23">
        <f t="shared" si="2188"/>
        <v>81</v>
      </c>
      <c r="AE789" s="23">
        <f t="shared" si="2188"/>
        <v>1591</v>
      </c>
      <c r="AF789" s="23">
        <f t="shared" si="2188"/>
        <v>1879</v>
      </c>
      <c r="AG789" s="23">
        <f t="shared" si="2188"/>
        <v>88</v>
      </c>
      <c r="AH789" s="23">
        <f t="shared" si="2188"/>
        <v>1967</v>
      </c>
      <c r="AI789" s="23">
        <f t="shared" si="2188"/>
        <v>3558</v>
      </c>
      <c r="AJ789" s="25">
        <f t="shared" si="2188"/>
        <v>185.7688261</v>
      </c>
      <c r="AK789" s="22">
        <f t="shared" si="2188"/>
        <v>8101</v>
      </c>
      <c r="AL789" s="26">
        <f t="shared" si="2180"/>
        <v>0.4392050364</v>
      </c>
      <c r="AM789" s="27">
        <f>SUM(Q802)</f>
        <v>1.5</v>
      </c>
      <c r="AN789" s="26">
        <f t="shared" si="2182"/>
        <v>0.5551546885</v>
      </c>
      <c r="AO789" s="28">
        <f t="shared" si="2183"/>
        <v>0.8327320328</v>
      </c>
      <c r="AP789" s="27">
        <f t="shared" ref="AP789:AQ789" si="2189">SUM(T802)</f>
        <v>213.7944959</v>
      </c>
      <c r="AQ789" s="27">
        <f t="shared" si="2189"/>
        <v>9.295412864</v>
      </c>
      <c r="AR789" s="23">
        <f t="shared" si="2185"/>
        <v>154.6956522</v>
      </c>
    </row>
    <row r="790" ht="15.75" customHeight="1">
      <c r="A790" s="21"/>
      <c r="B790" s="38">
        <v>2.0</v>
      </c>
      <c r="C790" s="38" t="s">
        <v>28</v>
      </c>
      <c r="D790" s="39">
        <v>24.0</v>
      </c>
      <c r="E790" s="40">
        <f>IFERROR(__xludf.DUMMYFUNCTION("COUNT(IMPORTRANGE(""https://docs.google.com/spreadsheets/d/1tJCeYclgeJZ4Dc78t_SkhVjtacKW-5-VGim8X1rzUzk/edit"",""30!d2:d34""))"),24.0)</f>
        <v>24</v>
      </c>
      <c r="F790" s="41">
        <f>IFERROR(__xludf.DUMMYFUNCTION("SUM(IMPORTRANGE(""https://docs.google.com/spreadsheets/d/1tJCeYclgeJZ4Dc78t_SkhVjtacKW-5-VGim8X1rzUzk/edit"",""30!Q2:Q34""))"),4658.388)</f>
        <v>4658.388</v>
      </c>
      <c r="G790" s="40">
        <f>IFERROR(__xludf.DUMMYFUNCTION("IMPORTRANGE(""https://docs.google.com/spreadsheets/d/1tJCeYclgeJZ4Dc78t_SkhVjtacKW-5-VGim8X1rzUzk/edit"",""30!e41"")"),1536.0)</f>
        <v>1536</v>
      </c>
      <c r="H790" s="40">
        <f>IFERROR(__xludf.DUMMYFUNCTION("IMPORTRANGE(""https://docs.google.com/spreadsheets/d/1tJCeYclgeJZ4Dc78t_SkhVjtacKW-5-VGim8X1rzUzk/edit"",""30!e42"")"),64.0)</f>
        <v>64</v>
      </c>
      <c r="I790" s="40">
        <f t="shared" si="2190"/>
        <v>1600</v>
      </c>
      <c r="J790" s="40">
        <f>IFERROR(__xludf.DUMMYFUNCTION("IMPORTRANGE(""https://docs.google.com/spreadsheets/d/1tJCeYclgeJZ4Dc78t_SkhVjtacKW-5-VGim8X1rzUzk/edit"",""30!e45"")"),1733.0)</f>
        <v>1733</v>
      </c>
      <c r="K790" s="40">
        <f>IFERROR(__xludf.DUMMYFUNCTION("IMPORTRANGE(""https://docs.google.com/spreadsheets/d/1tJCeYclgeJZ4Dc78t_SkhVjtacKW-5-VGim8X1rzUzk/edit"",""30!e46"")"),109.0)</f>
        <v>109</v>
      </c>
      <c r="L790" s="40">
        <f t="shared" si="2191"/>
        <v>1842</v>
      </c>
      <c r="M790" s="40">
        <f t="shared" si="2192"/>
        <v>3442</v>
      </c>
      <c r="N790" s="41">
        <f t="shared" si="2193"/>
        <v>194.0995</v>
      </c>
      <c r="O790" s="38">
        <v>7315.0</v>
      </c>
      <c r="P790" s="42">
        <f t="shared" si="2194"/>
        <v>0.4705399863</v>
      </c>
      <c r="Q790" s="43">
        <v>1.5</v>
      </c>
      <c r="R790" s="42">
        <f t="shared" si="2195"/>
        <v>0.4925881371</v>
      </c>
      <c r="S790" s="44">
        <f t="shared" si="2196"/>
        <v>0.7388822056</v>
      </c>
      <c r="T790" s="43">
        <f>F790/30.897</f>
        <v>150.7715312</v>
      </c>
      <c r="U790" s="43">
        <f t="shared" si="2197"/>
        <v>6.282147134</v>
      </c>
      <c r="V790" s="40">
        <f t="shared" si="2198"/>
        <v>143.4166667</v>
      </c>
      <c r="X790" s="22">
        <v>5.0</v>
      </c>
      <c r="Y790" s="22" t="s">
        <v>29</v>
      </c>
      <c r="Z790" s="22">
        <f t="shared" ref="Z790:AI790" si="2199">SUM(D805)</f>
        <v>23</v>
      </c>
      <c r="AA790" s="23">
        <f t="shared" si="2199"/>
        <v>22</v>
      </c>
      <c r="AB790" s="24">
        <f t="shared" si="2199"/>
        <v>4291.542</v>
      </c>
      <c r="AC790" s="23">
        <f t="shared" si="2199"/>
        <v>1613</v>
      </c>
      <c r="AD790" s="23">
        <f t="shared" si="2199"/>
        <v>0</v>
      </c>
      <c r="AE790" s="23">
        <f t="shared" si="2199"/>
        <v>1613</v>
      </c>
      <c r="AF790" s="23">
        <f t="shared" si="2199"/>
        <v>2449</v>
      </c>
      <c r="AG790" s="23">
        <f t="shared" si="2199"/>
        <v>0</v>
      </c>
      <c r="AH790" s="23">
        <f t="shared" si="2199"/>
        <v>2449</v>
      </c>
      <c r="AI790" s="23">
        <f t="shared" si="2199"/>
        <v>4062</v>
      </c>
      <c r="AJ790" s="25">
        <f t="shared" ref="AJ790:AJ792" si="2202">AB790/AA790</f>
        <v>195.0700909</v>
      </c>
      <c r="AK790" s="22">
        <f t="shared" ref="AK790:AK791" si="2203">SUM(O805)</f>
        <v>9201</v>
      </c>
      <c r="AL790" s="26">
        <f t="shared" si="2180"/>
        <v>0.4414737529</v>
      </c>
      <c r="AM790" s="27">
        <f t="shared" ref="AM790:AM791" si="2204">SUM(Q805)</f>
        <v>1.5</v>
      </c>
      <c r="AN790" s="26">
        <f t="shared" si="2182"/>
        <v>0.6310086211</v>
      </c>
      <c r="AO790" s="28">
        <f t="shared" si="2183"/>
        <v>0.9465129317</v>
      </c>
      <c r="AP790" s="27">
        <f t="shared" ref="AP790:AQ790" si="2200">SUM(T805)</f>
        <v>162</v>
      </c>
      <c r="AQ790" s="27">
        <f t="shared" si="2200"/>
        <v>7.363636364</v>
      </c>
      <c r="AR790" s="23">
        <f t="shared" si="2185"/>
        <v>184.6363636</v>
      </c>
    </row>
    <row r="791" ht="15.75" customHeight="1">
      <c r="A791" s="21"/>
      <c r="B791" s="38">
        <v>3.0</v>
      </c>
      <c r="C791" s="38" t="s">
        <v>30</v>
      </c>
      <c r="D791" s="39">
        <v>45.0</v>
      </c>
      <c r="E791" s="40">
        <f>IFERROR(__xludf.DUMMYFUNCTION("COUNT(IMPORTRANGE(""https://docs.google.com/spreadsheets/d/130gLEONC13J8KkQ6dk06x3bLRy_jCrAw2hXatQf2W50/edit"",""30!d2:d61""))"),44.0)</f>
        <v>44</v>
      </c>
      <c r="F791" s="45">
        <f>IFERROR(__xludf.DUMMYFUNCTION("SUM(IMPORTRANGE(""https://docs.google.com/spreadsheets/d/130gLEONC13J8KkQ6dk06x3bLRy_jCrAw2hXatQf2W50/edit"",""30!Q2:Q61""))"),8614.472999999994)</f>
        <v>8614.473</v>
      </c>
      <c r="G791" s="40">
        <f>IFERROR(__xludf.DUMMYFUNCTION("IMPORTRANGE(""https://docs.google.com/spreadsheets/d/130gLEONC13J8KkQ6dk06x3bLRy_jCrAw2hXatQf2W50/edit"",""30!e68"")"),2079.0)</f>
        <v>2079</v>
      </c>
      <c r="H791" s="40">
        <f>IFERROR(__xludf.DUMMYFUNCTION("IMPORTRANGE(""https://docs.google.com/spreadsheets/d/130gLEONC13J8KkQ6dk06x3bLRy_jCrAw2hXatQf2W50/edit"",""30!e69"")"),34.0)</f>
        <v>34</v>
      </c>
      <c r="I791" s="40">
        <f t="shared" si="2190"/>
        <v>2113</v>
      </c>
      <c r="J791" s="40">
        <f>IFERROR(__xludf.DUMMYFUNCTION("IMPORTRANGE(""https://docs.google.com/spreadsheets/d/130gLEONC13J8KkQ6dk06x3bLRy_jCrAw2hXatQf2W50/edit"",""30!e72"")"),3856.0)</f>
        <v>3856</v>
      </c>
      <c r="K791" s="40">
        <f>IFERROR(__xludf.DUMMYFUNCTION("IMPORTRANGE(""https://docs.google.com/spreadsheets/d/130gLEONC13J8KkQ6dk06x3bLRy_jCrAw2hXatQf2W50/edit"",""30!e73"")"),31.0)</f>
        <v>31</v>
      </c>
      <c r="L791" s="40">
        <f t="shared" si="2191"/>
        <v>3887</v>
      </c>
      <c r="M791" s="40">
        <f t="shared" si="2192"/>
        <v>6000</v>
      </c>
      <c r="N791" s="41">
        <f t="shared" si="2193"/>
        <v>195.7834773</v>
      </c>
      <c r="O791" s="38">
        <v>11164.0</v>
      </c>
      <c r="P791" s="42">
        <f t="shared" si="2194"/>
        <v>0.5374417771</v>
      </c>
      <c r="Q791" s="43">
        <v>1.5</v>
      </c>
      <c r="R791" s="42">
        <f t="shared" si="2195"/>
        <v>0.4643348467</v>
      </c>
      <c r="S791" s="44">
        <f t="shared" si="2196"/>
        <v>0.6965022701</v>
      </c>
      <c r="T791" s="43">
        <f>F791/29.603</f>
        <v>291</v>
      </c>
      <c r="U791" s="43">
        <f t="shared" si="2197"/>
        <v>6.613636364</v>
      </c>
      <c r="V791" s="40">
        <f t="shared" si="2198"/>
        <v>136.3636364</v>
      </c>
      <c r="X791" s="22">
        <v>6.0</v>
      </c>
      <c r="Y791" s="22" t="s">
        <v>31</v>
      </c>
      <c r="Z791" s="22">
        <f t="shared" ref="Z791:AI791" si="2201">SUM(D806)</f>
        <v>11</v>
      </c>
      <c r="AA791" s="23">
        <f t="shared" si="2201"/>
        <v>11</v>
      </c>
      <c r="AB791" s="25">
        <f t="shared" si="2201"/>
        <v>2086.32</v>
      </c>
      <c r="AC791" s="23">
        <f t="shared" si="2201"/>
        <v>370</v>
      </c>
      <c r="AD791" s="23">
        <f t="shared" si="2201"/>
        <v>0</v>
      </c>
      <c r="AE791" s="23">
        <f t="shared" si="2201"/>
        <v>370</v>
      </c>
      <c r="AF791" s="23">
        <f t="shared" si="2201"/>
        <v>586</v>
      </c>
      <c r="AG791" s="23">
        <f t="shared" si="2201"/>
        <v>8</v>
      </c>
      <c r="AH791" s="23">
        <f t="shared" si="2201"/>
        <v>594</v>
      </c>
      <c r="AI791" s="23">
        <f t="shared" si="2201"/>
        <v>964</v>
      </c>
      <c r="AJ791" s="25">
        <f t="shared" si="2202"/>
        <v>189.6654545</v>
      </c>
      <c r="AK791" s="22">
        <f t="shared" si="2203"/>
        <v>2717</v>
      </c>
      <c r="AL791" s="26">
        <f t="shared" si="2180"/>
        <v>0.3548030916</v>
      </c>
      <c r="AM791" s="27">
        <f t="shared" si="2204"/>
        <v>1.5</v>
      </c>
      <c r="AN791" s="26">
        <f t="shared" si="2182"/>
        <v>0.3080383962</v>
      </c>
      <c r="AO791" s="28">
        <f t="shared" si="2183"/>
        <v>0.4620575942</v>
      </c>
      <c r="AP791" s="27">
        <f t="shared" ref="AP791:AQ791" si="2205">SUM(T806)</f>
        <v>48</v>
      </c>
      <c r="AQ791" s="27">
        <f t="shared" si="2205"/>
        <v>4.363636364</v>
      </c>
      <c r="AR791" s="23">
        <f t="shared" si="2185"/>
        <v>87.63636364</v>
      </c>
    </row>
    <row r="792" ht="15.75" customHeight="1">
      <c r="A792" s="21"/>
      <c r="B792" s="38">
        <v>4.0</v>
      </c>
      <c r="C792" s="38" t="s">
        <v>32</v>
      </c>
      <c r="D792" s="39">
        <v>32.0</v>
      </c>
      <c r="E792" s="40">
        <f>IFERROR(__xludf.DUMMYFUNCTION("COUNT(IMPORTRANGE(""https://docs.google.com/spreadsheets/d/1gYHli7FuKQLm2Q-5LMR0UtkD-gRRA_p8s-phLPLDLgc/edit"",""30!d2:d43""))"),32.0)</f>
        <v>32</v>
      </c>
      <c r="F792" s="45">
        <f>IFERROR(__xludf.DUMMYFUNCTION("SUM(IMPORTRANGE(""https://docs.google.com/spreadsheets/d/1gYHli7FuKQLm2Q-5LMR0UtkD-gRRA_p8s-phLPLDLgc/edit"",""30!Q2:Q43""))"),6322.427999999994)</f>
        <v>6322.428</v>
      </c>
      <c r="G792" s="38">
        <f>IFERROR(__xludf.DUMMYFUNCTION("IMPORTRANGE(""https://docs.google.com/spreadsheets/d/1gYHli7FuKQLm2Q-5LMR0UtkD-gRRA_p8s-phLPLDLgc/edit"",""30!e50"")"),3068.0)</f>
        <v>3068</v>
      </c>
      <c r="H792" s="38">
        <f>IFERROR(__xludf.DUMMYFUNCTION("IMPORTRANGE(""https://docs.google.com/spreadsheets/d/1gYHli7FuKQLm2Q-5LMR0UtkD-gRRA_p8s-phLPLDLgc/edit"",""30!e51"")"),0.0)</f>
        <v>0</v>
      </c>
      <c r="I792" s="40">
        <f t="shared" si="2190"/>
        <v>3068</v>
      </c>
      <c r="J792" s="38">
        <f>IFERROR(__xludf.DUMMYFUNCTION("IMPORTRANGE(""https://docs.google.com/spreadsheets/d/1gYHli7FuKQLm2Q-5LMR0UtkD-gRRA_p8s-phLPLDLgc/edit"",""30!e54"")"),3372.0)</f>
        <v>3372</v>
      </c>
      <c r="K792" s="38">
        <f>IFERROR(__xludf.DUMMYFUNCTION("IMPORTRANGE(""https://docs.google.com/spreadsheets/d/1gYHli7FuKQLm2Q-5LMR0UtkD-gRRA_p8s-phLPLDLgc/edit"",""30!e55"")"),0.0)</f>
        <v>0</v>
      </c>
      <c r="L792" s="40">
        <f t="shared" si="2191"/>
        <v>3372</v>
      </c>
      <c r="M792" s="40">
        <f t="shared" si="2192"/>
        <v>6440</v>
      </c>
      <c r="N792" s="41">
        <f t="shared" si="2193"/>
        <v>197.575875</v>
      </c>
      <c r="O792" s="38">
        <v>13817.0</v>
      </c>
      <c r="P792" s="42">
        <f t="shared" si="2194"/>
        <v>0.4660924948</v>
      </c>
      <c r="Q792" s="43">
        <v>1.5</v>
      </c>
      <c r="R792" s="42">
        <f t="shared" si="2195"/>
        <v>0.6790640136</v>
      </c>
      <c r="S792" s="44">
        <f t="shared" si="2196"/>
        <v>1.01859602</v>
      </c>
      <c r="T792" s="43">
        <f>F792/25.089</f>
        <v>252</v>
      </c>
      <c r="U792" s="43">
        <f t="shared" si="2197"/>
        <v>7.875</v>
      </c>
      <c r="V792" s="40">
        <f t="shared" si="2198"/>
        <v>201.25</v>
      </c>
      <c r="X792" s="46" t="s">
        <v>33</v>
      </c>
      <c r="Y792" s="46">
        <v>6.0</v>
      </c>
      <c r="Z792" s="46">
        <f t="shared" ref="Z792:AI792" si="2206">SUM(Z786:Z791)</f>
        <v>144</v>
      </c>
      <c r="AA792" s="47">
        <f t="shared" si="2206"/>
        <v>143</v>
      </c>
      <c r="AB792" s="48">
        <f t="shared" si="2206"/>
        <v>27448.959</v>
      </c>
      <c r="AC792" s="47">
        <f t="shared" si="2206"/>
        <v>6864</v>
      </c>
      <c r="AD792" s="47">
        <f t="shared" si="2206"/>
        <v>124</v>
      </c>
      <c r="AE792" s="47">
        <f t="shared" si="2206"/>
        <v>6988</v>
      </c>
      <c r="AF792" s="47">
        <f t="shared" si="2206"/>
        <v>10472</v>
      </c>
      <c r="AG792" s="47">
        <f t="shared" si="2206"/>
        <v>294</v>
      </c>
      <c r="AH792" s="47">
        <f t="shared" si="2206"/>
        <v>10766</v>
      </c>
      <c r="AI792" s="47">
        <f t="shared" si="2206"/>
        <v>17754</v>
      </c>
      <c r="AJ792" s="49">
        <f t="shared" si="2202"/>
        <v>191.9507622</v>
      </c>
      <c r="AK792" s="46">
        <f>SUM(AK786:AK791)</f>
        <v>35074</v>
      </c>
      <c r="AL792" s="50">
        <f t="shared" si="2180"/>
        <v>0.5061869191</v>
      </c>
      <c r="AM792" s="51">
        <v>1.5</v>
      </c>
      <c r="AN792" s="50">
        <f t="shared" si="2182"/>
        <v>0.4312003235</v>
      </c>
      <c r="AO792" s="52">
        <f t="shared" si="2183"/>
        <v>0.6468004852</v>
      </c>
      <c r="AP792" s="51">
        <f>SUM(AP786:AP791)</f>
        <v>1033.55457</v>
      </c>
      <c r="AQ792" s="51">
        <f>AP792/AA792</f>
        <v>7.227654333</v>
      </c>
      <c r="AR792" s="47">
        <f t="shared" si="2185"/>
        <v>124.1538462</v>
      </c>
    </row>
    <row r="793" ht="15.75" customHeight="1">
      <c r="A793" s="21"/>
      <c r="B793" s="38">
        <v>5.0</v>
      </c>
      <c r="C793" s="38" t="s">
        <v>34</v>
      </c>
      <c r="D793" s="39">
        <v>30.0</v>
      </c>
      <c r="E793" s="40">
        <f>IFERROR(__xludf.DUMMYFUNCTION("COUNT(IMPORTRANGE(""https://docs.google.com/spreadsheets/d/1ptS0qWBCKWkc9h2aXWT_YgMhN7yIv5WgAHRbF8l9Zpo/edit"",""30!d2:d41""))"),30.0)</f>
        <v>30</v>
      </c>
      <c r="F793" s="45">
        <f>IFERROR(__xludf.DUMMYFUNCTION("SUM(IMPORTRANGE(""https://docs.google.com/spreadsheets/d/1ptS0qWBCKWkc9h2aXWT_YgMhN7yIv5WgAHRbF8l9Zpo/edit"",""30!Q2:Q41""))"),5937.993000000002)</f>
        <v>5937.993</v>
      </c>
      <c r="G793" s="40">
        <f>IFERROR(__xludf.DUMMYFUNCTION("IMPORTRANGE(""https://docs.google.com/spreadsheets/d/1ptS0qWBCKWkc9h2aXWT_YgMhN7yIv5WgAHRbF8l9Zpo/edit"",""30!e48"")"),1650.0)</f>
        <v>1650</v>
      </c>
      <c r="H793" s="40">
        <f>IFERROR(__xludf.DUMMYFUNCTION("IMPORTRANGE(""https://docs.google.com/spreadsheets/d/1ptS0qWBCKWkc9h2aXWT_YgMhN7yIv5WgAHRbF8l9Zpo/edit"",""30!e49"")"),0.0)</f>
        <v>0</v>
      </c>
      <c r="I793" s="40">
        <f t="shared" si="2190"/>
        <v>1650</v>
      </c>
      <c r="J793" s="40">
        <f>IFERROR(__xludf.DUMMYFUNCTION("IMPORTRANGE(""https://docs.google.com/spreadsheets/d/1ptS0qWBCKWkc9h2aXWT_YgMhN7yIv5WgAHRbF8l9Zpo/edit"",""30!e52"")"),2382.0)</f>
        <v>2382</v>
      </c>
      <c r="K793" s="40">
        <f>IFERROR(__xludf.DUMMYFUNCTION("IMPORTRANGE(""https://docs.google.com/spreadsheets/d/1ptS0qWBCKWkc9h2aXWT_YgMhN7yIv5WgAHRbF8l9Zpo/edit"",""30!e53"")"),0.0)</f>
        <v>0</v>
      </c>
      <c r="L793" s="40">
        <f t="shared" si="2191"/>
        <v>2382</v>
      </c>
      <c r="M793" s="40">
        <f t="shared" si="2192"/>
        <v>4032</v>
      </c>
      <c r="N793" s="41">
        <f t="shared" si="2193"/>
        <v>197.9331</v>
      </c>
      <c r="O793" s="38">
        <v>9354.0</v>
      </c>
      <c r="P793" s="42">
        <f t="shared" si="2194"/>
        <v>0.431045542</v>
      </c>
      <c r="Q793" s="43">
        <v>1.5</v>
      </c>
      <c r="R793" s="42">
        <f t="shared" si="2195"/>
        <v>0.4526782029</v>
      </c>
      <c r="S793" s="44">
        <f t="shared" si="2196"/>
        <v>0.6790173043</v>
      </c>
      <c r="T793" s="43">
        <f>F793/30.713</f>
        <v>193.3380979</v>
      </c>
      <c r="U793" s="43">
        <f t="shared" si="2197"/>
        <v>6.444603262</v>
      </c>
      <c r="V793" s="40">
        <f t="shared" si="2198"/>
        <v>134.4</v>
      </c>
      <c r="X793" s="53" t="s">
        <v>35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6"/>
    </row>
    <row r="794" ht="15.75" customHeight="1">
      <c r="A794" s="21"/>
      <c r="B794" s="38">
        <v>6.0</v>
      </c>
      <c r="C794" s="38" t="s">
        <v>23</v>
      </c>
      <c r="D794" s="39">
        <v>26.0</v>
      </c>
      <c r="E794" s="40">
        <f>IFERROR(__xludf.DUMMYFUNCTION("COUNT(IMPORTRANGE(""https://docs.google.com/spreadsheets/d/1829CoYW82aTBBUgqkPnJa94KlBWI-DowAnP4ENQCmaQ/edit"",""30!d2:d36""))"),26.0)</f>
        <v>26</v>
      </c>
      <c r="F794" s="45">
        <f>IFERROR(__xludf.DUMMYFUNCTION("SUM(IMPORTRANGE(""https://docs.google.com/spreadsheets/d/1829CoYW82aTBBUgqkPnJa94KlBWI-DowAnP4ENQCmaQ/edit"",""30!Q2:Q36""))"),5195.959999999998)</f>
        <v>5195.96</v>
      </c>
      <c r="G794" s="40">
        <f>IFERROR(__xludf.DUMMYFUNCTION("IMPORTRANGE(""https://docs.google.com/spreadsheets/d/1829CoYW82aTBBUgqkPnJa94KlBWI-DowAnP4ENQCmaQ/edit"",""30!e43"")"),1006.0)</f>
        <v>1006</v>
      </c>
      <c r="H794" s="40">
        <f>IFERROR(__xludf.DUMMYFUNCTION("IMPORTRANGE(""https://docs.google.com/spreadsheets/d/1829CoYW82aTBBUgqkPnJa94KlBWI-DowAnP4ENQCmaQ/edit"",""30!e44"")"),0.0)</f>
        <v>0</v>
      </c>
      <c r="I794" s="40">
        <f t="shared" si="2190"/>
        <v>1006</v>
      </c>
      <c r="J794" s="40">
        <f>IFERROR(__xludf.DUMMYFUNCTION("IMPORTRANGE(""https://docs.google.com/spreadsheets/d/1829CoYW82aTBBUgqkPnJa94KlBWI-DowAnP4ENQCmaQ/edit"",""30!e47"")"),2021.0)</f>
        <v>2021</v>
      </c>
      <c r="K794" s="40">
        <f>IFERROR(__xludf.DUMMYFUNCTION("IMPORTRANGE(""https://docs.google.com/spreadsheets/d/1829CoYW82aTBBUgqkPnJa94KlBWI-DowAnP4ENQCmaQ/edit"",""30!e48"")"),0.0)</f>
        <v>0</v>
      </c>
      <c r="L794" s="40">
        <f t="shared" si="2191"/>
        <v>2021</v>
      </c>
      <c r="M794" s="40">
        <f t="shared" si="2192"/>
        <v>3027</v>
      </c>
      <c r="N794" s="41">
        <f t="shared" si="2193"/>
        <v>199.8446154</v>
      </c>
      <c r="O794" s="38">
        <v>6853.0</v>
      </c>
      <c r="P794" s="42">
        <f t="shared" si="2194"/>
        <v>0.4417043631</v>
      </c>
      <c r="Q794" s="43">
        <v>1.5</v>
      </c>
      <c r="R794" s="42">
        <f t="shared" si="2195"/>
        <v>0.3883786634</v>
      </c>
      <c r="S794" s="44">
        <f t="shared" si="2196"/>
        <v>0.5825679951</v>
      </c>
      <c r="T794" s="43">
        <f>F794/33.74</f>
        <v>154</v>
      </c>
      <c r="U794" s="43">
        <f t="shared" si="2197"/>
        <v>5.923076923</v>
      </c>
      <c r="V794" s="40">
        <f t="shared" si="2198"/>
        <v>116.4230769</v>
      </c>
      <c r="X794" s="14" t="s">
        <v>2</v>
      </c>
      <c r="Y794" s="14" t="s">
        <v>3</v>
      </c>
      <c r="Z794" s="14" t="s">
        <v>4</v>
      </c>
      <c r="AA794" s="14" t="s">
        <v>5</v>
      </c>
      <c r="AB794" s="15" t="s">
        <v>6</v>
      </c>
      <c r="AC794" s="14" t="s">
        <v>7</v>
      </c>
      <c r="AD794" s="14" t="s">
        <v>8</v>
      </c>
      <c r="AE794" s="14" t="s">
        <v>9</v>
      </c>
      <c r="AF794" s="14" t="s">
        <v>10</v>
      </c>
      <c r="AG794" s="14" t="s">
        <v>11</v>
      </c>
      <c r="AH794" s="14" t="s">
        <v>12</v>
      </c>
      <c r="AI794" s="14" t="s">
        <v>13</v>
      </c>
      <c r="AJ794" s="15" t="s">
        <v>14</v>
      </c>
      <c r="AK794" s="14" t="s">
        <v>15</v>
      </c>
      <c r="AL794" s="14" t="s">
        <v>16</v>
      </c>
      <c r="AM794" s="16" t="s">
        <v>17</v>
      </c>
      <c r="AN794" s="17" t="s">
        <v>18</v>
      </c>
      <c r="AO794" s="18" t="s">
        <v>19</v>
      </c>
      <c r="AP794" s="19" t="s">
        <v>20</v>
      </c>
      <c r="AQ794" s="19" t="s">
        <v>21</v>
      </c>
      <c r="AR794" s="20" t="s">
        <v>22</v>
      </c>
    </row>
    <row r="795" ht="15.75" customHeight="1">
      <c r="A795" s="21"/>
      <c r="B795" s="38">
        <v>7.0</v>
      </c>
      <c r="C795" s="38" t="s">
        <v>24</v>
      </c>
      <c r="D795" s="39">
        <v>35.0</v>
      </c>
      <c r="E795" s="54">
        <f>IFERROR(__xludf.DUMMYFUNCTION("COUNT(IMPORTRANGE(""https://docs.google.com/spreadsheets/d/1E2x4oDZxEIsuC5nl-5Z0--MoN8b1dt9SbpRcCfNP84Q/edit"",""30!d2:d45""))"),35.0)</f>
        <v>35</v>
      </c>
      <c r="F795" s="55">
        <f>IFERROR(__xludf.DUMMYFUNCTION("SUM(IMPORTRANGE(""https://docs.google.com/spreadsheets/d/1E2x4oDZxEIsuC5nl-5Z0--MoN8b1dt9SbpRcCfNP84Q/edit"",""30!Q2:Q45""))"),6664.037999999995)</f>
        <v>6664.038</v>
      </c>
      <c r="G795" s="54">
        <f>IFERROR(__xludf.DUMMYFUNCTION("IMPORTRANGE(""https://docs.google.com/spreadsheets/d/1E2x4oDZxEIsuC5nl-5Z0--MoN8b1dt9SbpRcCfNP84Q/edit"",""30!e53"")"),791.0)</f>
        <v>791</v>
      </c>
      <c r="H795" s="54">
        <f>IFERROR(__xludf.DUMMYFUNCTION("IMPORTRANGE(""https://docs.google.com/spreadsheets/d/1E2x4oDZxEIsuC5nl-5Z0--MoN8b1dt9SbpRcCfNP84Q/edit"",""30!e54"")"),0.0)</f>
        <v>0</v>
      </c>
      <c r="I795" s="54">
        <f t="shared" si="2190"/>
        <v>791</v>
      </c>
      <c r="J795" s="54">
        <f>IFERROR(__xludf.DUMMYFUNCTION("IMPORTRANGE(""https://docs.google.com/spreadsheets/d/1E2x4oDZxEIsuC5nl-5Z0--MoN8b1dt9SbpRcCfNP84Q/edit"",""30!e57"")"),1132.0)</f>
        <v>1132</v>
      </c>
      <c r="K795" s="54">
        <f>IFERROR(__xludf.DUMMYFUNCTION("IMPORTRANGE(""https://docs.google.com/spreadsheets/d/1E2x4oDZxEIsuC5nl-5Z0--MoN8b1dt9SbpRcCfNP84Q/edit"",""30!e58"")"),0.0)</f>
        <v>0</v>
      </c>
      <c r="L795" s="40">
        <f t="shared" si="2191"/>
        <v>1132</v>
      </c>
      <c r="M795" s="40">
        <f t="shared" si="2192"/>
        <v>1923</v>
      </c>
      <c r="N795" s="41">
        <f t="shared" si="2193"/>
        <v>190.4010857</v>
      </c>
      <c r="O795" s="38">
        <v>1580.0</v>
      </c>
      <c r="P795" s="56">
        <f t="shared" si="2194"/>
        <v>1.217088608</v>
      </c>
      <c r="Q795" s="43">
        <v>1.5</v>
      </c>
      <c r="R795" s="42">
        <f t="shared" si="2195"/>
        <v>0.1923758538</v>
      </c>
      <c r="S795" s="44">
        <f t="shared" si="2196"/>
        <v>0.2885637807</v>
      </c>
      <c r="T795" s="43">
        <f>F795/26.805</f>
        <v>248.6117515</v>
      </c>
      <c r="U795" s="43">
        <f t="shared" si="2197"/>
        <v>7.103192901</v>
      </c>
      <c r="V795" s="40">
        <f t="shared" si="2198"/>
        <v>54.94285714</v>
      </c>
      <c r="X795" s="22">
        <v>1.0</v>
      </c>
      <c r="Y795" s="22" t="s">
        <v>28</v>
      </c>
      <c r="Z795" s="22">
        <f t="shared" ref="Z795:AI795" si="2207">SUM(D790)</f>
        <v>24</v>
      </c>
      <c r="AA795" s="23">
        <f t="shared" si="2207"/>
        <v>24</v>
      </c>
      <c r="AB795" s="25">
        <f t="shared" si="2207"/>
        <v>4658.388</v>
      </c>
      <c r="AC795" s="23">
        <f t="shared" si="2207"/>
        <v>1536</v>
      </c>
      <c r="AD795" s="23">
        <f t="shared" si="2207"/>
        <v>64</v>
      </c>
      <c r="AE795" s="23">
        <f t="shared" si="2207"/>
        <v>1600</v>
      </c>
      <c r="AF795" s="23">
        <f t="shared" si="2207"/>
        <v>1733</v>
      </c>
      <c r="AG795" s="23">
        <f t="shared" si="2207"/>
        <v>109</v>
      </c>
      <c r="AH795" s="23">
        <f t="shared" si="2207"/>
        <v>1842</v>
      </c>
      <c r="AI795" s="23">
        <f t="shared" si="2207"/>
        <v>3442</v>
      </c>
      <c r="AJ795" s="25">
        <f t="shared" ref="AJ795:AJ801" si="2210">AB795/AA795</f>
        <v>194.0995</v>
      </c>
      <c r="AK795" s="22">
        <f t="shared" ref="AK795:AK796" si="2211">SUM(O790)</f>
        <v>7315</v>
      </c>
      <c r="AL795" s="26">
        <f t="shared" ref="AL795:AL801" si="2212">AI795/AK795</f>
        <v>0.4705399863</v>
      </c>
      <c r="AM795" s="27">
        <f t="shared" ref="AM795:AM796" si="2213">SUM(Q790)</f>
        <v>1.5</v>
      </c>
      <c r="AN795" s="26">
        <f t="shared" ref="AN795:AN801" si="2214">AO795/AM795</f>
        <v>0.4925881371</v>
      </c>
      <c r="AO795" s="28">
        <f t="shared" ref="AO795:AO801" si="2215">AI795/AB795</f>
        <v>0.7388822056</v>
      </c>
      <c r="AP795" s="27">
        <f t="shared" ref="AP795:AQ795" si="2208">SUM(T790)</f>
        <v>150.7715312</v>
      </c>
      <c r="AQ795" s="27">
        <f t="shared" si="2208"/>
        <v>6.282147134</v>
      </c>
      <c r="AR795" s="23">
        <f t="shared" ref="AR795:AR801" si="2217">AI795/AA795</f>
        <v>143.4166667</v>
      </c>
    </row>
    <row r="796" ht="15.75" customHeight="1">
      <c r="A796" s="21"/>
      <c r="B796" s="38">
        <v>8.0</v>
      </c>
      <c r="C796" s="38" t="s">
        <v>25</v>
      </c>
      <c r="D796" s="57">
        <v>26.0</v>
      </c>
      <c r="E796" s="40">
        <f>IFERROR(__xludf.DUMMYFUNCTION("COUNT(IMPORTRANGE(""https://docs.google.com/spreadsheets/d/1KbRFOEYB0B44J_NSh1MwYQ1sLDlZXUHI-wuMLcZDn5k/edit"",""30!d2:D33""))"),26.0)</f>
        <v>26</v>
      </c>
      <c r="F796" s="45">
        <f>IFERROR(__xludf.DUMMYFUNCTION("SUM(IMPORTRANGE(""https://docs.google.com/spreadsheets/d/1KbRFOEYB0B44J_NSh1MwYQ1sLDlZXUHI-wuMLcZDn5k/edit"",""30!Q2:Q33""))"),4938.416)</f>
        <v>4938.416</v>
      </c>
      <c r="G796" s="40">
        <f>IFERROR(__xludf.DUMMYFUNCTION("IMPORTRANGE(""https://docs.google.com/spreadsheets/d/1KbRFOEYB0B44J_NSh1MwYQ1sLDlZXUHI-wuMLcZDn5k/edit"",""30!e40"")"),1574.0)</f>
        <v>1574</v>
      </c>
      <c r="H796" s="40">
        <f>IFERROR(__xludf.DUMMYFUNCTION("IMPORTRANGE(""https://docs.google.com/spreadsheets/d/1KbRFOEYB0B44J_NSh1MwYQ1sLDlZXUHI-wuMLcZDn5k/edit"",""30!e41"")"),43.0)</f>
        <v>43</v>
      </c>
      <c r="I796" s="40">
        <f t="shared" si="2190"/>
        <v>1617</v>
      </c>
      <c r="J796" s="40">
        <f>IFERROR(__xludf.DUMMYFUNCTION("IMPORTRANGE(""https://docs.google.com/spreadsheets/d/1KbRFOEYB0B44J_NSh1MwYQ1sLDlZXUHI-wuMLcZDn5k/edit"",""30!e44"")"),2405.0)</f>
        <v>2405</v>
      </c>
      <c r="K796" s="40">
        <f>IFERROR(__xludf.DUMMYFUNCTION("IMPORTRANGE(""https://docs.google.com/spreadsheets/d/1KbRFOEYB0B44J_NSh1MwYQ1sLDlZXUHI-wuMLcZDn5k/edit"",""30!e45"")"),198.0)</f>
        <v>198</v>
      </c>
      <c r="L796" s="40">
        <f>J796+K796</f>
        <v>2603</v>
      </c>
      <c r="M796" s="40">
        <f t="shared" si="2192"/>
        <v>4220</v>
      </c>
      <c r="N796" s="41">
        <f t="shared" si="2193"/>
        <v>189.9390769</v>
      </c>
      <c r="O796" s="38">
        <v>6622.0</v>
      </c>
      <c r="P796" s="42">
        <f t="shared" si="2194"/>
        <v>0.637269707</v>
      </c>
      <c r="Q796" s="43">
        <v>1.5</v>
      </c>
      <c r="R796" s="42">
        <f t="shared" si="2195"/>
        <v>0.5696833425</v>
      </c>
      <c r="S796" s="44">
        <f t="shared" si="2196"/>
        <v>0.8545250137</v>
      </c>
      <c r="T796" s="43">
        <f>F796/23.84</f>
        <v>207.1483221</v>
      </c>
      <c r="U796" s="43">
        <f t="shared" si="2197"/>
        <v>7.96724316</v>
      </c>
      <c r="V796" s="40">
        <f t="shared" si="2198"/>
        <v>162.3076923</v>
      </c>
      <c r="X796" s="31">
        <v>2.0</v>
      </c>
      <c r="Y796" s="31" t="s">
        <v>30</v>
      </c>
      <c r="Z796" s="31">
        <f t="shared" ref="Z796:AI796" si="2209">SUM(D791)</f>
        <v>45</v>
      </c>
      <c r="AA796" s="32">
        <f t="shared" si="2209"/>
        <v>44</v>
      </c>
      <c r="AB796" s="33">
        <f t="shared" si="2209"/>
        <v>8614.473</v>
      </c>
      <c r="AC796" s="32">
        <f t="shared" si="2209"/>
        <v>2079</v>
      </c>
      <c r="AD796" s="32">
        <f t="shared" si="2209"/>
        <v>34</v>
      </c>
      <c r="AE796" s="32">
        <f t="shared" si="2209"/>
        <v>2113</v>
      </c>
      <c r="AF796" s="32">
        <f t="shared" si="2209"/>
        <v>3856</v>
      </c>
      <c r="AG796" s="32">
        <f t="shared" si="2209"/>
        <v>31</v>
      </c>
      <c r="AH796" s="32">
        <f t="shared" si="2209"/>
        <v>3887</v>
      </c>
      <c r="AI796" s="32">
        <f t="shared" si="2209"/>
        <v>6000</v>
      </c>
      <c r="AJ796" s="34">
        <f t="shared" si="2210"/>
        <v>195.7834773</v>
      </c>
      <c r="AK796" s="31">
        <f t="shared" si="2211"/>
        <v>11164</v>
      </c>
      <c r="AL796" s="35">
        <f t="shared" si="2212"/>
        <v>0.5374417771</v>
      </c>
      <c r="AM796" s="36">
        <f t="shared" si="2213"/>
        <v>1.5</v>
      </c>
      <c r="AN796" s="35">
        <f t="shared" si="2214"/>
        <v>0.4643348467</v>
      </c>
      <c r="AO796" s="37">
        <f t="shared" si="2215"/>
        <v>0.6965022701</v>
      </c>
      <c r="AP796" s="36">
        <f t="shared" ref="AP796:AQ796" si="2216">SUM(T791)</f>
        <v>291</v>
      </c>
      <c r="AQ796" s="36">
        <f t="shared" si="2216"/>
        <v>6.613636364</v>
      </c>
      <c r="AR796" s="32">
        <f t="shared" si="2217"/>
        <v>136.3636364</v>
      </c>
    </row>
    <row r="797" ht="15.75" customHeight="1">
      <c r="A797" s="21"/>
      <c r="B797" s="38">
        <v>9.0</v>
      </c>
      <c r="C797" s="38" t="s">
        <v>36</v>
      </c>
      <c r="D797" s="58">
        <v>23.0</v>
      </c>
      <c r="E797" s="40">
        <f>IFERROR(__xludf.DUMMYFUNCTION("COUNT(IMPORTRANGE(""https://docs.google.com/spreadsheets/d/1VqqqRGfmmkT0JC4ILJva2p8P11jjV0FX-TSKAaqOigw/edit"",""30!d2:d31""))"),23.0)</f>
        <v>23</v>
      </c>
      <c r="F797" s="45">
        <f>IFERROR(__xludf.DUMMYFUNCTION("SUM(IMPORTRANGE(""https://docs.google.com/spreadsheets/d/1VqqqRGfmmkT0JC4ILJva2p8P11jjV0FX-TSKAaqOigw/edit"",""30!Q2:Q31""))"),4540.214999999999)</f>
        <v>4540.215</v>
      </c>
      <c r="G797" s="40">
        <f>IFERROR(__xludf.DUMMYFUNCTION("IMPORTRANGE(""https://docs.google.com/spreadsheets/d/1VqqqRGfmmkT0JC4ILJva2p8P11jjV0FX-TSKAaqOigw/edit"",""30!e38"")"),900.0)</f>
        <v>900</v>
      </c>
      <c r="H797" s="40">
        <f>IFERROR(__xludf.DUMMYFUNCTION("IMPORTRANGE(""https://docs.google.com/spreadsheets/d/1VqqqRGfmmkT0JC4ILJva2p8P11jjV0FX-TSKAaqOigw/edit"",""30!e39"")"),20.0)</f>
        <v>20</v>
      </c>
      <c r="I797" s="40">
        <f t="shared" si="2190"/>
        <v>920</v>
      </c>
      <c r="J797" s="40">
        <f>IFERROR(__xludf.DUMMYFUNCTION("IMPORTRANGE(""https://docs.google.com/spreadsheets/d/1VqqqRGfmmkT0JC4ILJva2p8P11jjV0FX-TSKAaqOigw/edit"",""30!e42"")"),1566.0)</f>
        <v>1566</v>
      </c>
      <c r="K797" s="40">
        <f>IFERROR(__xludf.DUMMYFUNCTION("IMPORTRANGE(""https://docs.google.com/spreadsheets/d/1VqqqRGfmmkT0JC4ILJva2p8P11jjV0FX-TSKAaqOigw/edit"",""30!e43"")"),0.0)</f>
        <v>0</v>
      </c>
      <c r="L797" s="40">
        <f t="shared" ref="L797:L806" si="2220">SUM(J797:K797)</f>
        <v>1566</v>
      </c>
      <c r="M797" s="40">
        <f t="shared" si="2192"/>
        <v>2486</v>
      </c>
      <c r="N797" s="41">
        <f t="shared" si="2193"/>
        <v>197.4006522</v>
      </c>
      <c r="O797" s="38">
        <v>4796.0</v>
      </c>
      <c r="P797" s="42">
        <f t="shared" si="2194"/>
        <v>0.5183486239</v>
      </c>
      <c r="Q797" s="43">
        <v>1.5</v>
      </c>
      <c r="R797" s="42">
        <f t="shared" si="2195"/>
        <v>0.3650341081</v>
      </c>
      <c r="S797" s="44">
        <f t="shared" si="2196"/>
        <v>0.5475511622</v>
      </c>
      <c r="T797" s="43">
        <f>F797/37.414</f>
        <v>121.3506976</v>
      </c>
      <c r="U797" s="43">
        <f t="shared" si="2197"/>
        <v>5.276117287</v>
      </c>
      <c r="V797" s="40">
        <f t="shared" si="2198"/>
        <v>108.0869565</v>
      </c>
      <c r="X797" s="22">
        <v>3.0</v>
      </c>
      <c r="Y797" s="22" t="s">
        <v>34</v>
      </c>
      <c r="Z797" s="22">
        <f t="shared" ref="Z797:AI797" si="2218">SUM(D793)</f>
        <v>30</v>
      </c>
      <c r="AA797" s="23">
        <f t="shared" si="2218"/>
        <v>30</v>
      </c>
      <c r="AB797" s="24">
        <f t="shared" si="2218"/>
        <v>5937.993</v>
      </c>
      <c r="AC797" s="23">
        <f t="shared" si="2218"/>
        <v>1650</v>
      </c>
      <c r="AD797" s="23">
        <f t="shared" si="2218"/>
        <v>0</v>
      </c>
      <c r="AE797" s="23">
        <f t="shared" si="2218"/>
        <v>1650</v>
      </c>
      <c r="AF797" s="23">
        <f t="shared" si="2218"/>
        <v>2382</v>
      </c>
      <c r="AG797" s="23">
        <f t="shared" si="2218"/>
        <v>0</v>
      </c>
      <c r="AH797" s="23">
        <f t="shared" si="2218"/>
        <v>2382</v>
      </c>
      <c r="AI797" s="23">
        <f t="shared" si="2218"/>
        <v>4032</v>
      </c>
      <c r="AJ797" s="25">
        <f t="shared" si="2210"/>
        <v>197.9331</v>
      </c>
      <c r="AK797" s="22">
        <f>SUM(O793)</f>
        <v>9354</v>
      </c>
      <c r="AL797" s="26">
        <f t="shared" si="2212"/>
        <v>0.431045542</v>
      </c>
      <c r="AM797" s="27">
        <f>SUM(Q793)</f>
        <v>1.5</v>
      </c>
      <c r="AN797" s="26">
        <f t="shared" si="2214"/>
        <v>0.4526782029</v>
      </c>
      <c r="AO797" s="28">
        <f t="shared" si="2215"/>
        <v>0.6790173043</v>
      </c>
      <c r="AP797" s="27">
        <f t="shared" ref="AP797:AQ797" si="2219">SUM(T793)</f>
        <v>193.3380979</v>
      </c>
      <c r="AQ797" s="27">
        <f t="shared" si="2219"/>
        <v>6.444603262</v>
      </c>
      <c r="AR797" s="23">
        <f t="shared" si="2217"/>
        <v>134.4</v>
      </c>
    </row>
    <row r="798" ht="15.75" customHeight="1">
      <c r="A798" s="21"/>
      <c r="B798" s="38">
        <v>10.0</v>
      </c>
      <c r="C798" s="38" t="s">
        <v>37</v>
      </c>
      <c r="D798" s="39">
        <v>23.0</v>
      </c>
      <c r="E798" s="40">
        <f>IFERROR(__xludf.DUMMYFUNCTION("COUNT(IMPORTRANGE(""https://docs.google.com/spreadsheets/d/1IYeRjQd_D6MRqoBKNaky3aSEUloYCJc5XDnPAbdyetk/edit"",""30!d2:d31""))"),23.0)</f>
        <v>23</v>
      </c>
      <c r="F798" s="45">
        <f>IFERROR(__xludf.DUMMYFUNCTION("SUM(IMPORTRANGE(""https://docs.google.com/spreadsheets/d/1IYeRjQd_D6MRqoBKNaky3aSEUloYCJc5XDnPAbdyetk/edit"",""30!Q2:Q31""))"),4498.212000000002)</f>
        <v>4498.212</v>
      </c>
      <c r="G798" s="40">
        <f>IFERROR(__xludf.DUMMYFUNCTION("(IMPORTRANGE(""https://docs.google.com/spreadsheets/d/1IYeRjQd_D6MRqoBKNaky3aSEUloYCJc5XDnPAbdyetk/edit"",""30!e38""))"),886.0)</f>
        <v>886</v>
      </c>
      <c r="H798" s="40">
        <f>IFERROR(__xludf.DUMMYFUNCTION("(IMPORTRANGE(""https://docs.google.com/spreadsheets/d/1IYeRjQd_D6MRqoBKNaky3aSEUloYCJc5XDnPAbdyetk/edit"",""30!e39""))"),0.0)</f>
        <v>0</v>
      </c>
      <c r="I798" s="40">
        <f t="shared" si="2190"/>
        <v>886</v>
      </c>
      <c r="J798" s="40">
        <f>IFERROR(__xludf.DUMMYFUNCTION("(IMPORTRANGE(""https://docs.google.com/spreadsheets/d/1IYeRjQd_D6MRqoBKNaky3aSEUloYCJc5XDnPAbdyetk/edit"",""30!e42""))"),1993.0)</f>
        <v>1993</v>
      </c>
      <c r="K798" s="40">
        <f>IFERROR(__xludf.DUMMYFUNCTION("(IMPORTRANGE(""https://docs.google.com/spreadsheets/d/1IYeRjQd_D6MRqoBKNaky3aSEUloYCJc5XDnPAbdyetk/edit"",""30!e43""))"),0.0)</f>
        <v>0</v>
      </c>
      <c r="L798" s="40">
        <f t="shared" si="2220"/>
        <v>1993</v>
      </c>
      <c r="M798" s="40">
        <f t="shared" si="2192"/>
        <v>2879</v>
      </c>
      <c r="N798" s="41">
        <f t="shared" si="2193"/>
        <v>195.5744348</v>
      </c>
      <c r="O798" s="38">
        <v>5887.0</v>
      </c>
      <c r="P798" s="42">
        <f t="shared" si="2194"/>
        <v>0.4890436555</v>
      </c>
      <c r="Q798" s="43">
        <v>1.5</v>
      </c>
      <c r="R798" s="42">
        <f t="shared" si="2195"/>
        <v>0.4266880559</v>
      </c>
      <c r="S798" s="44">
        <f t="shared" si="2196"/>
        <v>0.6400320839</v>
      </c>
      <c r="T798" s="43">
        <f>F798/24.792</f>
        <v>181.4380445</v>
      </c>
      <c r="U798" s="43">
        <f t="shared" si="2197"/>
        <v>7.888610632</v>
      </c>
      <c r="V798" s="40">
        <f t="shared" si="2198"/>
        <v>125.173913</v>
      </c>
      <c r="X798" s="31">
        <v>4.0</v>
      </c>
      <c r="Y798" s="31" t="s">
        <v>38</v>
      </c>
      <c r="Z798" s="31">
        <f t="shared" ref="Z798:AI798" si="2221">SUM(D801)</f>
        <v>23</v>
      </c>
      <c r="AA798" s="32">
        <f t="shared" si="2221"/>
        <v>23</v>
      </c>
      <c r="AB798" s="33">
        <f t="shared" si="2221"/>
        <v>4573.755</v>
      </c>
      <c r="AC798" s="32">
        <f t="shared" si="2221"/>
        <v>1349</v>
      </c>
      <c r="AD798" s="32">
        <f t="shared" si="2221"/>
        <v>43</v>
      </c>
      <c r="AE798" s="32">
        <f t="shared" si="2221"/>
        <v>1392</v>
      </c>
      <c r="AF798" s="32">
        <f t="shared" si="2221"/>
        <v>1765</v>
      </c>
      <c r="AG798" s="32">
        <f t="shared" si="2221"/>
        <v>0</v>
      </c>
      <c r="AH798" s="32">
        <f t="shared" si="2221"/>
        <v>1765</v>
      </c>
      <c r="AI798" s="32">
        <f t="shared" si="2221"/>
        <v>3157</v>
      </c>
      <c r="AJ798" s="34">
        <f t="shared" si="2210"/>
        <v>198.858913</v>
      </c>
      <c r="AK798" s="31">
        <v>7324.0</v>
      </c>
      <c r="AL798" s="35">
        <f t="shared" si="2212"/>
        <v>0.4310486073</v>
      </c>
      <c r="AM798" s="36">
        <f>SUM(Q801)</f>
        <v>1.5</v>
      </c>
      <c r="AN798" s="35">
        <f t="shared" si="2214"/>
        <v>0.4601616542</v>
      </c>
      <c r="AO798" s="37">
        <f t="shared" si="2215"/>
        <v>0.6902424813</v>
      </c>
      <c r="AP798" s="36">
        <f t="shared" ref="AP798:AQ798" si="2222">SUM(T801)</f>
        <v>111</v>
      </c>
      <c r="AQ798" s="36">
        <f t="shared" si="2222"/>
        <v>4.826086957</v>
      </c>
      <c r="AR798" s="32">
        <f t="shared" si="2217"/>
        <v>137.2608696</v>
      </c>
    </row>
    <row r="799" ht="15.75" customHeight="1">
      <c r="A799" s="21"/>
      <c r="B799" s="38">
        <v>12.0</v>
      </c>
      <c r="C799" s="38" t="s">
        <v>39</v>
      </c>
      <c r="D799" s="39">
        <v>21.0</v>
      </c>
      <c r="E799" s="40">
        <f>IFERROR(__xludf.DUMMYFUNCTION("COUNT(IMPORTRANGE(""https://docs.google.com/spreadsheets/d/1TAY2D35yAzyl8a_p5CuZehQvmatfj0b0Q8ICl8GtJBY/edit"",""30!d2:d29""))"),20.0)</f>
        <v>20</v>
      </c>
      <c r="F799" s="45">
        <f>IFERROR(__xludf.DUMMYFUNCTION("SUM(IMPORTRANGE(""https://docs.google.com/spreadsheets/d/1TAY2D35yAzyl8a_p5CuZehQvmatfj0b0Q8ICl8GtJBY/edit"",""30!Q2:Q29""))"),4019.038000000001)</f>
        <v>4019.038</v>
      </c>
      <c r="G799" s="40">
        <f>IFERROR(__xludf.DUMMYFUNCTION("IMPORTRANGE(""https://docs.google.com/spreadsheets/d/1TAY2D35yAzyl8a_p5CuZehQvmatfj0b0Q8ICl8GtJBY/edit"",""30!e36"")"),725.0)</f>
        <v>725</v>
      </c>
      <c r="H799" s="40">
        <f>IFERROR(__xludf.DUMMYFUNCTION("(IMPORTRANGE(""https://docs.google.com/spreadsheets/d/1TAY2D35yAzyl8a_p5CuZehQvmatfj0b0Q8ICl8GtJBY/edit"",""30!e37""))"),0.0)</f>
        <v>0</v>
      </c>
      <c r="I799" s="40">
        <f t="shared" si="2190"/>
        <v>725</v>
      </c>
      <c r="J799" s="40">
        <f>IFERROR(__xludf.DUMMYFUNCTION("IMPORTRANGE(""https://docs.google.com/spreadsheets/d/1TAY2D35yAzyl8a_p5CuZehQvmatfj0b0Q8ICl8GtJBY/edit"",""30!e40"")"),1721.0)</f>
        <v>1721</v>
      </c>
      <c r="K799" s="40">
        <f>IFERROR(__xludf.DUMMYFUNCTION("IMPORTRANGE(""https://docs.google.com/spreadsheets/d/1TAY2D35yAzyl8a_p5CuZehQvmatfj0b0Q8ICl8GtJBY/edit"",""30!e41"")"),0.0)</f>
        <v>0</v>
      </c>
      <c r="L799" s="40">
        <f t="shared" si="2220"/>
        <v>1721</v>
      </c>
      <c r="M799" s="40">
        <f t="shared" si="2192"/>
        <v>2446</v>
      </c>
      <c r="N799" s="41">
        <f t="shared" si="2193"/>
        <v>200.9519</v>
      </c>
      <c r="O799" s="38">
        <v>3569.0</v>
      </c>
      <c r="P799" s="42">
        <f t="shared" si="2194"/>
        <v>0.6853460353</v>
      </c>
      <c r="Q799" s="43">
        <v>1.5</v>
      </c>
      <c r="R799" s="42">
        <f t="shared" si="2195"/>
        <v>0.4057355682</v>
      </c>
      <c r="S799" s="44">
        <f t="shared" si="2196"/>
        <v>0.6086033523</v>
      </c>
      <c r="T799" s="43">
        <f>F799/21.463</f>
        <v>187.2542515</v>
      </c>
      <c r="U799" s="43">
        <f t="shared" si="2197"/>
        <v>9.362712575</v>
      </c>
      <c r="V799" s="40">
        <f t="shared" si="2198"/>
        <v>122.3</v>
      </c>
      <c r="X799" s="31">
        <v>5.0</v>
      </c>
      <c r="Y799" s="31" t="s">
        <v>40</v>
      </c>
      <c r="Z799" s="31">
        <f t="shared" ref="Z799:AI799" si="2223">SUM(D803)</f>
        <v>23</v>
      </c>
      <c r="AA799" s="32">
        <f t="shared" si="2223"/>
        <v>23</v>
      </c>
      <c r="AB799" s="33">
        <f t="shared" si="2223"/>
        <v>4579.323</v>
      </c>
      <c r="AC799" s="32">
        <f t="shared" si="2223"/>
        <v>2129</v>
      </c>
      <c r="AD799" s="32">
        <f t="shared" si="2223"/>
        <v>21</v>
      </c>
      <c r="AE799" s="32">
        <f t="shared" si="2223"/>
        <v>2150</v>
      </c>
      <c r="AF799" s="32">
        <f t="shared" si="2223"/>
        <v>2621</v>
      </c>
      <c r="AG799" s="32">
        <f t="shared" si="2223"/>
        <v>35</v>
      </c>
      <c r="AH799" s="32">
        <f t="shared" si="2223"/>
        <v>2656</v>
      </c>
      <c r="AI799" s="32">
        <f t="shared" si="2223"/>
        <v>4806</v>
      </c>
      <c r="AJ799" s="34">
        <f t="shared" si="2210"/>
        <v>199.101</v>
      </c>
      <c r="AK799" s="31">
        <f t="shared" ref="AK799:AK800" si="2226">SUM(O803)</f>
        <v>8239</v>
      </c>
      <c r="AL799" s="35">
        <f t="shared" si="2212"/>
        <v>0.5833232188</v>
      </c>
      <c r="AM799" s="36">
        <f t="shared" ref="AM799:AM800" si="2227">SUM(Q803)</f>
        <v>1.5</v>
      </c>
      <c r="AN799" s="35">
        <f t="shared" si="2214"/>
        <v>0.6996667411</v>
      </c>
      <c r="AO799" s="37">
        <f t="shared" si="2215"/>
        <v>1.049500112</v>
      </c>
      <c r="AP799" s="36">
        <f t="shared" ref="AP799:AQ799" si="2224">SUM(T803)</f>
        <v>161</v>
      </c>
      <c r="AQ799" s="36">
        <f t="shared" si="2224"/>
        <v>7</v>
      </c>
      <c r="AR799" s="32">
        <f t="shared" si="2217"/>
        <v>208.9565217</v>
      </c>
    </row>
    <row r="800" ht="15.75" customHeight="1">
      <c r="A800" s="21"/>
      <c r="B800" s="38">
        <v>12.0</v>
      </c>
      <c r="C800" s="38" t="s">
        <v>41</v>
      </c>
      <c r="D800" s="39">
        <v>19.0</v>
      </c>
      <c r="E800" s="40">
        <f>IFERROR(__xludf.DUMMYFUNCTION("COUNT(IMPORTRANGE(""https://docs.google.com/spreadsheets/d/1VAsUtLQHi7oV9NsI9EIHPnO1bcPJHeRgSbMoxSvPBME/edit"",""30!d2:d25""))"),19.0)</f>
        <v>19</v>
      </c>
      <c r="F800" s="45">
        <f>IFERROR(__xludf.DUMMYFUNCTION("SUM(IMPORTRANGE(""https://docs.google.com/spreadsheets/d/1VAsUtLQHi7oV9NsI9EIHPnO1bcPJHeRgSbMoxSvPBME/edit"",""30!Q2:Q25""))"),3802.260000000001)</f>
        <v>3802.26</v>
      </c>
      <c r="G800" s="40">
        <f>IFERROR(__xludf.DUMMYFUNCTION("IMPORTRANGE(""https://docs.google.com/spreadsheets/d/1VAsUtLQHi7oV9NsI9EIHPnO1bcPJHeRgSbMoxSvPBME/edit"",""30!e32"")"),618.0)</f>
        <v>618</v>
      </c>
      <c r="H800" s="40">
        <f>IFERROR(__xludf.DUMMYFUNCTION("IMPORTRANGE(""https://docs.google.com/spreadsheets/d/1VAsUtLQHi7oV9NsI9EIHPnO1bcPJHeRgSbMoxSvPBME/edit"",""30!e33"")"),23.0)</f>
        <v>23</v>
      </c>
      <c r="I800" s="40">
        <f t="shared" si="2190"/>
        <v>641</v>
      </c>
      <c r="J800" s="40">
        <f>IFERROR(__xludf.DUMMYFUNCTION("IMPORTRANGE(""https://docs.google.com/spreadsheets/d/1VAsUtLQHi7oV9NsI9EIHPnO1bcPJHeRgSbMoxSvPBME/edit"",""30!e36"")"),1216.0)</f>
        <v>1216</v>
      </c>
      <c r="K800" s="40">
        <f>IFERROR(__xludf.DUMMYFUNCTION("IMPORTRANGE(""https://docs.google.com/spreadsheets/d/1VAsUtLQHi7oV9NsI9EIHPnO1bcPJHeRgSbMoxSvPBME/edit"",""30!e37"")"),12.0)</f>
        <v>12</v>
      </c>
      <c r="L800" s="40">
        <f t="shared" si="2220"/>
        <v>1228</v>
      </c>
      <c r="M800" s="40">
        <f t="shared" si="2192"/>
        <v>1869</v>
      </c>
      <c r="N800" s="41">
        <f t="shared" si="2193"/>
        <v>200.1189474</v>
      </c>
      <c r="O800" s="38">
        <v>3801.0</v>
      </c>
      <c r="P800" s="42">
        <f t="shared" si="2194"/>
        <v>0.4917127072</v>
      </c>
      <c r="Q800" s="43">
        <v>1.5</v>
      </c>
      <c r="R800" s="42">
        <f t="shared" si="2195"/>
        <v>0.3276998417</v>
      </c>
      <c r="S800" s="44">
        <f t="shared" si="2196"/>
        <v>0.4915497625</v>
      </c>
      <c r="T800" s="43">
        <f>F800/29.628</f>
        <v>128.3333333</v>
      </c>
      <c r="U800" s="43">
        <f t="shared" si="2197"/>
        <v>6.754385965</v>
      </c>
      <c r="V800" s="40">
        <f t="shared" si="2198"/>
        <v>98.36842105</v>
      </c>
      <c r="X800" s="22">
        <v>6.0</v>
      </c>
      <c r="Y800" s="22" t="s">
        <v>42</v>
      </c>
      <c r="Z800" s="22">
        <f t="shared" ref="Z800:AI800" si="2225">SUM(D804)</f>
        <v>24</v>
      </c>
      <c r="AA800" s="23">
        <f t="shared" si="2225"/>
        <v>23</v>
      </c>
      <c r="AB800" s="24">
        <f t="shared" si="2225"/>
        <v>4594.049</v>
      </c>
      <c r="AC800" s="23">
        <f t="shared" si="2225"/>
        <v>2085</v>
      </c>
      <c r="AD800" s="23">
        <f t="shared" si="2225"/>
        <v>120</v>
      </c>
      <c r="AE800" s="23">
        <f t="shared" si="2225"/>
        <v>2205</v>
      </c>
      <c r="AF800" s="23">
        <f t="shared" si="2225"/>
        <v>2500</v>
      </c>
      <c r="AG800" s="23">
        <f t="shared" si="2225"/>
        <v>193</v>
      </c>
      <c r="AH800" s="23">
        <f t="shared" si="2225"/>
        <v>2693</v>
      </c>
      <c r="AI800" s="23">
        <f t="shared" si="2225"/>
        <v>4898</v>
      </c>
      <c r="AJ800" s="25">
        <f t="shared" si="2210"/>
        <v>199.7412609</v>
      </c>
      <c r="AK800" s="22">
        <f t="shared" si="2226"/>
        <v>9877</v>
      </c>
      <c r="AL800" s="26">
        <f t="shared" si="2212"/>
        <v>0.4958995646</v>
      </c>
      <c r="AM800" s="27">
        <f t="shared" si="2227"/>
        <v>1.5</v>
      </c>
      <c r="AN800" s="26">
        <f t="shared" si="2214"/>
        <v>0.7107745985</v>
      </c>
      <c r="AO800" s="28">
        <f t="shared" si="2215"/>
        <v>1.066161898</v>
      </c>
      <c r="AP800" s="27">
        <f t="shared" ref="AP800:AQ800" si="2228">SUM(T804)</f>
        <v>175.6470656</v>
      </c>
      <c r="AQ800" s="27">
        <f t="shared" si="2228"/>
        <v>7.636828938</v>
      </c>
      <c r="AR800" s="23">
        <f t="shared" si="2217"/>
        <v>212.9565217</v>
      </c>
    </row>
    <row r="801" ht="15.75" customHeight="1">
      <c r="A801" s="21"/>
      <c r="B801" s="38">
        <v>13.0</v>
      </c>
      <c r="C801" s="38" t="s">
        <v>43</v>
      </c>
      <c r="D801" s="39">
        <v>23.0</v>
      </c>
      <c r="E801" s="40">
        <f>IFERROR(__xludf.DUMMYFUNCTION("COUNT(IMPORTRANGE(""https://docs.google.com/spreadsheets/d/1p9Y_DGk7-TpRBFth-ljZceOIGCjQ0ylUeUq6xqnsZ-Q/edit"",""30!d2:d31""))"),23.0)</f>
        <v>23</v>
      </c>
      <c r="F801" s="45">
        <f>IFERROR(__xludf.DUMMYFUNCTION("SUM(IMPORTRANGE(""https://docs.google.com/spreadsheets/d/1p9Y_DGk7-TpRBFth-ljZceOIGCjQ0ylUeUq6xqnsZ-Q/edit"",""30!Q2:Q31""))"),4573.755)</f>
        <v>4573.755</v>
      </c>
      <c r="G801" s="40">
        <f>IFERROR(__xludf.DUMMYFUNCTION("IMPORTRANGE(""https://docs.google.com/spreadsheets/d/1p9Y_DGk7-TpRBFth-ljZceOIGCjQ0ylUeUq6xqnsZ-Q/edit"",""30!e38"")"),1349.0)</f>
        <v>1349</v>
      </c>
      <c r="H801" s="40">
        <f>IFERROR(__xludf.DUMMYFUNCTION("IMPORTRANGE(""https://docs.google.com/spreadsheets/d/1p9Y_DGk7-TpRBFth-ljZceOIGCjQ0ylUeUq6xqnsZ-Q/edit"",""30!e39"")"),43.0)</f>
        <v>43</v>
      </c>
      <c r="I801" s="40">
        <f t="shared" si="2190"/>
        <v>1392</v>
      </c>
      <c r="J801" s="40">
        <f>IFERROR(__xludf.DUMMYFUNCTION("IMPORTRANGE(""https://docs.google.com/spreadsheets/d/1p9Y_DGk7-TpRBFth-ljZceOIGCjQ0ylUeUq6xqnsZ-Q/edit"",""30!e42"")"),1765.0)</f>
        <v>1765</v>
      </c>
      <c r="K801" s="40">
        <f>IFERROR(__xludf.DUMMYFUNCTION("IMPORTRANGE(""https://docs.google.com/spreadsheets/d/1p9Y_DGk7-TpRBFth-ljZceOIGCjQ0ylUeUq6xqnsZ-Q/edit"",""30!e43"")"),0.0)</f>
        <v>0</v>
      </c>
      <c r="L801" s="40">
        <f t="shared" si="2220"/>
        <v>1765</v>
      </c>
      <c r="M801" s="40">
        <f t="shared" si="2192"/>
        <v>3157</v>
      </c>
      <c r="N801" s="41">
        <f t="shared" si="2193"/>
        <v>198.858913</v>
      </c>
      <c r="O801" s="38">
        <v>8345.0</v>
      </c>
      <c r="P801" s="42">
        <f t="shared" si="2194"/>
        <v>0.3783103655</v>
      </c>
      <c r="Q801" s="43">
        <v>1.5</v>
      </c>
      <c r="R801" s="42">
        <f t="shared" si="2195"/>
        <v>0.4601616542</v>
      </c>
      <c r="S801" s="44">
        <f t="shared" si="2196"/>
        <v>0.6902424813</v>
      </c>
      <c r="T801" s="43">
        <f>F801/41.205</f>
        <v>111</v>
      </c>
      <c r="U801" s="43">
        <f t="shared" si="2197"/>
        <v>4.826086957</v>
      </c>
      <c r="V801" s="40">
        <f t="shared" si="2198"/>
        <v>137.2608696</v>
      </c>
      <c r="X801" s="46" t="s">
        <v>33</v>
      </c>
      <c r="Y801" s="46">
        <v>6.0</v>
      </c>
      <c r="Z801" s="46">
        <f t="shared" ref="Z801:AI801" si="2229">SUM(Z795:Z800)</f>
        <v>169</v>
      </c>
      <c r="AA801" s="47">
        <f t="shared" si="2229"/>
        <v>167</v>
      </c>
      <c r="AB801" s="49">
        <f t="shared" si="2229"/>
        <v>32957.981</v>
      </c>
      <c r="AC801" s="47">
        <f t="shared" si="2229"/>
        <v>10828</v>
      </c>
      <c r="AD801" s="47">
        <f t="shared" si="2229"/>
        <v>282</v>
      </c>
      <c r="AE801" s="47">
        <f t="shared" si="2229"/>
        <v>11110</v>
      </c>
      <c r="AF801" s="47">
        <f t="shared" si="2229"/>
        <v>14857</v>
      </c>
      <c r="AG801" s="47">
        <f t="shared" si="2229"/>
        <v>368</v>
      </c>
      <c r="AH801" s="47">
        <f t="shared" si="2229"/>
        <v>15225</v>
      </c>
      <c r="AI801" s="47">
        <f t="shared" si="2229"/>
        <v>26335</v>
      </c>
      <c r="AJ801" s="49">
        <f t="shared" si="2210"/>
        <v>197.3531796</v>
      </c>
      <c r="AK801" s="46">
        <f>SUM(AK795:AK800)</f>
        <v>53273</v>
      </c>
      <c r="AL801" s="50">
        <f t="shared" si="2212"/>
        <v>0.4943404727</v>
      </c>
      <c r="AM801" s="51">
        <v>1.5</v>
      </c>
      <c r="AN801" s="50">
        <f t="shared" si="2214"/>
        <v>0.5326984886</v>
      </c>
      <c r="AO801" s="52">
        <f t="shared" si="2215"/>
        <v>0.7990477329</v>
      </c>
      <c r="AP801" s="51">
        <f>SUM(AP795:AP800)</f>
        <v>1082.756695</v>
      </c>
      <c r="AQ801" s="51">
        <f>AP801/AA801</f>
        <v>6.483573022</v>
      </c>
      <c r="AR801" s="47">
        <f t="shared" si="2217"/>
        <v>157.6946108</v>
      </c>
    </row>
    <row r="802" ht="15.75" customHeight="1">
      <c r="A802" s="21"/>
      <c r="B802" s="38">
        <v>14.0</v>
      </c>
      <c r="C802" s="38" t="s">
        <v>27</v>
      </c>
      <c r="D802" s="39">
        <v>23.0</v>
      </c>
      <c r="E802" s="40">
        <f>IFERROR(__xludf.DUMMYFUNCTION("COUNT(IMPORTRANGE(""https://docs.google.com/spreadsheets/d/1zJUDEKztv_fercXA0LYNw155qdzS7TJGhWLhquaW5IY/edit"",""30!d2:d31""))"),23.0)</f>
        <v>23</v>
      </c>
      <c r="F802" s="45">
        <f>IFERROR(__xludf.DUMMYFUNCTION("SUM(IMPORTRANGE(""https://docs.google.com/spreadsheets/d/1zJUDEKztv_fercXA0LYNw155qdzS7TJGhWLhquaW5IY/edit"",""30!Q2:Q31""))"),4272.682999999999)</f>
        <v>4272.683</v>
      </c>
      <c r="G802" s="40">
        <f>IFERROR(__xludf.DUMMYFUNCTION("IMPORTRANGE(""https://docs.google.com/spreadsheets/d/1zJUDEKztv_fercXA0LYNw155qdzS7TJGhWLhquaW5IY/edit"",""30!e38"")"),1510.0)</f>
        <v>1510</v>
      </c>
      <c r="H802" s="40">
        <f>IFERROR(__xludf.DUMMYFUNCTION("IMPORTRANGE(""https://docs.google.com/spreadsheets/d/1zJUDEKztv_fercXA0LYNw155qdzS7TJGhWLhquaW5IY/edit"",""30!e39"")"),81.0)</f>
        <v>81</v>
      </c>
      <c r="I802" s="40">
        <f t="shared" si="2190"/>
        <v>1591</v>
      </c>
      <c r="J802" s="40">
        <f>IFERROR(__xludf.DUMMYFUNCTION("IMPORTRANGE(""https://docs.google.com/spreadsheets/d/1zJUDEKztv_fercXA0LYNw155qdzS7TJGhWLhquaW5IY/edit"",""30!e42"")"),1879.0)</f>
        <v>1879</v>
      </c>
      <c r="K802" s="40">
        <f>IFERROR(__xludf.DUMMYFUNCTION("IMPORTRANGE(""https://docs.google.com/spreadsheets/d/1zJUDEKztv_fercXA0LYNw155qdzS7TJGhWLhquaW5IY/edit"",""30!e43"")"),88.0)</f>
        <v>88</v>
      </c>
      <c r="L802" s="40">
        <f t="shared" si="2220"/>
        <v>1967</v>
      </c>
      <c r="M802" s="40">
        <f t="shared" si="2192"/>
        <v>3558</v>
      </c>
      <c r="N802" s="41">
        <f t="shared" si="2193"/>
        <v>185.7688261</v>
      </c>
      <c r="O802" s="38">
        <v>8101.0</v>
      </c>
      <c r="P802" s="42">
        <f t="shared" si="2194"/>
        <v>0.4392050364</v>
      </c>
      <c r="Q802" s="43">
        <v>1.5</v>
      </c>
      <c r="R802" s="42">
        <f t="shared" si="2195"/>
        <v>0.5551546885</v>
      </c>
      <c r="S802" s="44">
        <f t="shared" si="2196"/>
        <v>0.8327320328</v>
      </c>
      <c r="T802" s="43">
        <f>F802/19.985</f>
        <v>213.7944959</v>
      </c>
      <c r="U802" s="43">
        <f t="shared" si="2197"/>
        <v>9.295412864</v>
      </c>
      <c r="V802" s="40">
        <f t="shared" si="2198"/>
        <v>154.6956522</v>
      </c>
      <c r="X802" s="59" t="s">
        <v>44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6"/>
    </row>
    <row r="803" ht="15.75" customHeight="1">
      <c r="A803" s="21"/>
      <c r="B803" s="38">
        <v>15.0</v>
      </c>
      <c r="C803" s="38" t="s">
        <v>40</v>
      </c>
      <c r="D803" s="39">
        <v>23.0</v>
      </c>
      <c r="E803" s="40">
        <f>IFERROR(__xludf.DUMMYFUNCTION("COUNT(IMPORTRANGE(""https://docs.google.com/spreadsheets/d/15GJA66Ucb-8RQ5vWVpq5HYaWoZZFX82SCeHChBujbrI/edit"",""30!d2:d31""))"),23.0)</f>
        <v>23</v>
      </c>
      <c r="F803" s="45">
        <f>IFERROR(__xludf.DUMMYFUNCTION("SUM(IMPORTRANGE(""https://docs.google.com/spreadsheets/d/15GJA66Ucb-8RQ5vWVpq5HYaWoZZFX82SCeHChBujbrI/edit"",""30!Q2:Q31""))"),4579.323)</f>
        <v>4579.323</v>
      </c>
      <c r="G803" s="40">
        <f>IFERROR(__xludf.DUMMYFUNCTION("IMPORTRANGE(""https://docs.google.com/spreadsheets/d/15GJA66Ucb-8RQ5vWVpq5HYaWoZZFX82SCeHChBujbrI/edit"",""30!e38"")"),2129.0)</f>
        <v>2129</v>
      </c>
      <c r="H803" s="40">
        <f>IFERROR(__xludf.DUMMYFUNCTION("IMPORTRANGE(""https://docs.google.com/spreadsheets/d/15GJA66Ucb-8RQ5vWVpq5HYaWoZZFX82SCeHChBujbrI/edit"",""30!e39"")"),21.0)</f>
        <v>21</v>
      </c>
      <c r="I803" s="40">
        <f t="shared" si="2190"/>
        <v>2150</v>
      </c>
      <c r="J803" s="40">
        <f>IFERROR(__xludf.DUMMYFUNCTION("IMPORTRANGE(""https://docs.google.com/spreadsheets/d/15GJA66Ucb-8RQ5vWVpq5HYaWoZZFX82SCeHChBujbrI/edit"",""30!e42"")"),2621.0)</f>
        <v>2621</v>
      </c>
      <c r="K803" s="40">
        <f>IFERROR(__xludf.DUMMYFUNCTION("IMPORTRANGE(""https://docs.google.com/spreadsheets/d/15GJA66Ucb-8RQ5vWVpq5HYaWoZZFX82SCeHChBujbrI/edit"",""30!e43"")"),35.0)</f>
        <v>35</v>
      </c>
      <c r="L803" s="40">
        <f t="shared" si="2220"/>
        <v>2656</v>
      </c>
      <c r="M803" s="40">
        <f t="shared" si="2192"/>
        <v>4806</v>
      </c>
      <c r="N803" s="41">
        <f t="shared" si="2193"/>
        <v>199.101</v>
      </c>
      <c r="O803" s="38">
        <v>8239.0</v>
      </c>
      <c r="P803" s="42">
        <f t="shared" si="2194"/>
        <v>0.5833232188</v>
      </c>
      <c r="Q803" s="43">
        <v>1.5</v>
      </c>
      <c r="R803" s="42">
        <f t="shared" si="2195"/>
        <v>0.6996667411</v>
      </c>
      <c r="S803" s="44">
        <f t="shared" si="2196"/>
        <v>1.049500112</v>
      </c>
      <c r="T803" s="43">
        <f>F803/28.443</f>
        <v>161</v>
      </c>
      <c r="U803" s="43">
        <f t="shared" si="2197"/>
        <v>7</v>
      </c>
      <c r="V803" s="40">
        <f t="shared" si="2198"/>
        <v>208.9565217</v>
      </c>
      <c r="X803" s="14" t="s">
        <v>2</v>
      </c>
      <c r="Y803" s="14" t="s">
        <v>3</v>
      </c>
      <c r="Z803" s="14" t="s">
        <v>4</v>
      </c>
      <c r="AA803" s="14" t="s">
        <v>5</v>
      </c>
      <c r="AB803" s="15" t="s">
        <v>6</v>
      </c>
      <c r="AC803" s="14" t="s">
        <v>7</v>
      </c>
      <c r="AD803" s="14" t="s">
        <v>8</v>
      </c>
      <c r="AE803" s="14" t="s">
        <v>9</v>
      </c>
      <c r="AF803" s="14" t="s">
        <v>10</v>
      </c>
      <c r="AG803" s="14" t="s">
        <v>11</v>
      </c>
      <c r="AH803" s="14" t="s">
        <v>12</v>
      </c>
      <c r="AI803" s="14" t="s">
        <v>13</v>
      </c>
      <c r="AJ803" s="15" t="s">
        <v>14</v>
      </c>
      <c r="AK803" s="14" t="s">
        <v>15</v>
      </c>
      <c r="AL803" s="14" t="s">
        <v>16</v>
      </c>
      <c r="AM803" s="16" t="s">
        <v>17</v>
      </c>
      <c r="AN803" s="17" t="s">
        <v>18</v>
      </c>
      <c r="AO803" s="18" t="s">
        <v>19</v>
      </c>
      <c r="AP803" s="19" t="s">
        <v>20</v>
      </c>
      <c r="AQ803" s="19" t="s">
        <v>21</v>
      </c>
      <c r="AR803" s="20" t="s">
        <v>22</v>
      </c>
    </row>
    <row r="804" ht="15.75" customHeight="1">
      <c r="A804" s="21"/>
      <c r="B804" s="38">
        <v>16.0</v>
      </c>
      <c r="C804" s="38" t="s">
        <v>42</v>
      </c>
      <c r="D804" s="39">
        <v>24.0</v>
      </c>
      <c r="E804" s="40">
        <f>IFERROR(__xludf.DUMMYFUNCTION("COUNT(IMPORTRANGE(""https://docs.google.com/spreadsheets/d/14Tu_jFPEdrIQ6DHYu6vRvJKQsbXr-48NY1tKy4-8JKI/edit"",""30!d2:d34""))"),23.0)</f>
        <v>23</v>
      </c>
      <c r="F804" s="45">
        <f>IFERROR(__xludf.DUMMYFUNCTION("SUM(IMPORTRANGE(""https://docs.google.com/spreadsheets/d/14Tu_jFPEdrIQ6DHYu6vRvJKQsbXr-48NY1tKy4-8JKI/edit"",""30!Q2:Q34""))"),4594.048999999999)</f>
        <v>4594.049</v>
      </c>
      <c r="G804" s="40">
        <f>IFERROR(__xludf.DUMMYFUNCTION("IMPORTRANGE(""https://docs.google.com/spreadsheets/d/14Tu_jFPEdrIQ6DHYu6vRvJKQsbXr-48NY1tKy4-8JKI/edit"",""30!e41"")"),2085.0)</f>
        <v>2085</v>
      </c>
      <c r="H804" s="40">
        <f>IFERROR(__xludf.DUMMYFUNCTION("IMPORTRANGE(""https://docs.google.com/spreadsheets/d/14Tu_jFPEdrIQ6DHYu6vRvJKQsbXr-48NY1tKy4-8JKI/edit"",""30!e42"")"),120.0)</f>
        <v>120</v>
      </c>
      <c r="I804" s="40">
        <f t="shared" si="2190"/>
        <v>2205</v>
      </c>
      <c r="J804" s="40">
        <f>IFERROR(__xludf.DUMMYFUNCTION("IMPORTRANGE(""https://docs.google.com/spreadsheets/d/14Tu_jFPEdrIQ6DHYu6vRvJKQsbXr-48NY1tKy4-8JKI/edit"",""30!e45"")"),2500.0)</f>
        <v>2500</v>
      </c>
      <c r="K804" s="40">
        <f>IFERROR(__xludf.DUMMYFUNCTION("IMPORTRANGE(""https://docs.google.com/spreadsheets/d/14Tu_jFPEdrIQ6DHYu6vRvJKQsbXr-48NY1tKy4-8JKI/edit"",""30!e46"")"),193.0)</f>
        <v>193</v>
      </c>
      <c r="L804" s="40">
        <f t="shared" si="2220"/>
        <v>2693</v>
      </c>
      <c r="M804" s="40">
        <f t="shared" si="2192"/>
        <v>4898</v>
      </c>
      <c r="N804" s="41">
        <f t="shared" si="2193"/>
        <v>199.7412609</v>
      </c>
      <c r="O804" s="38">
        <v>9877.0</v>
      </c>
      <c r="P804" s="42">
        <f t="shared" si="2194"/>
        <v>0.4958995646</v>
      </c>
      <c r="Q804" s="43">
        <v>1.5</v>
      </c>
      <c r="R804" s="42">
        <f t="shared" si="2195"/>
        <v>0.7107745985</v>
      </c>
      <c r="S804" s="44">
        <f t="shared" si="2196"/>
        <v>1.066161898</v>
      </c>
      <c r="T804" s="43">
        <f>F804/26.155</f>
        <v>175.6470656</v>
      </c>
      <c r="U804" s="43">
        <f t="shared" si="2197"/>
        <v>7.636828938</v>
      </c>
      <c r="V804" s="40">
        <f t="shared" si="2198"/>
        <v>212.9565217</v>
      </c>
      <c r="X804" s="31">
        <v>1.0</v>
      </c>
      <c r="Y804" s="31" t="s">
        <v>26</v>
      </c>
      <c r="Z804" s="31">
        <f t="shared" ref="Z804:AI804" si="2230">SUM(D789)</f>
        <v>15</v>
      </c>
      <c r="AA804" s="32">
        <f t="shared" si="2230"/>
        <v>15</v>
      </c>
      <c r="AB804" s="34">
        <f t="shared" si="2230"/>
        <v>2710.479</v>
      </c>
      <c r="AC804" s="32">
        <f t="shared" si="2230"/>
        <v>1343</v>
      </c>
      <c r="AD804" s="32">
        <f t="shared" si="2230"/>
        <v>0</v>
      </c>
      <c r="AE804" s="32">
        <f t="shared" si="2230"/>
        <v>1343</v>
      </c>
      <c r="AF804" s="32">
        <f t="shared" si="2230"/>
        <v>1756</v>
      </c>
      <c r="AG804" s="32">
        <f t="shared" si="2230"/>
        <v>50</v>
      </c>
      <c r="AH804" s="32">
        <f t="shared" si="2230"/>
        <v>1806</v>
      </c>
      <c r="AI804" s="32">
        <f t="shared" si="2230"/>
        <v>3149</v>
      </c>
      <c r="AJ804" s="34">
        <f t="shared" ref="AJ804:AJ810" si="2233">AB804/AA804</f>
        <v>180.6986</v>
      </c>
      <c r="AK804" s="31">
        <f>SUM(O789)</f>
        <v>5161</v>
      </c>
      <c r="AL804" s="35">
        <f t="shared" ref="AL804:AL810" si="2234">AI804/AK804</f>
        <v>0.6101530711</v>
      </c>
      <c r="AM804" s="36">
        <f>SUM(Q789)</f>
        <v>1.5</v>
      </c>
      <c r="AN804" s="35">
        <f t="shared" ref="AN804:AN810" si="2235">AO804/AM804</f>
        <v>0.7745248472</v>
      </c>
      <c r="AO804" s="37">
        <f t="shared" ref="AO804:AO810" si="2236">AI804/AB804</f>
        <v>1.161787271</v>
      </c>
      <c r="AP804" s="36">
        <f t="shared" ref="AP804:AQ804" si="2231">SUM(T789)</f>
        <v>188.0318418</v>
      </c>
      <c r="AQ804" s="36">
        <f t="shared" si="2231"/>
        <v>12.53545612</v>
      </c>
      <c r="AR804" s="32">
        <f t="shared" ref="AR804:AR810" si="2238">AI804/AA804</f>
        <v>209.9333333</v>
      </c>
    </row>
    <row r="805" ht="15.75" customHeight="1">
      <c r="A805" s="21"/>
      <c r="B805" s="38">
        <v>17.0</v>
      </c>
      <c r="C805" s="38" t="s">
        <v>29</v>
      </c>
      <c r="D805" s="39">
        <v>23.0</v>
      </c>
      <c r="E805" s="40">
        <f>IFERROR(__xludf.DUMMYFUNCTION("COUNT(IMPORTRANGE(""https://docs.google.com/spreadsheets/d/1ja_RQYsP0p5wRrACHojay4CW1wLx0QdS5tSwp-vYQ-s/edit"",""30!d2:d31""))"),22.0)</f>
        <v>22</v>
      </c>
      <c r="F805" s="45">
        <f>IFERROR(__xludf.DUMMYFUNCTION("SUM(IMPORTRANGE(""https://docs.google.com/spreadsheets/d/1ja_RQYsP0p5wRrACHojay4CW1wLx0QdS5tSwp-vYQ-s/edit"",""30!Q2:Q31""))"),4291.541999999999)</f>
        <v>4291.542</v>
      </c>
      <c r="G805" s="40">
        <f>IFERROR(__xludf.DUMMYFUNCTION("IMPORTRANGE(""https://docs.google.com/spreadsheets/d/1ja_RQYsP0p5wRrACHojay4CW1wLx0QdS5tSwp-vYQ-s/edit"",""30!e38"")"),1613.0)</f>
        <v>1613</v>
      </c>
      <c r="H805" s="40">
        <f>IFERROR(__xludf.DUMMYFUNCTION("IMPORTRANGE(""https://docs.google.com/spreadsheets/d/1ja_RQYsP0p5wRrACHojay4CW1wLx0QdS5tSwp-vYQ-s/edit"",""30!e39"")"),0.0)</f>
        <v>0</v>
      </c>
      <c r="I805" s="40">
        <f t="shared" si="2190"/>
        <v>1613</v>
      </c>
      <c r="J805" s="40">
        <f>IFERROR(__xludf.DUMMYFUNCTION("IMPORTRANGE(""https://docs.google.com/spreadsheets/d/1ja_RQYsP0p5wRrACHojay4CW1wLx0QdS5tSwp-vYQ-s/edit"",""30!e42"")"),2449.0)</f>
        <v>2449</v>
      </c>
      <c r="K805" s="40">
        <f>IFERROR(__xludf.DUMMYFUNCTION("IMPORTRANGE(""https://docs.google.com/spreadsheets/d/1ja_RQYsP0p5wRrACHojay4CW1wLx0QdS5tSwp-vYQ-s/edit"",""30!e43"")"),0.0)</f>
        <v>0</v>
      </c>
      <c r="L805" s="40">
        <f t="shared" si="2220"/>
        <v>2449</v>
      </c>
      <c r="M805" s="40">
        <f t="shared" si="2192"/>
        <v>4062</v>
      </c>
      <c r="N805" s="41">
        <f t="shared" si="2193"/>
        <v>195.0700909</v>
      </c>
      <c r="O805" s="38">
        <v>9201.0</v>
      </c>
      <c r="P805" s="42">
        <f t="shared" si="2194"/>
        <v>0.4414737529</v>
      </c>
      <c r="Q805" s="43">
        <v>1.5</v>
      </c>
      <c r="R805" s="42">
        <f t="shared" si="2195"/>
        <v>0.6310086211</v>
      </c>
      <c r="S805" s="44">
        <f t="shared" si="2196"/>
        <v>0.9465129317</v>
      </c>
      <c r="T805" s="43">
        <f>F805/26.491</f>
        <v>162</v>
      </c>
      <c r="U805" s="43">
        <f t="shared" si="2197"/>
        <v>7.363636364</v>
      </c>
      <c r="V805" s="40">
        <f t="shared" si="2198"/>
        <v>184.6363636</v>
      </c>
      <c r="X805" s="31">
        <v>2.0</v>
      </c>
      <c r="Y805" s="31" t="s">
        <v>32</v>
      </c>
      <c r="Z805" s="31">
        <f t="shared" ref="Z805:AI805" si="2232">SUM(D792)</f>
        <v>32</v>
      </c>
      <c r="AA805" s="32">
        <f t="shared" si="2232"/>
        <v>32</v>
      </c>
      <c r="AB805" s="33">
        <f t="shared" si="2232"/>
        <v>6322.428</v>
      </c>
      <c r="AC805" s="31">
        <f t="shared" si="2232"/>
        <v>3068</v>
      </c>
      <c r="AD805" s="31">
        <f t="shared" si="2232"/>
        <v>0</v>
      </c>
      <c r="AE805" s="32">
        <f t="shared" si="2232"/>
        <v>3068</v>
      </c>
      <c r="AF805" s="31">
        <f t="shared" si="2232"/>
        <v>3372</v>
      </c>
      <c r="AG805" s="31">
        <f t="shared" si="2232"/>
        <v>0</v>
      </c>
      <c r="AH805" s="32">
        <f t="shared" si="2232"/>
        <v>3372</v>
      </c>
      <c r="AI805" s="32">
        <f t="shared" si="2232"/>
        <v>6440</v>
      </c>
      <c r="AJ805" s="34">
        <f t="shared" si="2233"/>
        <v>197.575875</v>
      </c>
      <c r="AK805" s="31">
        <f>SUM(O792)</f>
        <v>13817</v>
      </c>
      <c r="AL805" s="35">
        <f t="shared" si="2234"/>
        <v>0.4660924948</v>
      </c>
      <c r="AM805" s="36">
        <f>SUM(Q792)</f>
        <v>1.5</v>
      </c>
      <c r="AN805" s="35">
        <f t="shared" si="2235"/>
        <v>0.6790640136</v>
      </c>
      <c r="AO805" s="37">
        <f t="shared" si="2236"/>
        <v>1.01859602</v>
      </c>
      <c r="AP805" s="36">
        <f t="shared" ref="AP805:AQ805" si="2237">SUM(T792)</f>
        <v>252</v>
      </c>
      <c r="AQ805" s="36">
        <f t="shared" si="2237"/>
        <v>7.875</v>
      </c>
      <c r="AR805" s="32">
        <f t="shared" si="2238"/>
        <v>201.25</v>
      </c>
    </row>
    <row r="806" ht="15.75" customHeight="1">
      <c r="A806" s="21"/>
      <c r="B806" s="38">
        <v>18.0</v>
      </c>
      <c r="C806" s="38" t="s">
        <v>31</v>
      </c>
      <c r="D806" s="39">
        <v>11.0</v>
      </c>
      <c r="E806" s="40">
        <f>IFERROR(__xludf.DUMMYFUNCTION("COUNT(IMPORTRANGE(""https://docs.google.com/spreadsheets/d/1ObnK1oSznTOmyW9Zcd2kxExl7TOnO2MNq_0giEKc_mE/edit"",""30!d2:d16""))"),11.0)</f>
        <v>11</v>
      </c>
      <c r="F806" s="41">
        <f>IFERROR(__xludf.DUMMYFUNCTION("SUM(IMPORTRANGE(""https://docs.google.com/spreadsheets/d/1ObnK1oSznTOmyW9Zcd2kxExl7TOnO2MNq_0giEKc_mE/edit"",""30!Q2:Q16""))"),2086.3199999999997)</f>
        <v>2086.32</v>
      </c>
      <c r="G806" s="40">
        <f>IFERROR(__xludf.DUMMYFUNCTION("IMPORTRANGE(""https://docs.google.com/spreadsheets/d/1ObnK1oSznTOmyW9Zcd2kxExl7TOnO2MNq_0giEKc_mE/edit"",""30!e23"")"),370.0)</f>
        <v>370</v>
      </c>
      <c r="H806" s="40">
        <f>IFERROR(__xludf.DUMMYFUNCTION("IMPORTRANGE(""https://docs.google.com/spreadsheets/d/1ObnK1oSznTOmyW9Zcd2kxExl7TOnO2MNq_0giEKc_mE/edit"",""30!e24"")"),0.0)</f>
        <v>0</v>
      </c>
      <c r="I806" s="40">
        <f t="shared" si="2190"/>
        <v>370</v>
      </c>
      <c r="J806" s="40">
        <f>IFERROR(__xludf.DUMMYFUNCTION("IMPORTRANGE(""https://docs.google.com/spreadsheets/d/1ObnK1oSznTOmyW9Zcd2kxExl7TOnO2MNq_0giEKc_mE/edit"",""30!e27"")"),586.0)</f>
        <v>586</v>
      </c>
      <c r="K806" s="40">
        <f>IFERROR(__xludf.DUMMYFUNCTION("IMPORTRANGE(""https://docs.google.com/spreadsheets/d/1ObnK1oSznTOmyW9Zcd2kxExl7TOnO2MNq_0giEKc_mE/edit"",""30!e28"")"),8.0)</f>
        <v>8</v>
      </c>
      <c r="L806" s="40">
        <f t="shared" si="2220"/>
        <v>594</v>
      </c>
      <c r="M806" s="40">
        <f t="shared" si="2192"/>
        <v>964</v>
      </c>
      <c r="N806" s="41">
        <f t="shared" si="2193"/>
        <v>189.6654545</v>
      </c>
      <c r="O806" s="38">
        <v>2717.0</v>
      </c>
      <c r="P806" s="42">
        <f t="shared" si="2194"/>
        <v>0.3548030916</v>
      </c>
      <c r="Q806" s="43">
        <v>1.5</v>
      </c>
      <c r="R806" s="42">
        <f t="shared" si="2195"/>
        <v>0.3080383962</v>
      </c>
      <c r="S806" s="44">
        <f t="shared" si="2196"/>
        <v>0.4620575942</v>
      </c>
      <c r="T806" s="43">
        <f>F806/43.465</f>
        <v>48</v>
      </c>
      <c r="U806" s="43">
        <f t="shared" si="2197"/>
        <v>4.363636364</v>
      </c>
      <c r="V806" s="40">
        <f t="shared" si="2198"/>
        <v>87.63636364</v>
      </c>
      <c r="X806" s="31">
        <v>3.0</v>
      </c>
      <c r="Y806" s="31" t="s">
        <v>36</v>
      </c>
      <c r="Z806" s="31">
        <f t="shared" ref="Z806:AI806" si="2239">SUM(D797)</f>
        <v>23</v>
      </c>
      <c r="AA806" s="32">
        <f t="shared" si="2239"/>
        <v>23</v>
      </c>
      <c r="AB806" s="33">
        <f t="shared" si="2239"/>
        <v>4540.215</v>
      </c>
      <c r="AC806" s="32">
        <f t="shared" si="2239"/>
        <v>900</v>
      </c>
      <c r="AD806" s="32">
        <f t="shared" si="2239"/>
        <v>20</v>
      </c>
      <c r="AE806" s="32">
        <f t="shared" si="2239"/>
        <v>920</v>
      </c>
      <c r="AF806" s="32">
        <f t="shared" si="2239"/>
        <v>1566</v>
      </c>
      <c r="AG806" s="32">
        <f t="shared" si="2239"/>
        <v>0</v>
      </c>
      <c r="AH806" s="32">
        <f t="shared" si="2239"/>
        <v>1566</v>
      </c>
      <c r="AI806" s="32">
        <f t="shared" si="2239"/>
        <v>2486</v>
      </c>
      <c r="AJ806" s="34">
        <f t="shared" si="2233"/>
        <v>197.4006522</v>
      </c>
      <c r="AK806" s="31">
        <f t="shared" ref="AK806:AK809" si="2243">SUM(O797)</f>
        <v>4796</v>
      </c>
      <c r="AL806" s="35">
        <f t="shared" si="2234"/>
        <v>0.5183486239</v>
      </c>
      <c r="AM806" s="36">
        <f t="shared" ref="AM806:AM809" si="2244">SUM(Q797)</f>
        <v>1.5</v>
      </c>
      <c r="AN806" s="35">
        <f t="shared" si="2235"/>
        <v>0.3650341081</v>
      </c>
      <c r="AO806" s="37">
        <f t="shared" si="2236"/>
        <v>0.5475511622</v>
      </c>
      <c r="AP806" s="36">
        <f t="shared" ref="AP806:AQ806" si="2240">SUM(T797)</f>
        <v>121.3506976</v>
      </c>
      <c r="AQ806" s="36">
        <f t="shared" si="2240"/>
        <v>5.276117287</v>
      </c>
      <c r="AR806" s="32">
        <f t="shared" si="2238"/>
        <v>108.0869565</v>
      </c>
    </row>
    <row r="807" ht="15.75" customHeight="1">
      <c r="A807" s="21"/>
      <c r="B807" s="60" t="s">
        <v>33</v>
      </c>
      <c r="C807" s="60">
        <v>18.0</v>
      </c>
      <c r="D807" s="60">
        <f t="shared" ref="D807:M807" si="2241">SUM(D789:D806)</f>
        <v>446</v>
      </c>
      <c r="E807" s="61">
        <f t="shared" si="2241"/>
        <v>442</v>
      </c>
      <c r="F807" s="62">
        <f t="shared" si="2241"/>
        <v>86299.572</v>
      </c>
      <c r="G807" s="61">
        <f t="shared" si="2241"/>
        <v>25232</v>
      </c>
      <c r="H807" s="61">
        <f t="shared" si="2241"/>
        <v>449</v>
      </c>
      <c r="I807" s="61">
        <f t="shared" si="2241"/>
        <v>25681</v>
      </c>
      <c r="J807" s="61">
        <f t="shared" si="2241"/>
        <v>36953</v>
      </c>
      <c r="K807" s="61">
        <f t="shared" si="2241"/>
        <v>724</v>
      </c>
      <c r="L807" s="61">
        <f t="shared" si="2241"/>
        <v>37677</v>
      </c>
      <c r="M807" s="61">
        <f t="shared" si="2241"/>
        <v>63358</v>
      </c>
      <c r="N807" s="62">
        <f t="shared" si="2193"/>
        <v>195.2479005</v>
      </c>
      <c r="O807" s="60">
        <f>SUM(O789:O806)</f>
        <v>126399</v>
      </c>
      <c r="P807" s="63">
        <f t="shared" si="2194"/>
        <v>0.5012539656</v>
      </c>
      <c r="Q807" s="64">
        <v>1.5</v>
      </c>
      <c r="R807" s="63">
        <f t="shared" si="2195"/>
        <v>0.4894423656</v>
      </c>
      <c r="S807" s="65">
        <f t="shared" si="2196"/>
        <v>0.7341635483</v>
      </c>
      <c r="T807" s="64">
        <f>SUM(T789:T806)</f>
        <v>3174.719433</v>
      </c>
      <c r="U807" s="64">
        <f t="shared" si="2197"/>
        <v>7.182623152</v>
      </c>
      <c r="V807" s="61">
        <f t="shared" si="2198"/>
        <v>143.3438914</v>
      </c>
      <c r="X807" s="31">
        <v>4.0</v>
      </c>
      <c r="Y807" s="31" t="s">
        <v>37</v>
      </c>
      <c r="Z807" s="31">
        <f t="shared" ref="Z807:AI807" si="2242">SUM(D798)</f>
        <v>23</v>
      </c>
      <c r="AA807" s="32">
        <f t="shared" si="2242"/>
        <v>23</v>
      </c>
      <c r="AB807" s="33">
        <f t="shared" si="2242"/>
        <v>4498.212</v>
      </c>
      <c r="AC807" s="32">
        <f t="shared" si="2242"/>
        <v>886</v>
      </c>
      <c r="AD807" s="32">
        <f t="shared" si="2242"/>
        <v>0</v>
      </c>
      <c r="AE807" s="32">
        <f t="shared" si="2242"/>
        <v>886</v>
      </c>
      <c r="AF807" s="32">
        <f t="shared" si="2242"/>
        <v>1993</v>
      </c>
      <c r="AG807" s="32">
        <f t="shared" si="2242"/>
        <v>0</v>
      </c>
      <c r="AH807" s="32">
        <f t="shared" si="2242"/>
        <v>1993</v>
      </c>
      <c r="AI807" s="32">
        <f t="shared" si="2242"/>
        <v>2879</v>
      </c>
      <c r="AJ807" s="34">
        <f t="shared" si="2233"/>
        <v>195.5744348</v>
      </c>
      <c r="AK807" s="31">
        <f t="shared" si="2243"/>
        <v>5887</v>
      </c>
      <c r="AL807" s="35">
        <f t="shared" si="2234"/>
        <v>0.4890436555</v>
      </c>
      <c r="AM807" s="36">
        <f t="shared" si="2244"/>
        <v>1.5</v>
      </c>
      <c r="AN807" s="35">
        <f t="shared" si="2235"/>
        <v>0.4266880559</v>
      </c>
      <c r="AO807" s="37">
        <f t="shared" si="2236"/>
        <v>0.6400320839</v>
      </c>
      <c r="AP807" s="36">
        <f t="shared" ref="AP807:AQ807" si="2245">SUM(T798)</f>
        <v>181.4380445</v>
      </c>
      <c r="AQ807" s="36">
        <f t="shared" si="2245"/>
        <v>7.888610632</v>
      </c>
      <c r="AR807" s="32">
        <f t="shared" si="2238"/>
        <v>125.173913</v>
      </c>
    </row>
    <row r="808" ht="15.7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X808" s="31">
        <v>5.0</v>
      </c>
      <c r="Y808" s="31" t="s">
        <v>39</v>
      </c>
      <c r="Z808" s="31">
        <f t="shared" ref="Z808:AI808" si="2246">SUM(D799)</f>
        <v>21</v>
      </c>
      <c r="AA808" s="32">
        <f t="shared" si="2246"/>
        <v>20</v>
      </c>
      <c r="AB808" s="33">
        <f t="shared" si="2246"/>
        <v>4019.038</v>
      </c>
      <c r="AC808" s="32">
        <f t="shared" si="2246"/>
        <v>725</v>
      </c>
      <c r="AD808" s="32">
        <f t="shared" si="2246"/>
        <v>0</v>
      </c>
      <c r="AE808" s="32">
        <f t="shared" si="2246"/>
        <v>725</v>
      </c>
      <c r="AF808" s="32">
        <f t="shared" si="2246"/>
        <v>1721</v>
      </c>
      <c r="AG808" s="32">
        <f t="shared" si="2246"/>
        <v>0</v>
      </c>
      <c r="AH808" s="32">
        <f t="shared" si="2246"/>
        <v>1721</v>
      </c>
      <c r="AI808" s="32">
        <f t="shared" si="2246"/>
        <v>2446</v>
      </c>
      <c r="AJ808" s="34">
        <f t="shared" si="2233"/>
        <v>200.9519</v>
      </c>
      <c r="AK808" s="31">
        <f t="shared" si="2243"/>
        <v>3569</v>
      </c>
      <c r="AL808" s="35">
        <f t="shared" si="2234"/>
        <v>0.6853460353</v>
      </c>
      <c r="AM808" s="36">
        <f t="shared" si="2244"/>
        <v>1.5</v>
      </c>
      <c r="AN808" s="35">
        <f t="shared" si="2235"/>
        <v>0.4057355682</v>
      </c>
      <c r="AO808" s="37">
        <f t="shared" si="2236"/>
        <v>0.6086033523</v>
      </c>
      <c r="AP808" s="36">
        <f t="shared" ref="AP808:AQ808" si="2247">SUM(T799)</f>
        <v>187.2542515</v>
      </c>
      <c r="AQ808" s="36">
        <f t="shared" si="2247"/>
        <v>9.362712575</v>
      </c>
      <c r="AR808" s="32">
        <f t="shared" si="2238"/>
        <v>122.3</v>
      </c>
    </row>
    <row r="809" ht="15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X809" s="31">
        <v>6.0</v>
      </c>
      <c r="Y809" s="31" t="s">
        <v>41</v>
      </c>
      <c r="Z809" s="31">
        <f t="shared" ref="Z809:AI809" si="2248">SUM(D800)</f>
        <v>19</v>
      </c>
      <c r="AA809" s="32">
        <f t="shared" si="2248"/>
        <v>19</v>
      </c>
      <c r="AB809" s="33">
        <f t="shared" si="2248"/>
        <v>3802.26</v>
      </c>
      <c r="AC809" s="32">
        <f t="shared" si="2248"/>
        <v>618</v>
      </c>
      <c r="AD809" s="32">
        <f t="shared" si="2248"/>
        <v>23</v>
      </c>
      <c r="AE809" s="32">
        <f t="shared" si="2248"/>
        <v>641</v>
      </c>
      <c r="AF809" s="32">
        <f t="shared" si="2248"/>
        <v>1216</v>
      </c>
      <c r="AG809" s="32">
        <f t="shared" si="2248"/>
        <v>12</v>
      </c>
      <c r="AH809" s="32">
        <f t="shared" si="2248"/>
        <v>1228</v>
      </c>
      <c r="AI809" s="32">
        <f t="shared" si="2248"/>
        <v>1869</v>
      </c>
      <c r="AJ809" s="34">
        <f t="shared" si="2233"/>
        <v>200.1189474</v>
      </c>
      <c r="AK809" s="31">
        <f t="shared" si="2243"/>
        <v>3801</v>
      </c>
      <c r="AL809" s="35">
        <f t="shared" si="2234"/>
        <v>0.4917127072</v>
      </c>
      <c r="AM809" s="36">
        <f t="shared" si="2244"/>
        <v>1.5</v>
      </c>
      <c r="AN809" s="35">
        <f t="shared" si="2235"/>
        <v>0.3276998417</v>
      </c>
      <c r="AO809" s="37">
        <f t="shared" si="2236"/>
        <v>0.4915497625</v>
      </c>
      <c r="AP809" s="36">
        <f t="shared" ref="AP809:AQ809" si="2249">SUM(T800)</f>
        <v>128.3333333</v>
      </c>
      <c r="AQ809" s="36">
        <f t="shared" si="2249"/>
        <v>6.754385965</v>
      </c>
      <c r="AR809" s="32">
        <f t="shared" si="2238"/>
        <v>98.36842105</v>
      </c>
    </row>
    <row r="810" ht="15.75" customHeight="1">
      <c r="A810" s="1" t="s">
        <v>45</v>
      </c>
      <c r="D810" s="2"/>
      <c r="X810" s="46" t="s">
        <v>33</v>
      </c>
      <c r="Y810" s="46">
        <v>6.0</v>
      </c>
      <c r="Z810" s="46">
        <f t="shared" ref="Z810:AI810" si="2250">SUM(Z804:Z809)</f>
        <v>133</v>
      </c>
      <c r="AA810" s="47">
        <f t="shared" si="2250"/>
        <v>132</v>
      </c>
      <c r="AB810" s="49">
        <f t="shared" si="2250"/>
        <v>25892.632</v>
      </c>
      <c r="AC810" s="47">
        <f t="shared" si="2250"/>
        <v>7540</v>
      </c>
      <c r="AD810" s="47">
        <f t="shared" si="2250"/>
        <v>43</v>
      </c>
      <c r="AE810" s="47">
        <f t="shared" si="2250"/>
        <v>7583</v>
      </c>
      <c r="AF810" s="47">
        <f t="shared" si="2250"/>
        <v>11624</v>
      </c>
      <c r="AG810" s="47">
        <f t="shared" si="2250"/>
        <v>62</v>
      </c>
      <c r="AH810" s="47">
        <f t="shared" si="2250"/>
        <v>11686</v>
      </c>
      <c r="AI810" s="47">
        <f t="shared" si="2250"/>
        <v>19269</v>
      </c>
      <c r="AJ810" s="49">
        <f t="shared" si="2233"/>
        <v>196.156303</v>
      </c>
      <c r="AK810" s="46">
        <f>SUM(AK804:AK809)</f>
        <v>37031</v>
      </c>
      <c r="AL810" s="50">
        <f t="shared" si="2234"/>
        <v>0.5203478167</v>
      </c>
      <c r="AM810" s="51">
        <v>1.5</v>
      </c>
      <c r="AN810" s="50">
        <f t="shared" si="2235"/>
        <v>0.4961256932</v>
      </c>
      <c r="AO810" s="52">
        <f t="shared" si="2236"/>
        <v>0.7441885398</v>
      </c>
      <c r="AP810" s="51">
        <f>SUM(AP804:AP809)</f>
        <v>1058.408169</v>
      </c>
      <c r="AQ810" s="51">
        <f>AP810/AA810</f>
        <v>8.018243703</v>
      </c>
      <c r="AR810" s="47">
        <f t="shared" si="2238"/>
        <v>145.9772727</v>
      </c>
    </row>
    <row r="811" ht="15.75" customHeight="1">
      <c r="A811" s="1" t="s">
        <v>45</v>
      </c>
      <c r="D811" s="2"/>
      <c r="X811" s="66" t="s">
        <v>1</v>
      </c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6"/>
    </row>
    <row r="812" ht="15.75" customHeight="1">
      <c r="A812" s="7">
        <v>46265.0</v>
      </c>
      <c r="B812" s="8" t="s">
        <v>2</v>
      </c>
      <c r="C812" s="8" t="s">
        <v>3</v>
      </c>
      <c r="D812" s="8" t="s">
        <v>4</v>
      </c>
      <c r="E812" s="8" t="s">
        <v>5</v>
      </c>
      <c r="F812" s="9" t="s">
        <v>6</v>
      </c>
      <c r="G812" s="8" t="s">
        <v>7</v>
      </c>
      <c r="H812" s="8" t="s">
        <v>8</v>
      </c>
      <c r="I812" s="8" t="s">
        <v>9</v>
      </c>
      <c r="J812" s="8" t="s">
        <v>10</v>
      </c>
      <c r="K812" s="8" t="s">
        <v>11</v>
      </c>
      <c r="L812" s="8" t="s">
        <v>12</v>
      </c>
      <c r="M812" s="8" t="s">
        <v>13</v>
      </c>
      <c r="N812" s="9" t="s">
        <v>14</v>
      </c>
      <c r="O812" s="8" t="s">
        <v>15</v>
      </c>
      <c r="P812" s="8" t="s">
        <v>16</v>
      </c>
      <c r="Q812" s="8" t="s">
        <v>17</v>
      </c>
      <c r="R812" s="8" t="s">
        <v>18</v>
      </c>
      <c r="S812" s="11" t="s">
        <v>19</v>
      </c>
      <c r="T812" s="12" t="s">
        <v>20</v>
      </c>
      <c r="U812" s="12" t="s">
        <v>21</v>
      </c>
      <c r="V812" s="13" t="s">
        <v>22</v>
      </c>
      <c r="X812" s="14" t="s">
        <v>2</v>
      </c>
      <c r="Y812" s="14" t="s">
        <v>3</v>
      </c>
      <c r="Z812" s="14" t="s">
        <v>4</v>
      </c>
      <c r="AA812" s="14" t="s">
        <v>5</v>
      </c>
      <c r="AB812" s="15" t="s">
        <v>6</v>
      </c>
      <c r="AC812" s="14" t="s">
        <v>7</v>
      </c>
      <c r="AD812" s="14" t="s">
        <v>8</v>
      </c>
      <c r="AE812" s="14" t="s">
        <v>9</v>
      </c>
      <c r="AF812" s="14" t="s">
        <v>10</v>
      </c>
      <c r="AG812" s="14" t="s">
        <v>11</v>
      </c>
      <c r="AH812" s="14" t="s">
        <v>12</v>
      </c>
      <c r="AI812" s="14" t="s">
        <v>13</v>
      </c>
      <c r="AJ812" s="15" t="s">
        <v>14</v>
      </c>
      <c r="AK812" s="14" t="s">
        <v>15</v>
      </c>
      <c r="AL812" s="14" t="s">
        <v>16</v>
      </c>
      <c r="AM812" s="16" t="s">
        <v>17</v>
      </c>
      <c r="AN812" s="17" t="s">
        <v>18</v>
      </c>
      <c r="AO812" s="18" t="s">
        <v>19</v>
      </c>
      <c r="AP812" s="19" t="s">
        <v>20</v>
      </c>
      <c r="AQ812" s="19" t="s">
        <v>21</v>
      </c>
      <c r="AR812" s="20" t="s">
        <v>22</v>
      </c>
    </row>
    <row r="813" ht="15.7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X813" s="22">
        <v>1.0</v>
      </c>
      <c r="Y813" s="22" t="s">
        <v>23</v>
      </c>
      <c r="Z813" s="22">
        <f t="shared" ref="Z813:AI813" si="2251">SUM(D821)</f>
        <v>35</v>
      </c>
      <c r="AA813" s="23">
        <f t="shared" si="2251"/>
        <v>34</v>
      </c>
      <c r="AB813" s="24">
        <f t="shared" si="2251"/>
        <v>6680.52</v>
      </c>
      <c r="AC813" s="23">
        <f t="shared" si="2251"/>
        <v>1856</v>
      </c>
      <c r="AD813" s="23">
        <f t="shared" si="2251"/>
        <v>0</v>
      </c>
      <c r="AE813" s="23">
        <f t="shared" si="2251"/>
        <v>1856</v>
      </c>
      <c r="AF813" s="23">
        <f t="shared" si="2251"/>
        <v>2955</v>
      </c>
      <c r="AG813" s="23">
        <f t="shared" si="2251"/>
        <v>0</v>
      </c>
      <c r="AH813" s="23">
        <f t="shared" si="2251"/>
        <v>2955</v>
      </c>
      <c r="AI813" s="23">
        <f t="shared" si="2251"/>
        <v>4811</v>
      </c>
      <c r="AJ813" s="25">
        <f t="shared" ref="AJ813:AJ815" si="2254">AB813/AA813</f>
        <v>196.4858824</v>
      </c>
      <c r="AK813" s="22">
        <f>SUM(O821)</f>
        <v>6853</v>
      </c>
      <c r="AL813" s="26">
        <f t="shared" ref="AL813:AL819" si="2255">AI813/AK813</f>
        <v>0.7020283088</v>
      </c>
      <c r="AM813" s="27">
        <f t="shared" ref="AM813:AM815" si="2256">SUM(Q821)</f>
        <v>1.5</v>
      </c>
      <c r="AN813" s="26">
        <f t="shared" ref="AN813:AN819" si="2257">AO813/AM813</f>
        <v>0.4801023473</v>
      </c>
      <c r="AO813" s="28">
        <f t="shared" ref="AO813:AO819" si="2258">AI813/AB813</f>
        <v>0.720153521</v>
      </c>
      <c r="AP813" s="27">
        <f t="shared" ref="AP813:AQ813" si="2252">SUM(T821)</f>
        <v>198</v>
      </c>
      <c r="AQ813" s="27">
        <f t="shared" si="2252"/>
        <v>5.823529412</v>
      </c>
      <c r="AR813" s="23">
        <f t="shared" ref="AR813:AR819" si="2260">AI813/AA813</f>
        <v>141.5</v>
      </c>
    </row>
    <row r="814" ht="15.7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X814" s="22">
        <v>2.0</v>
      </c>
      <c r="Y814" s="22" t="s">
        <v>24</v>
      </c>
      <c r="Z814" s="22">
        <f t="shared" ref="Z814:AI814" si="2253">SUM(D822)</f>
        <v>44</v>
      </c>
      <c r="AA814" s="23">
        <f t="shared" si="2253"/>
        <v>42</v>
      </c>
      <c r="AB814" s="24">
        <f t="shared" si="2253"/>
        <v>8287.317</v>
      </c>
      <c r="AC814" s="23">
        <f t="shared" si="2253"/>
        <v>943</v>
      </c>
      <c r="AD814" s="23">
        <f t="shared" si="2253"/>
        <v>0</v>
      </c>
      <c r="AE814" s="23">
        <f t="shared" si="2253"/>
        <v>943</v>
      </c>
      <c r="AF814" s="23">
        <f t="shared" si="2253"/>
        <v>1648</v>
      </c>
      <c r="AG814" s="23">
        <f t="shared" si="2253"/>
        <v>0</v>
      </c>
      <c r="AH814" s="23">
        <f t="shared" si="2253"/>
        <v>1648</v>
      </c>
      <c r="AI814" s="23">
        <f t="shared" si="2253"/>
        <v>2591</v>
      </c>
      <c r="AJ814" s="25">
        <f t="shared" si="2254"/>
        <v>197.3170714</v>
      </c>
      <c r="AK814" s="22">
        <v>1580.0</v>
      </c>
      <c r="AL814" s="29">
        <f t="shared" si="2255"/>
        <v>1.639873418</v>
      </c>
      <c r="AM814" s="27">
        <f t="shared" si="2256"/>
        <v>1.5</v>
      </c>
      <c r="AN814" s="26">
        <f t="shared" si="2257"/>
        <v>0.2084309474</v>
      </c>
      <c r="AO814" s="28">
        <f t="shared" si="2258"/>
        <v>0.312646421</v>
      </c>
      <c r="AP814" s="27">
        <f t="shared" ref="AP814:AQ814" si="2259">SUM(T822)</f>
        <v>309.1705652</v>
      </c>
      <c r="AQ814" s="27">
        <f t="shared" si="2259"/>
        <v>7.361203933</v>
      </c>
      <c r="AR814" s="23">
        <f t="shared" si="2260"/>
        <v>61.69047619</v>
      </c>
    </row>
    <row r="815" ht="15.75" customHeight="1">
      <c r="A815" s="21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X815" s="31">
        <v>3.0</v>
      </c>
      <c r="Y815" s="31" t="s">
        <v>25</v>
      </c>
      <c r="Z815" s="31">
        <f t="shared" ref="Z815:AI815" si="2261">SUM(D823)</f>
        <v>32</v>
      </c>
      <c r="AA815" s="32">
        <f t="shared" si="2261"/>
        <v>30</v>
      </c>
      <c r="AB815" s="33">
        <f t="shared" si="2261"/>
        <v>5974.572</v>
      </c>
      <c r="AC815" s="32">
        <f t="shared" si="2261"/>
        <v>2171</v>
      </c>
      <c r="AD815" s="32">
        <f t="shared" si="2261"/>
        <v>442</v>
      </c>
      <c r="AE815" s="32">
        <f t="shared" si="2261"/>
        <v>2613</v>
      </c>
      <c r="AF815" s="32">
        <f t="shared" si="2261"/>
        <v>3198</v>
      </c>
      <c r="AG815" s="32">
        <f t="shared" si="2261"/>
        <v>353</v>
      </c>
      <c r="AH815" s="32">
        <f t="shared" si="2261"/>
        <v>3551</v>
      </c>
      <c r="AI815" s="32">
        <f t="shared" si="2261"/>
        <v>6164</v>
      </c>
      <c r="AJ815" s="34">
        <f t="shared" si="2254"/>
        <v>199.1524</v>
      </c>
      <c r="AK815" s="31">
        <f>SUM(O823)</f>
        <v>6622</v>
      </c>
      <c r="AL815" s="35">
        <f t="shared" si="2255"/>
        <v>0.9308366053</v>
      </c>
      <c r="AM815" s="36">
        <f t="shared" si="2256"/>
        <v>1.5</v>
      </c>
      <c r="AN815" s="35">
        <f t="shared" si="2257"/>
        <v>0.6878038014</v>
      </c>
      <c r="AO815" s="37">
        <f t="shared" si="2258"/>
        <v>1.031705702</v>
      </c>
      <c r="AP815" s="36">
        <f t="shared" ref="AP815:AQ815" si="2262">SUM(T823)</f>
        <v>250.6112416</v>
      </c>
      <c r="AQ815" s="36">
        <f t="shared" si="2262"/>
        <v>8.353708054</v>
      </c>
      <c r="AR815" s="32">
        <f t="shared" si="2260"/>
        <v>205.4666667</v>
      </c>
    </row>
    <row r="816" ht="15.75" customHeight="1">
      <c r="A816" s="21"/>
      <c r="B816" s="38">
        <v>1.0</v>
      </c>
      <c r="C816" s="38" t="s">
        <v>26</v>
      </c>
      <c r="D816" s="39">
        <v>20.0</v>
      </c>
      <c r="E816" s="40">
        <f>IFERROR(__xludf.DUMMYFUNCTION("COUNT(IMPORTRANGE(""https://docs.google.com/spreadsheets/d/1iVFEBQOAONhqDIMRa2hQ7WkCQv0dJWSAmc0AzfvSCMg/edit"",""31!d2:d21""))"),20.0)</f>
        <v>20</v>
      </c>
      <c r="F816" s="41">
        <f>IFERROR(__xludf.DUMMYFUNCTION("SUM(IMPORTRANGE(""https://docs.google.com/spreadsheets/d/1iVFEBQOAONhqDIMRa2hQ7WkCQv0dJWSAmc0AzfvSCMg/edit"",""31!Q2:Q21""))"),3993.567)</f>
        <v>3993.567</v>
      </c>
      <c r="G816" s="40">
        <f>IFERROR(__xludf.DUMMYFUNCTION("IMPORTRANGE(""https://docs.google.com/spreadsheets/d/1iVFEBQOAONhqDIMRa2hQ7WkCQv0dJWSAmc0AzfvSCMg/edit"",""31!e28"")"),2053.0)</f>
        <v>2053</v>
      </c>
      <c r="H816" s="40">
        <f>IFERROR(__xludf.DUMMYFUNCTION("IMPORTRANGE(""https://docs.google.com/spreadsheets/d/1iVFEBQOAONhqDIMRa2hQ7WkCQv0dJWSAmc0AzfvSCMg/edit"",""31!e29"")"),0.0)</f>
        <v>0</v>
      </c>
      <c r="I816" s="40">
        <f t="shared" ref="I816:I833" si="2265">SUM(G816:H816)</f>
        <v>2053</v>
      </c>
      <c r="J816" s="40">
        <f>IFERROR(__xludf.DUMMYFUNCTION("IMPORTRANGE(""https://docs.google.com/spreadsheets/d/1iVFEBQOAONhqDIMRa2hQ7WkCQv0dJWSAmc0AzfvSCMg/edit"",""31!e32"")"),3148.0)</f>
        <v>3148</v>
      </c>
      <c r="K816" s="40">
        <f>IFERROR(__xludf.DUMMYFUNCTION("IMPORTRANGE(""https://docs.google.com/spreadsheets/d/1iVFEBQOAONhqDIMRa2hQ7WkCQv0dJWSAmc0AzfvSCMg/edit"",""31!e33"")"),0.0)</f>
        <v>0</v>
      </c>
      <c r="L816" s="40">
        <f t="shared" ref="L816:L822" si="2266">SUM(J816:K816)</f>
        <v>3148</v>
      </c>
      <c r="M816" s="40">
        <f t="shared" ref="M816:M833" si="2267">SUM(I816+L816)</f>
        <v>5201</v>
      </c>
      <c r="N816" s="41">
        <f t="shared" ref="N816:N834" si="2268">F816/E816</f>
        <v>199.67835</v>
      </c>
      <c r="O816" s="38">
        <v>5161.0</v>
      </c>
      <c r="P816" s="56">
        <f t="shared" ref="P816:P834" si="2269">M816/O816</f>
        <v>1.007750436</v>
      </c>
      <c r="Q816" s="43">
        <v>1.5</v>
      </c>
      <c r="R816" s="42">
        <f t="shared" ref="R816:R834" si="2270">S816/Q816</f>
        <v>0.8682296637</v>
      </c>
      <c r="S816" s="44">
        <f t="shared" ref="S816:S834" si="2271">M816/F816</f>
        <v>1.302344496</v>
      </c>
      <c r="T816" s="43">
        <f>F816/14.415</f>
        <v>277.0424558</v>
      </c>
      <c r="U816" s="43">
        <f t="shared" ref="U816:U834" si="2272">T816/E816</f>
        <v>13.85212279</v>
      </c>
      <c r="V816" s="40">
        <f t="shared" ref="V816:V834" si="2273">M816/E816</f>
        <v>260.05</v>
      </c>
      <c r="X816" s="22">
        <v>4.0</v>
      </c>
      <c r="Y816" s="22" t="s">
        <v>27</v>
      </c>
      <c r="Z816" s="22">
        <f t="shared" ref="Z816:AK816" si="2263">SUM(D829)</f>
        <v>30</v>
      </c>
      <c r="AA816" s="23">
        <f t="shared" si="2263"/>
        <v>29</v>
      </c>
      <c r="AB816" s="24">
        <f t="shared" si="2263"/>
        <v>5551.723</v>
      </c>
      <c r="AC816" s="23">
        <f t="shared" si="2263"/>
        <v>2451</v>
      </c>
      <c r="AD816" s="23">
        <f t="shared" si="2263"/>
        <v>160</v>
      </c>
      <c r="AE816" s="23">
        <f t="shared" si="2263"/>
        <v>2611</v>
      </c>
      <c r="AF816" s="23">
        <f t="shared" si="2263"/>
        <v>3427</v>
      </c>
      <c r="AG816" s="23">
        <f t="shared" si="2263"/>
        <v>0</v>
      </c>
      <c r="AH816" s="23">
        <f t="shared" si="2263"/>
        <v>3427</v>
      </c>
      <c r="AI816" s="23">
        <f t="shared" si="2263"/>
        <v>6038</v>
      </c>
      <c r="AJ816" s="25">
        <f t="shared" si="2263"/>
        <v>191.4387241</v>
      </c>
      <c r="AK816" s="22">
        <f t="shared" si="2263"/>
        <v>8101</v>
      </c>
      <c r="AL816" s="26">
        <f t="shared" si="2255"/>
        <v>0.7453400815</v>
      </c>
      <c r="AM816" s="27">
        <f>SUM(Q829)</f>
        <v>1.5</v>
      </c>
      <c r="AN816" s="26">
        <f t="shared" si="2257"/>
        <v>0.72506019</v>
      </c>
      <c r="AO816" s="28">
        <f t="shared" si="2258"/>
        <v>1.087590285</v>
      </c>
      <c r="AP816" s="27">
        <f t="shared" ref="AP816:AQ816" si="2264">SUM(T829)</f>
        <v>277.7944959</v>
      </c>
      <c r="AQ816" s="27">
        <f t="shared" si="2264"/>
        <v>9.579120547</v>
      </c>
      <c r="AR816" s="23">
        <f t="shared" si="2260"/>
        <v>208.2068966</v>
      </c>
    </row>
    <row r="817" ht="15.75" customHeight="1">
      <c r="A817" s="21"/>
      <c r="B817" s="38">
        <v>2.0</v>
      </c>
      <c r="C817" s="38" t="s">
        <v>28</v>
      </c>
      <c r="D817" s="39">
        <v>33.0</v>
      </c>
      <c r="E817" s="40">
        <f>IFERROR(__xludf.DUMMYFUNCTION("COUNT(IMPORTRANGE(""https://docs.google.com/spreadsheets/d/1tJCeYclgeJZ4Dc78t_SkhVjtacKW-5-VGim8X1rzUzk/edit"",""31!d2:d34""))"),33.0)</f>
        <v>33</v>
      </c>
      <c r="F817" s="41">
        <f>IFERROR(__xludf.DUMMYFUNCTION("SUM(IMPORTRANGE(""https://docs.google.com/spreadsheets/d/1tJCeYclgeJZ4Dc78t_SkhVjtacKW-5-VGim8X1rzUzk/edit"",""31!Q2:Q34""))"),6405.245000000001)</f>
        <v>6405.245</v>
      </c>
      <c r="G817" s="40">
        <f>IFERROR(__xludf.DUMMYFUNCTION("IMPORTRANGE(""https://docs.google.com/spreadsheets/d/1tJCeYclgeJZ4Dc78t_SkhVjtacKW-5-VGim8X1rzUzk/edit"",""31!e41"")"),2987.0)</f>
        <v>2987</v>
      </c>
      <c r="H817" s="40">
        <f>IFERROR(__xludf.DUMMYFUNCTION("IMPORTRANGE(""https://docs.google.com/spreadsheets/d/1tJCeYclgeJZ4Dc78t_SkhVjtacKW-5-VGim8X1rzUzk/edit"",""31!e42"")"),0.0)</f>
        <v>0</v>
      </c>
      <c r="I817" s="40">
        <f t="shared" si="2265"/>
        <v>2987</v>
      </c>
      <c r="J817" s="40">
        <f>IFERROR(__xludf.DUMMYFUNCTION("IMPORTRANGE(""https://docs.google.com/spreadsheets/d/1tJCeYclgeJZ4Dc78t_SkhVjtacKW-5-VGim8X1rzUzk/edit"",""31!e45"")"),2674.0)</f>
        <v>2674</v>
      </c>
      <c r="K817" s="40">
        <f>IFERROR(__xludf.DUMMYFUNCTION("IMPORTRANGE(""https://docs.google.com/spreadsheets/d/1tJCeYclgeJZ4Dc78t_SkhVjtacKW-5-VGim8X1rzUzk/edit"",""31!e46"")"),349.0)</f>
        <v>349</v>
      </c>
      <c r="L817" s="40">
        <f t="shared" si="2266"/>
        <v>3023</v>
      </c>
      <c r="M817" s="40">
        <f t="shared" si="2267"/>
        <v>6010</v>
      </c>
      <c r="N817" s="41">
        <f t="shared" si="2268"/>
        <v>194.0983333</v>
      </c>
      <c r="O817" s="38">
        <v>7315.0</v>
      </c>
      <c r="P817" s="42">
        <f t="shared" si="2269"/>
        <v>0.8215994532</v>
      </c>
      <c r="Q817" s="43">
        <v>1.5</v>
      </c>
      <c r="R817" s="42">
        <f t="shared" si="2270"/>
        <v>0.6255290261</v>
      </c>
      <c r="S817" s="44">
        <f t="shared" si="2271"/>
        <v>0.9382935391</v>
      </c>
      <c r="T817" s="43">
        <f>F817/30.897</f>
        <v>207.3096093</v>
      </c>
      <c r="U817" s="43">
        <f t="shared" si="2272"/>
        <v>6.282109374</v>
      </c>
      <c r="V817" s="40">
        <f t="shared" si="2273"/>
        <v>182.1212121</v>
      </c>
      <c r="X817" s="22">
        <v>5.0</v>
      </c>
      <c r="Y817" s="22" t="s">
        <v>29</v>
      </c>
      <c r="Z817" s="22">
        <f t="shared" ref="Z817:AI817" si="2274">SUM(D832)</f>
        <v>30</v>
      </c>
      <c r="AA817" s="23">
        <f t="shared" si="2274"/>
        <v>30</v>
      </c>
      <c r="AB817" s="24">
        <f t="shared" si="2274"/>
        <v>6145.912</v>
      </c>
      <c r="AC817" s="23">
        <f t="shared" si="2274"/>
        <v>2984</v>
      </c>
      <c r="AD817" s="23">
        <f t="shared" si="2274"/>
        <v>0</v>
      </c>
      <c r="AE817" s="23">
        <f t="shared" si="2274"/>
        <v>2984</v>
      </c>
      <c r="AF817" s="23">
        <f t="shared" si="2274"/>
        <v>3901</v>
      </c>
      <c r="AG817" s="23">
        <f t="shared" si="2274"/>
        <v>0</v>
      </c>
      <c r="AH817" s="23">
        <f t="shared" si="2274"/>
        <v>3901</v>
      </c>
      <c r="AI817" s="23">
        <f t="shared" si="2274"/>
        <v>6885</v>
      </c>
      <c r="AJ817" s="25">
        <f t="shared" ref="AJ817:AJ819" si="2277">AB817/AA817</f>
        <v>204.8637333</v>
      </c>
      <c r="AK817" s="22">
        <f t="shared" ref="AK817:AK818" si="2278">SUM(O832)</f>
        <v>9201</v>
      </c>
      <c r="AL817" s="26">
        <f t="shared" si="2255"/>
        <v>0.7482882295</v>
      </c>
      <c r="AM817" s="27">
        <f t="shared" ref="AM817:AM818" si="2279">SUM(Q832)</f>
        <v>1.5</v>
      </c>
      <c r="AN817" s="26">
        <f t="shared" si="2257"/>
        <v>0.7468378981</v>
      </c>
      <c r="AO817" s="28">
        <f t="shared" si="2258"/>
        <v>1.120256847</v>
      </c>
      <c r="AP817" s="27">
        <f t="shared" ref="AP817:AQ817" si="2275">SUM(T832)</f>
        <v>232</v>
      </c>
      <c r="AQ817" s="27">
        <f t="shared" si="2275"/>
        <v>7.733333333</v>
      </c>
      <c r="AR817" s="23">
        <f t="shared" si="2260"/>
        <v>229.5</v>
      </c>
    </row>
    <row r="818" ht="15.75" customHeight="1">
      <c r="A818" s="21"/>
      <c r="B818" s="38">
        <v>3.0</v>
      </c>
      <c r="C818" s="38" t="s">
        <v>30</v>
      </c>
      <c r="D818" s="39">
        <v>60.0</v>
      </c>
      <c r="E818" s="40">
        <f>IFERROR(__xludf.DUMMYFUNCTION("COUNT(IMPORTRANGE(""https://docs.google.com/spreadsheets/d/130gLEONC13J8KkQ6dk06x3bLRy_jCrAw2hXatQf2W50/edit"",""31!d2:d61""))"),58.0)</f>
        <v>58</v>
      </c>
      <c r="F818" s="45">
        <f>IFERROR(__xludf.DUMMYFUNCTION("SUM(IMPORTRANGE(""https://docs.google.com/spreadsheets/d/130gLEONC13J8KkQ6dk06x3bLRy_jCrAw2hXatQf2W50/edit"",""31!Q2:Q61""))"),11697.389999999987)</f>
        <v>11697.39</v>
      </c>
      <c r="G818" s="40">
        <f>IFERROR(__xludf.DUMMYFUNCTION("IMPORTRANGE(""https://docs.google.com/spreadsheets/d/130gLEONC13J8KkQ6dk06x3bLRy_jCrAw2hXatQf2W50/edit"",""31!e68"")"),3536.0)</f>
        <v>3536</v>
      </c>
      <c r="H818" s="40">
        <f>IFERROR(__xludf.DUMMYFUNCTION("IMPORTRANGE(""https://docs.google.com/spreadsheets/d/130gLEONC13J8KkQ6dk06x3bLRy_jCrAw2hXatQf2W50/edit"",""31!e69"")"),12.0)</f>
        <v>12</v>
      </c>
      <c r="I818" s="40">
        <f t="shared" si="2265"/>
        <v>3548</v>
      </c>
      <c r="J818" s="40">
        <f>IFERROR(__xludf.DUMMYFUNCTION("IMPORTRANGE(""https://docs.google.com/spreadsheets/d/130gLEONC13J8KkQ6dk06x3bLRy_jCrAw2hXatQf2W50/edit"",""31!e72"")"),6010.0)</f>
        <v>6010</v>
      </c>
      <c r="K818" s="40">
        <f>IFERROR(__xludf.DUMMYFUNCTION("IMPORTRANGE(""https://docs.google.com/spreadsheets/d/130gLEONC13J8KkQ6dk06x3bLRy_jCrAw2hXatQf2W50/edit"",""31!e73"")"),0.0)</f>
        <v>0</v>
      </c>
      <c r="L818" s="40">
        <f t="shared" si="2266"/>
        <v>6010</v>
      </c>
      <c r="M818" s="40">
        <f t="shared" si="2267"/>
        <v>9558</v>
      </c>
      <c r="N818" s="41">
        <f t="shared" si="2268"/>
        <v>201.6791379</v>
      </c>
      <c r="O818" s="38">
        <v>11164.0</v>
      </c>
      <c r="P818" s="42">
        <f t="shared" si="2269"/>
        <v>0.856144751</v>
      </c>
      <c r="Q818" s="43">
        <v>1.5</v>
      </c>
      <c r="R818" s="42">
        <f t="shared" si="2270"/>
        <v>0.5447369028</v>
      </c>
      <c r="S818" s="44">
        <f t="shared" si="2271"/>
        <v>0.8171053543</v>
      </c>
      <c r="T818" s="43">
        <f>F818/29.603</f>
        <v>395.1420464</v>
      </c>
      <c r="U818" s="43">
        <f t="shared" si="2272"/>
        <v>6.812793904</v>
      </c>
      <c r="V818" s="40">
        <f t="shared" si="2273"/>
        <v>164.7931034</v>
      </c>
      <c r="X818" s="22">
        <v>6.0</v>
      </c>
      <c r="Y818" s="22" t="s">
        <v>31</v>
      </c>
      <c r="Z818" s="22">
        <f t="shared" ref="Z818:AI818" si="2276">SUM(D833)</f>
        <v>15</v>
      </c>
      <c r="AA818" s="23">
        <f t="shared" si="2276"/>
        <v>14</v>
      </c>
      <c r="AB818" s="25">
        <f t="shared" si="2276"/>
        <v>2758.306</v>
      </c>
      <c r="AC818" s="23">
        <f t="shared" si="2276"/>
        <v>890</v>
      </c>
      <c r="AD818" s="23">
        <f t="shared" si="2276"/>
        <v>0</v>
      </c>
      <c r="AE818" s="23">
        <f t="shared" si="2276"/>
        <v>890</v>
      </c>
      <c r="AF818" s="23">
        <f t="shared" si="2276"/>
        <v>1003</v>
      </c>
      <c r="AG818" s="23">
        <f t="shared" si="2276"/>
        <v>0</v>
      </c>
      <c r="AH818" s="23">
        <f t="shared" si="2276"/>
        <v>1003</v>
      </c>
      <c r="AI818" s="23">
        <f t="shared" si="2276"/>
        <v>1893</v>
      </c>
      <c r="AJ818" s="25">
        <f t="shared" si="2277"/>
        <v>197.0218571</v>
      </c>
      <c r="AK818" s="22">
        <f t="shared" si="2278"/>
        <v>2717</v>
      </c>
      <c r="AL818" s="26">
        <f t="shared" si="2255"/>
        <v>0.6967243283</v>
      </c>
      <c r="AM818" s="27">
        <f t="shared" si="2279"/>
        <v>1.5</v>
      </c>
      <c r="AN818" s="26">
        <f t="shared" si="2257"/>
        <v>0.4575271924</v>
      </c>
      <c r="AO818" s="28">
        <f t="shared" si="2258"/>
        <v>0.6862907886</v>
      </c>
      <c r="AP818" s="27">
        <f t="shared" ref="AP818:AQ818" si="2280">SUM(T833)</f>
        <v>63.46039342</v>
      </c>
      <c r="AQ818" s="27">
        <f t="shared" si="2280"/>
        <v>4.532885244</v>
      </c>
      <c r="AR818" s="23">
        <f t="shared" si="2260"/>
        <v>135.2142857</v>
      </c>
    </row>
    <row r="819" ht="15.75" customHeight="1">
      <c r="A819" s="21"/>
      <c r="B819" s="38">
        <v>4.0</v>
      </c>
      <c r="C819" s="38" t="s">
        <v>32</v>
      </c>
      <c r="D819" s="39">
        <v>42.0</v>
      </c>
      <c r="E819" s="40">
        <f>IFERROR(__xludf.DUMMYFUNCTION("COUNT(IMPORTRANGE(""https://docs.google.com/spreadsheets/d/1gYHli7FuKQLm2Q-5LMR0UtkD-gRRA_p8s-phLPLDLgc/edit"",""31!d2:d43""))"),42.0)</f>
        <v>42</v>
      </c>
      <c r="F819" s="45">
        <f>IFERROR(__xludf.DUMMYFUNCTION("SUM(IMPORTRANGE(""https://docs.google.com/spreadsheets/d/1gYHli7FuKQLm2Q-5LMR0UtkD-gRRA_p8s-phLPLDLgc/edit"",""31!Q2:Q43""))"),8003.3909999999905)</f>
        <v>8003.391</v>
      </c>
      <c r="G819" s="38">
        <f>IFERROR(__xludf.DUMMYFUNCTION("IMPORTRANGE(""https://docs.google.com/spreadsheets/d/1gYHli7FuKQLm2Q-5LMR0UtkD-gRRA_p8s-phLPLDLgc/edit"",""31!e50"")"),4450.0)</f>
        <v>4450</v>
      </c>
      <c r="H819" s="38">
        <f>IFERROR(__xludf.DUMMYFUNCTION("IMPORTRANGE(""https://docs.google.com/spreadsheets/d/1gYHli7FuKQLm2Q-5LMR0UtkD-gRRA_p8s-phLPLDLgc/edit"",""31!e51"")"),0.0)</f>
        <v>0</v>
      </c>
      <c r="I819" s="40">
        <f t="shared" si="2265"/>
        <v>4450</v>
      </c>
      <c r="J819" s="38">
        <f>IFERROR(__xludf.DUMMYFUNCTION("IMPORTRANGE(""https://docs.google.com/spreadsheets/d/1gYHli7FuKQLm2Q-5LMR0UtkD-gRRA_p8s-phLPLDLgc/edit"",""31!e54"")"),5889.0)</f>
        <v>5889</v>
      </c>
      <c r="K819" s="38">
        <f>IFERROR(__xludf.DUMMYFUNCTION("IMPORTRANGE(""https://docs.google.com/spreadsheets/d/1gYHli7FuKQLm2Q-5LMR0UtkD-gRRA_p8s-phLPLDLgc/edit"",""31!e55"")"),0.0)</f>
        <v>0</v>
      </c>
      <c r="L819" s="40">
        <f t="shared" si="2266"/>
        <v>5889</v>
      </c>
      <c r="M819" s="40">
        <f t="shared" si="2267"/>
        <v>10339</v>
      </c>
      <c r="N819" s="41">
        <f t="shared" si="2268"/>
        <v>190.5569286</v>
      </c>
      <c r="O819" s="38">
        <v>13817.0</v>
      </c>
      <c r="P819" s="42">
        <f t="shared" si="2269"/>
        <v>0.748281103</v>
      </c>
      <c r="Q819" s="43">
        <v>1.5</v>
      </c>
      <c r="R819" s="42">
        <f t="shared" si="2270"/>
        <v>0.8612182844</v>
      </c>
      <c r="S819" s="44">
        <f t="shared" si="2271"/>
        <v>1.291827427</v>
      </c>
      <c r="T819" s="43">
        <f>F819/25.089</f>
        <v>319</v>
      </c>
      <c r="U819" s="43">
        <f t="shared" si="2272"/>
        <v>7.595238095</v>
      </c>
      <c r="V819" s="40">
        <f t="shared" si="2273"/>
        <v>246.1666667</v>
      </c>
      <c r="X819" s="46" t="s">
        <v>33</v>
      </c>
      <c r="Y819" s="46">
        <v>6.0</v>
      </c>
      <c r="Z819" s="46">
        <f t="shared" ref="Z819:AI819" si="2281">SUM(Z813:Z818)</f>
        <v>186</v>
      </c>
      <c r="AA819" s="47">
        <f t="shared" si="2281"/>
        <v>179</v>
      </c>
      <c r="AB819" s="48">
        <f t="shared" si="2281"/>
        <v>35398.35</v>
      </c>
      <c r="AC819" s="47">
        <f t="shared" si="2281"/>
        <v>11295</v>
      </c>
      <c r="AD819" s="47">
        <f t="shared" si="2281"/>
        <v>602</v>
      </c>
      <c r="AE819" s="47">
        <f t="shared" si="2281"/>
        <v>11897</v>
      </c>
      <c r="AF819" s="47">
        <f t="shared" si="2281"/>
        <v>16132</v>
      </c>
      <c r="AG819" s="47">
        <f t="shared" si="2281"/>
        <v>353</v>
      </c>
      <c r="AH819" s="47">
        <f t="shared" si="2281"/>
        <v>16485</v>
      </c>
      <c r="AI819" s="47">
        <f t="shared" si="2281"/>
        <v>28382</v>
      </c>
      <c r="AJ819" s="49">
        <f t="shared" si="2277"/>
        <v>197.7561453</v>
      </c>
      <c r="AK819" s="46">
        <f>SUM(AK813:AK818)</f>
        <v>35074</v>
      </c>
      <c r="AL819" s="50">
        <f t="shared" si="2255"/>
        <v>0.8092033985</v>
      </c>
      <c r="AM819" s="51">
        <v>1.5</v>
      </c>
      <c r="AN819" s="50">
        <f t="shared" si="2257"/>
        <v>0.534525856</v>
      </c>
      <c r="AO819" s="52">
        <f t="shared" si="2258"/>
        <v>0.8017887839</v>
      </c>
      <c r="AP819" s="51">
        <f>SUM(AP813:AP818)</f>
        <v>1331.036696</v>
      </c>
      <c r="AQ819" s="51">
        <f>AP819/AA819</f>
        <v>7.435959196</v>
      </c>
      <c r="AR819" s="47">
        <f t="shared" si="2260"/>
        <v>158.5586592</v>
      </c>
    </row>
    <row r="820" ht="15.75" customHeight="1">
      <c r="A820" s="21"/>
      <c r="B820" s="38">
        <v>5.0</v>
      </c>
      <c r="C820" s="38" t="s">
        <v>34</v>
      </c>
      <c r="D820" s="39">
        <v>40.0</v>
      </c>
      <c r="E820" s="40">
        <f>IFERROR(__xludf.DUMMYFUNCTION("COUNT(IMPORTRANGE(""https://docs.google.com/spreadsheets/d/1ptS0qWBCKWkc9h2aXWT_YgMhN7yIv5WgAHRbF8l9Zpo/edit"",""31!d2:d41""))"),40.0)</f>
        <v>40</v>
      </c>
      <c r="F820" s="45">
        <f>IFERROR(__xludf.DUMMYFUNCTION("SUM(IMPORTRANGE(""https://docs.google.com/spreadsheets/d/1ptS0qWBCKWkc9h2aXWT_YgMhN7yIv5WgAHRbF8l9Zpo/edit"",""31!Q2:Q41""))"),7710.384000000003)</f>
        <v>7710.384</v>
      </c>
      <c r="G820" s="40">
        <f>IFERROR(__xludf.DUMMYFUNCTION("IMPORTRANGE(""https://docs.google.com/spreadsheets/d/1ptS0qWBCKWkc9h2aXWT_YgMhN7yIv5WgAHRbF8l9Zpo/edit"",""31!e48"")"),2570.0)</f>
        <v>2570</v>
      </c>
      <c r="H820" s="40">
        <f>IFERROR(__xludf.DUMMYFUNCTION("IMPORTRANGE(""https://docs.google.com/spreadsheets/d/1ptS0qWBCKWkc9h2aXWT_YgMhN7yIv5WgAHRbF8l9Zpo/edit"",""31!e49"")"),85.0)</f>
        <v>85</v>
      </c>
      <c r="I820" s="40">
        <f t="shared" si="2265"/>
        <v>2655</v>
      </c>
      <c r="J820" s="40">
        <f>IFERROR(__xludf.DUMMYFUNCTION("IMPORTRANGE(""https://docs.google.com/spreadsheets/d/1ptS0qWBCKWkc9h2aXWT_YgMhN7yIv5WgAHRbF8l9Zpo/edit"",""31!e52"")"),3392.0)</f>
        <v>3392</v>
      </c>
      <c r="K820" s="40">
        <f>IFERROR(__xludf.DUMMYFUNCTION("IMPORTRANGE(""https://docs.google.com/spreadsheets/d/1ptS0qWBCKWkc9h2aXWT_YgMhN7yIv5WgAHRbF8l9Zpo/edit"",""31!e53"")"),0.0)</f>
        <v>0</v>
      </c>
      <c r="L820" s="40">
        <f t="shared" si="2266"/>
        <v>3392</v>
      </c>
      <c r="M820" s="40">
        <f t="shared" si="2267"/>
        <v>6047</v>
      </c>
      <c r="N820" s="41">
        <f t="shared" si="2268"/>
        <v>192.7596</v>
      </c>
      <c r="O820" s="38">
        <v>9354.0</v>
      </c>
      <c r="P820" s="42">
        <f t="shared" si="2269"/>
        <v>0.6464614069</v>
      </c>
      <c r="Q820" s="43">
        <v>1.5</v>
      </c>
      <c r="R820" s="42">
        <f t="shared" si="2270"/>
        <v>0.5228446901</v>
      </c>
      <c r="S820" s="44">
        <f t="shared" si="2271"/>
        <v>0.7842670352</v>
      </c>
      <c r="T820" s="43">
        <f>F820/30.713</f>
        <v>251.0462671</v>
      </c>
      <c r="U820" s="43">
        <f t="shared" si="2272"/>
        <v>6.276156676</v>
      </c>
      <c r="V820" s="40">
        <f t="shared" si="2273"/>
        <v>151.175</v>
      </c>
      <c r="X820" s="53" t="s">
        <v>35</v>
      </c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6"/>
    </row>
    <row r="821" ht="15.75" customHeight="1">
      <c r="A821" s="21"/>
      <c r="B821" s="38">
        <v>6.0</v>
      </c>
      <c r="C821" s="38" t="s">
        <v>23</v>
      </c>
      <c r="D821" s="39">
        <v>35.0</v>
      </c>
      <c r="E821" s="40">
        <f>IFERROR(__xludf.DUMMYFUNCTION("COUNT(IMPORTRANGE(""https://docs.google.com/spreadsheets/d/1829CoYW82aTBBUgqkPnJa94KlBWI-DowAnP4ENQCmaQ/edit"",""31!d2:d36""))"),34.0)</f>
        <v>34</v>
      </c>
      <c r="F821" s="45">
        <f>IFERROR(__xludf.DUMMYFUNCTION("SUM(IMPORTRANGE(""https://docs.google.com/spreadsheets/d/1829CoYW82aTBBUgqkPnJa94KlBWI-DowAnP4ENQCmaQ/edit"",""31!Q2:Q36""))"),6680.519999999995)</f>
        <v>6680.52</v>
      </c>
      <c r="G821" s="40">
        <f>IFERROR(__xludf.DUMMYFUNCTION("IMPORTRANGE(""https://docs.google.com/spreadsheets/d/1829CoYW82aTBBUgqkPnJa94KlBWI-DowAnP4ENQCmaQ/edit"",""31!e43"")"),1856.0)</f>
        <v>1856</v>
      </c>
      <c r="H821" s="40">
        <f>IFERROR(__xludf.DUMMYFUNCTION("IMPORTRANGE(""https://docs.google.com/spreadsheets/d/1829CoYW82aTBBUgqkPnJa94KlBWI-DowAnP4ENQCmaQ/edit"",""31!e44"")"),0.0)</f>
        <v>0</v>
      </c>
      <c r="I821" s="40">
        <f t="shared" si="2265"/>
        <v>1856</v>
      </c>
      <c r="J821" s="40">
        <f>IFERROR(__xludf.DUMMYFUNCTION("IMPORTRANGE(""https://docs.google.com/spreadsheets/d/1829CoYW82aTBBUgqkPnJa94KlBWI-DowAnP4ENQCmaQ/edit"",""31!e47"")"),2955.0)</f>
        <v>2955</v>
      </c>
      <c r="K821" s="40">
        <f>IFERROR(__xludf.DUMMYFUNCTION("IMPORTRANGE(""https://docs.google.com/spreadsheets/d/1829CoYW82aTBBUgqkPnJa94KlBWI-DowAnP4ENQCmaQ/edit"",""31!e48"")"),0.0)</f>
        <v>0</v>
      </c>
      <c r="L821" s="40">
        <f t="shared" si="2266"/>
        <v>2955</v>
      </c>
      <c r="M821" s="40">
        <f t="shared" si="2267"/>
        <v>4811</v>
      </c>
      <c r="N821" s="41">
        <f t="shared" si="2268"/>
        <v>196.4858824</v>
      </c>
      <c r="O821" s="38">
        <v>6853.0</v>
      </c>
      <c r="P821" s="42">
        <f t="shared" si="2269"/>
        <v>0.7020283088</v>
      </c>
      <c r="Q821" s="43">
        <v>1.5</v>
      </c>
      <c r="R821" s="42">
        <f t="shared" si="2270"/>
        <v>0.4801023473</v>
      </c>
      <c r="S821" s="44">
        <f t="shared" si="2271"/>
        <v>0.720153521</v>
      </c>
      <c r="T821" s="43">
        <f>F821/33.74</f>
        <v>198</v>
      </c>
      <c r="U821" s="43">
        <f t="shared" si="2272"/>
        <v>5.823529412</v>
      </c>
      <c r="V821" s="40">
        <f t="shared" si="2273"/>
        <v>141.5</v>
      </c>
      <c r="X821" s="14" t="s">
        <v>2</v>
      </c>
      <c r="Y821" s="14" t="s">
        <v>3</v>
      </c>
      <c r="Z821" s="14" t="s">
        <v>4</v>
      </c>
      <c r="AA821" s="14" t="s">
        <v>5</v>
      </c>
      <c r="AB821" s="15" t="s">
        <v>6</v>
      </c>
      <c r="AC821" s="14" t="s">
        <v>7</v>
      </c>
      <c r="AD821" s="14" t="s">
        <v>8</v>
      </c>
      <c r="AE821" s="14" t="s">
        <v>9</v>
      </c>
      <c r="AF821" s="14" t="s">
        <v>10</v>
      </c>
      <c r="AG821" s="14" t="s">
        <v>11</v>
      </c>
      <c r="AH821" s="14" t="s">
        <v>12</v>
      </c>
      <c r="AI821" s="14" t="s">
        <v>13</v>
      </c>
      <c r="AJ821" s="15" t="s">
        <v>14</v>
      </c>
      <c r="AK821" s="14" t="s">
        <v>15</v>
      </c>
      <c r="AL821" s="14" t="s">
        <v>16</v>
      </c>
      <c r="AM821" s="16" t="s">
        <v>17</v>
      </c>
      <c r="AN821" s="17" t="s">
        <v>18</v>
      </c>
      <c r="AO821" s="18" t="s">
        <v>19</v>
      </c>
      <c r="AP821" s="19" t="s">
        <v>20</v>
      </c>
      <c r="AQ821" s="19" t="s">
        <v>21</v>
      </c>
      <c r="AR821" s="20" t="s">
        <v>22</v>
      </c>
    </row>
    <row r="822" ht="15.75" customHeight="1">
      <c r="A822" s="21"/>
      <c r="B822" s="38">
        <v>7.0</v>
      </c>
      <c r="C822" s="38" t="s">
        <v>24</v>
      </c>
      <c r="D822" s="39">
        <v>44.0</v>
      </c>
      <c r="E822" s="54">
        <f>IFERROR(__xludf.DUMMYFUNCTION("COUNT(IMPORTRANGE(""https://docs.google.com/spreadsheets/d/1E2x4oDZxEIsuC5nl-5Z0--MoN8b1dt9SbpRcCfNP84Q/edit"",""31!d2:d45""))"),42.0)</f>
        <v>42</v>
      </c>
      <c r="F822" s="55">
        <f>IFERROR(__xludf.DUMMYFUNCTION("SUM(IMPORTRANGE(""https://docs.google.com/spreadsheets/d/1E2x4oDZxEIsuC5nl-5Z0--MoN8b1dt9SbpRcCfNP84Q/edit"",""31!Q2:Q45""))"),8287.316999999994)</f>
        <v>8287.317</v>
      </c>
      <c r="G822" s="54">
        <f>IFERROR(__xludf.DUMMYFUNCTION("IMPORTRANGE(""https://docs.google.com/spreadsheets/d/1E2x4oDZxEIsuC5nl-5Z0--MoN8b1dt9SbpRcCfNP84Q/edit"",""31!e53"")"),943.0)</f>
        <v>943</v>
      </c>
      <c r="H822" s="54">
        <f>IFERROR(__xludf.DUMMYFUNCTION("IMPORTRANGE(""https://docs.google.com/spreadsheets/d/1E2x4oDZxEIsuC5nl-5Z0--MoN8b1dt9SbpRcCfNP84Q/edit"",""31!e54"")"),0.0)</f>
        <v>0</v>
      </c>
      <c r="I822" s="54">
        <f t="shared" si="2265"/>
        <v>943</v>
      </c>
      <c r="J822" s="54">
        <f>IFERROR(__xludf.DUMMYFUNCTION("IMPORTRANGE(""https://docs.google.com/spreadsheets/d/1E2x4oDZxEIsuC5nl-5Z0--MoN8b1dt9SbpRcCfNP84Q/edit"",""31!e57"")"),1648.0)</f>
        <v>1648</v>
      </c>
      <c r="K822" s="54">
        <f>IFERROR(__xludf.DUMMYFUNCTION("IMPORTRANGE(""https://docs.google.com/spreadsheets/d/1E2x4oDZxEIsuC5nl-5Z0--MoN8b1dt9SbpRcCfNP84Q/edit"",""31!e58"")"),0.0)</f>
        <v>0</v>
      </c>
      <c r="L822" s="40">
        <f t="shared" si="2266"/>
        <v>1648</v>
      </c>
      <c r="M822" s="40">
        <f t="shared" si="2267"/>
        <v>2591</v>
      </c>
      <c r="N822" s="41">
        <f t="shared" si="2268"/>
        <v>197.3170714</v>
      </c>
      <c r="O822" s="38">
        <v>1580.0</v>
      </c>
      <c r="P822" s="56">
        <f t="shared" si="2269"/>
        <v>1.639873418</v>
      </c>
      <c r="Q822" s="43">
        <v>1.5</v>
      </c>
      <c r="R822" s="42">
        <f t="shared" si="2270"/>
        <v>0.2084309474</v>
      </c>
      <c r="S822" s="44">
        <f t="shared" si="2271"/>
        <v>0.312646421</v>
      </c>
      <c r="T822" s="43">
        <f>F822/26.805</f>
        <v>309.1705652</v>
      </c>
      <c r="U822" s="43">
        <f t="shared" si="2272"/>
        <v>7.361203933</v>
      </c>
      <c r="V822" s="40">
        <f t="shared" si="2273"/>
        <v>61.69047619</v>
      </c>
      <c r="X822" s="22">
        <v>1.0</v>
      </c>
      <c r="Y822" s="22" t="s">
        <v>28</v>
      </c>
      <c r="Z822" s="22">
        <f t="shared" ref="Z822:AI822" si="2282">SUM(D817)</f>
        <v>33</v>
      </c>
      <c r="AA822" s="23">
        <f t="shared" si="2282"/>
        <v>33</v>
      </c>
      <c r="AB822" s="25">
        <f t="shared" si="2282"/>
        <v>6405.245</v>
      </c>
      <c r="AC822" s="23">
        <f t="shared" si="2282"/>
        <v>2987</v>
      </c>
      <c r="AD822" s="23">
        <f t="shared" si="2282"/>
        <v>0</v>
      </c>
      <c r="AE822" s="23">
        <f t="shared" si="2282"/>
        <v>2987</v>
      </c>
      <c r="AF822" s="23">
        <f t="shared" si="2282"/>
        <v>2674</v>
      </c>
      <c r="AG822" s="23">
        <f t="shared" si="2282"/>
        <v>349</v>
      </c>
      <c r="AH822" s="23">
        <f t="shared" si="2282"/>
        <v>3023</v>
      </c>
      <c r="AI822" s="23">
        <f t="shared" si="2282"/>
        <v>6010</v>
      </c>
      <c r="AJ822" s="25">
        <f t="shared" ref="AJ822:AJ828" si="2285">AB822/AA822</f>
        <v>194.0983333</v>
      </c>
      <c r="AK822" s="22">
        <f t="shared" ref="AK822:AK823" si="2286">SUM(O817)</f>
        <v>7315</v>
      </c>
      <c r="AL822" s="26">
        <f t="shared" ref="AL822:AL828" si="2287">AI822/AK822</f>
        <v>0.8215994532</v>
      </c>
      <c r="AM822" s="27">
        <f t="shared" ref="AM822:AM823" si="2288">SUM(Q817)</f>
        <v>1.5</v>
      </c>
      <c r="AN822" s="26">
        <f t="shared" ref="AN822:AN828" si="2289">AO822/AM822</f>
        <v>0.6255290261</v>
      </c>
      <c r="AO822" s="28">
        <f t="shared" ref="AO822:AO828" si="2290">AI822/AB822</f>
        <v>0.9382935391</v>
      </c>
      <c r="AP822" s="27">
        <f t="shared" ref="AP822:AQ822" si="2283">SUM(T817)</f>
        <v>207.3096093</v>
      </c>
      <c r="AQ822" s="27">
        <f t="shared" si="2283"/>
        <v>6.282109374</v>
      </c>
      <c r="AR822" s="23">
        <f t="shared" ref="AR822:AR828" si="2292">AI822/AA822</f>
        <v>182.1212121</v>
      </c>
    </row>
    <row r="823" ht="15.75" customHeight="1">
      <c r="A823" s="21"/>
      <c r="B823" s="38">
        <v>8.0</v>
      </c>
      <c r="C823" s="38" t="s">
        <v>25</v>
      </c>
      <c r="D823" s="57">
        <v>32.0</v>
      </c>
      <c r="E823" s="40">
        <f>IFERROR(__xludf.DUMMYFUNCTION("COUNT(IMPORTRANGE(""https://docs.google.com/spreadsheets/d/1KbRFOEYB0B44J_NSh1MwYQ1sLDlZXUHI-wuMLcZDn5k/edit"",""31!d2:D33""))"),30.0)</f>
        <v>30</v>
      </c>
      <c r="F823" s="45">
        <f>IFERROR(__xludf.DUMMYFUNCTION("SUM(IMPORTRANGE(""https://docs.google.com/spreadsheets/d/1KbRFOEYB0B44J_NSh1MwYQ1sLDlZXUHI-wuMLcZDn5k/edit"",""31!Q2:Q33""))"),5974.572000000002)</f>
        <v>5974.572</v>
      </c>
      <c r="G823" s="40">
        <f>IFERROR(__xludf.DUMMYFUNCTION("IMPORTRANGE(""https://docs.google.com/spreadsheets/d/1KbRFOEYB0B44J_NSh1MwYQ1sLDlZXUHI-wuMLcZDn5k/edit"",""31!e40"")"),2171.0)</f>
        <v>2171</v>
      </c>
      <c r="H823" s="40">
        <f>IFERROR(__xludf.DUMMYFUNCTION("IMPORTRANGE(""https://docs.google.com/spreadsheets/d/1KbRFOEYB0B44J_NSh1MwYQ1sLDlZXUHI-wuMLcZDn5k/edit"",""31!e41"")"),442.0)</f>
        <v>442</v>
      </c>
      <c r="I823" s="40">
        <f t="shared" si="2265"/>
        <v>2613</v>
      </c>
      <c r="J823" s="40">
        <f>IFERROR(__xludf.DUMMYFUNCTION("IMPORTRANGE(""https://docs.google.com/spreadsheets/d/1KbRFOEYB0B44J_NSh1MwYQ1sLDlZXUHI-wuMLcZDn5k/edit"",""31!e44"")"),3198.0)</f>
        <v>3198</v>
      </c>
      <c r="K823" s="40">
        <f>IFERROR(__xludf.DUMMYFUNCTION("IMPORTRANGE(""https://docs.google.com/spreadsheets/d/1KbRFOEYB0B44J_NSh1MwYQ1sLDlZXUHI-wuMLcZDn5k/edit"",""31!e45"")"),353.0)</f>
        <v>353</v>
      </c>
      <c r="L823" s="40">
        <f>J823+K823</f>
        <v>3551</v>
      </c>
      <c r="M823" s="40">
        <f t="shared" si="2267"/>
        <v>6164</v>
      </c>
      <c r="N823" s="41">
        <f t="shared" si="2268"/>
        <v>199.1524</v>
      </c>
      <c r="O823" s="38">
        <v>6622.0</v>
      </c>
      <c r="P823" s="42">
        <f t="shared" si="2269"/>
        <v>0.9308366053</v>
      </c>
      <c r="Q823" s="43">
        <v>1.5</v>
      </c>
      <c r="R823" s="42">
        <f t="shared" si="2270"/>
        <v>0.6878038014</v>
      </c>
      <c r="S823" s="44">
        <f t="shared" si="2271"/>
        <v>1.031705702</v>
      </c>
      <c r="T823" s="43">
        <f>F823/23.84</f>
        <v>250.6112416</v>
      </c>
      <c r="U823" s="43">
        <f t="shared" si="2272"/>
        <v>8.353708054</v>
      </c>
      <c r="V823" s="40">
        <f t="shared" si="2273"/>
        <v>205.4666667</v>
      </c>
      <c r="X823" s="31">
        <v>2.0</v>
      </c>
      <c r="Y823" s="31" t="s">
        <v>30</v>
      </c>
      <c r="Z823" s="31">
        <f t="shared" ref="Z823:AI823" si="2284">SUM(D818)</f>
        <v>60</v>
      </c>
      <c r="AA823" s="32">
        <f t="shared" si="2284"/>
        <v>58</v>
      </c>
      <c r="AB823" s="33">
        <f t="shared" si="2284"/>
        <v>11697.39</v>
      </c>
      <c r="AC823" s="32">
        <f t="shared" si="2284"/>
        <v>3536</v>
      </c>
      <c r="AD823" s="32">
        <f t="shared" si="2284"/>
        <v>12</v>
      </c>
      <c r="AE823" s="32">
        <f t="shared" si="2284"/>
        <v>3548</v>
      </c>
      <c r="AF823" s="32">
        <f t="shared" si="2284"/>
        <v>6010</v>
      </c>
      <c r="AG823" s="32">
        <f t="shared" si="2284"/>
        <v>0</v>
      </c>
      <c r="AH823" s="32">
        <f t="shared" si="2284"/>
        <v>6010</v>
      </c>
      <c r="AI823" s="32">
        <f t="shared" si="2284"/>
        <v>9558</v>
      </c>
      <c r="AJ823" s="34">
        <f t="shared" si="2285"/>
        <v>201.6791379</v>
      </c>
      <c r="AK823" s="31">
        <f t="shared" si="2286"/>
        <v>11164</v>
      </c>
      <c r="AL823" s="35">
        <f t="shared" si="2287"/>
        <v>0.856144751</v>
      </c>
      <c r="AM823" s="36">
        <f t="shared" si="2288"/>
        <v>1.5</v>
      </c>
      <c r="AN823" s="35">
        <f t="shared" si="2289"/>
        <v>0.5447369028</v>
      </c>
      <c r="AO823" s="37">
        <f t="shared" si="2290"/>
        <v>0.8171053543</v>
      </c>
      <c r="AP823" s="36">
        <f t="shared" ref="AP823:AQ823" si="2291">SUM(T818)</f>
        <v>395.1420464</v>
      </c>
      <c r="AQ823" s="36">
        <f t="shared" si="2291"/>
        <v>6.812793904</v>
      </c>
      <c r="AR823" s="32">
        <f t="shared" si="2292"/>
        <v>164.7931034</v>
      </c>
    </row>
    <row r="824" ht="15.75" customHeight="1">
      <c r="A824" s="21"/>
      <c r="B824" s="38">
        <v>9.0</v>
      </c>
      <c r="C824" s="38" t="s">
        <v>36</v>
      </c>
      <c r="D824" s="58">
        <v>30.0</v>
      </c>
      <c r="E824" s="40">
        <f>IFERROR(__xludf.DUMMYFUNCTION("COUNT(IMPORTRANGE(""https://docs.google.com/spreadsheets/d/1VqqqRGfmmkT0JC4ILJva2p8P11jjV0FX-TSKAaqOigw/edit"",""31!d2:d31""))"),30.0)</f>
        <v>30</v>
      </c>
      <c r="F824" s="45">
        <f>IFERROR(__xludf.DUMMYFUNCTION("SUM(IMPORTRANGE(""https://docs.google.com/spreadsheets/d/1VqqqRGfmmkT0JC4ILJva2p8P11jjV0FX-TSKAaqOigw/edit"",""31!Q2:Q31""))"),5887.119)</f>
        <v>5887.119</v>
      </c>
      <c r="G824" s="40">
        <f>IFERROR(__xludf.DUMMYFUNCTION("IMPORTRANGE(""https://docs.google.com/spreadsheets/d/1VqqqRGfmmkT0JC4ILJva2p8P11jjV0FX-TSKAaqOigw/edit"",""31!e38"")"),1561.0)</f>
        <v>1561</v>
      </c>
      <c r="H824" s="40">
        <f>IFERROR(__xludf.DUMMYFUNCTION("IMPORTRANGE(""https://docs.google.com/spreadsheets/d/1VqqqRGfmmkT0JC4ILJva2p8P11jjV0FX-TSKAaqOigw/edit"",""31!e39"")"),0.0)</f>
        <v>0</v>
      </c>
      <c r="I824" s="40">
        <f t="shared" si="2265"/>
        <v>1561</v>
      </c>
      <c r="J824" s="40">
        <f>IFERROR(__xludf.DUMMYFUNCTION("IMPORTRANGE(""https://docs.google.com/spreadsheets/d/1VqqqRGfmmkT0JC4ILJva2p8P11jjV0FX-TSKAaqOigw/edit"",""31!e42"")"),2333.0)</f>
        <v>2333</v>
      </c>
      <c r="K824" s="40">
        <f>IFERROR(__xludf.DUMMYFUNCTION("IMPORTRANGE(""https://docs.google.com/spreadsheets/d/1VqqqRGfmmkT0JC4ILJva2p8P11jjV0FX-TSKAaqOigw/edit"",""31!e43"")"),0.0)</f>
        <v>0</v>
      </c>
      <c r="L824" s="40">
        <f t="shared" ref="L824:L833" si="2295">SUM(J824:K824)</f>
        <v>2333</v>
      </c>
      <c r="M824" s="40">
        <f t="shared" si="2267"/>
        <v>3894</v>
      </c>
      <c r="N824" s="41">
        <f t="shared" si="2268"/>
        <v>196.2373</v>
      </c>
      <c r="O824" s="38">
        <v>4796.0</v>
      </c>
      <c r="P824" s="42">
        <f t="shared" si="2269"/>
        <v>0.8119266055</v>
      </c>
      <c r="Q824" s="43">
        <v>1.5</v>
      </c>
      <c r="R824" s="42">
        <f t="shared" si="2270"/>
        <v>0.4409627188</v>
      </c>
      <c r="S824" s="44">
        <f t="shared" si="2271"/>
        <v>0.6614440782</v>
      </c>
      <c r="T824" s="43">
        <f>F824/37.414</f>
        <v>157.3506976</v>
      </c>
      <c r="U824" s="43">
        <f t="shared" si="2272"/>
        <v>5.245023253</v>
      </c>
      <c r="V824" s="40">
        <f t="shared" si="2273"/>
        <v>129.8</v>
      </c>
      <c r="X824" s="22">
        <v>3.0</v>
      </c>
      <c r="Y824" s="22" t="s">
        <v>34</v>
      </c>
      <c r="Z824" s="22">
        <f t="shared" ref="Z824:AI824" si="2293">SUM(D820)</f>
        <v>40</v>
      </c>
      <c r="AA824" s="23">
        <f t="shared" si="2293"/>
        <v>40</v>
      </c>
      <c r="AB824" s="24">
        <f t="shared" si="2293"/>
        <v>7710.384</v>
      </c>
      <c r="AC824" s="23">
        <f t="shared" si="2293"/>
        <v>2570</v>
      </c>
      <c r="AD824" s="23">
        <f t="shared" si="2293"/>
        <v>85</v>
      </c>
      <c r="AE824" s="23">
        <f t="shared" si="2293"/>
        <v>2655</v>
      </c>
      <c r="AF824" s="23">
        <f t="shared" si="2293"/>
        <v>3392</v>
      </c>
      <c r="AG824" s="23">
        <f t="shared" si="2293"/>
        <v>0</v>
      </c>
      <c r="AH824" s="23">
        <f t="shared" si="2293"/>
        <v>3392</v>
      </c>
      <c r="AI824" s="23">
        <f t="shared" si="2293"/>
        <v>6047</v>
      </c>
      <c r="AJ824" s="25">
        <f t="shared" si="2285"/>
        <v>192.7596</v>
      </c>
      <c r="AK824" s="22">
        <f>SUM(O820)</f>
        <v>9354</v>
      </c>
      <c r="AL824" s="26">
        <f t="shared" si="2287"/>
        <v>0.6464614069</v>
      </c>
      <c r="AM824" s="27">
        <f>SUM(Q820)</f>
        <v>1.5</v>
      </c>
      <c r="AN824" s="26">
        <f t="shared" si="2289"/>
        <v>0.5228446901</v>
      </c>
      <c r="AO824" s="28">
        <f t="shared" si="2290"/>
        <v>0.7842670352</v>
      </c>
      <c r="AP824" s="27">
        <f t="shared" ref="AP824:AQ824" si="2294">SUM(T820)</f>
        <v>251.0462671</v>
      </c>
      <c r="AQ824" s="27">
        <f t="shared" si="2294"/>
        <v>6.276156676</v>
      </c>
      <c r="AR824" s="23">
        <f t="shared" si="2292"/>
        <v>151.175</v>
      </c>
    </row>
    <row r="825" ht="15.75" customHeight="1">
      <c r="A825" s="21"/>
      <c r="B825" s="38">
        <v>10.0</v>
      </c>
      <c r="C825" s="38" t="s">
        <v>37</v>
      </c>
      <c r="D825" s="39">
        <v>30.0</v>
      </c>
      <c r="E825" s="40">
        <f>IFERROR(__xludf.DUMMYFUNCTION("COUNT(IMPORTRANGE(""https://docs.google.com/spreadsheets/d/1IYeRjQd_D6MRqoBKNaky3aSEUloYCJc5XDnPAbdyetk/edit"",""31!d2:d31""))"),30.0)</f>
        <v>30</v>
      </c>
      <c r="F825" s="45">
        <f>IFERROR(__xludf.DUMMYFUNCTION("SUM(IMPORTRANGE(""https://docs.google.com/spreadsheets/d/1IYeRjQd_D6MRqoBKNaky3aSEUloYCJc5XDnPAbdyetk/edit"",""31!Q2:Q31""))"),5936.148000000002)</f>
        <v>5936.148</v>
      </c>
      <c r="G825" s="40">
        <f>IFERROR(__xludf.DUMMYFUNCTION("(IMPORTRANGE(""https://docs.google.com/spreadsheets/d/1IYeRjQd_D6MRqoBKNaky3aSEUloYCJc5XDnPAbdyetk/edit"",""31!e38""))"),2132.0)</f>
        <v>2132</v>
      </c>
      <c r="H825" s="40">
        <f>IFERROR(__xludf.DUMMYFUNCTION("(IMPORTRANGE(""https://docs.google.com/spreadsheets/d/1IYeRjQd_D6MRqoBKNaky3aSEUloYCJc5XDnPAbdyetk/edit"",""31!e39""))"),0.0)</f>
        <v>0</v>
      </c>
      <c r="I825" s="40">
        <f t="shared" si="2265"/>
        <v>2132</v>
      </c>
      <c r="J825" s="40">
        <f>IFERROR(__xludf.DUMMYFUNCTION("(IMPORTRANGE(""https://docs.google.com/spreadsheets/d/1IYeRjQd_D6MRqoBKNaky3aSEUloYCJc5XDnPAbdyetk/edit"",""31!e42""))"),3292.0)</f>
        <v>3292</v>
      </c>
      <c r="K825" s="40">
        <f>IFERROR(__xludf.DUMMYFUNCTION("(IMPORTRANGE(""https://docs.google.com/spreadsheets/d/1IYeRjQd_D6MRqoBKNaky3aSEUloYCJc5XDnPAbdyetk/edit"",""31!e43""))"),0.0)</f>
        <v>0</v>
      </c>
      <c r="L825" s="40">
        <f t="shared" si="2295"/>
        <v>3292</v>
      </c>
      <c r="M825" s="40">
        <f t="shared" si="2267"/>
        <v>5424</v>
      </c>
      <c r="N825" s="41">
        <f t="shared" si="2268"/>
        <v>197.8716</v>
      </c>
      <c r="O825" s="38">
        <v>5887.0</v>
      </c>
      <c r="P825" s="42">
        <f t="shared" si="2269"/>
        <v>0.9213521318</v>
      </c>
      <c r="Q825" s="43">
        <v>1.5</v>
      </c>
      <c r="R825" s="42">
        <f t="shared" si="2270"/>
        <v>0.6091492328</v>
      </c>
      <c r="S825" s="44">
        <f t="shared" si="2271"/>
        <v>0.9137238492</v>
      </c>
      <c r="T825" s="43">
        <f>F825/24.792</f>
        <v>239.4380445</v>
      </c>
      <c r="U825" s="43">
        <f t="shared" si="2272"/>
        <v>7.981268151</v>
      </c>
      <c r="V825" s="40">
        <f t="shared" si="2273"/>
        <v>180.8</v>
      </c>
      <c r="X825" s="31">
        <v>4.0</v>
      </c>
      <c r="Y825" s="31" t="s">
        <v>38</v>
      </c>
      <c r="Z825" s="31">
        <f t="shared" ref="Z825:AI825" si="2296">SUM(D828)</f>
        <v>30</v>
      </c>
      <c r="AA825" s="32">
        <f t="shared" si="2296"/>
        <v>29</v>
      </c>
      <c r="AB825" s="33">
        <f t="shared" si="2296"/>
        <v>6036.017</v>
      </c>
      <c r="AC825" s="32">
        <f t="shared" si="2296"/>
        <v>1765</v>
      </c>
      <c r="AD825" s="32">
        <f t="shared" si="2296"/>
        <v>59</v>
      </c>
      <c r="AE825" s="32">
        <f t="shared" si="2296"/>
        <v>1824</v>
      </c>
      <c r="AF825" s="32">
        <f t="shared" si="2296"/>
        <v>3151</v>
      </c>
      <c r="AG825" s="32">
        <f t="shared" si="2296"/>
        <v>0</v>
      </c>
      <c r="AH825" s="32">
        <f t="shared" si="2296"/>
        <v>3151</v>
      </c>
      <c r="AI825" s="32">
        <f t="shared" si="2296"/>
        <v>4975</v>
      </c>
      <c r="AJ825" s="34">
        <f t="shared" si="2285"/>
        <v>208.1385172</v>
      </c>
      <c r="AK825" s="31">
        <v>7324.0</v>
      </c>
      <c r="AL825" s="35">
        <f t="shared" si="2287"/>
        <v>0.679273621</v>
      </c>
      <c r="AM825" s="36">
        <f>SUM(Q828)</f>
        <v>1.5</v>
      </c>
      <c r="AN825" s="35">
        <f t="shared" si="2289"/>
        <v>0.5494793449</v>
      </c>
      <c r="AO825" s="37">
        <f t="shared" si="2290"/>
        <v>0.8242190173</v>
      </c>
      <c r="AP825" s="36">
        <f t="shared" ref="AP825:AQ825" si="2297">SUM(T828)</f>
        <v>146.4874894</v>
      </c>
      <c r="AQ825" s="36">
        <f t="shared" si="2297"/>
        <v>5.051292737</v>
      </c>
      <c r="AR825" s="32">
        <f t="shared" si="2292"/>
        <v>171.5517241</v>
      </c>
    </row>
    <row r="826" ht="15.75" customHeight="1">
      <c r="A826" s="21"/>
      <c r="B826" s="38">
        <v>12.0</v>
      </c>
      <c r="C826" s="38" t="s">
        <v>39</v>
      </c>
      <c r="D826" s="39">
        <v>28.0</v>
      </c>
      <c r="E826" s="40">
        <f>IFERROR(__xludf.DUMMYFUNCTION("COUNT(IMPORTRANGE(""https://docs.google.com/spreadsheets/d/1TAY2D35yAzyl8a_p5CuZehQvmatfj0b0Q8ICl8GtJBY/edit"",""31!d2:d29""))"),27.0)</f>
        <v>27</v>
      </c>
      <c r="F826" s="45">
        <f>IFERROR(__xludf.DUMMYFUNCTION("SUM(IMPORTRANGE(""https://docs.google.com/spreadsheets/d/1TAY2D35yAzyl8a_p5CuZehQvmatfj0b0Q8ICl8GtJBY/edit"",""31!Q2:Q29""))"),5039.440000000001)</f>
        <v>5039.44</v>
      </c>
      <c r="G826" s="40">
        <f>IFERROR(__xludf.DUMMYFUNCTION("IMPORTRANGE(""https://docs.google.com/spreadsheets/d/1TAY2D35yAzyl8a_p5CuZehQvmatfj0b0Q8ICl8GtJBY/edit"",""31!e36"")"),1146.0)</f>
        <v>1146</v>
      </c>
      <c r="H826" s="40">
        <f>IFERROR(__xludf.DUMMYFUNCTION("(IMPORTRANGE(""https://docs.google.com/spreadsheets/d/1TAY2D35yAzyl8a_p5CuZehQvmatfj0b0Q8ICl8GtJBY/edit"",""31!e37""))"),93.0)</f>
        <v>93</v>
      </c>
      <c r="I826" s="40">
        <f t="shared" si="2265"/>
        <v>1239</v>
      </c>
      <c r="J826" s="40">
        <f>IFERROR(__xludf.DUMMYFUNCTION("IMPORTRANGE(""https://docs.google.com/spreadsheets/d/1TAY2D35yAzyl8a_p5CuZehQvmatfj0b0Q8ICl8GtJBY/edit"",""31!e40"")"),1917.0)</f>
        <v>1917</v>
      </c>
      <c r="K826" s="40">
        <f>IFERROR(__xludf.DUMMYFUNCTION("IMPORTRANGE(""https://docs.google.com/spreadsheets/d/1TAY2D35yAzyl8a_p5CuZehQvmatfj0b0Q8ICl8GtJBY/edit"",""31!e41"")"),63.0)</f>
        <v>63</v>
      </c>
      <c r="L826" s="40">
        <f t="shared" si="2295"/>
        <v>1980</v>
      </c>
      <c r="M826" s="40">
        <f t="shared" si="2267"/>
        <v>3219</v>
      </c>
      <c r="N826" s="41">
        <f t="shared" si="2268"/>
        <v>186.6459259</v>
      </c>
      <c r="O826" s="38">
        <v>3569.0</v>
      </c>
      <c r="P826" s="42">
        <f t="shared" si="2269"/>
        <v>0.9019333147</v>
      </c>
      <c r="Q826" s="43">
        <v>1.5</v>
      </c>
      <c r="R826" s="42">
        <f t="shared" si="2270"/>
        <v>0.4258409665</v>
      </c>
      <c r="S826" s="44">
        <f t="shared" si="2271"/>
        <v>0.6387614497</v>
      </c>
      <c r="T826" s="43">
        <f>F826/21.463</f>
        <v>234.7966268</v>
      </c>
      <c r="U826" s="43">
        <f t="shared" si="2272"/>
        <v>8.696171361</v>
      </c>
      <c r="V826" s="40">
        <f t="shared" si="2273"/>
        <v>119.2222222</v>
      </c>
      <c r="X826" s="31">
        <v>5.0</v>
      </c>
      <c r="Y826" s="31" t="s">
        <v>40</v>
      </c>
      <c r="Z826" s="31">
        <f t="shared" ref="Z826:AI826" si="2298">SUM(D830)</f>
        <v>30</v>
      </c>
      <c r="AA826" s="32">
        <f t="shared" si="2298"/>
        <v>30</v>
      </c>
      <c r="AB826" s="33">
        <f t="shared" si="2298"/>
        <v>5745.486</v>
      </c>
      <c r="AC826" s="32">
        <f t="shared" si="2298"/>
        <v>3292</v>
      </c>
      <c r="AD826" s="32">
        <f t="shared" si="2298"/>
        <v>0</v>
      </c>
      <c r="AE826" s="32">
        <f t="shared" si="2298"/>
        <v>3292</v>
      </c>
      <c r="AF826" s="32">
        <f t="shared" si="2298"/>
        <v>3848</v>
      </c>
      <c r="AG826" s="32">
        <f t="shared" si="2298"/>
        <v>0</v>
      </c>
      <c r="AH826" s="32">
        <f t="shared" si="2298"/>
        <v>3848</v>
      </c>
      <c r="AI826" s="32">
        <f t="shared" si="2298"/>
        <v>7140</v>
      </c>
      <c r="AJ826" s="34">
        <f t="shared" si="2285"/>
        <v>191.5162</v>
      </c>
      <c r="AK826" s="31">
        <f t="shared" ref="AK826:AK827" si="2301">SUM(O830)</f>
        <v>8239</v>
      </c>
      <c r="AL826" s="35">
        <f t="shared" si="2287"/>
        <v>0.8666100255</v>
      </c>
      <c r="AM826" s="36">
        <f t="shared" ref="AM826:AM827" si="2302">SUM(Q830)</f>
        <v>1.5</v>
      </c>
      <c r="AN826" s="35">
        <f t="shared" si="2289"/>
        <v>0.828476477</v>
      </c>
      <c r="AO826" s="37">
        <f t="shared" si="2290"/>
        <v>1.242714716</v>
      </c>
      <c r="AP826" s="36">
        <f t="shared" ref="AP826:AQ826" si="2299">SUM(T830)</f>
        <v>202</v>
      </c>
      <c r="AQ826" s="36">
        <f t="shared" si="2299"/>
        <v>6.733333333</v>
      </c>
      <c r="AR826" s="32">
        <f t="shared" si="2292"/>
        <v>238</v>
      </c>
    </row>
    <row r="827" ht="15.75" customHeight="1">
      <c r="A827" s="21"/>
      <c r="B827" s="38">
        <v>12.0</v>
      </c>
      <c r="C827" s="38" t="s">
        <v>41</v>
      </c>
      <c r="D827" s="39">
        <v>24.0</v>
      </c>
      <c r="E827" s="40">
        <f>IFERROR(__xludf.DUMMYFUNCTION("COUNT(IMPORTRANGE(""https://docs.google.com/spreadsheets/d/1VAsUtLQHi7oV9NsI9EIHPnO1bcPJHeRgSbMoxSvPBME/edit"",""31!d2:d25""))"),24.0)</f>
        <v>24</v>
      </c>
      <c r="F827" s="45">
        <f>IFERROR(__xludf.DUMMYFUNCTION("SUM(IMPORTRANGE(""https://docs.google.com/spreadsheets/d/1VAsUtLQHi7oV9NsI9EIHPnO1bcPJHeRgSbMoxSvPBME/edit"",""31!Q2:Q25""))"),4793.152000000001)</f>
        <v>4793.152</v>
      </c>
      <c r="G827" s="40">
        <f>IFERROR(__xludf.DUMMYFUNCTION("IMPORTRANGE(""https://docs.google.com/spreadsheets/d/1VAsUtLQHi7oV9NsI9EIHPnO1bcPJHeRgSbMoxSvPBME/edit"",""31!e32"")"),1313.0)</f>
        <v>1313</v>
      </c>
      <c r="H827" s="40">
        <f>IFERROR(__xludf.DUMMYFUNCTION("IMPORTRANGE(""https://docs.google.com/spreadsheets/d/1VAsUtLQHi7oV9NsI9EIHPnO1bcPJHeRgSbMoxSvPBME/edit"",""31!e33"")"),45.0)</f>
        <v>45</v>
      </c>
      <c r="I827" s="40">
        <f t="shared" si="2265"/>
        <v>1358</v>
      </c>
      <c r="J827" s="40">
        <f>IFERROR(__xludf.DUMMYFUNCTION("IMPORTRANGE(""https://docs.google.com/spreadsheets/d/1VAsUtLQHi7oV9NsI9EIHPnO1bcPJHeRgSbMoxSvPBME/edit"",""31!e36"")"),1718.0)</f>
        <v>1718</v>
      </c>
      <c r="K827" s="40">
        <f>IFERROR(__xludf.DUMMYFUNCTION("IMPORTRANGE(""https://docs.google.com/spreadsheets/d/1VAsUtLQHi7oV9NsI9EIHPnO1bcPJHeRgSbMoxSvPBME/edit"",""31!e37"")"),0.0)</f>
        <v>0</v>
      </c>
      <c r="L827" s="40">
        <f t="shared" si="2295"/>
        <v>1718</v>
      </c>
      <c r="M827" s="40">
        <f t="shared" si="2267"/>
        <v>3076</v>
      </c>
      <c r="N827" s="41">
        <f t="shared" si="2268"/>
        <v>199.7146667</v>
      </c>
      <c r="O827" s="38">
        <v>3801.0</v>
      </c>
      <c r="P827" s="42">
        <f t="shared" si="2269"/>
        <v>0.8092607209</v>
      </c>
      <c r="Q827" s="43">
        <v>1.5</v>
      </c>
      <c r="R827" s="42">
        <f t="shared" si="2270"/>
        <v>0.4278325967</v>
      </c>
      <c r="S827" s="44">
        <f t="shared" si="2271"/>
        <v>0.6417488951</v>
      </c>
      <c r="T827" s="43">
        <f>F827/29.628</f>
        <v>161.7777778</v>
      </c>
      <c r="U827" s="43">
        <f t="shared" si="2272"/>
        <v>6.740740741</v>
      </c>
      <c r="V827" s="40">
        <f t="shared" si="2273"/>
        <v>128.1666667</v>
      </c>
      <c r="X827" s="22">
        <v>6.0</v>
      </c>
      <c r="Y827" s="22" t="s">
        <v>42</v>
      </c>
      <c r="Z827" s="22">
        <f t="shared" ref="Z827:AI827" si="2300">SUM(D831)</f>
        <v>33</v>
      </c>
      <c r="AA827" s="23">
        <f t="shared" si="2300"/>
        <v>33</v>
      </c>
      <c r="AB827" s="24">
        <f t="shared" si="2300"/>
        <v>6295.662</v>
      </c>
      <c r="AC827" s="23">
        <f t="shared" si="2300"/>
        <v>3092</v>
      </c>
      <c r="AD827" s="23">
        <f t="shared" si="2300"/>
        <v>150</v>
      </c>
      <c r="AE827" s="23">
        <f t="shared" si="2300"/>
        <v>3242</v>
      </c>
      <c r="AF827" s="23">
        <f t="shared" si="2300"/>
        <v>3956</v>
      </c>
      <c r="AG827" s="23">
        <f t="shared" si="2300"/>
        <v>117</v>
      </c>
      <c r="AH827" s="23">
        <f t="shared" si="2300"/>
        <v>4073</v>
      </c>
      <c r="AI827" s="23">
        <f t="shared" si="2300"/>
        <v>7315</v>
      </c>
      <c r="AJ827" s="25">
        <f t="shared" si="2285"/>
        <v>190.7776364</v>
      </c>
      <c r="AK827" s="22">
        <f t="shared" si="2301"/>
        <v>9877</v>
      </c>
      <c r="AL827" s="26">
        <f t="shared" si="2287"/>
        <v>0.7406094968</v>
      </c>
      <c r="AM827" s="27">
        <f t="shared" si="2302"/>
        <v>1.5</v>
      </c>
      <c r="AN827" s="26">
        <f t="shared" si="2289"/>
        <v>0.7746074466</v>
      </c>
      <c r="AO827" s="28">
        <f t="shared" si="2290"/>
        <v>1.16191117</v>
      </c>
      <c r="AP827" s="27">
        <f t="shared" ref="AP827:AQ827" si="2303">SUM(T831)</f>
        <v>240.7058689</v>
      </c>
      <c r="AQ827" s="27">
        <f t="shared" si="2303"/>
        <v>7.294117238</v>
      </c>
      <c r="AR827" s="23">
        <f t="shared" si="2292"/>
        <v>221.6666667</v>
      </c>
    </row>
    <row r="828" ht="15.75" customHeight="1">
      <c r="A828" s="21"/>
      <c r="B828" s="38">
        <v>13.0</v>
      </c>
      <c r="C828" s="38" t="s">
        <v>43</v>
      </c>
      <c r="D828" s="39">
        <v>30.0</v>
      </c>
      <c r="E828" s="40">
        <f>IFERROR(__xludf.DUMMYFUNCTION("COUNT(IMPORTRANGE(""https://docs.google.com/spreadsheets/d/1p9Y_DGk7-TpRBFth-ljZceOIGCjQ0ylUeUq6xqnsZ-Q/edit"",""31!d2:d31""))"),29.0)</f>
        <v>29</v>
      </c>
      <c r="F828" s="45">
        <f>IFERROR(__xludf.DUMMYFUNCTION("SUM(IMPORTRANGE(""https://docs.google.com/spreadsheets/d/1p9Y_DGk7-TpRBFth-ljZceOIGCjQ0ylUeUq6xqnsZ-Q/edit"",""31!Q2:Q31""))"),6036.017)</f>
        <v>6036.017</v>
      </c>
      <c r="G828" s="40">
        <f>IFERROR(__xludf.DUMMYFUNCTION("IMPORTRANGE(""https://docs.google.com/spreadsheets/d/1p9Y_DGk7-TpRBFth-ljZceOIGCjQ0ylUeUq6xqnsZ-Q/edit"",""31!e38"")"),1765.0)</f>
        <v>1765</v>
      </c>
      <c r="H828" s="40">
        <f>IFERROR(__xludf.DUMMYFUNCTION("IMPORTRANGE(""https://docs.google.com/spreadsheets/d/1p9Y_DGk7-TpRBFth-ljZceOIGCjQ0ylUeUq6xqnsZ-Q/edit"",""31!e39"")"),59.0)</f>
        <v>59</v>
      </c>
      <c r="I828" s="40">
        <f t="shared" si="2265"/>
        <v>1824</v>
      </c>
      <c r="J828" s="40">
        <f>IFERROR(__xludf.DUMMYFUNCTION("IMPORTRANGE(""https://docs.google.com/spreadsheets/d/1p9Y_DGk7-TpRBFth-ljZceOIGCjQ0ylUeUq6xqnsZ-Q/edit"",""31!e42"")"),3151.0)</f>
        <v>3151</v>
      </c>
      <c r="K828" s="40">
        <f>IFERROR(__xludf.DUMMYFUNCTION("IMPORTRANGE(""https://docs.google.com/spreadsheets/d/1p9Y_DGk7-TpRBFth-ljZceOIGCjQ0ylUeUq6xqnsZ-Q/edit"",""31!e43"")"),0.0)</f>
        <v>0</v>
      </c>
      <c r="L828" s="40">
        <f t="shared" si="2295"/>
        <v>3151</v>
      </c>
      <c r="M828" s="40">
        <f t="shared" si="2267"/>
        <v>4975</v>
      </c>
      <c r="N828" s="41">
        <f t="shared" si="2268"/>
        <v>208.1385172</v>
      </c>
      <c r="O828" s="38">
        <v>8345.0</v>
      </c>
      <c r="P828" s="42">
        <f t="shared" si="2269"/>
        <v>0.5961653685</v>
      </c>
      <c r="Q828" s="43">
        <v>1.5</v>
      </c>
      <c r="R828" s="42">
        <f t="shared" si="2270"/>
        <v>0.5494793449</v>
      </c>
      <c r="S828" s="44">
        <f t="shared" si="2271"/>
        <v>0.8242190173</v>
      </c>
      <c r="T828" s="43">
        <f>F828/41.205</f>
        <v>146.4874894</v>
      </c>
      <c r="U828" s="43">
        <f t="shared" si="2272"/>
        <v>5.051292737</v>
      </c>
      <c r="V828" s="40">
        <f t="shared" si="2273"/>
        <v>171.5517241</v>
      </c>
      <c r="X828" s="46" t="s">
        <v>33</v>
      </c>
      <c r="Y828" s="46">
        <v>6.0</v>
      </c>
      <c r="Z828" s="46">
        <f t="shared" ref="Z828:AI828" si="2304">SUM(Z822:Z827)</f>
        <v>226</v>
      </c>
      <c r="AA828" s="47">
        <f t="shared" si="2304"/>
        <v>223</v>
      </c>
      <c r="AB828" s="49">
        <f t="shared" si="2304"/>
        <v>43890.184</v>
      </c>
      <c r="AC828" s="47">
        <f t="shared" si="2304"/>
        <v>17242</v>
      </c>
      <c r="AD828" s="47">
        <f t="shared" si="2304"/>
        <v>306</v>
      </c>
      <c r="AE828" s="47">
        <f t="shared" si="2304"/>
        <v>17548</v>
      </c>
      <c r="AF828" s="47">
        <f t="shared" si="2304"/>
        <v>23031</v>
      </c>
      <c r="AG828" s="47">
        <f t="shared" si="2304"/>
        <v>466</v>
      </c>
      <c r="AH828" s="47">
        <f t="shared" si="2304"/>
        <v>23497</v>
      </c>
      <c r="AI828" s="47">
        <f t="shared" si="2304"/>
        <v>41045</v>
      </c>
      <c r="AJ828" s="49">
        <f t="shared" si="2285"/>
        <v>196.8169686</v>
      </c>
      <c r="AK828" s="46">
        <f>SUM(AK822:AK827)</f>
        <v>53273</v>
      </c>
      <c r="AL828" s="50">
        <f t="shared" si="2287"/>
        <v>0.7704653389</v>
      </c>
      <c r="AM828" s="51">
        <v>1.5</v>
      </c>
      <c r="AN828" s="50">
        <f t="shared" si="2289"/>
        <v>0.6234499571</v>
      </c>
      <c r="AO828" s="52">
        <f t="shared" si="2290"/>
        <v>0.9351749357</v>
      </c>
      <c r="AP828" s="51">
        <f>SUM(AP822:AP827)</f>
        <v>1442.691281</v>
      </c>
      <c r="AQ828" s="51">
        <f>AP828/AA828</f>
        <v>6.469467628</v>
      </c>
      <c r="AR828" s="47">
        <f t="shared" si="2292"/>
        <v>184.058296</v>
      </c>
    </row>
    <row r="829" ht="15.75" customHeight="1">
      <c r="A829" s="21"/>
      <c r="B829" s="38">
        <v>14.0</v>
      </c>
      <c r="C829" s="38" t="s">
        <v>27</v>
      </c>
      <c r="D829" s="39">
        <v>30.0</v>
      </c>
      <c r="E829" s="40">
        <f>IFERROR(__xludf.DUMMYFUNCTION("COUNT(IMPORTRANGE(""https://docs.google.com/spreadsheets/d/1zJUDEKztv_fercXA0LYNw155qdzS7TJGhWLhquaW5IY/edit"",""31!d2:d31""))"),29.0)</f>
        <v>29</v>
      </c>
      <c r="F829" s="45">
        <f>IFERROR(__xludf.DUMMYFUNCTION("SUM(IMPORTRANGE(""https://docs.google.com/spreadsheets/d/1zJUDEKztv_fercXA0LYNw155qdzS7TJGhWLhquaW5IY/edit"",""31!Q2:Q31""))"),5551.722999999999)</f>
        <v>5551.723</v>
      </c>
      <c r="G829" s="40">
        <f>IFERROR(__xludf.DUMMYFUNCTION("IMPORTRANGE(""https://docs.google.com/spreadsheets/d/1zJUDEKztv_fercXA0LYNw155qdzS7TJGhWLhquaW5IY/edit"",""31!e38"")"),2451.0)</f>
        <v>2451</v>
      </c>
      <c r="H829" s="40">
        <f>IFERROR(__xludf.DUMMYFUNCTION("IMPORTRANGE(""https://docs.google.com/spreadsheets/d/1zJUDEKztv_fercXA0LYNw155qdzS7TJGhWLhquaW5IY/edit"",""31!e39"")"),160.0)</f>
        <v>160</v>
      </c>
      <c r="I829" s="40">
        <f t="shared" si="2265"/>
        <v>2611</v>
      </c>
      <c r="J829" s="40">
        <f>IFERROR(__xludf.DUMMYFUNCTION("IMPORTRANGE(""https://docs.google.com/spreadsheets/d/1zJUDEKztv_fercXA0LYNw155qdzS7TJGhWLhquaW5IY/edit"",""31!e42"")"),3427.0)</f>
        <v>3427</v>
      </c>
      <c r="K829" s="40">
        <f>IFERROR(__xludf.DUMMYFUNCTION("IMPORTRANGE(""https://docs.google.com/spreadsheets/d/1zJUDEKztv_fercXA0LYNw155qdzS7TJGhWLhquaW5IY/edit"",""31!e43"")"),0.0)</f>
        <v>0</v>
      </c>
      <c r="L829" s="40">
        <f t="shared" si="2295"/>
        <v>3427</v>
      </c>
      <c r="M829" s="40">
        <f t="shared" si="2267"/>
        <v>6038</v>
      </c>
      <c r="N829" s="41">
        <f t="shared" si="2268"/>
        <v>191.4387241</v>
      </c>
      <c r="O829" s="38">
        <v>8101.0</v>
      </c>
      <c r="P829" s="42">
        <f t="shared" si="2269"/>
        <v>0.7453400815</v>
      </c>
      <c r="Q829" s="43">
        <v>1.5</v>
      </c>
      <c r="R829" s="42">
        <f t="shared" si="2270"/>
        <v>0.72506019</v>
      </c>
      <c r="S829" s="44">
        <f t="shared" si="2271"/>
        <v>1.087590285</v>
      </c>
      <c r="T829" s="43">
        <f>F829/19.985</f>
        <v>277.7944959</v>
      </c>
      <c r="U829" s="43">
        <f t="shared" si="2272"/>
        <v>9.579120547</v>
      </c>
      <c r="V829" s="40">
        <f t="shared" si="2273"/>
        <v>208.2068966</v>
      </c>
      <c r="X829" s="59" t="s">
        <v>44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6"/>
    </row>
    <row r="830" ht="15.75" customHeight="1">
      <c r="A830" s="21"/>
      <c r="B830" s="38">
        <v>15.0</v>
      </c>
      <c r="C830" s="38" t="s">
        <v>40</v>
      </c>
      <c r="D830" s="39">
        <v>30.0</v>
      </c>
      <c r="E830" s="40">
        <f>IFERROR(__xludf.DUMMYFUNCTION("COUNT(IMPORTRANGE(""https://docs.google.com/spreadsheets/d/15GJA66Ucb-8RQ5vWVpq5HYaWoZZFX82SCeHChBujbrI/edit"",""31!d2:d31""))"),30.0)</f>
        <v>30</v>
      </c>
      <c r="F830" s="45">
        <f>IFERROR(__xludf.DUMMYFUNCTION("SUM(IMPORTRANGE(""https://docs.google.com/spreadsheets/d/15GJA66Ucb-8RQ5vWVpq5HYaWoZZFX82SCeHChBujbrI/edit"",""31!Q2:Q31""))"),5745.485999999999)</f>
        <v>5745.486</v>
      </c>
      <c r="G830" s="40">
        <f>IFERROR(__xludf.DUMMYFUNCTION("IMPORTRANGE(""https://docs.google.com/spreadsheets/d/15GJA66Ucb-8RQ5vWVpq5HYaWoZZFX82SCeHChBujbrI/edit"",""31!e38"")"),3292.0)</f>
        <v>3292</v>
      </c>
      <c r="H830" s="40">
        <f>IFERROR(__xludf.DUMMYFUNCTION("IMPORTRANGE(""https://docs.google.com/spreadsheets/d/15GJA66Ucb-8RQ5vWVpq5HYaWoZZFX82SCeHChBujbrI/edit"",""31!e39"")"),0.0)</f>
        <v>0</v>
      </c>
      <c r="I830" s="40">
        <f t="shared" si="2265"/>
        <v>3292</v>
      </c>
      <c r="J830" s="40">
        <f>IFERROR(__xludf.DUMMYFUNCTION("IMPORTRANGE(""https://docs.google.com/spreadsheets/d/15GJA66Ucb-8RQ5vWVpq5HYaWoZZFX82SCeHChBujbrI/edit"",""31!e42"")"),3848.0)</f>
        <v>3848</v>
      </c>
      <c r="K830" s="40">
        <f>IFERROR(__xludf.DUMMYFUNCTION("IMPORTRANGE(""https://docs.google.com/spreadsheets/d/15GJA66Ucb-8RQ5vWVpq5HYaWoZZFX82SCeHChBujbrI/edit"",""31!e43"")"),0.0)</f>
        <v>0</v>
      </c>
      <c r="L830" s="40">
        <f t="shared" si="2295"/>
        <v>3848</v>
      </c>
      <c r="M830" s="40">
        <f t="shared" si="2267"/>
        <v>7140</v>
      </c>
      <c r="N830" s="41">
        <f t="shared" si="2268"/>
        <v>191.5162</v>
      </c>
      <c r="O830" s="38">
        <v>8239.0</v>
      </c>
      <c r="P830" s="42">
        <f t="shared" si="2269"/>
        <v>0.8666100255</v>
      </c>
      <c r="Q830" s="43">
        <v>1.5</v>
      </c>
      <c r="R830" s="42">
        <f t="shared" si="2270"/>
        <v>0.828476477</v>
      </c>
      <c r="S830" s="44">
        <f t="shared" si="2271"/>
        <v>1.242714716</v>
      </c>
      <c r="T830" s="43">
        <f>F830/28.443</f>
        <v>202</v>
      </c>
      <c r="U830" s="43">
        <f t="shared" si="2272"/>
        <v>6.733333333</v>
      </c>
      <c r="V830" s="40">
        <f t="shared" si="2273"/>
        <v>238</v>
      </c>
      <c r="X830" s="14" t="s">
        <v>2</v>
      </c>
      <c r="Y830" s="14" t="s">
        <v>3</v>
      </c>
      <c r="Z830" s="14" t="s">
        <v>4</v>
      </c>
      <c r="AA830" s="14" t="s">
        <v>5</v>
      </c>
      <c r="AB830" s="15" t="s">
        <v>6</v>
      </c>
      <c r="AC830" s="14" t="s">
        <v>7</v>
      </c>
      <c r="AD830" s="14" t="s">
        <v>8</v>
      </c>
      <c r="AE830" s="14" t="s">
        <v>9</v>
      </c>
      <c r="AF830" s="14" t="s">
        <v>10</v>
      </c>
      <c r="AG830" s="14" t="s">
        <v>11</v>
      </c>
      <c r="AH830" s="14" t="s">
        <v>12</v>
      </c>
      <c r="AI830" s="14" t="s">
        <v>13</v>
      </c>
      <c r="AJ830" s="15" t="s">
        <v>14</v>
      </c>
      <c r="AK830" s="14" t="s">
        <v>15</v>
      </c>
      <c r="AL830" s="14" t="s">
        <v>16</v>
      </c>
      <c r="AM830" s="16" t="s">
        <v>17</v>
      </c>
      <c r="AN830" s="17" t="s">
        <v>18</v>
      </c>
      <c r="AO830" s="18" t="s">
        <v>19</v>
      </c>
      <c r="AP830" s="19" t="s">
        <v>20</v>
      </c>
      <c r="AQ830" s="19" t="s">
        <v>21</v>
      </c>
      <c r="AR830" s="20" t="s">
        <v>22</v>
      </c>
    </row>
    <row r="831" ht="15.75" customHeight="1">
      <c r="A831" s="21"/>
      <c r="B831" s="38">
        <v>16.0</v>
      </c>
      <c r="C831" s="38" t="s">
        <v>42</v>
      </c>
      <c r="D831" s="39">
        <v>33.0</v>
      </c>
      <c r="E831" s="40">
        <f>IFERROR(__xludf.DUMMYFUNCTION("COUNT(IMPORTRANGE(""https://docs.google.com/spreadsheets/d/14Tu_jFPEdrIQ6DHYu6vRvJKQsbXr-48NY1tKy4-8JKI/edit"",""31!d2:d34""))"),33.0)</f>
        <v>33</v>
      </c>
      <c r="F831" s="45">
        <f>IFERROR(__xludf.DUMMYFUNCTION("SUM(IMPORTRANGE(""https://docs.google.com/spreadsheets/d/14Tu_jFPEdrIQ6DHYu6vRvJKQsbXr-48NY1tKy4-8JKI/edit"",""31!Q2:Q34""))"),6295.6619999999975)</f>
        <v>6295.662</v>
      </c>
      <c r="G831" s="40">
        <f>IFERROR(__xludf.DUMMYFUNCTION("IMPORTRANGE(""https://docs.google.com/spreadsheets/d/14Tu_jFPEdrIQ6DHYu6vRvJKQsbXr-48NY1tKy4-8JKI/edit"",""31!e41"")"),3092.0)</f>
        <v>3092</v>
      </c>
      <c r="H831" s="40">
        <f>IFERROR(__xludf.DUMMYFUNCTION("IMPORTRANGE(""https://docs.google.com/spreadsheets/d/14Tu_jFPEdrIQ6DHYu6vRvJKQsbXr-48NY1tKy4-8JKI/edit"",""31!e42"")"),150.0)</f>
        <v>150</v>
      </c>
      <c r="I831" s="40">
        <f t="shared" si="2265"/>
        <v>3242</v>
      </c>
      <c r="J831" s="40">
        <f>IFERROR(__xludf.DUMMYFUNCTION("IMPORTRANGE(""https://docs.google.com/spreadsheets/d/14Tu_jFPEdrIQ6DHYu6vRvJKQsbXr-48NY1tKy4-8JKI/edit"",""31!e45"")"),3956.0)</f>
        <v>3956</v>
      </c>
      <c r="K831" s="40">
        <f>IFERROR(__xludf.DUMMYFUNCTION("IMPORTRANGE(""https://docs.google.com/spreadsheets/d/14Tu_jFPEdrIQ6DHYu6vRvJKQsbXr-48NY1tKy4-8JKI/edit"",""31!e46"")"),117.0)</f>
        <v>117</v>
      </c>
      <c r="L831" s="40">
        <f t="shared" si="2295"/>
        <v>4073</v>
      </c>
      <c r="M831" s="40">
        <f t="shared" si="2267"/>
        <v>7315</v>
      </c>
      <c r="N831" s="41">
        <f t="shared" si="2268"/>
        <v>190.7776364</v>
      </c>
      <c r="O831" s="38">
        <v>9877.0</v>
      </c>
      <c r="P831" s="42">
        <f t="shared" si="2269"/>
        <v>0.7406094968</v>
      </c>
      <c r="Q831" s="43">
        <v>1.5</v>
      </c>
      <c r="R831" s="42">
        <f t="shared" si="2270"/>
        <v>0.7746074466</v>
      </c>
      <c r="S831" s="44">
        <f t="shared" si="2271"/>
        <v>1.16191117</v>
      </c>
      <c r="T831" s="43">
        <f>F831/26.155</f>
        <v>240.7058689</v>
      </c>
      <c r="U831" s="43">
        <f t="shared" si="2272"/>
        <v>7.294117238</v>
      </c>
      <c r="V831" s="40">
        <f t="shared" si="2273"/>
        <v>221.6666667</v>
      </c>
      <c r="X831" s="31">
        <v>1.0</v>
      </c>
      <c r="Y831" s="31" t="s">
        <v>26</v>
      </c>
      <c r="Z831" s="31">
        <f t="shared" ref="Z831:AI831" si="2305">SUM(D816)</f>
        <v>20</v>
      </c>
      <c r="AA831" s="32">
        <f t="shared" si="2305"/>
        <v>20</v>
      </c>
      <c r="AB831" s="34">
        <f t="shared" si="2305"/>
        <v>3993.567</v>
      </c>
      <c r="AC831" s="32">
        <f t="shared" si="2305"/>
        <v>2053</v>
      </c>
      <c r="AD831" s="32">
        <f t="shared" si="2305"/>
        <v>0</v>
      </c>
      <c r="AE831" s="32">
        <f t="shared" si="2305"/>
        <v>2053</v>
      </c>
      <c r="AF831" s="32">
        <f t="shared" si="2305"/>
        <v>3148</v>
      </c>
      <c r="AG831" s="32">
        <f t="shared" si="2305"/>
        <v>0</v>
      </c>
      <c r="AH831" s="32">
        <f t="shared" si="2305"/>
        <v>3148</v>
      </c>
      <c r="AI831" s="32">
        <f t="shared" si="2305"/>
        <v>5201</v>
      </c>
      <c r="AJ831" s="34">
        <f t="shared" ref="AJ831:AJ837" si="2308">AB831/AA831</f>
        <v>199.67835</v>
      </c>
      <c r="AK831" s="31">
        <f>SUM(O816)</f>
        <v>5161</v>
      </c>
      <c r="AL831" s="35">
        <f t="shared" ref="AL831:AL837" si="2309">AI831/AK831</f>
        <v>1.007750436</v>
      </c>
      <c r="AM831" s="36">
        <f>SUM(Q816)</f>
        <v>1.5</v>
      </c>
      <c r="AN831" s="35">
        <f t="shared" ref="AN831:AN837" si="2310">AO831/AM831</f>
        <v>0.8682296637</v>
      </c>
      <c r="AO831" s="37">
        <f t="shared" ref="AO831:AO837" si="2311">AI831/AB831</f>
        <v>1.302344496</v>
      </c>
      <c r="AP831" s="36">
        <f t="shared" ref="AP831:AQ831" si="2306">SUM(T816)</f>
        <v>277.0424558</v>
      </c>
      <c r="AQ831" s="36">
        <f t="shared" si="2306"/>
        <v>13.85212279</v>
      </c>
      <c r="AR831" s="32">
        <f t="shared" ref="AR831:AR837" si="2313">AI831/AA831</f>
        <v>260.05</v>
      </c>
    </row>
    <row r="832" ht="15.75" customHeight="1">
      <c r="A832" s="21"/>
      <c r="B832" s="38">
        <v>17.0</v>
      </c>
      <c r="C832" s="38" t="s">
        <v>29</v>
      </c>
      <c r="D832" s="39">
        <v>30.0</v>
      </c>
      <c r="E832" s="40">
        <f>IFERROR(__xludf.DUMMYFUNCTION("COUNT(IMPORTRANGE(""https://docs.google.com/spreadsheets/d/1ja_RQYsP0p5wRrACHojay4CW1wLx0QdS5tSwp-vYQ-s/edit"",""31!d2:d31""))"),30.0)</f>
        <v>30</v>
      </c>
      <c r="F832" s="45">
        <f>IFERROR(__xludf.DUMMYFUNCTION("SUM(IMPORTRANGE(""https://docs.google.com/spreadsheets/d/1ja_RQYsP0p5wRrACHojay4CW1wLx0QdS5tSwp-vYQ-s/edit"",""31!Q2:Q31""))"),6145.9119999999975)</f>
        <v>6145.912</v>
      </c>
      <c r="G832" s="40">
        <f>IFERROR(__xludf.DUMMYFUNCTION("IMPORTRANGE(""https://docs.google.com/spreadsheets/d/1ja_RQYsP0p5wRrACHojay4CW1wLx0QdS5tSwp-vYQ-s/edit"",""31!e38"")"),2984.0)</f>
        <v>2984</v>
      </c>
      <c r="H832" s="40">
        <f>IFERROR(__xludf.DUMMYFUNCTION("IMPORTRANGE(""https://docs.google.com/spreadsheets/d/1ja_RQYsP0p5wRrACHojay4CW1wLx0QdS5tSwp-vYQ-s/edit"",""31!e39"")"),0.0)</f>
        <v>0</v>
      </c>
      <c r="I832" s="40">
        <f t="shared" si="2265"/>
        <v>2984</v>
      </c>
      <c r="J832" s="40">
        <f>IFERROR(__xludf.DUMMYFUNCTION("IMPORTRANGE(""https://docs.google.com/spreadsheets/d/1ja_RQYsP0p5wRrACHojay4CW1wLx0QdS5tSwp-vYQ-s/edit"",""31!e42"")"),3901.0)</f>
        <v>3901</v>
      </c>
      <c r="K832" s="40">
        <f>IFERROR(__xludf.DUMMYFUNCTION("IMPORTRANGE(""https://docs.google.com/spreadsheets/d/1ja_RQYsP0p5wRrACHojay4CW1wLx0QdS5tSwp-vYQ-s/edit"",""31!e43"")"),0.0)</f>
        <v>0</v>
      </c>
      <c r="L832" s="40">
        <f t="shared" si="2295"/>
        <v>3901</v>
      </c>
      <c r="M832" s="40">
        <f t="shared" si="2267"/>
        <v>6885</v>
      </c>
      <c r="N832" s="41">
        <f t="shared" si="2268"/>
        <v>204.8637333</v>
      </c>
      <c r="O832" s="38">
        <v>9201.0</v>
      </c>
      <c r="P832" s="42">
        <f t="shared" si="2269"/>
        <v>0.7482882295</v>
      </c>
      <c r="Q832" s="43">
        <v>1.5</v>
      </c>
      <c r="R832" s="42">
        <f t="shared" si="2270"/>
        <v>0.7468378981</v>
      </c>
      <c r="S832" s="44">
        <f t="shared" si="2271"/>
        <v>1.120256847</v>
      </c>
      <c r="T832" s="43">
        <f>F832/26.491</f>
        <v>232</v>
      </c>
      <c r="U832" s="43">
        <f t="shared" si="2272"/>
        <v>7.733333333</v>
      </c>
      <c r="V832" s="40">
        <f t="shared" si="2273"/>
        <v>229.5</v>
      </c>
      <c r="X832" s="31">
        <v>2.0</v>
      </c>
      <c r="Y832" s="31" t="s">
        <v>32</v>
      </c>
      <c r="Z832" s="31">
        <f t="shared" ref="Z832:AI832" si="2307">SUM(D819)</f>
        <v>42</v>
      </c>
      <c r="AA832" s="32">
        <f t="shared" si="2307"/>
        <v>42</v>
      </c>
      <c r="AB832" s="33">
        <f t="shared" si="2307"/>
        <v>8003.391</v>
      </c>
      <c r="AC832" s="31">
        <f t="shared" si="2307"/>
        <v>4450</v>
      </c>
      <c r="AD832" s="31">
        <f t="shared" si="2307"/>
        <v>0</v>
      </c>
      <c r="AE832" s="32">
        <f t="shared" si="2307"/>
        <v>4450</v>
      </c>
      <c r="AF832" s="31">
        <f t="shared" si="2307"/>
        <v>5889</v>
      </c>
      <c r="AG832" s="31">
        <f t="shared" si="2307"/>
        <v>0</v>
      </c>
      <c r="AH832" s="32">
        <f t="shared" si="2307"/>
        <v>5889</v>
      </c>
      <c r="AI832" s="32">
        <f t="shared" si="2307"/>
        <v>10339</v>
      </c>
      <c r="AJ832" s="34">
        <f t="shared" si="2308"/>
        <v>190.5569286</v>
      </c>
      <c r="AK832" s="31">
        <f>SUM(O819)</f>
        <v>13817</v>
      </c>
      <c r="AL832" s="35">
        <f t="shared" si="2309"/>
        <v>0.748281103</v>
      </c>
      <c r="AM832" s="36">
        <f>SUM(Q819)</f>
        <v>1.5</v>
      </c>
      <c r="AN832" s="35">
        <f t="shared" si="2310"/>
        <v>0.8612182844</v>
      </c>
      <c r="AO832" s="37">
        <f t="shared" si="2311"/>
        <v>1.291827427</v>
      </c>
      <c r="AP832" s="36">
        <f t="shared" ref="AP832:AQ832" si="2312">SUM(T819)</f>
        <v>319</v>
      </c>
      <c r="AQ832" s="36">
        <f t="shared" si="2312"/>
        <v>7.595238095</v>
      </c>
      <c r="AR832" s="32">
        <f t="shared" si="2313"/>
        <v>246.1666667</v>
      </c>
    </row>
    <row r="833" ht="15.75" customHeight="1">
      <c r="A833" s="21"/>
      <c r="B833" s="38">
        <v>18.0</v>
      </c>
      <c r="C833" s="38" t="s">
        <v>31</v>
      </c>
      <c r="D833" s="39">
        <v>15.0</v>
      </c>
      <c r="E833" s="40">
        <f>IFERROR(__xludf.DUMMYFUNCTION("COUNT(IMPORTRANGE(""https://docs.google.com/spreadsheets/d/1ObnK1oSznTOmyW9Zcd2kxExl7TOnO2MNq_0giEKc_mE/edit"",""31!d2:d16""))"),14.0)</f>
        <v>14</v>
      </c>
      <c r="F833" s="41">
        <f>IFERROR(__xludf.DUMMYFUNCTION("SUM(IMPORTRANGE(""https://docs.google.com/spreadsheets/d/1ObnK1oSznTOmyW9Zcd2kxExl7TOnO2MNq_0giEKc_mE/edit"",""31!Q2:Q16""))"),2758.306)</f>
        <v>2758.306</v>
      </c>
      <c r="G833" s="40">
        <f>IFERROR(__xludf.DUMMYFUNCTION("IMPORTRANGE(""https://docs.google.com/spreadsheets/d/1ObnK1oSznTOmyW9Zcd2kxExl7TOnO2MNq_0giEKc_mE/edit"",""31!e23"")"),890.0)</f>
        <v>890</v>
      </c>
      <c r="H833" s="40">
        <f>IFERROR(__xludf.DUMMYFUNCTION("IMPORTRANGE(""https://docs.google.com/spreadsheets/d/1ObnK1oSznTOmyW9Zcd2kxExl7TOnO2MNq_0giEKc_mE/edit"",""31!e24"")"),0.0)</f>
        <v>0</v>
      </c>
      <c r="I833" s="40">
        <f t="shared" si="2265"/>
        <v>890</v>
      </c>
      <c r="J833" s="40">
        <f>IFERROR(__xludf.DUMMYFUNCTION("IMPORTRANGE(""https://docs.google.com/spreadsheets/d/1ObnK1oSznTOmyW9Zcd2kxExl7TOnO2MNq_0giEKc_mE/edit"",""31!e27"")"),1003.0)</f>
        <v>1003</v>
      </c>
      <c r="K833" s="40">
        <f>IFERROR(__xludf.DUMMYFUNCTION("IMPORTRANGE(""https://docs.google.com/spreadsheets/d/1ObnK1oSznTOmyW9Zcd2kxExl7TOnO2MNq_0giEKc_mE/edit"",""31!e28"")"),0.0)</f>
        <v>0</v>
      </c>
      <c r="L833" s="40">
        <f t="shared" si="2295"/>
        <v>1003</v>
      </c>
      <c r="M833" s="40">
        <f t="shared" si="2267"/>
        <v>1893</v>
      </c>
      <c r="N833" s="41">
        <f t="shared" si="2268"/>
        <v>197.0218571</v>
      </c>
      <c r="O833" s="38">
        <v>2717.0</v>
      </c>
      <c r="P833" s="42">
        <f t="shared" si="2269"/>
        <v>0.6967243283</v>
      </c>
      <c r="Q833" s="43">
        <v>1.5</v>
      </c>
      <c r="R833" s="42">
        <f t="shared" si="2270"/>
        <v>0.4575271924</v>
      </c>
      <c r="S833" s="44">
        <f t="shared" si="2271"/>
        <v>0.6862907886</v>
      </c>
      <c r="T833" s="43">
        <f>F833/43.465</f>
        <v>63.46039342</v>
      </c>
      <c r="U833" s="43">
        <f t="shared" si="2272"/>
        <v>4.532885244</v>
      </c>
      <c r="V833" s="40">
        <f t="shared" si="2273"/>
        <v>135.2142857</v>
      </c>
      <c r="X833" s="31">
        <v>3.0</v>
      </c>
      <c r="Y833" s="31" t="s">
        <v>36</v>
      </c>
      <c r="Z833" s="31">
        <f t="shared" ref="Z833:AI833" si="2314">SUM(D824)</f>
        <v>30</v>
      </c>
      <c r="AA833" s="32">
        <f t="shared" si="2314"/>
        <v>30</v>
      </c>
      <c r="AB833" s="33">
        <f t="shared" si="2314"/>
        <v>5887.119</v>
      </c>
      <c r="AC833" s="32">
        <f t="shared" si="2314"/>
        <v>1561</v>
      </c>
      <c r="AD833" s="32">
        <f t="shared" si="2314"/>
        <v>0</v>
      </c>
      <c r="AE833" s="32">
        <f t="shared" si="2314"/>
        <v>1561</v>
      </c>
      <c r="AF833" s="32">
        <f t="shared" si="2314"/>
        <v>2333</v>
      </c>
      <c r="AG833" s="32">
        <f t="shared" si="2314"/>
        <v>0</v>
      </c>
      <c r="AH833" s="32">
        <f t="shared" si="2314"/>
        <v>2333</v>
      </c>
      <c r="AI833" s="32">
        <f t="shared" si="2314"/>
        <v>3894</v>
      </c>
      <c r="AJ833" s="34">
        <f t="shared" si="2308"/>
        <v>196.2373</v>
      </c>
      <c r="AK833" s="31">
        <f t="shared" ref="AK833:AK836" si="2318">SUM(O824)</f>
        <v>4796</v>
      </c>
      <c r="AL833" s="35">
        <f t="shared" si="2309"/>
        <v>0.8119266055</v>
      </c>
      <c r="AM833" s="36">
        <f t="shared" ref="AM833:AM836" si="2319">SUM(Q824)</f>
        <v>1.5</v>
      </c>
      <c r="AN833" s="35">
        <f t="shared" si="2310"/>
        <v>0.4409627188</v>
      </c>
      <c r="AO833" s="37">
        <f t="shared" si="2311"/>
        <v>0.6614440782</v>
      </c>
      <c r="AP833" s="36">
        <f t="shared" ref="AP833:AQ833" si="2315">SUM(T824)</f>
        <v>157.3506976</v>
      </c>
      <c r="AQ833" s="36">
        <f t="shared" si="2315"/>
        <v>5.245023253</v>
      </c>
      <c r="AR833" s="32">
        <f t="shared" si="2313"/>
        <v>129.8</v>
      </c>
    </row>
    <row r="834" ht="15.75" customHeight="1">
      <c r="A834" s="21"/>
      <c r="B834" s="60" t="s">
        <v>33</v>
      </c>
      <c r="C834" s="60">
        <v>18.0</v>
      </c>
      <c r="D834" s="60">
        <f t="shared" ref="D834:M834" si="2316">SUM(D816:D833)</f>
        <v>586</v>
      </c>
      <c r="E834" s="61">
        <f t="shared" si="2316"/>
        <v>575</v>
      </c>
      <c r="F834" s="62">
        <f t="shared" si="2316"/>
        <v>112941.351</v>
      </c>
      <c r="G834" s="61">
        <f t="shared" si="2316"/>
        <v>41192</v>
      </c>
      <c r="H834" s="61">
        <f t="shared" si="2316"/>
        <v>1046</v>
      </c>
      <c r="I834" s="61">
        <f t="shared" si="2316"/>
        <v>42238</v>
      </c>
      <c r="J834" s="61">
        <f t="shared" si="2316"/>
        <v>57460</v>
      </c>
      <c r="K834" s="61">
        <f t="shared" si="2316"/>
        <v>882</v>
      </c>
      <c r="L834" s="61">
        <f t="shared" si="2316"/>
        <v>58342</v>
      </c>
      <c r="M834" s="61">
        <f t="shared" si="2316"/>
        <v>100580</v>
      </c>
      <c r="N834" s="62">
        <f t="shared" si="2268"/>
        <v>196.4197409</v>
      </c>
      <c r="O834" s="60">
        <f>SUM(O816:O833)</f>
        <v>126399</v>
      </c>
      <c r="P834" s="63">
        <f t="shared" si="2269"/>
        <v>0.7957341435</v>
      </c>
      <c r="Q834" s="64">
        <v>1.5</v>
      </c>
      <c r="R834" s="63">
        <f t="shared" si="2270"/>
        <v>0.5937004714</v>
      </c>
      <c r="S834" s="65">
        <f t="shared" si="2271"/>
        <v>0.8905507072</v>
      </c>
      <c r="T834" s="64">
        <f>SUM(T816:T833)</f>
        <v>4163.13358</v>
      </c>
      <c r="U834" s="64">
        <f t="shared" si="2272"/>
        <v>7.240232312</v>
      </c>
      <c r="V834" s="61">
        <f t="shared" si="2273"/>
        <v>174.9217391</v>
      </c>
      <c r="X834" s="31">
        <v>4.0</v>
      </c>
      <c r="Y834" s="31" t="s">
        <v>37</v>
      </c>
      <c r="Z834" s="31">
        <f t="shared" ref="Z834:AI834" si="2317">SUM(D825)</f>
        <v>30</v>
      </c>
      <c r="AA834" s="32">
        <f t="shared" si="2317"/>
        <v>30</v>
      </c>
      <c r="AB834" s="33">
        <f t="shared" si="2317"/>
        <v>5936.148</v>
      </c>
      <c r="AC834" s="32">
        <f t="shared" si="2317"/>
        <v>2132</v>
      </c>
      <c r="AD834" s="32">
        <f t="shared" si="2317"/>
        <v>0</v>
      </c>
      <c r="AE834" s="32">
        <f t="shared" si="2317"/>
        <v>2132</v>
      </c>
      <c r="AF834" s="32">
        <f t="shared" si="2317"/>
        <v>3292</v>
      </c>
      <c r="AG834" s="32">
        <f t="shared" si="2317"/>
        <v>0</v>
      </c>
      <c r="AH834" s="32">
        <f t="shared" si="2317"/>
        <v>3292</v>
      </c>
      <c r="AI834" s="32">
        <f t="shared" si="2317"/>
        <v>5424</v>
      </c>
      <c r="AJ834" s="34">
        <f t="shared" si="2308"/>
        <v>197.8716</v>
      </c>
      <c r="AK834" s="31">
        <f t="shared" si="2318"/>
        <v>5887</v>
      </c>
      <c r="AL834" s="35">
        <f t="shared" si="2309"/>
        <v>0.9213521318</v>
      </c>
      <c r="AM834" s="36">
        <f t="shared" si="2319"/>
        <v>1.5</v>
      </c>
      <c r="AN834" s="35">
        <f t="shared" si="2310"/>
        <v>0.6091492328</v>
      </c>
      <c r="AO834" s="37">
        <f t="shared" si="2311"/>
        <v>0.9137238492</v>
      </c>
      <c r="AP834" s="36">
        <f t="shared" ref="AP834:AQ834" si="2320">SUM(T825)</f>
        <v>239.4380445</v>
      </c>
      <c r="AQ834" s="36">
        <f t="shared" si="2320"/>
        <v>7.981268151</v>
      </c>
      <c r="AR834" s="32">
        <f t="shared" si="2313"/>
        <v>180.8</v>
      </c>
    </row>
    <row r="835" ht="15.7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X835" s="31">
        <v>5.0</v>
      </c>
      <c r="Y835" s="31" t="s">
        <v>39</v>
      </c>
      <c r="Z835" s="31">
        <f t="shared" ref="Z835:AI835" si="2321">SUM(D826)</f>
        <v>28</v>
      </c>
      <c r="AA835" s="32">
        <f t="shared" si="2321"/>
        <v>27</v>
      </c>
      <c r="AB835" s="33">
        <f t="shared" si="2321"/>
        <v>5039.44</v>
      </c>
      <c r="AC835" s="32">
        <f t="shared" si="2321"/>
        <v>1146</v>
      </c>
      <c r="AD835" s="32">
        <f t="shared" si="2321"/>
        <v>93</v>
      </c>
      <c r="AE835" s="32">
        <f t="shared" si="2321"/>
        <v>1239</v>
      </c>
      <c r="AF835" s="32">
        <f t="shared" si="2321"/>
        <v>1917</v>
      </c>
      <c r="AG835" s="32">
        <f t="shared" si="2321"/>
        <v>63</v>
      </c>
      <c r="AH835" s="32">
        <f t="shared" si="2321"/>
        <v>1980</v>
      </c>
      <c r="AI835" s="32">
        <f t="shared" si="2321"/>
        <v>3219</v>
      </c>
      <c r="AJ835" s="34">
        <f t="shared" si="2308"/>
        <v>186.6459259</v>
      </c>
      <c r="AK835" s="31">
        <f t="shared" si="2318"/>
        <v>3569</v>
      </c>
      <c r="AL835" s="35">
        <f t="shared" si="2309"/>
        <v>0.9019333147</v>
      </c>
      <c r="AM835" s="36">
        <f t="shared" si="2319"/>
        <v>1.5</v>
      </c>
      <c r="AN835" s="35">
        <f t="shared" si="2310"/>
        <v>0.4258409665</v>
      </c>
      <c r="AO835" s="37">
        <f t="shared" si="2311"/>
        <v>0.6387614497</v>
      </c>
      <c r="AP835" s="36">
        <f t="shared" ref="AP835:AQ835" si="2322">SUM(T826)</f>
        <v>234.7966268</v>
      </c>
      <c r="AQ835" s="36">
        <f t="shared" si="2322"/>
        <v>8.696171361</v>
      </c>
      <c r="AR835" s="32">
        <f t="shared" si="2313"/>
        <v>119.2222222</v>
      </c>
    </row>
    <row r="836" ht="15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X836" s="31">
        <v>6.0</v>
      </c>
      <c r="Y836" s="31" t="s">
        <v>41</v>
      </c>
      <c r="Z836" s="31">
        <f t="shared" ref="Z836:AI836" si="2323">SUM(D827)</f>
        <v>24</v>
      </c>
      <c r="AA836" s="32">
        <f t="shared" si="2323"/>
        <v>24</v>
      </c>
      <c r="AB836" s="33">
        <f t="shared" si="2323"/>
        <v>4793.152</v>
      </c>
      <c r="AC836" s="32">
        <f t="shared" si="2323"/>
        <v>1313</v>
      </c>
      <c r="AD836" s="32">
        <f t="shared" si="2323"/>
        <v>45</v>
      </c>
      <c r="AE836" s="32">
        <f t="shared" si="2323"/>
        <v>1358</v>
      </c>
      <c r="AF836" s="32">
        <f t="shared" si="2323"/>
        <v>1718</v>
      </c>
      <c r="AG836" s="32">
        <f t="shared" si="2323"/>
        <v>0</v>
      </c>
      <c r="AH836" s="32">
        <f t="shared" si="2323"/>
        <v>1718</v>
      </c>
      <c r="AI836" s="32">
        <f t="shared" si="2323"/>
        <v>3076</v>
      </c>
      <c r="AJ836" s="34">
        <f t="shared" si="2308"/>
        <v>199.7146667</v>
      </c>
      <c r="AK836" s="31">
        <f t="shared" si="2318"/>
        <v>3801</v>
      </c>
      <c r="AL836" s="35">
        <f t="shared" si="2309"/>
        <v>0.8092607209</v>
      </c>
      <c r="AM836" s="36">
        <f t="shared" si="2319"/>
        <v>1.5</v>
      </c>
      <c r="AN836" s="35">
        <f t="shared" si="2310"/>
        <v>0.4278325967</v>
      </c>
      <c r="AO836" s="37">
        <f t="shared" si="2311"/>
        <v>0.6417488951</v>
      </c>
      <c r="AP836" s="36">
        <f t="shared" ref="AP836:AQ836" si="2324">SUM(T827)</f>
        <v>161.7777778</v>
      </c>
      <c r="AQ836" s="36">
        <f t="shared" si="2324"/>
        <v>6.740740741</v>
      </c>
      <c r="AR836" s="32">
        <f t="shared" si="2313"/>
        <v>128.1666667</v>
      </c>
    </row>
    <row r="837" ht="15.75" customHeight="1">
      <c r="A837" s="1" t="s">
        <v>45</v>
      </c>
      <c r="D837" s="2"/>
      <c r="X837" s="46" t="s">
        <v>33</v>
      </c>
      <c r="Y837" s="46">
        <v>6.0</v>
      </c>
      <c r="Z837" s="46">
        <f t="shared" ref="Z837:AI837" si="2325">SUM(Z831:Z836)</f>
        <v>174</v>
      </c>
      <c r="AA837" s="47">
        <f t="shared" si="2325"/>
        <v>173</v>
      </c>
      <c r="AB837" s="49">
        <f t="shared" si="2325"/>
        <v>33652.817</v>
      </c>
      <c r="AC837" s="47">
        <f t="shared" si="2325"/>
        <v>12655</v>
      </c>
      <c r="AD837" s="47">
        <f t="shared" si="2325"/>
        <v>138</v>
      </c>
      <c r="AE837" s="47">
        <f t="shared" si="2325"/>
        <v>12793</v>
      </c>
      <c r="AF837" s="47">
        <f t="shared" si="2325"/>
        <v>18297</v>
      </c>
      <c r="AG837" s="47">
        <f t="shared" si="2325"/>
        <v>63</v>
      </c>
      <c r="AH837" s="47">
        <f t="shared" si="2325"/>
        <v>18360</v>
      </c>
      <c r="AI837" s="47">
        <f t="shared" si="2325"/>
        <v>31153</v>
      </c>
      <c r="AJ837" s="49">
        <f t="shared" si="2308"/>
        <v>194.5249538</v>
      </c>
      <c r="AK837" s="46">
        <f>SUM(AK831:AK836)</f>
        <v>37031</v>
      </c>
      <c r="AL837" s="50">
        <f t="shared" si="2309"/>
        <v>0.8412681267</v>
      </c>
      <c r="AM837" s="51">
        <v>1.5</v>
      </c>
      <c r="AN837" s="50">
        <f t="shared" si="2310"/>
        <v>0.6171449679</v>
      </c>
      <c r="AO837" s="52">
        <f t="shared" si="2311"/>
        <v>0.9257174518</v>
      </c>
      <c r="AP837" s="51">
        <f>SUM(AP831:AP836)</f>
        <v>1389.405602</v>
      </c>
      <c r="AQ837" s="51">
        <f>AP837/AA837</f>
        <v>8.031246257</v>
      </c>
      <c r="AR837" s="47">
        <f t="shared" si="2313"/>
        <v>180.0751445</v>
      </c>
    </row>
    <row r="838" ht="15.75" customHeight="1">
      <c r="A838" s="1" t="s">
        <v>45</v>
      </c>
      <c r="D838" s="2"/>
      <c r="X838" s="66" t="s">
        <v>1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6"/>
    </row>
    <row r="839" ht="15.75" customHeight="1">
      <c r="A839" s="80" t="s">
        <v>82</v>
      </c>
      <c r="B839" s="8" t="s">
        <v>2</v>
      </c>
      <c r="C839" s="8" t="s">
        <v>3</v>
      </c>
      <c r="D839" s="8" t="s">
        <v>4</v>
      </c>
      <c r="E839" s="8" t="s">
        <v>5</v>
      </c>
      <c r="F839" s="9" t="s">
        <v>6</v>
      </c>
      <c r="G839" s="8" t="s">
        <v>7</v>
      </c>
      <c r="H839" s="8" t="s">
        <v>8</v>
      </c>
      <c r="I839" s="8" t="s">
        <v>9</v>
      </c>
      <c r="J839" s="8" t="s">
        <v>10</v>
      </c>
      <c r="K839" s="8" t="s">
        <v>11</v>
      </c>
      <c r="L839" s="8" t="s">
        <v>12</v>
      </c>
      <c r="M839" s="8" t="s">
        <v>13</v>
      </c>
      <c r="N839" s="9" t="s">
        <v>14</v>
      </c>
      <c r="O839" s="8" t="s">
        <v>15</v>
      </c>
      <c r="P839" s="8" t="s">
        <v>16</v>
      </c>
      <c r="Q839" s="8" t="s">
        <v>17</v>
      </c>
      <c r="R839" s="8" t="s">
        <v>18</v>
      </c>
      <c r="S839" s="11" t="s">
        <v>19</v>
      </c>
      <c r="T839" s="12" t="s">
        <v>20</v>
      </c>
      <c r="U839" s="12" t="s">
        <v>21</v>
      </c>
      <c r="V839" s="13" t="s">
        <v>22</v>
      </c>
      <c r="X839" s="14" t="s">
        <v>2</v>
      </c>
      <c r="Y839" s="14" t="s">
        <v>3</v>
      </c>
      <c r="Z839" s="14" t="s">
        <v>4</v>
      </c>
      <c r="AA839" s="14" t="s">
        <v>5</v>
      </c>
      <c r="AB839" s="15" t="s">
        <v>6</v>
      </c>
      <c r="AC839" s="14" t="s">
        <v>7</v>
      </c>
      <c r="AD839" s="14" t="s">
        <v>8</v>
      </c>
      <c r="AE839" s="14" t="s">
        <v>9</v>
      </c>
      <c r="AF839" s="14" t="s">
        <v>10</v>
      </c>
      <c r="AG839" s="14" t="s">
        <v>11</v>
      </c>
      <c r="AH839" s="14" t="s">
        <v>12</v>
      </c>
      <c r="AI839" s="14" t="s">
        <v>13</v>
      </c>
      <c r="AJ839" s="15" t="s">
        <v>14</v>
      </c>
      <c r="AK839" s="14" t="s">
        <v>15</v>
      </c>
      <c r="AL839" s="14" t="s">
        <v>16</v>
      </c>
      <c r="AM839" s="16" t="s">
        <v>17</v>
      </c>
      <c r="AN839" s="17" t="s">
        <v>18</v>
      </c>
      <c r="AO839" s="18" t="s">
        <v>19</v>
      </c>
      <c r="AP839" s="19" t="s">
        <v>20</v>
      </c>
      <c r="AQ839" s="19" t="s">
        <v>21</v>
      </c>
      <c r="AR839" s="20" t="s">
        <v>22</v>
      </c>
      <c r="AS839" s="20" t="s">
        <v>47</v>
      </c>
      <c r="AT839" s="20" t="s">
        <v>48</v>
      </c>
    </row>
    <row r="840" ht="15.75" customHeight="1"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X840" s="22">
        <v>1.0</v>
      </c>
      <c r="Y840" s="22" t="s">
        <v>23</v>
      </c>
      <c r="Z840" s="23">
        <f t="shared" ref="Z840:AI840" si="2326">SUM(D848)</f>
        <v>991</v>
      </c>
      <c r="AA840" s="23">
        <f t="shared" si="2326"/>
        <v>970</v>
      </c>
      <c r="AB840" s="23">
        <f t="shared" si="2326"/>
        <v>189228.272</v>
      </c>
      <c r="AC840" s="23">
        <f t="shared" si="2326"/>
        <v>52784</v>
      </c>
      <c r="AD840" s="23">
        <f t="shared" si="2326"/>
        <v>29</v>
      </c>
      <c r="AE840" s="23">
        <f t="shared" si="2326"/>
        <v>52813</v>
      </c>
      <c r="AF840" s="23">
        <f t="shared" si="2326"/>
        <v>81954</v>
      </c>
      <c r="AG840" s="23">
        <f t="shared" si="2326"/>
        <v>130</v>
      </c>
      <c r="AH840" s="23">
        <f t="shared" si="2326"/>
        <v>82084</v>
      </c>
      <c r="AI840" s="23">
        <f t="shared" si="2326"/>
        <v>134897</v>
      </c>
      <c r="AJ840" s="25">
        <f t="shared" ref="AJ840:AJ846" si="2329">AB840/AA840</f>
        <v>195.0806928</v>
      </c>
      <c r="AK840" s="23">
        <f t="shared" ref="AK840:AK842" si="2330">SUM(O848)</f>
        <v>212443</v>
      </c>
      <c r="AL840" s="26">
        <f t="shared" ref="AL840:AL846" si="2331">AI840/AK840</f>
        <v>0.6349797357</v>
      </c>
      <c r="AM840" s="27">
        <f t="shared" ref="AM840:AM842" si="2332">SUM(Q848)</f>
        <v>1.5</v>
      </c>
      <c r="AN840" s="26">
        <f t="shared" ref="AN840:AN846" si="2333">AO840/AM840</f>
        <v>0.4752531553</v>
      </c>
      <c r="AO840" s="28">
        <f t="shared" ref="AO840:AO846" si="2334">AI840/AB840</f>
        <v>0.7128797329</v>
      </c>
      <c r="AP840" s="27">
        <f t="shared" ref="AP840:AQ840" si="2327">SUM(T848)</f>
        <v>5608.42537</v>
      </c>
      <c r="AQ840" s="27">
        <f t="shared" si="2327"/>
        <v>5.781881825</v>
      </c>
      <c r="AR840" s="23">
        <f t="shared" ref="AR840:AR846" si="2336">AI840/AA840</f>
        <v>139.0690722</v>
      </c>
      <c r="AS840" s="97">
        <f t="shared" ref="AS840:AS842" si="2337">MAX(M11,M38,M65,M92,M119,M146,M173,M200,M227,M254,M281,M308,M335,M362,M389,M416,M443,M470,M497,M524,M551,M578,M605,M632,M659,M686,M713,M740,M767,M794,M821)</f>
        <v>6068</v>
      </c>
      <c r="AT840" s="95">
        <v>46248.0</v>
      </c>
    </row>
    <row r="841" ht="15.75" customHeight="1"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X841" s="22">
        <v>2.0</v>
      </c>
      <c r="Y841" s="22" t="s">
        <v>24</v>
      </c>
      <c r="Z841" s="23">
        <f t="shared" ref="Z841:AI841" si="2328">SUM(D849)</f>
        <v>1270</v>
      </c>
      <c r="AA841" s="23">
        <f t="shared" si="2328"/>
        <v>1239</v>
      </c>
      <c r="AB841" s="23">
        <f t="shared" si="2328"/>
        <v>238394.726</v>
      </c>
      <c r="AC841" s="23">
        <f t="shared" si="2328"/>
        <v>28759</v>
      </c>
      <c r="AD841" s="23">
        <f t="shared" si="2328"/>
        <v>222</v>
      </c>
      <c r="AE841" s="23">
        <f t="shared" si="2328"/>
        <v>28981</v>
      </c>
      <c r="AF841" s="23">
        <f t="shared" si="2328"/>
        <v>38029</v>
      </c>
      <c r="AG841" s="23">
        <f t="shared" si="2328"/>
        <v>276</v>
      </c>
      <c r="AH841" s="23">
        <f t="shared" si="2328"/>
        <v>38305</v>
      </c>
      <c r="AI841" s="23">
        <f t="shared" si="2328"/>
        <v>67286</v>
      </c>
      <c r="AJ841" s="25">
        <f t="shared" si="2329"/>
        <v>192.4089798</v>
      </c>
      <c r="AK841" s="23">
        <f t="shared" si="2330"/>
        <v>48980</v>
      </c>
      <c r="AL841" s="26">
        <f t="shared" si="2331"/>
        <v>1.373744385</v>
      </c>
      <c r="AM841" s="27">
        <f t="shared" si="2332"/>
        <v>1.5</v>
      </c>
      <c r="AN841" s="26">
        <f t="shared" si="2333"/>
        <v>0.1881641179</v>
      </c>
      <c r="AO841" s="28">
        <f t="shared" si="2334"/>
        <v>0.2822461769</v>
      </c>
      <c r="AP841" s="27">
        <f t="shared" ref="AP841:AQ841" si="2335">SUM(T849)</f>
        <v>8893.666331</v>
      </c>
      <c r="AQ841" s="27">
        <f t="shared" si="2335"/>
        <v>7.178100348</v>
      </c>
      <c r="AR841" s="23">
        <f t="shared" si="2336"/>
        <v>54.30669895</v>
      </c>
      <c r="AS841" s="94">
        <f t="shared" si="2337"/>
        <v>2639</v>
      </c>
      <c r="AT841" s="95">
        <v>46240.0</v>
      </c>
    </row>
    <row r="842" ht="15.75" customHeight="1"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X842" s="31">
        <v>3.0</v>
      </c>
      <c r="Y842" s="31" t="s">
        <v>25</v>
      </c>
      <c r="Z842" s="32">
        <f t="shared" ref="Z842:AI842" si="2338">SUM(D850)</f>
        <v>927</v>
      </c>
      <c r="AA842" s="32">
        <f t="shared" si="2338"/>
        <v>876</v>
      </c>
      <c r="AB842" s="32">
        <f t="shared" si="2338"/>
        <v>163260.936</v>
      </c>
      <c r="AC842" s="32">
        <f t="shared" si="2338"/>
        <v>60422</v>
      </c>
      <c r="AD842" s="32">
        <f t="shared" si="2338"/>
        <v>9330</v>
      </c>
      <c r="AE842" s="32">
        <f t="shared" si="2338"/>
        <v>69752</v>
      </c>
      <c r="AF842" s="32">
        <f t="shared" si="2338"/>
        <v>86539</v>
      </c>
      <c r="AG842" s="32">
        <f t="shared" si="2338"/>
        <v>10135</v>
      </c>
      <c r="AH842" s="32">
        <f t="shared" si="2338"/>
        <v>96674</v>
      </c>
      <c r="AI842" s="32">
        <f t="shared" si="2338"/>
        <v>166426</v>
      </c>
      <c r="AJ842" s="34">
        <f t="shared" si="2329"/>
        <v>186.3709315</v>
      </c>
      <c r="AK842" s="32">
        <f t="shared" si="2330"/>
        <v>205282</v>
      </c>
      <c r="AL842" s="35">
        <f t="shared" si="2331"/>
        <v>0.8107189135</v>
      </c>
      <c r="AM842" s="36">
        <f t="shared" si="2332"/>
        <v>1.5</v>
      </c>
      <c r="AN842" s="35">
        <f t="shared" si="2333"/>
        <v>0.6795910239</v>
      </c>
      <c r="AO842" s="37">
        <f t="shared" si="2334"/>
        <v>1.019386536</v>
      </c>
      <c r="AP842" s="36">
        <f t="shared" ref="AP842:AQ842" si="2339">SUM(T850)</f>
        <v>6848.193624</v>
      </c>
      <c r="AQ842" s="36">
        <f t="shared" si="2339"/>
        <v>7.81757263</v>
      </c>
      <c r="AR842" s="32">
        <f t="shared" si="2336"/>
        <v>189.9840183</v>
      </c>
      <c r="AS842" s="94">
        <f t="shared" si="2337"/>
        <v>6884</v>
      </c>
      <c r="AT842" s="95">
        <v>46260.0</v>
      </c>
    </row>
    <row r="843" ht="15.75" customHeight="1">
      <c r="B843" s="38">
        <v>1.0</v>
      </c>
      <c r="C843" s="38" t="s">
        <v>26</v>
      </c>
      <c r="D843" s="40">
        <f t="shared" ref="D843:H843" si="2340">D6+D33+D60+D87+D114+D141+D168+D195+D222+D249+D276+D303+D330+D357+D384+D411+D438+D465+D492+D519+D546+D573+D600+D627+D654+D681+D708+D735+D762+D789+D816</f>
        <v>567</v>
      </c>
      <c r="E843" s="40">
        <f t="shared" si="2340"/>
        <v>540</v>
      </c>
      <c r="F843" s="40">
        <f t="shared" si="2340"/>
        <v>103623.036</v>
      </c>
      <c r="G843" s="40">
        <f t="shared" si="2340"/>
        <v>55049</v>
      </c>
      <c r="H843" s="40">
        <f t="shared" si="2340"/>
        <v>417</v>
      </c>
      <c r="I843" s="40">
        <f t="shared" ref="I843:I860" si="2345">SUM(G843:H843)</f>
        <v>55466</v>
      </c>
      <c r="J843" s="40">
        <f t="shared" ref="J843:K843" si="2341">J6+J33+J60+J87+J114+J141+J168+J195+J222+J249+J276+J303+J330+J357+J384+J411+J438+J465+J492+J519+J546+J573+J600+J627+J654+J681+J708+J735+J762+J789+J816</f>
        <v>75944</v>
      </c>
      <c r="K843" s="40">
        <f t="shared" si="2341"/>
        <v>253</v>
      </c>
      <c r="L843" s="40">
        <f t="shared" ref="L843:L849" si="2347">SUM(J843:K843)</f>
        <v>76197</v>
      </c>
      <c r="M843" s="40">
        <f t="shared" ref="M843:M860" si="2348">SUM(I843+L843)</f>
        <v>131663</v>
      </c>
      <c r="N843" s="41">
        <f t="shared" ref="N843:N861" si="2349">F843/E843</f>
        <v>191.8945111</v>
      </c>
      <c r="O843" s="40">
        <f t="shared" ref="O843:O860" si="2350">O6+O33+O60+O87+O114+O141+O168+O195+O222+O249+O276+O303+O330+O357+O384+O411+O438+O465+O492+O519+O546+O573+O600+O627+O654+O681+O708+O735+O762+O789+O816</f>
        <v>159991</v>
      </c>
      <c r="P843" s="42">
        <f t="shared" ref="P843:P861" si="2351">M843/O843</f>
        <v>0.8229400404</v>
      </c>
      <c r="Q843" s="43">
        <v>1.5</v>
      </c>
      <c r="R843" s="42">
        <f t="shared" ref="R843:R861" si="2352">S843/Q843</f>
        <v>0.8470639032</v>
      </c>
      <c r="S843" s="44">
        <f t="shared" ref="S843:S861" si="2353">M843/F843</f>
        <v>1.270595855</v>
      </c>
      <c r="T843" s="43">
        <f>F843/14.415</f>
        <v>7188.556087</v>
      </c>
      <c r="U843" s="43">
        <f t="shared" ref="U843:U861" si="2354">T843/E843</f>
        <v>13.3121409</v>
      </c>
      <c r="V843" s="40">
        <f t="shared" ref="V843:V861" si="2355">M843/E843</f>
        <v>243.8203704</v>
      </c>
      <c r="X843" s="22">
        <v>4.0</v>
      </c>
      <c r="Y843" s="22" t="s">
        <v>27</v>
      </c>
      <c r="Z843" s="23">
        <f t="shared" ref="Z843:AI843" si="2342">SUM(D856)</f>
        <v>853</v>
      </c>
      <c r="AA843" s="23">
        <f t="shared" si="2342"/>
        <v>827</v>
      </c>
      <c r="AB843" s="23">
        <f t="shared" si="2342"/>
        <v>153284.932</v>
      </c>
      <c r="AC843" s="23">
        <f t="shared" si="2342"/>
        <v>67006</v>
      </c>
      <c r="AD843" s="23">
        <f t="shared" si="2342"/>
        <v>754</v>
      </c>
      <c r="AE843" s="23">
        <f t="shared" si="2342"/>
        <v>67760</v>
      </c>
      <c r="AF843" s="23">
        <f t="shared" si="2342"/>
        <v>85093</v>
      </c>
      <c r="AG843" s="23">
        <f t="shared" si="2342"/>
        <v>814</v>
      </c>
      <c r="AH843" s="23">
        <f t="shared" si="2342"/>
        <v>85907</v>
      </c>
      <c r="AI843" s="23">
        <f t="shared" si="2342"/>
        <v>153667</v>
      </c>
      <c r="AJ843" s="25">
        <f t="shared" si="2329"/>
        <v>185.3505828</v>
      </c>
      <c r="AK843" s="23">
        <f>SUM(O856)</f>
        <v>251131</v>
      </c>
      <c r="AL843" s="26">
        <f t="shared" si="2331"/>
        <v>0.6118997655</v>
      </c>
      <c r="AM843" s="27">
        <f>SUM(Q856)</f>
        <v>1.5</v>
      </c>
      <c r="AN843" s="26">
        <f t="shared" si="2333"/>
        <v>0.6683283564</v>
      </c>
      <c r="AO843" s="28">
        <f t="shared" si="2334"/>
        <v>1.002492535</v>
      </c>
      <c r="AP843" s="27">
        <f t="shared" ref="AP843:AQ843" si="2343">SUM(T856)</f>
        <v>7669.999099</v>
      </c>
      <c r="AQ843" s="27">
        <f t="shared" si="2343"/>
        <v>9.274485005</v>
      </c>
      <c r="AR843" s="23">
        <f t="shared" si="2336"/>
        <v>185.8125756</v>
      </c>
      <c r="AS843" s="94">
        <f>MAX(M19,M46,M73,M100,M127,M154,M181,M208,M235,M262,M289,M316,M343,M370,M397,M424,M451,M478,M505,M532,M559,M586,M613,M640,M667,M694,M721,M748,M775,M802,M829)</f>
        <v>6362</v>
      </c>
      <c r="AT843" s="95">
        <v>46237.0</v>
      </c>
    </row>
    <row r="844" ht="15.75" customHeight="1">
      <c r="B844" s="38">
        <v>2.0</v>
      </c>
      <c r="C844" s="38" t="s">
        <v>28</v>
      </c>
      <c r="D844" s="40">
        <f t="shared" ref="D844:H844" si="2344">D7+D34+D61+D88+D115+D142+D169+D196+D223+D250+D277+D304+D331+D358+D385+D412+D439+D466+D493+D520+D547+D574+D601+D628+D655+D682+D709+D736+D763+D790+D817</f>
        <v>929</v>
      </c>
      <c r="E844" s="40">
        <f t="shared" si="2344"/>
        <v>921</v>
      </c>
      <c r="F844" s="40">
        <f t="shared" si="2344"/>
        <v>180057.645</v>
      </c>
      <c r="G844" s="40">
        <f t="shared" si="2344"/>
        <v>71433</v>
      </c>
      <c r="H844" s="40">
        <f t="shared" si="2344"/>
        <v>3715</v>
      </c>
      <c r="I844" s="40">
        <f t="shared" si="2345"/>
        <v>75148</v>
      </c>
      <c r="J844" s="40">
        <f t="shared" ref="J844:K844" si="2346">J7+J34+J61+J88+J115+J142+J169+J196+J223+J250+J277+J304+J331+J358+J385+J412+J439+J466+J493+J520+J547+J574+J601+J628+J655+J682+J709+J736+J763+J790+J817</f>
        <v>77510</v>
      </c>
      <c r="K844" s="40">
        <f t="shared" si="2346"/>
        <v>5140</v>
      </c>
      <c r="L844" s="40">
        <f t="shared" si="2347"/>
        <v>82650</v>
      </c>
      <c r="M844" s="40">
        <f t="shared" si="2348"/>
        <v>157798</v>
      </c>
      <c r="N844" s="41">
        <f t="shared" si="2349"/>
        <v>195.502329</v>
      </c>
      <c r="O844" s="40">
        <f t="shared" si="2350"/>
        <v>226765</v>
      </c>
      <c r="P844" s="42">
        <f t="shared" si="2351"/>
        <v>0.6958657641</v>
      </c>
      <c r="Q844" s="43">
        <v>1.5</v>
      </c>
      <c r="R844" s="42">
        <f t="shared" si="2352"/>
        <v>0.584249931</v>
      </c>
      <c r="S844" s="44">
        <f t="shared" si="2353"/>
        <v>0.8763748965</v>
      </c>
      <c r="T844" s="43">
        <f>F844/30.897</f>
        <v>5827.674046</v>
      </c>
      <c r="U844" s="43">
        <f t="shared" si="2354"/>
        <v>6.327550539</v>
      </c>
      <c r="V844" s="40">
        <f t="shared" si="2355"/>
        <v>171.3333333</v>
      </c>
      <c r="X844" s="22">
        <v>5.0</v>
      </c>
      <c r="Y844" s="22" t="s">
        <v>29</v>
      </c>
      <c r="Z844" s="23">
        <f t="shared" ref="Z844:AI844" si="2356">SUM(D859)</f>
        <v>853</v>
      </c>
      <c r="AA844" s="23">
        <f t="shared" si="2356"/>
        <v>833</v>
      </c>
      <c r="AB844" s="23">
        <f t="shared" si="2356"/>
        <v>163854.015</v>
      </c>
      <c r="AC844" s="23">
        <f t="shared" si="2356"/>
        <v>73188</v>
      </c>
      <c r="AD844" s="23">
        <f t="shared" si="2356"/>
        <v>343</v>
      </c>
      <c r="AE844" s="23">
        <f t="shared" si="2356"/>
        <v>73531</v>
      </c>
      <c r="AF844" s="23">
        <f t="shared" si="2356"/>
        <v>109206</v>
      </c>
      <c r="AG844" s="23">
        <f t="shared" si="2356"/>
        <v>90</v>
      </c>
      <c r="AH844" s="23">
        <f t="shared" si="2356"/>
        <v>109296</v>
      </c>
      <c r="AI844" s="23">
        <f t="shared" si="2356"/>
        <v>182827</v>
      </c>
      <c r="AJ844" s="25">
        <f t="shared" si="2329"/>
        <v>196.7034994</v>
      </c>
      <c r="AK844" s="23">
        <f t="shared" ref="AK844:AK845" si="2361">SUM(O859)</f>
        <v>285231</v>
      </c>
      <c r="AL844" s="26">
        <f t="shared" si="2331"/>
        <v>0.6409787155</v>
      </c>
      <c r="AM844" s="27">
        <f t="shared" ref="AM844:AM845" si="2362">SUM(Q859)</f>
        <v>1.5</v>
      </c>
      <c r="AN844" s="26">
        <f t="shared" si="2333"/>
        <v>0.743861337</v>
      </c>
      <c r="AO844" s="28">
        <f t="shared" si="2334"/>
        <v>1.115792005</v>
      </c>
      <c r="AP844" s="27">
        <f t="shared" ref="AP844:AQ844" si="2357">SUM(T859)</f>
        <v>6292.880214</v>
      </c>
      <c r="AQ844" s="27">
        <f t="shared" si="2357"/>
        <v>7.554478047</v>
      </c>
      <c r="AR844" s="23">
        <f t="shared" si="2336"/>
        <v>219.4801921</v>
      </c>
      <c r="AS844" s="94">
        <f t="shared" ref="AS844:AS846" si="2364">MAX(M22,M49,M76,M103,M130,M157,M184,M211,M238,M265,M292,M319,M346,M373,M400,M427,M454,M481,M508,M535,M562,M589,M616,M643,M670,M697,M724,M751,M778,M805,M832)</f>
        <v>7311</v>
      </c>
      <c r="AT844" s="95">
        <v>46248.0</v>
      </c>
    </row>
    <row r="845" ht="15.75" customHeight="1">
      <c r="B845" s="38">
        <v>3.0</v>
      </c>
      <c r="C845" s="38" t="s">
        <v>30</v>
      </c>
      <c r="D845" s="40">
        <f t="shared" ref="D845:H845" si="2358">D8+D35+D62+D89+D116+D143+D170+D197+D224+D251+D278+D305+D332+D359+D386+D413+D440+D467+D494+D521+D548+D575+D602+D629+D656+D683+D710+D737+D764+D791+D818</f>
        <v>1701</v>
      </c>
      <c r="E845" s="40">
        <f t="shared" si="2358"/>
        <v>1613</v>
      </c>
      <c r="F845" s="40">
        <f t="shared" si="2358"/>
        <v>319229.838</v>
      </c>
      <c r="G845" s="40">
        <f t="shared" si="2358"/>
        <v>91928</v>
      </c>
      <c r="H845" s="40">
        <f t="shared" si="2358"/>
        <v>823</v>
      </c>
      <c r="I845" s="40">
        <f t="shared" si="2345"/>
        <v>92751</v>
      </c>
      <c r="J845" s="40">
        <f t="shared" ref="J845:K845" si="2359">J8+J35+J62+J89+J116+J143+J170+J197+J224+J251+J278+J305+J332+J359+J386+J413+J440+J467+J494+J521+J548+J575+J602+J629+J656+J683+J710+J737+J764+J791+J818</f>
        <v>148705</v>
      </c>
      <c r="K845" s="40">
        <f t="shared" si="2359"/>
        <v>1656</v>
      </c>
      <c r="L845" s="40">
        <f t="shared" si="2347"/>
        <v>150361</v>
      </c>
      <c r="M845" s="40">
        <f t="shared" si="2348"/>
        <v>243112</v>
      </c>
      <c r="N845" s="41">
        <f t="shared" si="2349"/>
        <v>197.9106249</v>
      </c>
      <c r="O845" s="40">
        <f t="shared" si="2350"/>
        <v>346084</v>
      </c>
      <c r="P845" s="42">
        <f t="shared" si="2351"/>
        <v>0.7024652974</v>
      </c>
      <c r="Q845" s="43">
        <v>1.5</v>
      </c>
      <c r="R845" s="42">
        <f t="shared" si="2352"/>
        <v>0.5077052561</v>
      </c>
      <c r="S845" s="44">
        <f t="shared" si="2353"/>
        <v>0.7615578842</v>
      </c>
      <c r="T845" s="43">
        <f>F845/29.603</f>
        <v>10783.69888</v>
      </c>
      <c r="U845" s="43">
        <f t="shared" si="2354"/>
        <v>6.685492177</v>
      </c>
      <c r="V845" s="40">
        <f t="shared" si="2355"/>
        <v>150.7203968</v>
      </c>
      <c r="X845" s="22">
        <v>6.0</v>
      </c>
      <c r="Y845" s="22" t="s">
        <v>31</v>
      </c>
      <c r="Z845" s="23">
        <f t="shared" ref="Z845:AI845" si="2360">SUM(D860)</f>
        <v>424</v>
      </c>
      <c r="AA845" s="23">
        <f t="shared" si="2360"/>
        <v>389</v>
      </c>
      <c r="AB845" s="23">
        <f t="shared" si="2360"/>
        <v>75712.587</v>
      </c>
      <c r="AC845" s="23">
        <f t="shared" si="2360"/>
        <v>22378</v>
      </c>
      <c r="AD845" s="23">
        <f t="shared" si="2360"/>
        <v>149</v>
      </c>
      <c r="AE845" s="23">
        <f t="shared" si="2360"/>
        <v>22527</v>
      </c>
      <c r="AF845" s="23">
        <f t="shared" si="2360"/>
        <v>27629</v>
      </c>
      <c r="AG845" s="23">
        <f t="shared" si="2360"/>
        <v>132</v>
      </c>
      <c r="AH845" s="23">
        <f t="shared" si="2360"/>
        <v>27761</v>
      </c>
      <c r="AI845" s="23">
        <f t="shared" si="2360"/>
        <v>50288</v>
      </c>
      <c r="AJ845" s="25">
        <f t="shared" si="2329"/>
        <v>194.6338997</v>
      </c>
      <c r="AK845" s="23">
        <f t="shared" si="2361"/>
        <v>84227</v>
      </c>
      <c r="AL845" s="26">
        <f t="shared" si="2331"/>
        <v>0.5970532015</v>
      </c>
      <c r="AM845" s="27">
        <f t="shared" si="2362"/>
        <v>1.5</v>
      </c>
      <c r="AN845" s="26">
        <f t="shared" si="2333"/>
        <v>0.4427973559</v>
      </c>
      <c r="AO845" s="28">
        <f t="shared" si="2334"/>
        <v>0.6641960339</v>
      </c>
      <c r="AP845" s="27">
        <f t="shared" ref="AP845:AQ845" si="2363">SUM(T860)</f>
        <v>1741.920787</v>
      </c>
      <c r="AQ845" s="27">
        <f t="shared" si="2363"/>
        <v>4.477945467</v>
      </c>
      <c r="AR845" s="23">
        <f t="shared" si="2336"/>
        <v>129.2750643</v>
      </c>
      <c r="AS845" s="94">
        <f t="shared" si="2364"/>
        <v>2098</v>
      </c>
      <c r="AT845" s="95">
        <v>46246.0</v>
      </c>
    </row>
    <row r="846" ht="15.75" customHeight="1">
      <c r="B846" s="38">
        <v>4.0</v>
      </c>
      <c r="C846" s="38" t="s">
        <v>32</v>
      </c>
      <c r="D846" s="40">
        <f t="shared" ref="D846:H846" si="2365">D9+D36+D63+D90+D117+D144+D171+D198+D225+D252+D279+D306+D333+D360+D387+D414+D441+D468+D495+D522+D549+D576+D603+D630+D657+D684+D711+D738+D765+D792+D819</f>
        <v>1189</v>
      </c>
      <c r="E846" s="40">
        <f t="shared" si="2365"/>
        <v>1169</v>
      </c>
      <c r="F846" s="40">
        <f t="shared" si="2365"/>
        <v>227823.163</v>
      </c>
      <c r="G846" s="40">
        <f t="shared" si="2365"/>
        <v>127486</v>
      </c>
      <c r="H846" s="40">
        <f t="shared" si="2365"/>
        <v>302</v>
      </c>
      <c r="I846" s="40">
        <f t="shared" si="2345"/>
        <v>127788</v>
      </c>
      <c r="J846" s="40">
        <f t="shared" ref="J846:K846" si="2366">J9+J36+J63+J90+J117+J144+J171+J198+J225+J252+J279+J306+J333+J360+J387+J414+J441+J468+J495+J522+J549+J576+J603+J630+J657+J684+J711+J738+J765+J792+J819</f>
        <v>150880</v>
      </c>
      <c r="K846" s="40">
        <f t="shared" si="2366"/>
        <v>493</v>
      </c>
      <c r="L846" s="40">
        <f t="shared" si="2347"/>
        <v>151373</v>
      </c>
      <c r="M846" s="40">
        <f t="shared" si="2348"/>
        <v>279161</v>
      </c>
      <c r="N846" s="41">
        <f t="shared" si="2349"/>
        <v>194.8872224</v>
      </c>
      <c r="O846" s="40">
        <f t="shared" si="2350"/>
        <v>428327</v>
      </c>
      <c r="P846" s="42">
        <f t="shared" si="2351"/>
        <v>0.6517473799</v>
      </c>
      <c r="Q846" s="43">
        <v>1.5</v>
      </c>
      <c r="R846" s="42">
        <f t="shared" si="2352"/>
        <v>0.8168938175</v>
      </c>
      <c r="S846" s="44">
        <f t="shared" si="2353"/>
        <v>1.225340726</v>
      </c>
      <c r="T846" s="43">
        <f>F846/25.089</f>
        <v>9080.599585</v>
      </c>
      <c r="U846" s="43">
        <f t="shared" si="2354"/>
        <v>7.767835402</v>
      </c>
      <c r="V846" s="40">
        <f t="shared" si="2355"/>
        <v>238.8032506</v>
      </c>
      <c r="X846" s="46" t="s">
        <v>33</v>
      </c>
      <c r="Y846" s="46">
        <v>6.0</v>
      </c>
      <c r="Z846" s="47">
        <f t="shared" ref="Z846:AI846" si="2367">SUM(Z840:Z845)</f>
        <v>5318</v>
      </c>
      <c r="AA846" s="47">
        <f t="shared" si="2367"/>
        <v>5134</v>
      </c>
      <c r="AB846" s="47">
        <f t="shared" si="2367"/>
        <v>983735.468</v>
      </c>
      <c r="AC846" s="47">
        <f t="shared" si="2367"/>
        <v>304537</v>
      </c>
      <c r="AD846" s="47">
        <f t="shared" si="2367"/>
        <v>10827</v>
      </c>
      <c r="AE846" s="47">
        <f t="shared" si="2367"/>
        <v>315364</v>
      </c>
      <c r="AF846" s="47">
        <f t="shared" si="2367"/>
        <v>428450</v>
      </c>
      <c r="AG846" s="47">
        <f t="shared" si="2367"/>
        <v>11577</v>
      </c>
      <c r="AH846" s="47">
        <f t="shared" si="2367"/>
        <v>440027</v>
      </c>
      <c r="AI846" s="47">
        <f t="shared" si="2367"/>
        <v>755391</v>
      </c>
      <c r="AJ846" s="49">
        <f t="shared" si="2329"/>
        <v>191.6118948</v>
      </c>
      <c r="AK846" s="47">
        <f>SUM(AK840:AK845)</f>
        <v>1087294</v>
      </c>
      <c r="AL846" s="50">
        <f t="shared" si="2331"/>
        <v>0.6947440159</v>
      </c>
      <c r="AM846" s="51">
        <v>1.5</v>
      </c>
      <c r="AN846" s="50">
        <f t="shared" si="2333"/>
        <v>0.5119201415</v>
      </c>
      <c r="AO846" s="52">
        <f t="shared" si="2334"/>
        <v>0.7678802123</v>
      </c>
      <c r="AP846" s="51">
        <f>SUM(AP840:AP845)</f>
        <v>37055.08543</v>
      </c>
      <c r="AQ846" s="51">
        <f>AP846/AA846</f>
        <v>7.217585786</v>
      </c>
      <c r="AR846" s="47">
        <f t="shared" si="2336"/>
        <v>147.1349825</v>
      </c>
      <c r="AS846" s="129">
        <f t="shared" si="2364"/>
        <v>103223</v>
      </c>
      <c r="AT846" s="108">
        <v>46245.0</v>
      </c>
    </row>
    <row r="847" ht="15.75" customHeight="1">
      <c r="B847" s="38">
        <v>5.0</v>
      </c>
      <c r="C847" s="38" t="s">
        <v>34</v>
      </c>
      <c r="D847" s="40">
        <f t="shared" ref="D847:H847" si="2368">D10+D37+D64+D91+D118+D145+D172+D199+D226+D253+D280+D307+D334+D361+D388+D415+D442+D469+D496+D523+D550+D577+D604+D631+D658+D685+D712+D739+D766+D793+D820</f>
        <v>1134</v>
      </c>
      <c r="E847" s="40">
        <f t="shared" si="2368"/>
        <v>1119</v>
      </c>
      <c r="F847" s="40">
        <f t="shared" si="2368"/>
        <v>220023.186</v>
      </c>
      <c r="G847" s="40">
        <f t="shared" si="2368"/>
        <v>75897</v>
      </c>
      <c r="H847" s="40">
        <f t="shared" si="2368"/>
        <v>171</v>
      </c>
      <c r="I847" s="40">
        <f t="shared" si="2345"/>
        <v>76068</v>
      </c>
      <c r="J847" s="40">
        <f t="shared" ref="J847:K847" si="2369">J10+J37+J64+J91+J118+J145+J172+J199+J226+J253+J280+J307+J334+J361+J388+J415+J442+J469+J496+J523+J550+J577+J604+J631+J658+J685+J712+J739+J766+J793+J820</f>
        <v>92799</v>
      </c>
      <c r="K847" s="40">
        <f t="shared" si="2369"/>
        <v>339</v>
      </c>
      <c r="L847" s="40">
        <f t="shared" si="2347"/>
        <v>93138</v>
      </c>
      <c r="M847" s="40">
        <f t="shared" si="2348"/>
        <v>169206</v>
      </c>
      <c r="N847" s="41">
        <f t="shared" si="2349"/>
        <v>196.6248311</v>
      </c>
      <c r="O847" s="40">
        <f t="shared" si="2350"/>
        <v>289974</v>
      </c>
      <c r="P847" s="42">
        <f t="shared" si="2351"/>
        <v>0.5835212812</v>
      </c>
      <c r="Q847" s="43">
        <v>1.5</v>
      </c>
      <c r="R847" s="42">
        <f t="shared" si="2352"/>
        <v>0.5126914215</v>
      </c>
      <c r="S847" s="44">
        <f t="shared" si="2353"/>
        <v>0.7690371323</v>
      </c>
      <c r="T847" s="43">
        <f>F847/30.713</f>
        <v>7163.845473</v>
      </c>
      <c r="U847" s="43">
        <f t="shared" si="2354"/>
        <v>6.402006678</v>
      </c>
      <c r="V847" s="40">
        <f t="shared" si="2355"/>
        <v>151.2117962</v>
      </c>
      <c r="X847" s="53" t="s">
        <v>35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6"/>
    </row>
    <row r="848" ht="15.75" customHeight="1">
      <c r="B848" s="38">
        <v>6.0</v>
      </c>
      <c r="C848" s="38" t="s">
        <v>23</v>
      </c>
      <c r="D848" s="40">
        <f t="shared" ref="D848:H848" si="2370">D11+D38+D65+D92+D119+D146+D173+D200+D227+D254+D281+D308+D335+D362+D389+D416+D443+D470+D497+D524+D551+D578+D605+D632+D659+D686+D713+D740+D767+D794+D821</f>
        <v>991</v>
      </c>
      <c r="E848" s="40">
        <f t="shared" si="2370"/>
        <v>970</v>
      </c>
      <c r="F848" s="40">
        <f t="shared" si="2370"/>
        <v>189228.272</v>
      </c>
      <c r="G848" s="40">
        <f t="shared" si="2370"/>
        <v>52784</v>
      </c>
      <c r="H848" s="40">
        <f t="shared" si="2370"/>
        <v>29</v>
      </c>
      <c r="I848" s="40">
        <f t="shared" si="2345"/>
        <v>52813</v>
      </c>
      <c r="J848" s="40">
        <f t="shared" ref="J848:K848" si="2371">J11+J38+J65+J92+J119+J146+J173+J200+J227+J254+J281+J308+J335+J362+J389+J416+J443+J470+J497+J524+J551+J578+J605+J632+J659+J686+J713+J740+J767+J794+J821</f>
        <v>81954</v>
      </c>
      <c r="K848" s="40">
        <f t="shared" si="2371"/>
        <v>130</v>
      </c>
      <c r="L848" s="40">
        <f t="shared" si="2347"/>
        <v>82084</v>
      </c>
      <c r="M848" s="40">
        <f t="shared" si="2348"/>
        <v>134897</v>
      </c>
      <c r="N848" s="41">
        <f t="shared" si="2349"/>
        <v>195.0806928</v>
      </c>
      <c r="O848" s="40">
        <f t="shared" si="2350"/>
        <v>212443</v>
      </c>
      <c r="P848" s="42">
        <f t="shared" si="2351"/>
        <v>0.6349797357</v>
      </c>
      <c r="Q848" s="43">
        <v>1.5</v>
      </c>
      <c r="R848" s="42">
        <f t="shared" si="2352"/>
        <v>0.4752531553</v>
      </c>
      <c r="S848" s="44">
        <f t="shared" si="2353"/>
        <v>0.7128797329</v>
      </c>
      <c r="T848" s="43">
        <f>F848/33.74</f>
        <v>5608.42537</v>
      </c>
      <c r="U848" s="43">
        <f t="shared" si="2354"/>
        <v>5.781881825</v>
      </c>
      <c r="V848" s="40">
        <f t="shared" si="2355"/>
        <v>139.0690722</v>
      </c>
      <c r="X848" s="14" t="s">
        <v>2</v>
      </c>
      <c r="Y848" s="14" t="s">
        <v>3</v>
      </c>
      <c r="Z848" s="14" t="s">
        <v>4</v>
      </c>
      <c r="AA848" s="14" t="s">
        <v>5</v>
      </c>
      <c r="AB848" s="15" t="s">
        <v>6</v>
      </c>
      <c r="AC848" s="14" t="s">
        <v>7</v>
      </c>
      <c r="AD848" s="14" t="s">
        <v>8</v>
      </c>
      <c r="AE848" s="14" t="s">
        <v>9</v>
      </c>
      <c r="AF848" s="14" t="s">
        <v>10</v>
      </c>
      <c r="AG848" s="14" t="s">
        <v>11</v>
      </c>
      <c r="AH848" s="14" t="s">
        <v>12</v>
      </c>
      <c r="AI848" s="14" t="s">
        <v>13</v>
      </c>
      <c r="AJ848" s="15" t="s">
        <v>14</v>
      </c>
      <c r="AK848" s="14" t="s">
        <v>15</v>
      </c>
      <c r="AL848" s="14" t="s">
        <v>16</v>
      </c>
      <c r="AM848" s="16" t="s">
        <v>17</v>
      </c>
      <c r="AN848" s="17" t="s">
        <v>18</v>
      </c>
      <c r="AO848" s="18" t="s">
        <v>19</v>
      </c>
      <c r="AP848" s="19" t="s">
        <v>20</v>
      </c>
      <c r="AQ848" s="19" t="s">
        <v>21</v>
      </c>
      <c r="AR848" s="20" t="s">
        <v>22</v>
      </c>
      <c r="AS848" s="20" t="s">
        <v>47</v>
      </c>
      <c r="AT848" s="20" t="s">
        <v>48</v>
      </c>
    </row>
    <row r="849" ht="15.75" customHeight="1">
      <c r="B849" s="38">
        <v>7.0</v>
      </c>
      <c r="C849" s="38" t="s">
        <v>24</v>
      </c>
      <c r="D849" s="40">
        <f t="shared" ref="D849:H849" si="2372">D12+D39+D66+D93+D120+D147+D174+D201+D228+D255+D282+D309+D336+D363+D390+D417+D444+D471+D498+D525+D552+D579+D606+D633+D660+D687+D714+D741+D768+D795+D822</f>
        <v>1270</v>
      </c>
      <c r="E849" s="40">
        <f t="shared" si="2372"/>
        <v>1239</v>
      </c>
      <c r="F849" s="40">
        <f t="shared" si="2372"/>
        <v>238394.726</v>
      </c>
      <c r="G849" s="40">
        <f t="shared" si="2372"/>
        <v>28759</v>
      </c>
      <c r="H849" s="40">
        <f t="shared" si="2372"/>
        <v>222</v>
      </c>
      <c r="I849" s="40">
        <f t="shared" si="2345"/>
        <v>28981</v>
      </c>
      <c r="J849" s="40">
        <f t="shared" ref="J849:K849" si="2373">J12+J39+J66+J93+J120+J147+J174+J201+J228+J255+J282+J309+J336+J363+J390+J417+J444+J471+J498+J525+J552+J579+J606+J633+J660+J687+J714+J741+J768+J795+J822</f>
        <v>38029</v>
      </c>
      <c r="K849" s="40">
        <f t="shared" si="2373"/>
        <v>276</v>
      </c>
      <c r="L849" s="40">
        <f t="shared" si="2347"/>
        <v>38305</v>
      </c>
      <c r="M849" s="40">
        <f t="shared" si="2348"/>
        <v>67286</v>
      </c>
      <c r="N849" s="41">
        <f t="shared" si="2349"/>
        <v>192.4089798</v>
      </c>
      <c r="O849" s="40">
        <f t="shared" si="2350"/>
        <v>48980</v>
      </c>
      <c r="P849" s="42">
        <f t="shared" si="2351"/>
        <v>1.373744385</v>
      </c>
      <c r="Q849" s="43">
        <v>1.5</v>
      </c>
      <c r="R849" s="42">
        <f t="shared" si="2352"/>
        <v>0.1881641179</v>
      </c>
      <c r="S849" s="44">
        <f t="shared" si="2353"/>
        <v>0.2822461769</v>
      </c>
      <c r="T849" s="43">
        <f>F849/26.805</f>
        <v>8893.666331</v>
      </c>
      <c r="U849" s="43">
        <f t="shared" si="2354"/>
        <v>7.178100348</v>
      </c>
      <c r="V849" s="40">
        <f t="shared" si="2355"/>
        <v>54.30669895</v>
      </c>
      <c r="X849" s="22">
        <v>1.0</v>
      </c>
      <c r="Y849" s="22" t="s">
        <v>28</v>
      </c>
      <c r="Z849" s="23">
        <f t="shared" ref="Z849:AI849" si="2374">SUM(D844)</f>
        <v>929</v>
      </c>
      <c r="AA849" s="23">
        <f t="shared" si="2374"/>
        <v>921</v>
      </c>
      <c r="AB849" s="23">
        <f t="shared" si="2374"/>
        <v>180057.645</v>
      </c>
      <c r="AC849" s="23">
        <f t="shared" si="2374"/>
        <v>71433</v>
      </c>
      <c r="AD849" s="23">
        <f t="shared" si="2374"/>
        <v>3715</v>
      </c>
      <c r="AE849" s="23">
        <f t="shared" si="2374"/>
        <v>75148</v>
      </c>
      <c r="AF849" s="23">
        <f t="shared" si="2374"/>
        <v>77510</v>
      </c>
      <c r="AG849" s="23">
        <f t="shared" si="2374"/>
        <v>5140</v>
      </c>
      <c r="AH849" s="23">
        <f t="shared" si="2374"/>
        <v>82650</v>
      </c>
      <c r="AI849" s="23">
        <f t="shared" si="2374"/>
        <v>157798</v>
      </c>
      <c r="AJ849" s="25">
        <f t="shared" ref="AJ849:AJ855" si="2379">AB849/AA849</f>
        <v>195.502329</v>
      </c>
      <c r="AK849" s="23">
        <f t="shared" ref="AK849:AK850" si="2380">SUM(O844)</f>
        <v>226765</v>
      </c>
      <c r="AL849" s="26">
        <f t="shared" ref="AL849:AL855" si="2381">AI849/AK849</f>
        <v>0.6958657641</v>
      </c>
      <c r="AM849" s="27">
        <f t="shared" ref="AM849:AM850" si="2382">SUM(Q844)</f>
        <v>1.5</v>
      </c>
      <c r="AN849" s="26">
        <f t="shared" ref="AN849:AN855" si="2383">AO849/AM849</f>
        <v>0.584249931</v>
      </c>
      <c r="AO849" s="28">
        <f t="shared" ref="AO849:AO855" si="2384">AI849/AB849</f>
        <v>0.8763748965</v>
      </c>
      <c r="AP849" s="27">
        <f t="shared" ref="AP849:AQ849" si="2375">SUM(T844)</f>
        <v>5827.674046</v>
      </c>
      <c r="AQ849" s="27">
        <f t="shared" si="2375"/>
        <v>6.327550539</v>
      </c>
      <c r="AR849" s="23">
        <f t="shared" ref="AR849:AR855" si="2386">AI849/AA849</f>
        <v>171.3333333</v>
      </c>
      <c r="AS849" s="94">
        <f t="shared" ref="AS849:AS850" si="2387">MAX(M7,M34,M61,M88,M115,M142,M169,M196,M223,M250,M277,M304,M331,M358,M385,M412,M439,M466,M493,M520,M547,M574,M601,M628,M655,M682,M709,M736,M763,M790,M817)</f>
        <v>6242</v>
      </c>
      <c r="AT849" s="95">
        <v>46253.0</v>
      </c>
    </row>
    <row r="850" ht="15.75" customHeight="1">
      <c r="B850" s="38">
        <v>8.0</v>
      </c>
      <c r="C850" s="38" t="s">
        <v>25</v>
      </c>
      <c r="D850" s="40">
        <f t="shared" ref="D850:H850" si="2376">D13+D40+D67+D94+D121+D148+D175+D202+D229+D256+D283+D310+D337+D364+D391+D418+D445+D472+D499+D526+D553+D580+D607+D634+D661+D688+D715+D742+D769+D796+D823</f>
        <v>927</v>
      </c>
      <c r="E850" s="40">
        <f t="shared" si="2376"/>
        <v>876</v>
      </c>
      <c r="F850" s="40">
        <f t="shared" si="2376"/>
        <v>163260.936</v>
      </c>
      <c r="G850" s="40">
        <f t="shared" si="2376"/>
        <v>60422</v>
      </c>
      <c r="H850" s="40">
        <f t="shared" si="2376"/>
        <v>9330</v>
      </c>
      <c r="I850" s="40">
        <f t="shared" si="2345"/>
        <v>69752</v>
      </c>
      <c r="J850" s="40">
        <f t="shared" ref="J850:K850" si="2377">J13+J40+J67+J94+J121+J148+J175+J202+J229+J256+J283+J310+J337+J364+J391+J418+J445+J472+J499+J526+J553+J580+J607+J634+J661+J688+J715+J742+J769+J796+J823</f>
        <v>86539</v>
      </c>
      <c r="K850" s="40">
        <f t="shared" si="2377"/>
        <v>10135</v>
      </c>
      <c r="L850" s="40">
        <f>J850+K850</f>
        <v>96674</v>
      </c>
      <c r="M850" s="40">
        <f t="shared" si="2348"/>
        <v>166426</v>
      </c>
      <c r="N850" s="41">
        <f t="shared" si="2349"/>
        <v>186.3709315</v>
      </c>
      <c r="O850" s="40">
        <f t="shared" si="2350"/>
        <v>205282</v>
      </c>
      <c r="P850" s="42">
        <f t="shared" si="2351"/>
        <v>0.8107189135</v>
      </c>
      <c r="Q850" s="43">
        <v>1.5</v>
      </c>
      <c r="R850" s="42">
        <f t="shared" si="2352"/>
        <v>0.6795910239</v>
      </c>
      <c r="S850" s="44">
        <f t="shared" si="2353"/>
        <v>1.019386536</v>
      </c>
      <c r="T850" s="43">
        <f>F850/23.84</f>
        <v>6848.193624</v>
      </c>
      <c r="U850" s="43">
        <f t="shared" si="2354"/>
        <v>7.81757263</v>
      </c>
      <c r="V850" s="40">
        <f t="shared" si="2355"/>
        <v>189.9840183</v>
      </c>
      <c r="X850" s="31">
        <v>2.0</v>
      </c>
      <c r="Y850" s="31" t="s">
        <v>30</v>
      </c>
      <c r="Z850" s="32">
        <f t="shared" ref="Z850:AI850" si="2378">SUM(D845)</f>
        <v>1701</v>
      </c>
      <c r="AA850" s="32">
        <f t="shared" si="2378"/>
        <v>1613</v>
      </c>
      <c r="AB850" s="32">
        <f t="shared" si="2378"/>
        <v>319229.838</v>
      </c>
      <c r="AC850" s="32">
        <f t="shared" si="2378"/>
        <v>91928</v>
      </c>
      <c r="AD850" s="32">
        <f t="shared" si="2378"/>
        <v>823</v>
      </c>
      <c r="AE850" s="32">
        <f t="shared" si="2378"/>
        <v>92751</v>
      </c>
      <c r="AF850" s="32">
        <f t="shared" si="2378"/>
        <v>148705</v>
      </c>
      <c r="AG850" s="32">
        <f t="shared" si="2378"/>
        <v>1656</v>
      </c>
      <c r="AH850" s="32">
        <f t="shared" si="2378"/>
        <v>150361</v>
      </c>
      <c r="AI850" s="32">
        <f t="shared" si="2378"/>
        <v>243112</v>
      </c>
      <c r="AJ850" s="34">
        <f t="shared" si="2379"/>
        <v>197.9106249</v>
      </c>
      <c r="AK850" s="32">
        <f t="shared" si="2380"/>
        <v>346084</v>
      </c>
      <c r="AL850" s="35">
        <f t="shared" si="2381"/>
        <v>0.7024652974</v>
      </c>
      <c r="AM850" s="36">
        <f t="shared" si="2382"/>
        <v>1.5</v>
      </c>
      <c r="AN850" s="35">
        <f t="shared" si="2383"/>
        <v>0.5077052561</v>
      </c>
      <c r="AO850" s="37">
        <f t="shared" si="2384"/>
        <v>0.7615578842</v>
      </c>
      <c r="AP850" s="36">
        <f t="shared" ref="AP850:AQ850" si="2385">SUM(T845)</f>
        <v>10783.69888</v>
      </c>
      <c r="AQ850" s="36">
        <f t="shared" si="2385"/>
        <v>6.685492177</v>
      </c>
      <c r="AR850" s="32">
        <f t="shared" si="2386"/>
        <v>150.7203968</v>
      </c>
      <c r="AS850" s="97">
        <f t="shared" si="2387"/>
        <v>9659</v>
      </c>
      <c r="AT850" s="95">
        <v>46258.0</v>
      </c>
    </row>
    <row r="851" ht="15.75" customHeight="1">
      <c r="B851" s="38">
        <v>9.0</v>
      </c>
      <c r="C851" s="38" t="s">
        <v>36</v>
      </c>
      <c r="D851" s="40">
        <f t="shared" ref="D851:H851" si="2388">D14+D41+D68+D95+D122+D149+D176+D203+D230+D257+D284+D311+D338+D365+D392+D419+D446+D473+D500+D527+D554+D581+D608+D635+D662+D689+D716+D743+D770+D797+D824</f>
        <v>827</v>
      </c>
      <c r="E851" s="40">
        <f t="shared" si="2388"/>
        <v>821</v>
      </c>
      <c r="F851" s="40">
        <f t="shared" si="2388"/>
        <v>161969.089</v>
      </c>
      <c r="G851" s="40">
        <f t="shared" si="2388"/>
        <v>42380</v>
      </c>
      <c r="H851" s="40">
        <f t="shared" si="2388"/>
        <v>122</v>
      </c>
      <c r="I851" s="40">
        <f t="shared" si="2345"/>
        <v>42502</v>
      </c>
      <c r="J851" s="40">
        <f t="shared" ref="J851:K851" si="2389">J14+J41+J68+J95+J122+J149+J176+J203+J230+J257+J284+J311+J338+J365+J392+J419+J446+J473+J500+J527+J554+J581+J608+J635+J662+J689+J716+J743+J770+J797+J824</f>
        <v>62942</v>
      </c>
      <c r="K851" s="40">
        <f t="shared" si="2389"/>
        <v>217</v>
      </c>
      <c r="L851" s="40">
        <f t="shared" ref="L851:L860" si="2394">SUM(J851:K851)</f>
        <v>63159</v>
      </c>
      <c r="M851" s="40">
        <f t="shared" si="2348"/>
        <v>105661</v>
      </c>
      <c r="N851" s="41">
        <f t="shared" si="2349"/>
        <v>197.2826906</v>
      </c>
      <c r="O851" s="40">
        <f t="shared" si="2350"/>
        <v>148676</v>
      </c>
      <c r="P851" s="42">
        <f t="shared" si="2351"/>
        <v>0.7106795986</v>
      </c>
      <c r="Q851" s="43">
        <v>1.5</v>
      </c>
      <c r="R851" s="42">
        <f t="shared" si="2352"/>
        <v>0.4349019131</v>
      </c>
      <c r="S851" s="44">
        <f t="shared" si="2353"/>
        <v>0.6523528696</v>
      </c>
      <c r="T851" s="43">
        <f>F851/37.414</f>
        <v>4329.103785</v>
      </c>
      <c r="U851" s="43">
        <f t="shared" si="2354"/>
        <v>5.272964415</v>
      </c>
      <c r="V851" s="40">
        <f t="shared" si="2355"/>
        <v>128.6979294</v>
      </c>
      <c r="X851" s="22">
        <v>3.0</v>
      </c>
      <c r="Y851" s="22" t="s">
        <v>34</v>
      </c>
      <c r="Z851" s="23">
        <f t="shared" ref="Z851:AI851" si="2390">SUM(D847)</f>
        <v>1134</v>
      </c>
      <c r="AA851" s="23">
        <f t="shared" si="2390"/>
        <v>1119</v>
      </c>
      <c r="AB851" s="23">
        <f t="shared" si="2390"/>
        <v>220023.186</v>
      </c>
      <c r="AC851" s="23">
        <f t="shared" si="2390"/>
        <v>75897</v>
      </c>
      <c r="AD851" s="23">
        <f t="shared" si="2390"/>
        <v>171</v>
      </c>
      <c r="AE851" s="23">
        <f t="shared" si="2390"/>
        <v>76068</v>
      </c>
      <c r="AF851" s="23">
        <f t="shared" si="2390"/>
        <v>92799</v>
      </c>
      <c r="AG851" s="23">
        <f t="shared" si="2390"/>
        <v>339</v>
      </c>
      <c r="AH851" s="23">
        <f t="shared" si="2390"/>
        <v>93138</v>
      </c>
      <c r="AI851" s="23">
        <f t="shared" si="2390"/>
        <v>169206</v>
      </c>
      <c r="AJ851" s="25">
        <f t="shared" si="2379"/>
        <v>196.6248311</v>
      </c>
      <c r="AK851" s="23">
        <f>SUM(O847)</f>
        <v>289974</v>
      </c>
      <c r="AL851" s="26">
        <f t="shared" si="2381"/>
        <v>0.5835212812</v>
      </c>
      <c r="AM851" s="27">
        <f>SUM(Q847)</f>
        <v>1.5</v>
      </c>
      <c r="AN851" s="26">
        <f t="shared" si="2383"/>
        <v>0.5126914215</v>
      </c>
      <c r="AO851" s="28">
        <f t="shared" si="2384"/>
        <v>0.7690371323</v>
      </c>
      <c r="AP851" s="27">
        <f t="shared" ref="AP851:AQ851" si="2391">SUM(T847)</f>
        <v>7163.845473</v>
      </c>
      <c r="AQ851" s="27">
        <f t="shared" si="2391"/>
        <v>6.402006678</v>
      </c>
      <c r="AR851" s="23">
        <f t="shared" si="2386"/>
        <v>151.2117962</v>
      </c>
      <c r="AS851" s="94">
        <f>MAX(M10,M37,M64,M91,M118,M145,M172,M199,M226,M253,M280,M307,M334,M361,M388,M415,M442,M469,M496,M523,M550,M577,M604,M631,M658,M685,M712,M739,M766,M793,M820)</f>
        <v>6808</v>
      </c>
      <c r="AT851" s="95">
        <v>46238.0</v>
      </c>
    </row>
    <row r="852" ht="15.75" customHeight="1">
      <c r="B852" s="38">
        <v>10.0</v>
      </c>
      <c r="C852" s="38" t="s">
        <v>37</v>
      </c>
      <c r="D852" s="40">
        <f t="shared" ref="D852:H852" si="2392">D15+D42+D69+D96+D123+D150+D177+D204+D231+D258+D285+D312+D339+D366+D393+D420+D447+D474+D501+D528+D555+D582+D609+D636+D663+D690+D717+D744+D771+D798+D825</f>
        <v>853</v>
      </c>
      <c r="E852" s="40">
        <f t="shared" si="2392"/>
        <v>814</v>
      </c>
      <c r="F852" s="40">
        <f t="shared" si="2392"/>
        <v>158569.242</v>
      </c>
      <c r="G852" s="40">
        <f t="shared" si="2392"/>
        <v>52354</v>
      </c>
      <c r="H852" s="40">
        <f t="shared" si="2392"/>
        <v>415</v>
      </c>
      <c r="I852" s="40">
        <f t="shared" si="2345"/>
        <v>52769</v>
      </c>
      <c r="J852" s="40">
        <f t="shared" ref="J852:K852" si="2393">J15+J42+J69+J96+J123+J150+J177+J204+J231+J258+J285+J312+J339+J366+J393+J420+J447+J474+J501+J528+J555+J582+J609+J636+J663+J690+J717+J744+J771+J798+J825</f>
        <v>80848</v>
      </c>
      <c r="K852" s="40">
        <f t="shared" si="2393"/>
        <v>582</v>
      </c>
      <c r="L852" s="40">
        <f t="shared" si="2394"/>
        <v>81430</v>
      </c>
      <c r="M852" s="40">
        <f t="shared" si="2348"/>
        <v>134199</v>
      </c>
      <c r="N852" s="41">
        <f t="shared" si="2349"/>
        <v>194.8025086</v>
      </c>
      <c r="O852" s="40">
        <f t="shared" si="2350"/>
        <v>182497</v>
      </c>
      <c r="P852" s="42">
        <f t="shared" si="2351"/>
        <v>0.7353490742</v>
      </c>
      <c r="Q852" s="43">
        <v>1.5</v>
      </c>
      <c r="R852" s="42">
        <f t="shared" si="2352"/>
        <v>0.56420778</v>
      </c>
      <c r="S852" s="44">
        <f t="shared" si="2353"/>
        <v>0.84631167</v>
      </c>
      <c r="T852" s="43">
        <f>F852/24.792</f>
        <v>6395.984269</v>
      </c>
      <c r="U852" s="43">
        <f t="shared" si="2354"/>
        <v>7.857474532</v>
      </c>
      <c r="V852" s="40">
        <f t="shared" si="2355"/>
        <v>164.8636364</v>
      </c>
      <c r="X852" s="31">
        <v>4.0</v>
      </c>
      <c r="Y852" s="31" t="s">
        <v>38</v>
      </c>
      <c r="Z852" s="32">
        <f t="shared" ref="Z852:AI852" si="2395">SUM(D855)</f>
        <v>853</v>
      </c>
      <c r="AA852" s="32">
        <f t="shared" si="2395"/>
        <v>846</v>
      </c>
      <c r="AB852" s="32">
        <f t="shared" si="2395"/>
        <v>173491.608</v>
      </c>
      <c r="AC852" s="32">
        <f t="shared" si="2395"/>
        <v>58502</v>
      </c>
      <c r="AD852" s="32">
        <f t="shared" si="2395"/>
        <v>1204</v>
      </c>
      <c r="AE852" s="32">
        <f t="shared" si="2395"/>
        <v>59706</v>
      </c>
      <c r="AF852" s="32">
        <f t="shared" si="2395"/>
        <v>79070</v>
      </c>
      <c r="AG852" s="32">
        <f t="shared" si="2395"/>
        <v>3613</v>
      </c>
      <c r="AH852" s="32">
        <f t="shared" si="2395"/>
        <v>82683</v>
      </c>
      <c r="AI852" s="32">
        <f t="shared" si="2395"/>
        <v>142389</v>
      </c>
      <c r="AJ852" s="34">
        <f t="shared" si="2379"/>
        <v>205.0728227</v>
      </c>
      <c r="AK852" s="32">
        <f>SUM(O855)</f>
        <v>258695</v>
      </c>
      <c r="AL852" s="35">
        <f t="shared" si="2381"/>
        <v>0.5504126481</v>
      </c>
      <c r="AM852" s="36">
        <f>SUM(Q855)</f>
        <v>1.5</v>
      </c>
      <c r="AN852" s="35">
        <f t="shared" si="2383"/>
        <v>0.5471503844</v>
      </c>
      <c r="AO852" s="37">
        <f t="shared" si="2384"/>
        <v>0.8207255765</v>
      </c>
      <c r="AP852" s="36">
        <f t="shared" ref="AP852:AQ852" si="2396">SUM(T855)</f>
        <v>4210.450382</v>
      </c>
      <c r="AQ852" s="36">
        <f t="shared" si="2396"/>
        <v>4.976891705</v>
      </c>
      <c r="AR852" s="32">
        <f t="shared" si="2386"/>
        <v>168.3085106</v>
      </c>
      <c r="AS852" s="94">
        <f>MAX(M18,M45,M72,M99,M126,M153,M180,M207,M234,M261,M288,M315,M342,M369,M396,M423,M450,M477,M504,M531,M558,M585,M612,M639,M666,M693,M720,M747,M774,M801,M828)</f>
        <v>5793</v>
      </c>
      <c r="AT852" s="95">
        <v>46246.0</v>
      </c>
    </row>
    <row r="853" ht="15.75" customHeight="1">
      <c r="B853" s="38">
        <v>12.0</v>
      </c>
      <c r="C853" s="38" t="s">
        <v>39</v>
      </c>
      <c r="D853" s="40">
        <f t="shared" ref="D853:H853" si="2397">D16+D43+D70+D97+D124+D151+D178+D205+D232+D259+D286+D313+D340+D367+D394+D421+D448+D475+D502+D529+D556+D583+D610+D637+D664+D691+D718+D745+D772+D799+D826</f>
        <v>791</v>
      </c>
      <c r="E853" s="40">
        <f t="shared" si="2397"/>
        <v>768</v>
      </c>
      <c r="F853" s="40">
        <f t="shared" si="2397"/>
        <v>142481.228</v>
      </c>
      <c r="G853" s="40">
        <f t="shared" si="2397"/>
        <v>33206</v>
      </c>
      <c r="H853" s="40">
        <f t="shared" si="2397"/>
        <v>536</v>
      </c>
      <c r="I853" s="40">
        <f t="shared" si="2345"/>
        <v>33742</v>
      </c>
      <c r="J853" s="40">
        <f t="shared" ref="J853:K853" si="2398">J16+J43+J70+J97+J124+J151+J178+J205+J232+J259+J286+J313+J340+J367+J394+J421+J448+J475+J502+J529+J556+J583+J610+J637+J664+J691+J718+J745+J772+J799+J826</f>
        <v>51557</v>
      </c>
      <c r="K853" s="40">
        <f t="shared" si="2398"/>
        <v>2134</v>
      </c>
      <c r="L853" s="40">
        <f t="shared" si="2394"/>
        <v>53691</v>
      </c>
      <c r="M853" s="40">
        <f t="shared" si="2348"/>
        <v>87433</v>
      </c>
      <c r="N853" s="41">
        <f t="shared" si="2349"/>
        <v>185.5224323</v>
      </c>
      <c r="O853" s="40">
        <f t="shared" si="2350"/>
        <v>110639</v>
      </c>
      <c r="P853" s="42">
        <f t="shared" si="2351"/>
        <v>0.7902547926</v>
      </c>
      <c r="Q853" s="43">
        <v>1.5</v>
      </c>
      <c r="R853" s="42">
        <f t="shared" si="2352"/>
        <v>0.4090971666</v>
      </c>
      <c r="S853" s="44">
        <f t="shared" si="2353"/>
        <v>0.6136457499</v>
      </c>
      <c r="T853" s="43">
        <f>F853/21.463</f>
        <v>6638.458184</v>
      </c>
      <c r="U853" s="43">
        <f t="shared" si="2354"/>
        <v>8.64382576</v>
      </c>
      <c r="V853" s="40">
        <f t="shared" si="2355"/>
        <v>113.8450521</v>
      </c>
      <c r="X853" s="31">
        <v>5.0</v>
      </c>
      <c r="Y853" s="31" t="s">
        <v>40</v>
      </c>
      <c r="Z853" s="32">
        <f t="shared" ref="Z853:AI853" si="2399">SUM(D857)</f>
        <v>853</v>
      </c>
      <c r="AA853" s="32">
        <f t="shared" si="2399"/>
        <v>830</v>
      </c>
      <c r="AB853" s="32">
        <f t="shared" si="2399"/>
        <v>158710.607</v>
      </c>
      <c r="AC853" s="32">
        <f t="shared" si="2399"/>
        <v>89577</v>
      </c>
      <c r="AD853" s="32">
        <f t="shared" si="2399"/>
        <v>311</v>
      </c>
      <c r="AE853" s="32">
        <f t="shared" si="2399"/>
        <v>89888</v>
      </c>
      <c r="AF853" s="32">
        <f t="shared" si="2399"/>
        <v>105325</v>
      </c>
      <c r="AG853" s="32">
        <f t="shared" si="2399"/>
        <v>492</v>
      </c>
      <c r="AH853" s="32">
        <f t="shared" si="2399"/>
        <v>105817</v>
      </c>
      <c r="AI853" s="32">
        <f t="shared" si="2399"/>
        <v>195705</v>
      </c>
      <c r="AJ853" s="34">
        <f t="shared" si="2379"/>
        <v>191.2175988</v>
      </c>
      <c r="AK853" s="32">
        <f t="shared" ref="AK853:AK854" si="2404">SUM(O857)</f>
        <v>255409</v>
      </c>
      <c r="AL853" s="35">
        <f t="shared" si="2381"/>
        <v>0.7662415968</v>
      </c>
      <c r="AM853" s="36">
        <f t="shared" ref="AM853:AM854" si="2405">SUM(Q857)</f>
        <v>1.5</v>
      </c>
      <c r="AN853" s="35">
        <f t="shared" si="2383"/>
        <v>0.8220622583</v>
      </c>
      <c r="AO853" s="37">
        <f t="shared" si="2384"/>
        <v>1.233093387</v>
      </c>
      <c r="AP853" s="36">
        <f t="shared" ref="AP853:AQ853" si="2400">SUM(T857)</f>
        <v>5579.953134</v>
      </c>
      <c r="AQ853" s="36">
        <f t="shared" si="2400"/>
        <v>6.722835102</v>
      </c>
      <c r="AR853" s="32">
        <f t="shared" si="2386"/>
        <v>235.7891566</v>
      </c>
      <c r="AS853" s="97">
        <f t="shared" ref="AS853:AS854" si="2407">MAX(M20,M47,M74,M101,M128,M155,M182,M209,M236,M263,M290,M317,M344,M371,M398,M425,M452,M479,M506,M533,M560,M587,M614,M641,M668,M695,M722,M749,M776,M803,M830)</f>
        <v>7739</v>
      </c>
      <c r="AT853" s="95">
        <v>46255.0</v>
      </c>
    </row>
    <row r="854" ht="15.75" customHeight="1">
      <c r="B854" s="38">
        <v>12.0</v>
      </c>
      <c r="C854" s="38" t="s">
        <v>41</v>
      </c>
      <c r="D854" s="40">
        <f t="shared" ref="D854:H854" si="2401">D17+D44+D71+D98+D125+D152+D179+D206+D233+D260+D287+D314+D341+D368+D395+D422+D449+D476+D503+D530+D557+D584+D611+D638+D665+D692+D719+D746+D773+D800+D827</f>
        <v>691</v>
      </c>
      <c r="E854" s="40">
        <f t="shared" si="2401"/>
        <v>690</v>
      </c>
      <c r="F854" s="40">
        <f t="shared" si="2401"/>
        <v>136571.912</v>
      </c>
      <c r="G854" s="40">
        <f t="shared" si="2401"/>
        <v>34106</v>
      </c>
      <c r="H854" s="40">
        <f t="shared" si="2401"/>
        <v>605</v>
      </c>
      <c r="I854" s="40">
        <f t="shared" si="2345"/>
        <v>34711</v>
      </c>
      <c r="J854" s="40">
        <f t="shared" ref="J854:K854" si="2402">J17+J44+J71+J98+J125+J152+J179+J206+J233+J260+J287+J314+J341+J368+J395+J422+J449+J476+J503+J530+J557+J584+J611+J638+J665+J692+J719+J746+J773+J800+J827</f>
        <v>46047</v>
      </c>
      <c r="K854" s="40">
        <f t="shared" si="2402"/>
        <v>1393</v>
      </c>
      <c r="L854" s="40">
        <f t="shared" si="2394"/>
        <v>47440</v>
      </c>
      <c r="M854" s="40">
        <f t="shared" si="2348"/>
        <v>82151</v>
      </c>
      <c r="N854" s="41">
        <f t="shared" si="2349"/>
        <v>197.9303072</v>
      </c>
      <c r="O854" s="40">
        <f t="shared" si="2350"/>
        <v>117831</v>
      </c>
      <c r="P854" s="42">
        <f t="shared" si="2351"/>
        <v>0.6971934381</v>
      </c>
      <c r="Q854" s="43">
        <v>1.5</v>
      </c>
      <c r="R854" s="42">
        <f t="shared" si="2352"/>
        <v>0.4010146196</v>
      </c>
      <c r="S854" s="44">
        <f t="shared" si="2353"/>
        <v>0.6015219293</v>
      </c>
      <c r="T854" s="43">
        <f>F854/29.628</f>
        <v>4609.555556</v>
      </c>
      <c r="U854" s="43">
        <f t="shared" si="2354"/>
        <v>6.680515298</v>
      </c>
      <c r="V854" s="40">
        <f t="shared" si="2355"/>
        <v>119.0594203</v>
      </c>
      <c r="X854" s="22">
        <v>6.0</v>
      </c>
      <c r="Y854" s="22" t="s">
        <v>42</v>
      </c>
      <c r="Z854" s="23">
        <f t="shared" ref="Z854:AI854" si="2403">SUM(D858)</f>
        <v>929</v>
      </c>
      <c r="AA854" s="23">
        <f t="shared" si="2403"/>
        <v>888</v>
      </c>
      <c r="AB854" s="23">
        <f t="shared" si="2403"/>
        <v>172567.626</v>
      </c>
      <c r="AC854" s="23">
        <f t="shared" si="2403"/>
        <v>85359</v>
      </c>
      <c r="AD854" s="23">
        <f t="shared" si="2403"/>
        <v>1069</v>
      </c>
      <c r="AE854" s="23">
        <f t="shared" si="2403"/>
        <v>86428</v>
      </c>
      <c r="AF854" s="23">
        <f t="shared" si="2403"/>
        <v>113849</v>
      </c>
      <c r="AG854" s="23">
        <f t="shared" si="2403"/>
        <v>1801</v>
      </c>
      <c r="AH854" s="23">
        <f t="shared" si="2403"/>
        <v>115650</v>
      </c>
      <c r="AI854" s="23">
        <f t="shared" si="2403"/>
        <v>202078</v>
      </c>
      <c r="AJ854" s="25">
        <f t="shared" si="2379"/>
        <v>194.3329122</v>
      </c>
      <c r="AK854" s="23">
        <f t="shared" si="2404"/>
        <v>306187</v>
      </c>
      <c r="AL854" s="26">
        <f t="shared" si="2381"/>
        <v>0.6599822984</v>
      </c>
      <c r="AM854" s="27">
        <f t="shared" si="2405"/>
        <v>1.5</v>
      </c>
      <c r="AN854" s="26">
        <f t="shared" si="2383"/>
        <v>0.7806717273</v>
      </c>
      <c r="AO854" s="28">
        <f t="shared" si="2384"/>
        <v>1.171007591</v>
      </c>
      <c r="AP854" s="27">
        <f t="shared" ref="AP854:AQ854" si="2406">SUM(T858)</f>
        <v>6597.882852</v>
      </c>
      <c r="AQ854" s="27">
        <f t="shared" si="2406"/>
        <v>7.430048257</v>
      </c>
      <c r="AR854" s="23">
        <f t="shared" si="2386"/>
        <v>227.5653153</v>
      </c>
      <c r="AS854" s="94">
        <f t="shared" si="2407"/>
        <v>8051</v>
      </c>
      <c r="AT854" s="95">
        <v>46239.0</v>
      </c>
    </row>
    <row r="855" ht="15.75" customHeight="1">
      <c r="B855" s="38">
        <v>13.0</v>
      </c>
      <c r="C855" s="38" t="s">
        <v>43</v>
      </c>
      <c r="D855" s="40">
        <f t="shared" ref="D855:H855" si="2408">D18+D45+D72+D99+D126+D153+D180+D207+D234+D261+D288+D315+D342+D369+D396+D423+D450+D477+D504+D531+D558+D585+D612+D639+D666+D693+D720+D747+D774+D801+D828</f>
        <v>853</v>
      </c>
      <c r="E855" s="40">
        <f t="shared" si="2408"/>
        <v>846</v>
      </c>
      <c r="F855" s="40">
        <f t="shared" si="2408"/>
        <v>173491.608</v>
      </c>
      <c r="G855" s="40">
        <f t="shared" si="2408"/>
        <v>58502</v>
      </c>
      <c r="H855" s="40">
        <f t="shared" si="2408"/>
        <v>1204</v>
      </c>
      <c r="I855" s="40">
        <f t="shared" si="2345"/>
        <v>59706</v>
      </c>
      <c r="J855" s="40">
        <f t="shared" ref="J855:K855" si="2409">J18+J45+J72+J99+J126+J153+J180+J207+J234+J261+J288+J315+J342+J369+J396+J423+J450+J477+J504+J531+J558+J585+J612+J639+J666+J693+J720+J747+J774+J801+J828</f>
        <v>79070</v>
      </c>
      <c r="K855" s="40">
        <f t="shared" si="2409"/>
        <v>3613</v>
      </c>
      <c r="L855" s="40">
        <f t="shared" si="2394"/>
        <v>82683</v>
      </c>
      <c r="M855" s="40">
        <f t="shared" si="2348"/>
        <v>142389</v>
      </c>
      <c r="N855" s="41">
        <f t="shared" si="2349"/>
        <v>205.0728227</v>
      </c>
      <c r="O855" s="40">
        <f t="shared" si="2350"/>
        <v>258695</v>
      </c>
      <c r="P855" s="42">
        <f t="shared" si="2351"/>
        <v>0.5504126481</v>
      </c>
      <c r="Q855" s="43">
        <v>1.5</v>
      </c>
      <c r="R855" s="42">
        <f t="shared" si="2352"/>
        <v>0.5471503844</v>
      </c>
      <c r="S855" s="44">
        <f t="shared" si="2353"/>
        <v>0.8207255765</v>
      </c>
      <c r="T855" s="43">
        <f>F855/41.205</f>
        <v>4210.450382</v>
      </c>
      <c r="U855" s="43">
        <f t="shared" si="2354"/>
        <v>4.976891705</v>
      </c>
      <c r="V855" s="40">
        <f t="shared" si="2355"/>
        <v>168.3085106</v>
      </c>
      <c r="X855" s="46" t="s">
        <v>33</v>
      </c>
      <c r="Y855" s="46">
        <v>6.0</v>
      </c>
      <c r="Z855" s="47">
        <f t="shared" ref="Z855:AI855" si="2410">SUM(Z849:Z854)</f>
        <v>6399</v>
      </c>
      <c r="AA855" s="47">
        <f t="shared" si="2410"/>
        <v>6217</v>
      </c>
      <c r="AB855" s="47">
        <f t="shared" si="2410"/>
        <v>1224080.51</v>
      </c>
      <c r="AC855" s="47">
        <f t="shared" si="2410"/>
        <v>472696</v>
      </c>
      <c r="AD855" s="47">
        <f t="shared" si="2410"/>
        <v>7293</v>
      </c>
      <c r="AE855" s="47">
        <f t="shared" si="2410"/>
        <v>479989</v>
      </c>
      <c r="AF855" s="47">
        <f t="shared" si="2410"/>
        <v>617258</v>
      </c>
      <c r="AG855" s="47">
        <f t="shared" si="2410"/>
        <v>13041</v>
      </c>
      <c r="AH855" s="47">
        <f t="shared" si="2410"/>
        <v>630299</v>
      </c>
      <c r="AI855" s="47">
        <f t="shared" si="2410"/>
        <v>1110288</v>
      </c>
      <c r="AJ855" s="49">
        <f t="shared" si="2379"/>
        <v>196.8924739</v>
      </c>
      <c r="AK855" s="47">
        <f>SUM(AK849:AK854)</f>
        <v>1683114</v>
      </c>
      <c r="AL855" s="50">
        <f t="shared" si="2381"/>
        <v>0.6596629818</v>
      </c>
      <c r="AM855" s="51">
        <v>1.5</v>
      </c>
      <c r="AN855" s="50">
        <f t="shared" si="2383"/>
        <v>0.6046922518</v>
      </c>
      <c r="AO855" s="52">
        <f t="shared" si="2384"/>
        <v>0.9070383777</v>
      </c>
      <c r="AP855" s="51">
        <f>SUM(AP849:AP854)</f>
        <v>40163.50477</v>
      </c>
      <c r="AQ855" s="51">
        <f>AP855/AA855</f>
        <v>6.460270994</v>
      </c>
      <c r="AR855" s="47">
        <f t="shared" si="2386"/>
        <v>178.5890301</v>
      </c>
      <c r="AS855" s="129">
        <f>MAX(M24,M51,M78,M105,M132,M159,M186,M213,M240,M267,M294,M321,M348,M375,M402,M429,M456,M483,M510,M537,M564,M591,M618,M645,M672,M699,M726,M753,M780,M807,M834)</f>
        <v>103223</v>
      </c>
      <c r="AT855" s="108">
        <v>46245.0</v>
      </c>
    </row>
    <row r="856" ht="15.75" customHeight="1">
      <c r="B856" s="38">
        <v>14.0</v>
      </c>
      <c r="C856" s="38" t="s">
        <v>27</v>
      </c>
      <c r="D856" s="40">
        <f t="shared" ref="D856:H856" si="2411">D19+D46+D73+D100+D127+D154+D181+D208+D235+D262+D289+D316+D343+D370+D397+D424+D451+D478+D505+D532+D559+D586+D613+D640+D667+D694+D721+D748+D775+D802+D829</f>
        <v>853</v>
      </c>
      <c r="E856" s="40">
        <f t="shared" si="2411"/>
        <v>827</v>
      </c>
      <c r="F856" s="40">
        <f t="shared" si="2411"/>
        <v>153284.932</v>
      </c>
      <c r="G856" s="40">
        <f t="shared" si="2411"/>
        <v>67006</v>
      </c>
      <c r="H856" s="40">
        <f t="shared" si="2411"/>
        <v>754</v>
      </c>
      <c r="I856" s="40">
        <f t="shared" si="2345"/>
        <v>67760</v>
      </c>
      <c r="J856" s="40">
        <f t="shared" ref="J856:K856" si="2412">J19+J46+J73+J100+J127+J154+J181+J208+J235+J262+J289+J316+J343+J370+J397+J424+J451+J478+J505+J532+J559+J586+J613+J640+J667+J694+J721+J748+J775+J802+J829</f>
        <v>85093</v>
      </c>
      <c r="K856" s="40">
        <f t="shared" si="2412"/>
        <v>814</v>
      </c>
      <c r="L856" s="40">
        <f t="shared" si="2394"/>
        <v>85907</v>
      </c>
      <c r="M856" s="40">
        <f t="shared" si="2348"/>
        <v>153667</v>
      </c>
      <c r="N856" s="41">
        <f t="shared" si="2349"/>
        <v>185.3505828</v>
      </c>
      <c r="O856" s="40">
        <f t="shared" si="2350"/>
        <v>251131</v>
      </c>
      <c r="P856" s="42">
        <f t="shared" si="2351"/>
        <v>0.6118997655</v>
      </c>
      <c r="Q856" s="43">
        <v>1.5</v>
      </c>
      <c r="R856" s="42">
        <f t="shared" si="2352"/>
        <v>0.6683283564</v>
      </c>
      <c r="S856" s="44">
        <f t="shared" si="2353"/>
        <v>1.002492535</v>
      </c>
      <c r="T856" s="43">
        <f>F856/19.985</f>
        <v>7669.999099</v>
      </c>
      <c r="U856" s="43">
        <f t="shared" si="2354"/>
        <v>9.274485005</v>
      </c>
      <c r="V856" s="40">
        <f t="shared" si="2355"/>
        <v>185.8125756</v>
      </c>
      <c r="X856" s="59" t="s">
        <v>44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6"/>
    </row>
    <row r="857" ht="15.75" customHeight="1">
      <c r="B857" s="38">
        <v>15.0</v>
      </c>
      <c r="C857" s="38" t="s">
        <v>40</v>
      </c>
      <c r="D857" s="40">
        <f t="shared" ref="D857:H857" si="2413">D20+D47+D74+D101+D128+D155+D182+D209+D236+D263+D290+D317+D344+D371+D398+D425+D452+D479+D506+D533+D560+D587+D614+D641+D668+D695+D722+D749+D776+D803+D830</f>
        <v>853</v>
      </c>
      <c r="E857" s="40">
        <f t="shared" si="2413"/>
        <v>830</v>
      </c>
      <c r="F857" s="40">
        <f t="shared" si="2413"/>
        <v>158710.607</v>
      </c>
      <c r="G857" s="40">
        <f t="shared" si="2413"/>
        <v>89577</v>
      </c>
      <c r="H857" s="40">
        <f t="shared" si="2413"/>
        <v>311</v>
      </c>
      <c r="I857" s="40">
        <f t="shared" si="2345"/>
        <v>89888</v>
      </c>
      <c r="J857" s="40">
        <f t="shared" ref="J857:K857" si="2414">J20+J47+J74+J101+J128+J155+J182+J209+J236+J263+J290+J317+J344+J371+J398+J425+J452+J479+J506+J533+J560+J587+J614+J641+J668+J695+J722+J749+J776+J803+J830</f>
        <v>105325</v>
      </c>
      <c r="K857" s="40">
        <f t="shared" si="2414"/>
        <v>492</v>
      </c>
      <c r="L857" s="40">
        <f t="shared" si="2394"/>
        <v>105817</v>
      </c>
      <c r="M857" s="40">
        <f t="shared" si="2348"/>
        <v>195705</v>
      </c>
      <c r="N857" s="41">
        <f t="shared" si="2349"/>
        <v>191.2175988</v>
      </c>
      <c r="O857" s="40">
        <f t="shared" si="2350"/>
        <v>255409</v>
      </c>
      <c r="P857" s="42">
        <f t="shared" si="2351"/>
        <v>0.7662415968</v>
      </c>
      <c r="Q857" s="43">
        <v>1.5</v>
      </c>
      <c r="R857" s="42">
        <f t="shared" si="2352"/>
        <v>0.8220622583</v>
      </c>
      <c r="S857" s="44">
        <f t="shared" si="2353"/>
        <v>1.233093387</v>
      </c>
      <c r="T857" s="43">
        <f>F857/28.443</f>
        <v>5579.953134</v>
      </c>
      <c r="U857" s="43">
        <f t="shared" si="2354"/>
        <v>6.722835102</v>
      </c>
      <c r="V857" s="40">
        <f t="shared" si="2355"/>
        <v>235.7891566</v>
      </c>
      <c r="X857" s="14" t="s">
        <v>2</v>
      </c>
      <c r="Y857" s="14" t="s">
        <v>3</v>
      </c>
      <c r="Z857" s="14" t="s">
        <v>4</v>
      </c>
      <c r="AA857" s="14" t="s">
        <v>5</v>
      </c>
      <c r="AB857" s="15" t="s">
        <v>6</v>
      </c>
      <c r="AC857" s="14" t="s">
        <v>7</v>
      </c>
      <c r="AD857" s="14" t="s">
        <v>8</v>
      </c>
      <c r="AE857" s="14" t="s">
        <v>9</v>
      </c>
      <c r="AF857" s="14" t="s">
        <v>10</v>
      </c>
      <c r="AG857" s="14" t="s">
        <v>11</v>
      </c>
      <c r="AH857" s="14" t="s">
        <v>12</v>
      </c>
      <c r="AI857" s="14" t="s">
        <v>13</v>
      </c>
      <c r="AJ857" s="15" t="s">
        <v>14</v>
      </c>
      <c r="AK857" s="14" t="s">
        <v>15</v>
      </c>
      <c r="AL857" s="14" t="s">
        <v>16</v>
      </c>
      <c r="AM857" s="16" t="s">
        <v>17</v>
      </c>
      <c r="AN857" s="17" t="s">
        <v>18</v>
      </c>
      <c r="AO857" s="18" t="s">
        <v>19</v>
      </c>
      <c r="AP857" s="19" t="s">
        <v>20</v>
      </c>
      <c r="AQ857" s="19" t="s">
        <v>21</v>
      </c>
      <c r="AR857" s="20" t="s">
        <v>22</v>
      </c>
      <c r="AS857" s="20" t="s">
        <v>47</v>
      </c>
      <c r="AT857" s="20" t="s">
        <v>48</v>
      </c>
    </row>
    <row r="858" ht="15.75" customHeight="1">
      <c r="B858" s="38">
        <v>16.0</v>
      </c>
      <c r="C858" s="38" t="s">
        <v>42</v>
      </c>
      <c r="D858" s="40">
        <f t="shared" ref="D858:H858" si="2415">D21+D48+D75+D102+D129+D156+D183+D210+D237+D264+D291+D318+D345+D372+D399+D426+D453+D480+D507+D534+D561+D588+D615+D642+D669+D696+D723+D750+D777+D804+D831</f>
        <v>929</v>
      </c>
      <c r="E858" s="40">
        <f t="shared" si="2415"/>
        <v>888</v>
      </c>
      <c r="F858" s="40">
        <f t="shared" si="2415"/>
        <v>172567.626</v>
      </c>
      <c r="G858" s="40">
        <f t="shared" si="2415"/>
        <v>85359</v>
      </c>
      <c r="H858" s="40">
        <f t="shared" si="2415"/>
        <v>1069</v>
      </c>
      <c r="I858" s="40">
        <f t="shared" si="2345"/>
        <v>86428</v>
      </c>
      <c r="J858" s="40">
        <f t="shared" ref="J858:K858" si="2416">J21+J48+J75+J102+J129+J156+J183+J210+J237+J264+J291+J318+J345+J372+J399+J426+J453+J480+J507+J534+J561+J588+J615+J642+J669+J696+J723+J750+J777+J804+J831</f>
        <v>113849</v>
      </c>
      <c r="K858" s="40">
        <f t="shared" si="2416"/>
        <v>1801</v>
      </c>
      <c r="L858" s="40">
        <f t="shared" si="2394"/>
        <v>115650</v>
      </c>
      <c r="M858" s="40">
        <f t="shared" si="2348"/>
        <v>202078</v>
      </c>
      <c r="N858" s="41">
        <f t="shared" si="2349"/>
        <v>194.3329122</v>
      </c>
      <c r="O858" s="40">
        <f t="shared" si="2350"/>
        <v>306187</v>
      </c>
      <c r="P858" s="42">
        <f t="shared" si="2351"/>
        <v>0.6599822984</v>
      </c>
      <c r="Q858" s="43">
        <v>1.5</v>
      </c>
      <c r="R858" s="42">
        <f t="shared" si="2352"/>
        <v>0.7806717273</v>
      </c>
      <c r="S858" s="44">
        <f t="shared" si="2353"/>
        <v>1.171007591</v>
      </c>
      <c r="T858" s="43">
        <f>F858/26.155</f>
        <v>6597.882852</v>
      </c>
      <c r="U858" s="43">
        <f t="shared" si="2354"/>
        <v>7.430048257</v>
      </c>
      <c r="V858" s="40">
        <f t="shared" si="2355"/>
        <v>227.5653153</v>
      </c>
      <c r="X858" s="31">
        <v>1.0</v>
      </c>
      <c r="Y858" s="31" t="s">
        <v>26</v>
      </c>
      <c r="Z858" s="32">
        <f t="shared" ref="Z858:AI858" si="2417">SUM(D843)</f>
        <v>567</v>
      </c>
      <c r="AA858" s="32">
        <f t="shared" si="2417"/>
        <v>540</v>
      </c>
      <c r="AB858" s="32">
        <f t="shared" si="2417"/>
        <v>103623.036</v>
      </c>
      <c r="AC858" s="32">
        <f t="shared" si="2417"/>
        <v>55049</v>
      </c>
      <c r="AD858" s="32">
        <f t="shared" si="2417"/>
        <v>417</v>
      </c>
      <c r="AE858" s="32">
        <f t="shared" si="2417"/>
        <v>55466</v>
      </c>
      <c r="AF858" s="32">
        <f t="shared" si="2417"/>
        <v>75944</v>
      </c>
      <c r="AG858" s="32">
        <f t="shared" si="2417"/>
        <v>253</v>
      </c>
      <c r="AH858" s="32">
        <f t="shared" si="2417"/>
        <v>76197</v>
      </c>
      <c r="AI858" s="32">
        <f t="shared" si="2417"/>
        <v>131663</v>
      </c>
      <c r="AJ858" s="34">
        <f t="shared" ref="AJ858:AJ859" si="2422">AB858/AA858</f>
        <v>191.8945111</v>
      </c>
      <c r="AK858" s="32">
        <f>SUM(O843)</f>
        <v>159991</v>
      </c>
      <c r="AL858" s="35">
        <f t="shared" ref="AL858:AL864" si="2423">AI858/AK858</f>
        <v>0.8229400404</v>
      </c>
      <c r="AM858" s="36">
        <f>SUM(Q843)</f>
        <v>1.5</v>
      </c>
      <c r="AN858" s="35">
        <f t="shared" ref="AN858:AN864" si="2424">AO858/AM858</f>
        <v>0.8470639032</v>
      </c>
      <c r="AO858" s="37">
        <f t="shared" ref="AO858:AO864" si="2425">AI858/AB858</f>
        <v>1.270595855</v>
      </c>
      <c r="AP858" s="36">
        <f t="shared" ref="AP858:AQ858" si="2418">SUM(T843)</f>
        <v>7188.556087</v>
      </c>
      <c r="AQ858" s="36">
        <f t="shared" si="2418"/>
        <v>13.3121409</v>
      </c>
      <c r="AR858" s="32">
        <f t="shared" ref="AR858:AR864" si="2427">AI858/AA858</f>
        <v>243.8203704</v>
      </c>
      <c r="AS858" s="94">
        <f>MAX(M6,M33,M60,M87,M114,M141,M168,M195,M222,M249,M276,M303,M330,M357,M384,M411,M438,M465,M492,M519,M546,M573,M600,M627,M654,M681,M708,M735,M762,M789,M816)</f>
        <v>5427</v>
      </c>
      <c r="AT858" s="95">
        <v>46246.0</v>
      </c>
    </row>
    <row r="859" ht="15.75" customHeight="1">
      <c r="B859" s="38">
        <v>17.0</v>
      </c>
      <c r="C859" s="38" t="s">
        <v>29</v>
      </c>
      <c r="D859" s="40">
        <f t="shared" ref="D859:H859" si="2419">D22+D49+D76+D103+D130+D157+D184+D211+D238+D265+D292+D319+D346+D373+D400+D427+D454+D481+D508+D535+D562+D589+D616+D643+D670+D697+D724+D751+D778+D805+D832</f>
        <v>853</v>
      </c>
      <c r="E859" s="40">
        <f t="shared" si="2419"/>
        <v>833</v>
      </c>
      <c r="F859" s="40">
        <f t="shared" si="2419"/>
        <v>163854.015</v>
      </c>
      <c r="G859" s="40">
        <f t="shared" si="2419"/>
        <v>73188</v>
      </c>
      <c r="H859" s="40">
        <f t="shared" si="2419"/>
        <v>343</v>
      </c>
      <c r="I859" s="40">
        <f t="shared" si="2345"/>
        <v>73531</v>
      </c>
      <c r="J859" s="40">
        <f t="shared" ref="J859:K859" si="2420">J22+J49+J76+J103+J130+J157+J184+J211+J238+J265+J292+J319+J346+J373+J400+J427+J454+J481+J508+J535+J562+J589+J616+J643+J670+J697+J724+J751+J778+J805+J832</f>
        <v>109206</v>
      </c>
      <c r="K859" s="40">
        <f t="shared" si="2420"/>
        <v>90</v>
      </c>
      <c r="L859" s="40">
        <f t="shared" si="2394"/>
        <v>109296</v>
      </c>
      <c r="M859" s="40">
        <f t="shared" si="2348"/>
        <v>182827</v>
      </c>
      <c r="N859" s="41">
        <f t="shared" si="2349"/>
        <v>196.7034994</v>
      </c>
      <c r="O859" s="40">
        <f t="shared" si="2350"/>
        <v>285231</v>
      </c>
      <c r="P859" s="42">
        <f t="shared" si="2351"/>
        <v>0.6409787155</v>
      </c>
      <c r="Q859" s="43">
        <v>1.5</v>
      </c>
      <c r="R859" s="42">
        <f t="shared" si="2352"/>
        <v>0.743861337</v>
      </c>
      <c r="S859" s="44">
        <f t="shared" si="2353"/>
        <v>1.115792005</v>
      </c>
      <c r="T859" s="43">
        <f>F859/26.038</f>
        <v>6292.880214</v>
      </c>
      <c r="U859" s="43">
        <f t="shared" si="2354"/>
        <v>7.554478047</v>
      </c>
      <c r="V859" s="40">
        <f t="shared" si="2355"/>
        <v>219.4801921</v>
      </c>
      <c r="X859" s="31">
        <v>2.0</v>
      </c>
      <c r="Y859" s="31" t="s">
        <v>32</v>
      </c>
      <c r="Z859" s="32">
        <f t="shared" ref="Z859:AI859" si="2421">SUM(D846)</f>
        <v>1189</v>
      </c>
      <c r="AA859" s="32">
        <f t="shared" si="2421"/>
        <v>1169</v>
      </c>
      <c r="AB859" s="32">
        <f t="shared" si="2421"/>
        <v>227823.163</v>
      </c>
      <c r="AC859" s="32">
        <f t="shared" si="2421"/>
        <v>127486</v>
      </c>
      <c r="AD859" s="32">
        <f t="shared" si="2421"/>
        <v>302</v>
      </c>
      <c r="AE859" s="32">
        <f t="shared" si="2421"/>
        <v>127788</v>
      </c>
      <c r="AF859" s="32">
        <f t="shared" si="2421"/>
        <v>150880</v>
      </c>
      <c r="AG859" s="32">
        <f t="shared" si="2421"/>
        <v>493</v>
      </c>
      <c r="AH859" s="32">
        <f t="shared" si="2421"/>
        <v>151373</v>
      </c>
      <c r="AI859" s="32">
        <f t="shared" si="2421"/>
        <v>279161</v>
      </c>
      <c r="AJ859" s="34">
        <f t="shared" si="2422"/>
        <v>194.8872224</v>
      </c>
      <c r="AK859" s="32">
        <f>SUM(O846)</f>
        <v>428327</v>
      </c>
      <c r="AL859" s="35">
        <f t="shared" si="2423"/>
        <v>0.6517473799</v>
      </c>
      <c r="AM859" s="36">
        <f>SUM(Q846)</f>
        <v>1.5</v>
      </c>
      <c r="AN859" s="35">
        <f t="shared" si="2424"/>
        <v>0.8168938175</v>
      </c>
      <c r="AO859" s="37">
        <f t="shared" si="2425"/>
        <v>1.225340726</v>
      </c>
      <c r="AP859" s="36">
        <f t="shared" ref="AP859:AQ859" si="2426">SUM(T846)</f>
        <v>9080.599585</v>
      </c>
      <c r="AQ859" s="36">
        <f t="shared" si="2426"/>
        <v>7.767835402</v>
      </c>
      <c r="AR859" s="32">
        <f t="shared" si="2427"/>
        <v>238.8032506</v>
      </c>
      <c r="AS859" s="94">
        <f>MAX(M9,M36,M63,M90,M117,M144,M171,M198,M225,M252,M279,M306,M333,M360,M387,M414,M441,M468,M495,M522,M549,M576,M603,M630,M657,M684,M711,M738,M765,M792,M819)</f>
        <v>10855</v>
      </c>
      <c r="AT859" s="95">
        <v>46244.0</v>
      </c>
    </row>
    <row r="860" ht="15.75" customHeight="1">
      <c r="B860" s="38">
        <v>18.0</v>
      </c>
      <c r="C860" s="38" t="s">
        <v>31</v>
      </c>
      <c r="D860" s="40">
        <f t="shared" ref="D860:H860" si="2428">D23+D50+D77+D104+D131+D158+D185+D212+D239+D266+D293+D320+D347+D374+D401+D428+D455+D482+D509+D536+D563+D590+D617+D644+D671+D698+D725+D752+D779+D806+D833</f>
        <v>424</v>
      </c>
      <c r="E860" s="40">
        <f t="shared" si="2428"/>
        <v>389</v>
      </c>
      <c r="F860" s="40">
        <f t="shared" si="2428"/>
        <v>75712.587</v>
      </c>
      <c r="G860" s="40">
        <f t="shared" si="2428"/>
        <v>22378</v>
      </c>
      <c r="H860" s="40">
        <f t="shared" si="2428"/>
        <v>149</v>
      </c>
      <c r="I860" s="40">
        <f t="shared" si="2345"/>
        <v>22527</v>
      </c>
      <c r="J860" s="40">
        <f t="shared" ref="J860:K860" si="2429">J23+J50+J77+J104+J131+J158+J185+J212+J239+J266+J293+J320+J347+J374+J401+J428+J455+J482+J509+J536+J563+J590+J617+J644+J671+J698+J725+J752+J779+J806+J833</f>
        <v>27629</v>
      </c>
      <c r="K860" s="40">
        <f t="shared" si="2429"/>
        <v>132</v>
      </c>
      <c r="L860" s="40">
        <f t="shared" si="2394"/>
        <v>27761</v>
      </c>
      <c r="M860" s="40">
        <f t="shared" si="2348"/>
        <v>50288</v>
      </c>
      <c r="N860" s="41">
        <f t="shared" si="2349"/>
        <v>194.6338997</v>
      </c>
      <c r="O860" s="40">
        <f t="shared" si="2350"/>
        <v>84227</v>
      </c>
      <c r="P860" s="42">
        <f t="shared" si="2351"/>
        <v>0.5970532015</v>
      </c>
      <c r="Q860" s="43">
        <v>1.5</v>
      </c>
      <c r="R860" s="42">
        <f t="shared" si="2352"/>
        <v>0.4427973559</v>
      </c>
      <c r="S860" s="44">
        <f t="shared" si="2353"/>
        <v>0.6641960339</v>
      </c>
      <c r="T860" s="43">
        <f>F860/43.465</f>
        <v>1741.920787</v>
      </c>
      <c r="U860" s="43">
        <f t="shared" si="2354"/>
        <v>4.477945467</v>
      </c>
      <c r="V860" s="40">
        <f t="shared" si="2355"/>
        <v>129.2750643</v>
      </c>
      <c r="X860" s="31">
        <v>3.0</v>
      </c>
      <c r="Y860" s="31" t="s">
        <v>36</v>
      </c>
      <c r="Z860" s="32">
        <f t="shared" ref="Z860:AK860" si="2430">SUM(D851)</f>
        <v>827</v>
      </c>
      <c r="AA860" s="32">
        <f t="shared" si="2430"/>
        <v>821</v>
      </c>
      <c r="AB860" s="32">
        <f t="shared" si="2430"/>
        <v>161969.089</v>
      </c>
      <c r="AC860" s="32">
        <f t="shared" si="2430"/>
        <v>42380</v>
      </c>
      <c r="AD860" s="32">
        <f t="shared" si="2430"/>
        <v>122</v>
      </c>
      <c r="AE860" s="32">
        <f t="shared" si="2430"/>
        <v>42502</v>
      </c>
      <c r="AF860" s="32">
        <f t="shared" si="2430"/>
        <v>62942</v>
      </c>
      <c r="AG860" s="32">
        <f t="shared" si="2430"/>
        <v>217</v>
      </c>
      <c r="AH860" s="32">
        <f t="shared" si="2430"/>
        <v>63159</v>
      </c>
      <c r="AI860" s="32">
        <f t="shared" si="2430"/>
        <v>105661</v>
      </c>
      <c r="AJ860" s="34">
        <f t="shared" si="2430"/>
        <v>197.2826906</v>
      </c>
      <c r="AK860" s="32">
        <f t="shared" si="2430"/>
        <v>148676</v>
      </c>
      <c r="AL860" s="35">
        <f t="shared" si="2423"/>
        <v>0.7106795986</v>
      </c>
      <c r="AM860" s="32">
        <f t="shared" ref="AM860:AM863" si="2434">SUM(Q851)</f>
        <v>1.5</v>
      </c>
      <c r="AN860" s="35">
        <f t="shared" si="2424"/>
        <v>0.4349019131</v>
      </c>
      <c r="AO860" s="37">
        <f t="shared" si="2425"/>
        <v>0.6523528696</v>
      </c>
      <c r="AP860" s="32">
        <f t="shared" ref="AP860:AQ860" si="2431">SUM(T851)</f>
        <v>4329.103785</v>
      </c>
      <c r="AQ860" s="32">
        <f t="shared" si="2431"/>
        <v>5.272964415</v>
      </c>
      <c r="AR860" s="32">
        <f t="shared" si="2427"/>
        <v>128.6979294</v>
      </c>
      <c r="AS860" s="97">
        <f t="shared" ref="AS860:AS863" si="2436">MAX(M14,M41,M68,M95,M122,M149,M176,M203,M230,M257,M284,M311,M338,M365,M392,M419,M446,M473,M500,M527,M554,M581,M608,M635,M662,M689,M716,M743,M770,M797,M824)</f>
        <v>4120</v>
      </c>
      <c r="AT860" s="95">
        <v>46245.0</v>
      </c>
    </row>
    <row r="861" ht="15.75" customHeight="1">
      <c r="B861" s="60" t="s">
        <v>33</v>
      </c>
      <c r="C861" s="60">
        <v>18.0</v>
      </c>
      <c r="D861" s="61">
        <f t="shared" ref="D861:M861" si="2432">SUM(D843:D860)</f>
        <v>16635</v>
      </c>
      <c r="E861" s="61">
        <f t="shared" si="2432"/>
        <v>16153</v>
      </c>
      <c r="F861" s="62">
        <f t="shared" si="2432"/>
        <v>3138853.648</v>
      </c>
      <c r="G861" s="61">
        <f t="shared" si="2432"/>
        <v>1121814</v>
      </c>
      <c r="H861" s="61">
        <f t="shared" si="2432"/>
        <v>20517</v>
      </c>
      <c r="I861" s="61">
        <f t="shared" si="2432"/>
        <v>1142331</v>
      </c>
      <c r="J861" s="61">
        <f t="shared" si="2432"/>
        <v>1513926</v>
      </c>
      <c r="K861" s="61">
        <f t="shared" si="2432"/>
        <v>29690</v>
      </c>
      <c r="L861" s="61">
        <f t="shared" si="2432"/>
        <v>1543616</v>
      </c>
      <c r="M861" s="61">
        <f t="shared" si="2432"/>
        <v>2685947</v>
      </c>
      <c r="N861" s="62">
        <f t="shared" si="2349"/>
        <v>194.3201664</v>
      </c>
      <c r="O861" s="61">
        <f>SUM(O843:O860)</f>
        <v>3918369</v>
      </c>
      <c r="P861" s="63">
        <f t="shared" si="2351"/>
        <v>0.6854757681</v>
      </c>
      <c r="Q861" s="64">
        <v>1.5</v>
      </c>
      <c r="R861" s="63">
        <f t="shared" si="2352"/>
        <v>0.5704730243</v>
      </c>
      <c r="S861" s="65">
        <f t="shared" si="2353"/>
        <v>0.8557095364</v>
      </c>
      <c r="T861" s="64">
        <f>SUM(T843:T860)</f>
        <v>115460.8477</v>
      </c>
      <c r="U861" s="64">
        <f t="shared" si="2354"/>
        <v>7.1479507</v>
      </c>
      <c r="V861" s="61">
        <f t="shared" si="2355"/>
        <v>166.2816195</v>
      </c>
      <c r="X861" s="31">
        <v>4.0</v>
      </c>
      <c r="Y861" s="31" t="s">
        <v>37</v>
      </c>
      <c r="Z861" s="32">
        <f t="shared" ref="Z861:AK861" si="2433">SUM(D852)</f>
        <v>853</v>
      </c>
      <c r="AA861" s="32">
        <f t="shared" si="2433"/>
        <v>814</v>
      </c>
      <c r="AB861" s="32">
        <f t="shared" si="2433"/>
        <v>158569.242</v>
      </c>
      <c r="AC861" s="32">
        <f t="shared" si="2433"/>
        <v>52354</v>
      </c>
      <c r="AD861" s="32">
        <f t="shared" si="2433"/>
        <v>415</v>
      </c>
      <c r="AE861" s="32">
        <f t="shared" si="2433"/>
        <v>52769</v>
      </c>
      <c r="AF861" s="32">
        <f t="shared" si="2433"/>
        <v>80848</v>
      </c>
      <c r="AG861" s="32">
        <f t="shared" si="2433"/>
        <v>582</v>
      </c>
      <c r="AH861" s="32">
        <f t="shared" si="2433"/>
        <v>81430</v>
      </c>
      <c r="AI861" s="32">
        <f t="shared" si="2433"/>
        <v>134199</v>
      </c>
      <c r="AJ861" s="34">
        <f t="shared" si="2433"/>
        <v>194.8025086</v>
      </c>
      <c r="AK861" s="32">
        <f t="shared" si="2433"/>
        <v>182497</v>
      </c>
      <c r="AL861" s="35">
        <f t="shared" si="2423"/>
        <v>0.7353490742</v>
      </c>
      <c r="AM861" s="32">
        <f t="shared" si="2434"/>
        <v>1.5</v>
      </c>
      <c r="AN861" s="35">
        <f t="shared" si="2424"/>
        <v>0.56420778</v>
      </c>
      <c r="AO861" s="37">
        <f t="shared" si="2425"/>
        <v>0.84631167</v>
      </c>
      <c r="AP861" s="32">
        <f t="shared" ref="AP861:AQ861" si="2435">SUM(T852)</f>
        <v>6395.984269</v>
      </c>
      <c r="AQ861" s="32">
        <f t="shared" si="2435"/>
        <v>7.857474532</v>
      </c>
      <c r="AR861" s="32">
        <f t="shared" si="2427"/>
        <v>164.8636364</v>
      </c>
      <c r="AS861" s="97">
        <f t="shared" si="2436"/>
        <v>5472</v>
      </c>
      <c r="AT861" s="95">
        <v>46260.0</v>
      </c>
    </row>
    <row r="862" ht="15.75" customHeight="1"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X862" s="31">
        <v>5.0</v>
      </c>
      <c r="Y862" s="31" t="s">
        <v>39</v>
      </c>
      <c r="Z862" s="32">
        <f t="shared" ref="Z862:AK862" si="2437">SUM(D853)</f>
        <v>791</v>
      </c>
      <c r="AA862" s="32">
        <f t="shared" si="2437"/>
        <v>768</v>
      </c>
      <c r="AB862" s="32">
        <f t="shared" si="2437"/>
        <v>142481.228</v>
      </c>
      <c r="AC862" s="32">
        <f t="shared" si="2437"/>
        <v>33206</v>
      </c>
      <c r="AD862" s="32">
        <f t="shared" si="2437"/>
        <v>536</v>
      </c>
      <c r="AE862" s="32">
        <f t="shared" si="2437"/>
        <v>33742</v>
      </c>
      <c r="AF862" s="32">
        <f t="shared" si="2437"/>
        <v>51557</v>
      </c>
      <c r="AG862" s="32">
        <f t="shared" si="2437"/>
        <v>2134</v>
      </c>
      <c r="AH862" s="32">
        <f t="shared" si="2437"/>
        <v>53691</v>
      </c>
      <c r="AI862" s="32">
        <f t="shared" si="2437"/>
        <v>87433</v>
      </c>
      <c r="AJ862" s="34">
        <f t="shared" si="2437"/>
        <v>185.5224323</v>
      </c>
      <c r="AK862" s="32">
        <f t="shared" si="2437"/>
        <v>110639</v>
      </c>
      <c r="AL862" s="35">
        <f t="shared" si="2423"/>
        <v>0.7902547926</v>
      </c>
      <c r="AM862" s="32">
        <f t="shared" si="2434"/>
        <v>1.5</v>
      </c>
      <c r="AN862" s="35">
        <f t="shared" si="2424"/>
        <v>0.4090971666</v>
      </c>
      <c r="AO862" s="37">
        <f t="shared" si="2425"/>
        <v>0.6136457499</v>
      </c>
      <c r="AP862" s="32">
        <f t="shared" ref="AP862:AQ862" si="2438">SUM(T853)</f>
        <v>6638.458184</v>
      </c>
      <c r="AQ862" s="32">
        <f t="shared" si="2438"/>
        <v>8.64382576</v>
      </c>
      <c r="AR862" s="32">
        <f t="shared" si="2427"/>
        <v>113.8450521</v>
      </c>
      <c r="AS862" s="94">
        <f t="shared" si="2436"/>
        <v>3219</v>
      </c>
      <c r="AT862" s="95">
        <v>46265.0</v>
      </c>
    </row>
    <row r="863" ht="15.75" customHeight="1">
      <c r="A863" s="109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X863" s="31">
        <v>6.0</v>
      </c>
      <c r="Y863" s="31" t="s">
        <v>41</v>
      </c>
      <c r="Z863" s="32">
        <f t="shared" ref="Z863:AK863" si="2439">SUM(D854)</f>
        <v>691</v>
      </c>
      <c r="AA863" s="32">
        <f t="shared" si="2439"/>
        <v>690</v>
      </c>
      <c r="AB863" s="32">
        <f t="shared" si="2439"/>
        <v>136571.912</v>
      </c>
      <c r="AC863" s="32">
        <f t="shared" si="2439"/>
        <v>34106</v>
      </c>
      <c r="AD863" s="32">
        <f t="shared" si="2439"/>
        <v>605</v>
      </c>
      <c r="AE863" s="32">
        <f t="shared" si="2439"/>
        <v>34711</v>
      </c>
      <c r="AF863" s="32">
        <f t="shared" si="2439"/>
        <v>46047</v>
      </c>
      <c r="AG863" s="32">
        <f t="shared" si="2439"/>
        <v>1393</v>
      </c>
      <c r="AH863" s="32">
        <f t="shared" si="2439"/>
        <v>47440</v>
      </c>
      <c r="AI863" s="32">
        <f t="shared" si="2439"/>
        <v>82151</v>
      </c>
      <c r="AJ863" s="34">
        <f t="shared" si="2439"/>
        <v>197.9303072</v>
      </c>
      <c r="AK863" s="32">
        <f t="shared" si="2439"/>
        <v>117831</v>
      </c>
      <c r="AL863" s="35">
        <f t="shared" si="2423"/>
        <v>0.6971934381</v>
      </c>
      <c r="AM863" s="32">
        <f t="shared" si="2434"/>
        <v>1.5</v>
      </c>
      <c r="AN863" s="35">
        <f t="shared" si="2424"/>
        <v>0.4010146196</v>
      </c>
      <c r="AO863" s="37">
        <f t="shared" si="2425"/>
        <v>0.6015219293</v>
      </c>
      <c r="AP863" s="32">
        <f t="shared" ref="AP863:AQ863" si="2440">SUM(T854)</f>
        <v>4609.555556</v>
      </c>
      <c r="AQ863" s="32">
        <f t="shared" si="2440"/>
        <v>6.680515298</v>
      </c>
      <c r="AR863" s="32">
        <f t="shared" si="2427"/>
        <v>119.0594203</v>
      </c>
      <c r="AS863" s="94">
        <f t="shared" si="2436"/>
        <v>3244</v>
      </c>
      <c r="AT863" s="95">
        <v>46253.0</v>
      </c>
    </row>
    <row r="864" ht="15.75" customHeight="1">
      <c r="A864" s="1" t="s">
        <v>45</v>
      </c>
      <c r="D864" s="2"/>
      <c r="X864" s="46" t="s">
        <v>33</v>
      </c>
      <c r="Y864" s="46">
        <v>6.0</v>
      </c>
      <c r="Z864" s="47">
        <f t="shared" ref="Z864:AI864" si="2441">SUM(Z858:Z863)</f>
        <v>4918</v>
      </c>
      <c r="AA864" s="47">
        <f t="shared" si="2441"/>
        <v>4802</v>
      </c>
      <c r="AB864" s="47">
        <f t="shared" si="2441"/>
        <v>931037.67</v>
      </c>
      <c r="AC864" s="47">
        <f t="shared" si="2441"/>
        <v>344581</v>
      </c>
      <c r="AD864" s="47">
        <f t="shared" si="2441"/>
        <v>2397</v>
      </c>
      <c r="AE864" s="47">
        <f t="shared" si="2441"/>
        <v>346978</v>
      </c>
      <c r="AF864" s="47">
        <f t="shared" si="2441"/>
        <v>468218</v>
      </c>
      <c r="AG864" s="47">
        <f t="shared" si="2441"/>
        <v>5072</v>
      </c>
      <c r="AH864" s="47">
        <f t="shared" si="2441"/>
        <v>473290</v>
      </c>
      <c r="AI864" s="47">
        <f t="shared" si="2441"/>
        <v>820268</v>
      </c>
      <c r="AJ864" s="49">
        <f>AB864/AA864</f>
        <v>193.8853957</v>
      </c>
      <c r="AK864" s="47">
        <f>SUM(AK858:AK863)</f>
        <v>1147961</v>
      </c>
      <c r="AL864" s="50">
        <f t="shared" si="2423"/>
        <v>0.7145434383</v>
      </c>
      <c r="AM864" s="51">
        <v>1.5</v>
      </c>
      <c r="AN864" s="50">
        <f t="shared" si="2424"/>
        <v>0.5873503844</v>
      </c>
      <c r="AO864" s="52">
        <f t="shared" si="2425"/>
        <v>0.8810255765</v>
      </c>
      <c r="AP864" s="51">
        <f>SUM(AP858:AP863)</f>
        <v>38242.25747</v>
      </c>
      <c r="AQ864" s="51">
        <f>AP864/AA864</f>
        <v>7.963818714</v>
      </c>
      <c r="AR864" s="47">
        <f t="shared" si="2427"/>
        <v>170.8179925</v>
      </c>
      <c r="AS864" s="129">
        <f>MAX(M24,M51,M78,M105,M132,M159,M186,M213,M240,M267,M294,M321,M348,M375,M402,M429,M456,M483,M510,M537,M564,M591,M618,M645,M672,M699,M726,M753,M780,M807,M834)</f>
        <v>103223</v>
      </c>
      <c r="AT864" s="108">
        <v>46245.0</v>
      </c>
    </row>
    <row r="865" ht="15.75" customHeight="1">
      <c r="A865" s="110"/>
      <c r="D865" s="111" t="s">
        <v>49</v>
      </c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3"/>
      <c r="Q865" s="110"/>
    </row>
    <row r="866" ht="15.75" customHeight="1">
      <c r="D866" s="114"/>
      <c r="P866" s="115"/>
    </row>
    <row r="867" ht="15.75" customHeight="1">
      <c r="D867" s="116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8"/>
    </row>
    <row r="868" ht="15.75" customHeight="1">
      <c r="D868" s="119" t="s">
        <v>3</v>
      </c>
      <c r="E868" s="112"/>
      <c r="F868" s="112"/>
      <c r="G868" s="112"/>
      <c r="H868" s="112"/>
      <c r="I868" s="112"/>
      <c r="J868" s="113"/>
      <c r="K868" s="120" t="s">
        <v>50</v>
      </c>
      <c r="L868" s="112"/>
      <c r="M868" s="112"/>
      <c r="N868" s="112"/>
      <c r="O868" s="112"/>
      <c r="P868" s="113"/>
    </row>
    <row r="869" ht="15.75" customHeight="1">
      <c r="D869" s="116"/>
      <c r="E869" s="117"/>
      <c r="F869" s="117"/>
      <c r="G869" s="117"/>
      <c r="H869" s="117"/>
      <c r="I869" s="117"/>
      <c r="J869" s="118"/>
      <c r="K869" s="116"/>
      <c r="L869" s="117"/>
      <c r="M869" s="117"/>
      <c r="N869" s="117"/>
      <c r="O869" s="117"/>
      <c r="P869" s="118"/>
    </row>
    <row r="870" ht="15.75" customHeight="1">
      <c r="D870" s="121" t="s">
        <v>51</v>
      </c>
      <c r="E870" s="122"/>
      <c r="F870" s="122"/>
      <c r="G870" s="122"/>
      <c r="H870" s="122"/>
      <c r="I870" s="122"/>
      <c r="J870" s="123"/>
      <c r="K870" s="124">
        <v>14.415</v>
      </c>
      <c r="L870" s="122"/>
      <c r="M870" s="122"/>
      <c r="N870" s="122"/>
      <c r="O870" s="122"/>
      <c r="P870" s="123"/>
    </row>
    <row r="871" ht="15.75" customHeight="1">
      <c r="D871" s="121" t="s">
        <v>52</v>
      </c>
      <c r="E871" s="122"/>
      <c r="F871" s="122"/>
      <c r="G871" s="122"/>
      <c r="H871" s="122"/>
      <c r="I871" s="122"/>
      <c r="J871" s="123"/>
      <c r="K871" s="121">
        <v>30.897</v>
      </c>
      <c r="L871" s="122"/>
      <c r="M871" s="122"/>
      <c r="N871" s="122"/>
      <c r="O871" s="122"/>
      <c r="P871" s="123"/>
    </row>
    <row r="872" ht="15.75" customHeight="1">
      <c r="D872" s="121" t="s">
        <v>53</v>
      </c>
      <c r="E872" s="122"/>
      <c r="F872" s="122"/>
      <c r="G872" s="122"/>
      <c r="H872" s="122"/>
      <c r="I872" s="122"/>
      <c r="J872" s="123"/>
      <c r="K872" s="121">
        <v>29.603</v>
      </c>
      <c r="L872" s="122"/>
      <c r="M872" s="122"/>
      <c r="N872" s="122"/>
      <c r="O872" s="122"/>
      <c r="P872" s="123"/>
    </row>
    <row r="873" ht="15.75" customHeight="1">
      <c r="D873" s="121" t="s">
        <v>54</v>
      </c>
      <c r="E873" s="122"/>
      <c r="F873" s="122"/>
      <c r="G873" s="122"/>
      <c r="H873" s="122"/>
      <c r="I873" s="122"/>
      <c r="J873" s="123"/>
      <c r="K873" s="121">
        <v>25.089</v>
      </c>
      <c r="L873" s="122"/>
      <c r="M873" s="122"/>
      <c r="N873" s="122"/>
      <c r="O873" s="122"/>
      <c r="P873" s="123"/>
    </row>
    <row r="874" ht="15.75" customHeight="1">
      <c r="D874" s="121" t="s">
        <v>55</v>
      </c>
      <c r="E874" s="122"/>
      <c r="F874" s="122"/>
      <c r="G874" s="122"/>
      <c r="H874" s="122"/>
      <c r="I874" s="122"/>
      <c r="J874" s="123"/>
      <c r="K874" s="121">
        <v>28.347</v>
      </c>
      <c r="L874" s="122"/>
      <c r="M874" s="122"/>
      <c r="N874" s="122"/>
      <c r="O874" s="122"/>
      <c r="P874" s="123"/>
    </row>
    <row r="875" ht="15.75" customHeight="1">
      <c r="D875" s="121" t="s">
        <v>56</v>
      </c>
      <c r="E875" s="122"/>
      <c r="F875" s="122"/>
      <c r="G875" s="122"/>
      <c r="H875" s="122"/>
      <c r="I875" s="122"/>
      <c r="J875" s="123"/>
      <c r="K875" s="121">
        <v>33.74</v>
      </c>
      <c r="L875" s="122"/>
      <c r="M875" s="122"/>
      <c r="N875" s="122"/>
      <c r="O875" s="122"/>
      <c r="P875" s="123"/>
    </row>
    <row r="876" ht="15.75" customHeight="1">
      <c r="D876" s="121" t="s">
        <v>57</v>
      </c>
      <c r="E876" s="122"/>
      <c r="F876" s="122"/>
      <c r="G876" s="122"/>
      <c r="H876" s="122"/>
      <c r="I876" s="122"/>
      <c r="J876" s="123"/>
      <c r="K876" s="121">
        <v>26.805</v>
      </c>
      <c r="L876" s="122"/>
      <c r="M876" s="122"/>
      <c r="N876" s="122"/>
      <c r="O876" s="122"/>
      <c r="P876" s="123"/>
    </row>
    <row r="877" ht="15.75" customHeight="1">
      <c r="D877" s="121" t="s">
        <v>58</v>
      </c>
      <c r="E877" s="122"/>
      <c r="F877" s="122"/>
      <c r="G877" s="122"/>
      <c r="H877" s="122"/>
      <c r="I877" s="122"/>
      <c r="J877" s="123"/>
      <c r="K877" s="121">
        <v>23.84</v>
      </c>
      <c r="L877" s="122"/>
      <c r="M877" s="122"/>
      <c r="N877" s="122"/>
      <c r="O877" s="122"/>
      <c r="P877" s="123"/>
    </row>
    <row r="878" ht="15.75" customHeight="1">
      <c r="D878" s="121" t="s">
        <v>59</v>
      </c>
      <c r="E878" s="122"/>
      <c r="F878" s="122"/>
      <c r="G878" s="122"/>
      <c r="H878" s="122"/>
      <c r="I878" s="122"/>
      <c r="J878" s="123"/>
      <c r="K878" s="121">
        <v>37.414</v>
      </c>
      <c r="L878" s="122"/>
      <c r="M878" s="122"/>
      <c r="N878" s="122"/>
      <c r="O878" s="122"/>
      <c r="P878" s="123"/>
    </row>
    <row r="879" ht="15.75" customHeight="1">
      <c r="D879" s="121" t="s">
        <v>60</v>
      </c>
      <c r="E879" s="122"/>
      <c r="F879" s="122"/>
      <c r="G879" s="122"/>
      <c r="H879" s="122"/>
      <c r="I879" s="122"/>
      <c r="J879" s="123"/>
      <c r="K879" s="121">
        <v>24.792</v>
      </c>
      <c r="L879" s="122"/>
      <c r="M879" s="122"/>
      <c r="N879" s="122"/>
      <c r="O879" s="122"/>
      <c r="P879" s="123"/>
    </row>
    <row r="880" ht="15.75" customHeight="1">
      <c r="D880" s="121" t="s">
        <v>61</v>
      </c>
      <c r="E880" s="122"/>
      <c r="F880" s="122"/>
      <c r="G880" s="122"/>
      <c r="H880" s="122"/>
      <c r="I880" s="122"/>
      <c r="J880" s="123"/>
      <c r="K880" s="121">
        <v>21.463</v>
      </c>
      <c r="L880" s="122"/>
      <c r="M880" s="122"/>
      <c r="N880" s="122"/>
      <c r="O880" s="122"/>
      <c r="P880" s="123"/>
    </row>
    <row r="881" ht="15.75" customHeight="1">
      <c r="D881" s="121" t="s">
        <v>62</v>
      </c>
      <c r="E881" s="122"/>
      <c r="F881" s="122"/>
      <c r="G881" s="122"/>
      <c r="H881" s="122"/>
      <c r="I881" s="122"/>
      <c r="J881" s="123"/>
      <c r="K881" s="121">
        <v>29.628</v>
      </c>
      <c r="L881" s="122"/>
      <c r="M881" s="122"/>
      <c r="N881" s="122"/>
      <c r="O881" s="122"/>
      <c r="P881" s="123"/>
    </row>
    <row r="882" ht="15.75" customHeight="1">
      <c r="D882" s="121" t="s">
        <v>63</v>
      </c>
      <c r="E882" s="122"/>
      <c r="F882" s="122"/>
      <c r="G882" s="122"/>
      <c r="H882" s="122"/>
      <c r="I882" s="122"/>
      <c r="J882" s="123"/>
      <c r="K882" s="121">
        <v>41.205</v>
      </c>
      <c r="L882" s="122"/>
      <c r="M882" s="122"/>
      <c r="N882" s="122"/>
      <c r="O882" s="122"/>
      <c r="P882" s="123"/>
    </row>
    <row r="883" ht="15.75" customHeight="1">
      <c r="D883" s="121" t="s">
        <v>64</v>
      </c>
      <c r="E883" s="122"/>
      <c r="F883" s="122"/>
      <c r="G883" s="122"/>
      <c r="H883" s="122"/>
      <c r="I883" s="122"/>
      <c r="J883" s="123"/>
      <c r="K883" s="121">
        <v>19.985</v>
      </c>
      <c r="L883" s="122"/>
      <c r="M883" s="122"/>
      <c r="N883" s="122"/>
      <c r="O883" s="122"/>
      <c r="P883" s="123"/>
    </row>
    <row r="884" ht="15.75" customHeight="1">
      <c r="D884" s="121" t="s">
        <v>65</v>
      </c>
      <c r="E884" s="122"/>
      <c r="F884" s="122"/>
      <c r="G884" s="122"/>
      <c r="H884" s="122"/>
      <c r="I884" s="122"/>
      <c r="J884" s="123"/>
      <c r="K884" s="121">
        <v>28.443</v>
      </c>
      <c r="L884" s="122"/>
      <c r="M884" s="122"/>
      <c r="N884" s="122"/>
      <c r="O884" s="122"/>
      <c r="P884" s="123"/>
    </row>
    <row r="885" ht="15.75" customHeight="1">
      <c r="D885" s="121" t="s">
        <v>66</v>
      </c>
      <c r="E885" s="122"/>
      <c r="F885" s="122"/>
      <c r="G885" s="122"/>
      <c r="H885" s="122"/>
      <c r="I885" s="122"/>
      <c r="J885" s="123"/>
      <c r="K885" s="121">
        <v>26.155</v>
      </c>
      <c r="L885" s="122"/>
      <c r="M885" s="122"/>
      <c r="N885" s="122"/>
      <c r="O885" s="122"/>
      <c r="P885" s="123"/>
    </row>
    <row r="886" ht="15.75" customHeight="1">
      <c r="D886" s="121" t="s">
        <v>67</v>
      </c>
      <c r="E886" s="122"/>
      <c r="F886" s="122"/>
      <c r="G886" s="122"/>
      <c r="H886" s="122"/>
      <c r="I886" s="122"/>
      <c r="J886" s="123"/>
      <c r="K886" s="125">
        <v>26.491</v>
      </c>
      <c r="L886" s="122"/>
      <c r="M886" s="122"/>
      <c r="N886" s="122"/>
      <c r="O886" s="122"/>
      <c r="P886" s="123"/>
    </row>
    <row r="887" ht="15.75" customHeight="1">
      <c r="D887" s="121" t="s">
        <v>68</v>
      </c>
      <c r="E887" s="122"/>
      <c r="F887" s="122"/>
      <c r="G887" s="122"/>
      <c r="H887" s="122"/>
      <c r="I887" s="122"/>
      <c r="J887" s="123"/>
      <c r="K887" s="121">
        <v>43.465</v>
      </c>
      <c r="L887" s="122"/>
      <c r="M887" s="122"/>
      <c r="N887" s="122"/>
      <c r="O887" s="122"/>
      <c r="P887" s="123"/>
    </row>
    <row r="888" ht="15.75" customHeight="1">
      <c r="D888" s="126" t="s">
        <v>69</v>
      </c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3"/>
    </row>
    <row r="889" ht="15.75" customHeight="1">
      <c r="D889" s="114"/>
      <c r="P889" s="115"/>
    </row>
    <row r="890" ht="15.75" customHeight="1">
      <c r="D890" s="116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8"/>
    </row>
    <row r="891" ht="15.75" customHeight="1">
      <c r="D891" s="127" t="s">
        <v>3</v>
      </c>
      <c r="E891" s="112"/>
      <c r="F891" s="112"/>
      <c r="G891" s="112"/>
      <c r="H891" s="112"/>
      <c r="I891" s="112"/>
      <c r="J891" s="113"/>
      <c r="K891" s="128" t="s">
        <v>70</v>
      </c>
      <c r="L891" s="112"/>
      <c r="M891" s="112"/>
      <c r="N891" s="112"/>
      <c r="O891" s="112"/>
      <c r="P891" s="113"/>
    </row>
    <row r="892" ht="15.75" customHeight="1">
      <c r="D892" s="116"/>
      <c r="E892" s="117"/>
      <c r="F892" s="117"/>
      <c r="G892" s="117"/>
      <c r="H892" s="117"/>
      <c r="I892" s="117"/>
      <c r="J892" s="118"/>
      <c r="K892" s="116"/>
      <c r="L892" s="117"/>
      <c r="M892" s="117"/>
      <c r="N892" s="117"/>
      <c r="O892" s="117"/>
      <c r="P892" s="118"/>
    </row>
    <row r="893" ht="15.75" customHeight="1">
      <c r="D893" s="121" t="s">
        <v>51</v>
      </c>
      <c r="E893" s="122"/>
      <c r="F893" s="122"/>
      <c r="G893" s="122"/>
      <c r="H893" s="122"/>
      <c r="I893" s="122"/>
      <c r="J893" s="123"/>
      <c r="K893" s="124" t="s">
        <v>71</v>
      </c>
      <c r="L893" s="122"/>
      <c r="M893" s="122"/>
      <c r="N893" s="122"/>
      <c r="O893" s="122"/>
      <c r="P893" s="123"/>
    </row>
    <row r="894" ht="15.75" customHeight="1">
      <c r="D894" s="121" t="s">
        <v>52</v>
      </c>
      <c r="E894" s="122"/>
      <c r="F894" s="122"/>
      <c r="G894" s="122"/>
      <c r="H894" s="122"/>
      <c r="I894" s="122"/>
      <c r="J894" s="123"/>
      <c r="K894" s="124" t="s">
        <v>72</v>
      </c>
      <c r="L894" s="122"/>
      <c r="M894" s="122"/>
      <c r="N894" s="122"/>
      <c r="O894" s="122"/>
      <c r="P894" s="123"/>
    </row>
    <row r="895" ht="15.75" customHeight="1">
      <c r="D895" s="121" t="s">
        <v>53</v>
      </c>
      <c r="E895" s="122"/>
      <c r="F895" s="122"/>
      <c r="G895" s="122"/>
      <c r="H895" s="122"/>
      <c r="I895" s="122"/>
      <c r="J895" s="123"/>
      <c r="K895" s="124" t="s">
        <v>72</v>
      </c>
      <c r="L895" s="122"/>
      <c r="M895" s="122"/>
      <c r="N895" s="122"/>
      <c r="O895" s="122"/>
      <c r="P895" s="123"/>
    </row>
    <row r="896" ht="15.75" customHeight="1">
      <c r="D896" s="121" t="s">
        <v>54</v>
      </c>
      <c r="E896" s="122"/>
      <c r="F896" s="122"/>
      <c r="G896" s="122"/>
      <c r="H896" s="122"/>
      <c r="I896" s="122"/>
      <c r="J896" s="123"/>
      <c r="K896" s="124" t="s">
        <v>73</v>
      </c>
      <c r="L896" s="122"/>
      <c r="M896" s="122"/>
      <c r="N896" s="122"/>
      <c r="O896" s="122"/>
      <c r="P896" s="123"/>
    </row>
    <row r="897" ht="15.75" customHeight="1">
      <c r="D897" s="121" t="s">
        <v>55</v>
      </c>
      <c r="E897" s="122"/>
      <c r="F897" s="122"/>
      <c r="G897" s="122"/>
      <c r="H897" s="122"/>
      <c r="I897" s="122"/>
      <c r="J897" s="123"/>
      <c r="K897" s="124" t="s">
        <v>74</v>
      </c>
      <c r="L897" s="122"/>
      <c r="M897" s="122"/>
      <c r="N897" s="122"/>
      <c r="O897" s="122"/>
      <c r="P897" s="123"/>
    </row>
    <row r="898" ht="15.75" customHeight="1">
      <c r="D898" s="121" t="s">
        <v>56</v>
      </c>
      <c r="E898" s="122"/>
      <c r="F898" s="122"/>
      <c r="G898" s="122"/>
      <c r="H898" s="122"/>
      <c r="I898" s="122"/>
      <c r="J898" s="123"/>
      <c r="K898" s="124" t="s">
        <v>74</v>
      </c>
      <c r="L898" s="122"/>
      <c r="M898" s="122"/>
      <c r="N898" s="122"/>
      <c r="O898" s="122"/>
      <c r="P898" s="123"/>
    </row>
    <row r="899" ht="15.75" customHeight="1">
      <c r="D899" s="121" t="s">
        <v>75</v>
      </c>
      <c r="E899" s="122"/>
      <c r="F899" s="122"/>
      <c r="G899" s="122"/>
      <c r="H899" s="122"/>
      <c r="I899" s="122"/>
      <c r="J899" s="123"/>
      <c r="K899" s="124" t="s">
        <v>74</v>
      </c>
      <c r="L899" s="122"/>
      <c r="M899" s="122"/>
      <c r="N899" s="122"/>
      <c r="O899" s="122"/>
      <c r="P899" s="123"/>
    </row>
    <row r="900" ht="15.75" customHeight="1">
      <c r="D900" s="121" t="s">
        <v>58</v>
      </c>
      <c r="E900" s="122"/>
      <c r="F900" s="122"/>
      <c r="G900" s="122"/>
      <c r="H900" s="122"/>
      <c r="I900" s="122"/>
      <c r="J900" s="123"/>
      <c r="K900" s="124" t="s">
        <v>74</v>
      </c>
      <c r="L900" s="122"/>
      <c r="M900" s="122"/>
      <c r="N900" s="122"/>
      <c r="O900" s="122"/>
      <c r="P900" s="123"/>
    </row>
    <row r="901" ht="15.75" customHeight="1">
      <c r="D901" s="121" t="s">
        <v>76</v>
      </c>
      <c r="E901" s="122"/>
      <c r="F901" s="122"/>
      <c r="G901" s="122"/>
      <c r="H901" s="122"/>
      <c r="I901" s="122"/>
      <c r="J901" s="123"/>
      <c r="K901" s="124" t="s">
        <v>77</v>
      </c>
      <c r="L901" s="122"/>
      <c r="M901" s="122"/>
      <c r="N901" s="122"/>
      <c r="O901" s="122"/>
      <c r="P901" s="123"/>
    </row>
    <row r="902" ht="15.75" customHeight="1">
      <c r="D902" s="121" t="s">
        <v>60</v>
      </c>
      <c r="E902" s="122"/>
      <c r="F902" s="122"/>
      <c r="G902" s="122"/>
      <c r="H902" s="122"/>
      <c r="I902" s="122"/>
      <c r="J902" s="123"/>
      <c r="K902" s="124" t="s">
        <v>72</v>
      </c>
      <c r="L902" s="122"/>
      <c r="M902" s="122"/>
      <c r="N902" s="122"/>
      <c r="O902" s="122"/>
      <c r="P902" s="123"/>
    </row>
    <row r="903" ht="15.75" customHeight="1">
      <c r="D903" s="121" t="s">
        <v>61</v>
      </c>
      <c r="E903" s="122"/>
      <c r="F903" s="122"/>
      <c r="G903" s="122"/>
      <c r="H903" s="122"/>
      <c r="I903" s="122"/>
      <c r="J903" s="123"/>
      <c r="K903" s="124" t="s">
        <v>73</v>
      </c>
      <c r="L903" s="122"/>
      <c r="M903" s="122"/>
      <c r="N903" s="122"/>
      <c r="O903" s="122"/>
      <c r="P903" s="123"/>
    </row>
    <row r="904" ht="15.75" customHeight="1">
      <c r="D904" s="121" t="s">
        <v>62</v>
      </c>
      <c r="E904" s="122"/>
      <c r="F904" s="122"/>
      <c r="G904" s="122"/>
      <c r="H904" s="122"/>
      <c r="I904" s="122"/>
      <c r="J904" s="123"/>
      <c r="K904" s="124" t="s">
        <v>78</v>
      </c>
      <c r="L904" s="122"/>
      <c r="M904" s="122"/>
      <c r="N904" s="122"/>
      <c r="O904" s="122"/>
      <c r="P904" s="123"/>
    </row>
    <row r="905" ht="15.75" customHeight="1">
      <c r="D905" s="121" t="s">
        <v>79</v>
      </c>
      <c r="E905" s="122"/>
      <c r="F905" s="122"/>
      <c r="G905" s="122"/>
      <c r="H905" s="122"/>
      <c r="I905" s="122"/>
      <c r="J905" s="123"/>
      <c r="K905" s="124" t="s">
        <v>80</v>
      </c>
      <c r="L905" s="122"/>
      <c r="M905" s="122"/>
      <c r="N905" s="122"/>
      <c r="O905" s="122"/>
      <c r="P905" s="123"/>
    </row>
    <row r="906" ht="15.75" customHeight="1">
      <c r="D906" s="121" t="s">
        <v>64</v>
      </c>
      <c r="E906" s="122"/>
      <c r="F906" s="122"/>
      <c r="G906" s="122"/>
      <c r="H906" s="122"/>
      <c r="I906" s="122"/>
      <c r="J906" s="123"/>
      <c r="K906" s="124" t="s">
        <v>74</v>
      </c>
      <c r="L906" s="122"/>
      <c r="M906" s="122"/>
      <c r="N906" s="122"/>
      <c r="O906" s="122"/>
      <c r="P906" s="123"/>
    </row>
    <row r="907" ht="15.75" customHeight="1">
      <c r="D907" s="121" t="s">
        <v>65</v>
      </c>
      <c r="E907" s="122"/>
      <c r="F907" s="122"/>
      <c r="G907" s="122"/>
      <c r="H907" s="122"/>
      <c r="I907" s="122"/>
      <c r="J907" s="123"/>
      <c r="K907" s="124" t="s">
        <v>72</v>
      </c>
      <c r="L907" s="122"/>
      <c r="M907" s="122"/>
      <c r="N907" s="122"/>
      <c r="O907" s="122"/>
      <c r="P907" s="123"/>
    </row>
    <row r="908" ht="15.75" customHeight="1">
      <c r="D908" s="121" t="s">
        <v>66</v>
      </c>
      <c r="E908" s="122"/>
      <c r="F908" s="122"/>
      <c r="G908" s="122"/>
      <c r="H908" s="122"/>
      <c r="I908" s="122"/>
      <c r="J908" s="123"/>
      <c r="K908" s="124" t="s">
        <v>74</v>
      </c>
      <c r="L908" s="122"/>
      <c r="M908" s="122"/>
      <c r="N908" s="122"/>
      <c r="O908" s="122"/>
      <c r="P908" s="123"/>
    </row>
    <row r="909" ht="15.75" customHeight="1">
      <c r="D909" s="121" t="s">
        <v>67</v>
      </c>
      <c r="E909" s="122"/>
      <c r="F909" s="122"/>
      <c r="G909" s="122"/>
      <c r="H909" s="122"/>
      <c r="I909" s="122"/>
      <c r="J909" s="123"/>
      <c r="K909" s="124" t="s">
        <v>74</v>
      </c>
      <c r="L909" s="122"/>
      <c r="M909" s="122"/>
      <c r="N909" s="122"/>
      <c r="O909" s="122"/>
      <c r="P909" s="123"/>
    </row>
    <row r="910" ht="15.75" customHeight="1">
      <c r="D910" s="121" t="s">
        <v>68</v>
      </c>
      <c r="E910" s="122"/>
      <c r="F910" s="122"/>
      <c r="G910" s="122"/>
      <c r="H910" s="122"/>
      <c r="I910" s="122"/>
      <c r="J910" s="123"/>
      <c r="K910" s="124" t="s">
        <v>80</v>
      </c>
      <c r="L910" s="122"/>
      <c r="M910" s="122"/>
      <c r="N910" s="122"/>
      <c r="O910" s="122"/>
      <c r="P910" s="123"/>
    </row>
    <row r="911">
      <c r="D911" s="110"/>
    </row>
  </sheetData>
  <mergeCells count="1683">
    <mergeCell ref="P780:P782"/>
    <mergeCell ref="Q780:Q782"/>
    <mergeCell ref="R780:R782"/>
    <mergeCell ref="S780:S782"/>
    <mergeCell ref="T780:T782"/>
    <mergeCell ref="U780:U782"/>
    <mergeCell ref="V780:V782"/>
    <mergeCell ref="D783:V783"/>
    <mergeCell ref="D784:V784"/>
    <mergeCell ref="X784:AR784"/>
    <mergeCell ref="D785:D788"/>
    <mergeCell ref="E785:E788"/>
    <mergeCell ref="F785:F788"/>
    <mergeCell ref="G785:G788"/>
    <mergeCell ref="D882:J882"/>
    <mergeCell ref="D883:J883"/>
    <mergeCell ref="K883:P883"/>
    <mergeCell ref="D879:J879"/>
    <mergeCell ref="K879:P879"/>
    <mergeCell ref="D880:J880"/>
    <mergeCell ref="K880:P880"/>
    <mergeCell ref="D881:J881"/>
    <mergeCell ref="K881:P881"/>
    <mergeCell ref="K882:P882"/>
    <mergeCell ref="D887:J887"/>
    <mergeCell ref="D888:P890"/>
    <mergeCell ref="D884:J884"/>
    <mergeCell ref="K884:P884"/>
    <mergeCell ref="D885:J885"/>
    <mergeCell ref="K885:P885"/>
    <mergeCell ref="D886:J886"/>
    <mergeCell ref="K886:P886"/>
    <mergeCell ref="K887:P887"/>
    <mergeCell ref="D895:J895"/>
    <mergeCell ref="D896:J896"/>
    <mergeCell ref="K896:P896"/>
    <mergeCell ref="D891:J892"/>
    <mergeCell ref="K891:P892"/>
    <mergeCell ref="D893:J893"/>
    <mergeCell ref="K893:P893"/>
    <mergeCell ref="D894:J894"/>
    <mergeCell ref="K894:P894"/>
    <mergeCell ref="K895:P895"/>
    <mergeCell ref="D900:J900"/>
    <mergeCell ref="D901:J901"/>
    <mergeCell ref="K901:P901"/>
    <mergeCell ref="D897:J897"/>
    <mergeCell ref="K897:P897"/>
    <mergeCell ref="D898:J898"/>
    <mergeCell ref="K898:P898"/>
    <mergeCell ref="D899:J899"/>
    <mergeCell ref="K899:P899"/>
    <mergeCell ref="K900:P900"/>
    <mergeCell ref="D905:J905"/>
    <mergeCell ref="D906:J906"/>
    <mergeCell ref="K906:P906"/>
    <mergeCell ref="D902:J902"/>
    <mergeCell ref="K902:P902"/>
    <mergeCell ref="D903:J903"/>
    <mergeCell ref="K903:P903"/>
    <mergeCell ref="D904:J904"/>
    <mergeCell ref="K904:P904"/>
    <mergeCell ref="K905:P905"/>
    <mergeCell ref="D910:J910"/>
    <mergeCell ref="D911:P912"/>
    <mergeCell ref="D907:J907"/>
    <mergeCell ref="K907:P907"/>
    <mergeCell ref="D908:J908"/>
    <mergeCell ref="K908:P908"/>
    <mergeCell ref="D909:J909"/>
    <mergeCell ref="K909:P909"/>
    <mergeCell ref="K910:P910"/>
    <mergeCell ref="X532:AR532"/>
    <mergeCell ref="D537:D539"/>
    <mergeCell ref="E537:E539"/>
    <mergeCell ref="F537:F539"/>
    <mergeCell ref="G537:G539"/>
    <mergeCell ref="H537:H539"/>
    <mergeCell ref="I537:I539"/>
    <mergeCell ref="V537:V539"/>
    <mergeCell ref="X838:AT838"/>
    <mergeCell ref="X847:AT847"/>
    <mergeCell ref="X856:AT856"/>
    <mergeCell ref="R861:R863"/>
    <mergeCell ref="S861:S863"/>
    <mergeCell ref="T861:T863"/>
    <mergeCell ref="U861:U863"/>
    <mergeCell ref="V861:V863"/>
    <mergeCell ref="Q865:AT912"/>
    <mergeCell ref="D1:V1"/>
    <mergeCell ref="W1:W864"/>
    <mergeCell ref="X1:AR1"/>
    <mergeCell ref="AS1:AT837"/>
    <mergeCell ref="V24:V26"/>
    <mergeCell ref="X28:AR28"/>
    <mergeCell ref="X55:AR55"/>
    <mergeCell ref="D864:V864"/>
    <mergeCell ref="D868:J869"/>
    <mergeCell ref="K868:P869"/>
    <mergeCell ref="D870:J870"/>
    <mergeCell ref="K870:P870"/>
    <mergeCell ref="D871:J871"/>
    <mergeCell ref="K871:P871"/>
    <mergeCell ref="D872:J872"/>
    <mergeCell ref="K872:P872"/>
    <mergeCell ref="D873:J873"/>
    <mergeCell ref="K873:P873"/>
    <mergeCell ref="D874:J874"/>
    <mergeCell ref="K874:P874"/>
    <mergeCell ref="K875:P875"/>
    <mergeCell ref="D875:J875"/>
    <mergeCell ref="D876:J876"/>
    <mergeCell ref="K876:P876"/>
    <mergeCell ref="D877:J877"/>
    <mergeCell ref="K877:P877"/>
    <mergeCell ref="D878:J878"/>
    <mergeCell ref="K878:P878"/>
    <mergeCell ref="P699:P701"/>
    <mergeCell ref="Q699:Q701"/>
    <mergeCell ref="R699:R701"/>
    <mergeCell ref="S699:S701"/>
    <mergeCell ref="T699:T701"/>
    <mergeCell ref="U699:U701"/>
    <mergeCell ref="V704:V707"/>
    <mergeCell ref="V699:V701"/>
    <mergeCell ref="D702:V702"/>
    <mergeCell ref="D703:V703"/>
    <mergeCell ref="X703:AR703"/>
    <mergeCell ref="D704:D707"/>
    <mergeCell ref="E704:E707"/>
    <mergeCell ref="F704:F707"/>
    <mergeCell ref="G704:G707"/>
    <mergeCell ref="H704:H707"/>
    <mergeCell ref="I704:I707"/>
    <mergeCell ref="J704:J707"/>
    <mergeCell ref="K704:K707"/>
    <mergeCell ref="L704:L707"/>
    <mergeCell ref="M704:M707"/>
    <mergeCell ref="N704:N707"/>
    <mergeCell ref="O704:O707"/>
    <mergeCell ref="P704:P707"/>
    <mergeCell ref="Q704:Q707"/>
    <mergeCell ref="R704:R707"/>
    <mergeCell ref="S704:S707"/>
    <mergeCell ref="T704:T707"/>
    <mergeCell ref="U704:U707"/>
    <mergeCell ref="X712:AR712"/>
    <mergeCell ref="X721:AR721"/>
    <mergeCell ref="D726:D728"/>
    <mergeCell ref="E726:E728"/>
    <mergeCell ref="F726:F728"/>
    <mergeCell ref="G726:G728"/>
    <mergeCell ref="H726:H728"/>
    <mergeCell ref="I726:I728"/>
    <mergeCell ref="J726:J728"/>
    <mergeCell ref="K726:K728"/>
    <mergeCell ref="L726:L728"/>
    <mergeCell ref="M726:M728"/>
    <mergeCell ref="N726:N728"/>
    <mergeCell ref="O726:O728"/>
    <mergeCell ref="P726:P728"/>
    <mergeCell ref="Q726:Q728"/>
    <mergeCell ref="R726:R728"/>
    <mergeCell ref="S726:S728"/>
    <mergeCell ref="T726:T728"/>
    <mergeCell ref="U726:U728"/>
    <mergeCell ref="V731:V734"/>
    <mergeCell ref="V726:V728"/>
    <mergeCell ref="D729:V729"/>
    <mergeCell ref="D730:V730"/>
    <mergeCell ref="X730:AR730"/>
    <mergeCell ref="D731:D734"/>
    <mergeCell ref="E731:E734"/>
    <mergeCell ref="F731:F734"/>
    <mergeCell ref="G731:G734"/>
    <mergeCell ref="H731:H734"/>
    <mergeCell ref="I731:I734"/>
    <mergeCell ref="J731:J734"/>
    <mergeCell ref="K731:K734"/>
    <mergeCell ref="L731:L734"/>
    <mergeCell ref="M731:M734"/>
    <mergeCell ref="N731:N734"/>
    <mergeCell ref="O731:O734"/>
    <mergeCell ref="P731:P734"/>
    <mergeCell ref="Q731:Q734"/>
    <mergeCell ref="R731:R734"/>
    <mergeCell ref="S731:S734"/>
    <mergeCell ref="T731:T734"/>
    <mergeCell ref="U731:U734"/>
    <mergeCell ref="X739:AR739"/>
    <mergeCell ref="X748:AR748"/>
    <mergeCell ref="D753:D755"/>
    <mergeCell ref="E753:E755"/>
    <mergeCell ref="F753:F755"/>
    <mergeCell ref="G753:G755"/>
    <mergeCell ref="H753:H755"/>
    <mergeCell ref="I753:I755"/>
    <mergeCell ref="J753:J755"/>
    <mergeCell ref="K753:K755"/>
    <mergeCell ref="L753:L755"/>
    <mergeCell ref="M753:M755"/>
    <mergeCell ref="N753:N755"/>
    <mergeCell ref="O753:O755"/>
    <mergeCell ref="X766:AR766"/>
    <mergeCell ref="X775:AR775"/>
    <mergeCell ref="D780:D782"/>
    <mergeCell ref="E780:E782"/>
    <mergeCell ref="F780:F782"/>
    <mergeCell ref="G780:G782"/>
    <mergeCell ref="H780:H782"/>
    <mergeCell ref="I780:I782"/>
    <mergeCell ref="J780:J782"/>
    <mergeCell ref="K780:K782"/>
    <mergeCell ref="L780:L782"/>
    <mergeCell ref="M780:M782"/>
    <mergeCell ref="N780:N782"/>
    <mergeCell ref="O780:O782"/>
    <mergeCell ref="X325:AR325"/>
    <mergeCell ref="K326:K329"/>
    <mergeCell ref="L326:L329"/>
    <mergeCell ref="M326:M329"/>
    <mergeCell ref="N326:N329"/>
    <mergeCell ref="O326:O329"/>
    <mergeCell ref="P326:P329"/>
    <mergeCell ref="K348:K350"/>
    <mergeCell ref="L348:L350"/>
    <mergeCell ref="M348:M350"/>
    <mergeCell ref="N348:N350"/>
    <mergeCell ref="O348:O350"/>
    <mergeCell ref="P348:P350"/>
    <mergeCell ref="Q348:Q350"/>
    <mergeCell ref="R348:R350"/>
    <mergeCell ref="S348:S350"/>
    <mergeCell ref="T348:T350"/>
    <mergeCell ref="U348:U350"/>
    <mergeCell ref="V348:V350"/>
    <mergeCell ref="X334:AR334"/>
    <mergeCell ref="X343:AR343"/>
    <mergeCell ref="D351:V351"/>
    <mergeCell ref="D352:V352"/>
    <mergeCell ref="Q353:Q356"/>
    <mergeCell ref="R353:R356"/>
    <mergeCell ref="S353:S356"/>
    <mergeCell ref="T353:T356"/>
    <mergeCell ref="U353:U356"/>
    <mergeCell ref="V353:V356"/>
    <mergeCell ref="X352:AR352"/>
    <mergeCell ref="K353:K356"/>
    <mergeCell ref="L353:L356"/>
    <mergeCell ref="M353:M356"/>
    <mergeCell ref="N353:N356"/>
    <mergeCell ref="O353:O356"/>
    <mergeCell ref="P353:P356"/>
    <mergeCell ref="K375:K377"/>
    <mergeCell ref="L375:L377"/>
    <mergeCell ref="M375:M377"/>
    <mergeCell ref="N375:N377"/>
    <mergeCell ref="O375:O377"/>
    <mergeCell ref="P375:P377"/>
    <mergeCell ref="Q375:Q377"/>
    <mergeCell ref="R375:R377"/>
    <mergeCell ref="S375:S377"/>
    <mergeCell ref="T375:T377"/>
    <mergeCell ref="U375:U377"/>
    <mergeCell ref="V375:V377"/>
    <mergeCell ref="D378:V378"/>
    <mergeCell ref="D379:V379"/>
    <mergeCell ref="X379:AR379"/>
    <mergeCell ref="K380:K383"/>
    <mergeCell ref="X361:AR361"/>
    <mergeCell ref="X370:AR370"/>
    <mergeCell ref="L380:L383"/>
    <mergeCell ref="M380:M383"/>
    <mergeCell ref="N380:N383"/>
    <mergeCell ref="O380:O383"/>
    <mergeCell ref="P380:P383"/>
    <mergeCell ref="Q380:Q383"/>
    <mergeCell ref="R380:R383"/>
    <mergeCell ref="S380:S383"/>
    <mergeCell ref="T380:T383"/>
    <mergeCell ref="U380:U383"/>
    <mergeCell ref="V380:V383"/>
    <mergeCell ref="X388:AR388"/>
    <mergeCell ref="Q402:Q404"/>
    <mergeCell ref="R402:R404"/>
    <mergeCell ref="S402:S404"/>
    <mergeCell ref="T402:T404"/>
    <mergeCell ref="U402:U404"/>
    <mergeCell ref="V402:V404"/>
    <mergeCell ref="D405:V405"/>
    <mergeCell ref="D406:V406"/>
    <mergeCell ref="Q407:Q410"/>
    <mergeCell ref="R407:R410"/>
    <mergeCell ref="X406:AR406"/>
    <mergeCell ref="K407:K410"/>
    <mergeCell ref="L407:L410"/>
    <mergeCell ref="M407:M410"/>
    <mergeCell ref="N407:N410"/>
    <mergeCell ref="O407:O410"/>
    <mergeCell ref="P407:P410"/>
    <mergeCell ref="S407:S410"/>
    <mergeCell ref="T407:T410"/>
    <mergeCell ref="U407:U410"/>
    <mergeCell ref="V407:V410"/>
    <mergeCell ref="X415:AR415"/>
    <mergeCell ref="X424:AR424"/>
    <mergeCell ref="K429:K431"/>
    <mergeCell ref="L429:L431"/>
    <mergeCell ref="M429:M431"/>
    <mergeCell ref="N429:N431"/>
    <mergeCell ref="O429:O431"/>
    <mergeCell ref="P429:P431"/>
    <mergeCell ref="Q429:Q431"/>
    <mergeCell ref="R429:R431"/>
    <mergeCell ref="S429:S431"/>
    <mergeCell ref="T429:T431"/>
    <mergeCell ref="U429:U431"/>
    <mergeCell ref="V429:V431"/>
    <mergeCell ref="D432:V432"/>
    <mergeCell ref="D433:V433"/>
    <mergeCell ref="Q434:Q437"/>
    <mergeCell ref="R434:R437"/>
    <mergeCell ref="S434:S437"/>
    <mergeCell ref="T434:T437"/>
    <mergeCell ref="U434:U437"/>
    <mergeCell ref="V434:V437"/>
    <mergeCell ref="X433:AR433"/>
    <mergeCell ref="K434:K437"/>
    <mergeCell ref="L434:L437"/>
    <mergeCell ref="M434:M437"/>
    <mergeCell ref="N434:N437"/>
    <mergeCell ref="O434:O437"/>
    <mergeCell ref="P434:P437"/>
    <mergeCell ref="X442:AR442"/>
    <mergeCell ref="X451:AR451"/>
    <mergeCell ref="K456:K458"/>
    <mergeCell ref="L456:L458"/>
    <mergeCell ref="M456:M458"/>
    <mergeCell ref="N456:N458"/>
    <mergeCell ref="O456:O458"/>
    <mergeCell ref="P456:P458"/>
    <mergeCell ref="Q456:Q458"/>
    <mergeCell ref="R456:R458"/>
    <mergeCell ref="S456:S458"/>
    <mergeCell ref="T456:T458"/>
    <mergeCell ref="U456:U458"/>
    <mergeCell ref="V456:V458"/>
    <mergeCell ref="D459:V459"/>
    <mergeCell ref="D460:V460"/>
    <mergeCell ref="J461:J464"/>
    <mergeCell ref="K461:K464"/>
    <mergeCell ref="L461:L464"/>
    <mergeCell ref="M461:M464"/>
    <mergeCell ref="N461:N464"/>
    <mergeCell ref="O461:O464"/>
    <mergeCell ref="P461:P464"/>
    <mergeCell ref="Q461:Q464"/>
    <mergeCell ref="R461:R464"/>
    <mergeCell ref="S461:S464"/>
    <mergeCell ref="X460:AR460"/>
    <mergeCell ref="D461:D464"/>
    <mergeCell ref="E461:E464"/>
    <mergeCell ref="F461:F464"/>
    <mergeCell ref="G461:G464"/>
    <mergeCell ref="H461:H464"/>
    <mergeCell ref="I461:I464"/>
    <mergeCell ref="T461:T464"/>
    <mergeCell ref="U461:U464"/>
    <mergeCell ref="X397:AR397"/>
    <mergeCell ref="K402:K404"/>
    <mergeCell ref="L402:L404"/>
    <mergeCell ref="M402:M404"/>
    <mergeCell ref="N402:N404"/>
    <mergeCell ref="O402:O404"/>
    <mergeCell ref="P402:P404"/>
    <mergeCell ref="V461:V464"/>
    <mergeCell ref="X469:AR469"/>
    <mergeCell ref="J483:J485"/>
    <mergeCell ref="K483:K485"/>
    <mergeCell ref="L483:L485"/>
    <mergeCell ref="M483:M485"/>
    <mergeCell ref="N483:N485"/>
    <mergeCell ref="O483:O485"/>
    <mergeCell ref="P483:P485"/>
    <mergeCell ref="Q483:Q485"/>
    <mergeCell ref="R483:R485"/>
    <mergeCell ref="S483:S485"/>
    <mergeCell ref="T483:T485"/>
    <mergeCell ref="U483:U485"/>
    <mergeCell ref="D486:V486"/>
    <mergeCell ref="D487:V487"/>
    <mergeCell ref="J488:J491"/>
    <mergeCell ref="K488:K491"/>
    <mergeCell ref="L488:L491"/>
    <mergeCell ref="M488:M491"/>
    <mergeCell ref="N488:N491"/>
    <mergeCell ref="O488:O491"/>
    <mergeCell ref="X487:AR487"/>
    <mergeCell ref="D488:D491"/>
    <mergeCell ref="E488:E491"/>
    <mergeCell ref="F488:F491"/>
    <mergeCell ref="G488:G491"/>
    <mergeCell ref="H488:H491"/>
    <mergeCell ref="I488:I491"/>
    <mergeCell ref="P488:P491"/>
    <mergeCell ref="Q488:Q491"/>
    <mergeCell ref="X478:AR478"/>
    <mergeCell ref="D483:D485"/>
    <mergeCell ref="E483:E485"/>
    <mergeCell ref="F483:F485"/>
    <mergeCell ref="G483:G485"/>
    <mergeCell ref="H483:H485"/>
    <mergeCell ref="I483:I485"/>
    <mergeCell ref="V483:V485"/>
    <mergeCell ref="R488:R491"/>
    <mergeCell ref="S488:S491"/>
    <mergeCell ref="T488:T491"/>
    <mergeCell ref="U488:U491"/>
    <mergeCell ref="V488:V491"/>
    <mergeCell ref="X496:AR496"/>
    <mergeCell ref="J510:J512"/>
    <mergeCell ref="K510:K512"/>
    <mergeCell ref="L510:L512"/>
    <mergeCell ref="M510:M512"/>
    <mergeCell ref="N510:N512"/>
    <mergeCell ref="O510:O512"/>
    <mergeCell ref="P510:P512"/>
    <mergeCell ref="Q510:Q512"/>
    <mergeCell ref="R510:R512"/>
    <mergeCell ref="S510:S512"/>
    <mergeCell ref="T510:T512"/>
    <mergeCell ref="U510:U512"/>
    <mergeCell ref="D513:V513"/>
    <mergeCell ref="D514:V514"/>
    <mergeCell ref="J515:J518"/>
    <mergeCell ref="K515:K518"/>
    <mergeCell ref="X514:AR514"/>
    <mergeCell ref="D515:D518"/>
    <mergeCell ref="E515:E518"/>
    <mergeCell ref="F515:F518"/>
    <mergeCell ref="G515:G518"/>
    <mergeCell ref="H515:H518"/>
    <mergeCell ref="I515:I518"/>
    <mergeCell ref="L515:L518"/>
    <mergeCell ref="M515:M518"/>
    <mergeCell ref="X505:AR505"/>
    <mergeCell ref="D510:D512"/>
    <mergeCell ref="E510:E512"/>
    <mergeCell ref="F510:F512"/>
    <mergeCell ref="G510:G512"/>
    <mergeCell ref="H510:H512"/>
    <mergeCell ref="I510:I512"/>
    <mergeCell ref="V510:V512"/>
    <mergeCell ref="N515:N518"/>
    <mergeCell ref="O515:O518"/>
    <mergeCell ref="P515:P518"/>
    <mergeCell ref="Q515:Q518"/>
    <mergeCell ref="R515:R518"/>
    <mergeCell ref="S515:S518"/>
    <mergeCell ref="T515:T518"/>
    <mergeCell ref="U515:U518"/>
    <mergeCell ref="V515:V518"/>
    <mergeCell ref="X523:AR523"/>
    <mergeCell ref="J537:J539"/>
    <mergeCell ref="K537:K539"/>
    <mergeCell ref="P591:P593"/>
    <mergeCell ref="Q591:Q593"/>
    <mergeCell ref="R591:R593"/>
    <mergeCell ref="S591:S593"/>
    <mergeCell ref="T591:T593"/>
    <mergeCell ref="U591:U593"/>
    <mergeCell ref="V596:V599"/>
    <mergeCell ref="V591:V593"/>
    <mergeCell ref="D594:V594"/>
    <mergeCell ref="D595:V595"/>
    <mergeCell ref="X595:AR595"/>
    <mergeCell ref="D596:D599"/>
    <mergeCell ref="E596:E599"/>
    <mergeCell ref="F596:F599"/>
    <mergeCell ref="G596:G599"/>
    <mergeCell ref="H596:H599"/>
    <mergeCell ref="I596:I599"/>
    <mergeCell ref="J596:J599"/>
    <mergeCell ref="K596:K599"/>
    <mergeCell ref="L596:L599"/>
    <mergeCell ref="M596:M599"/>
    <mergeCell ref="N596:N599"/>
    <mergeCell ref="O596:O599"/>
    <mergeCell ref="P596:P599"/>
    <mergeCell ref="Q596:Q599"/>
    <mergeCell ref="R596:R599"/>
    <mergeCell ref="S596:S599"/>
    <mergeCell ref="T596:T599"/>
    <mergeCell ref="U596:U599"/>
    <mergeCell ref="L537:L539"/>
    <mergeCell ref="M537:M539"/>
    <mergeCell ref="N537:N539"/>
    <mergeCell ref="O537:O539"/>
    <mergeCell ref="P537:P539"/>
    <mergeCell ref="Q537:Q539"/>
    <mergeCell ref="R537:R539"/>
    <mergeCell ref="S537:S539"/>
    <mergeCell ref="T537:T539"/>
    <mergeCell ref="U537:U539"/>
    <mergeCell ref="D540:V540"/>
    <mergeCell ref="D541:V541"/>
    <mergeCell ref="X541:AR541"/>
    <mergeCell ref="D542:D545"/>
    <mergeCell ref="S542:S545"/>
    <mergeCell ref="T542:T545"/>
    <mergeCell ref="U542:U545"/>
    <mergeCell ref="V542:V545"/>
    <mergeCell ref="E542:E545"/>
    <mergeCell ref="F542:F545"/>
    <mergeCell ref="G542:G545"/>
    <mergeCell ref="H542:H545"/>
    <mergeCell ref="I542:I545"/>
    <mergeCell ref="J542:J545"/>
    <mergeCell ref="K542:K545"/>
    <mergeCell ref="L542:L545"/>
    <mergeCell ref="M542:M545"/>
    <mergeCell ref="N542:N545"/>
    <mergeCell ref="O542:O545"/>
    <mergeCell ref="P542:P545"/>
    <mergeCell ref="Q542:Q545"/>
    <mergeCell ref="R542:R545"/>
    <mergeCell ref="X550:AR550"/>
    <mergeCell ref="X559:AR559"/>
    <mergeCell ref="D564:D566"/>
    <mergeCell ref="E564:E566"/>
    <mergeCell ref="F564:F566"/>
    <mergeCell ref="G564:G566"/>
    <mergeCell ref="H564:H566"/>
    <mergeCell ref="I564:I566"/>
    <mergeCell ref="J564:J566"/>
    <mergeCell ref="K564:K566"/>
    <mergeCell ref="L564:L566"/>
    <mergeCell ref="M564:M566"/>
    <mergeCell ref="N564:N566"/>
    <mergeCell ref="O564:O566"/>
    <mergeCell ref="P564:P566"/>
    <mergeCell ref="Q564:Q566"/>
    <mergeCell ref="R564:R566"/>
    <mergeCell ref="S564:S566"/>
    <mergeCell ref="T564:T566"/>
    <mergeCell ref="U564:U566"/>
    <mergeCell ref="V569:V572"/>
    <mergeCell ref="V564:V566"/>
    <mergeCell ref="D567:V567"/>
    <mergeCell ref="D568:V568"/>
    <mergeCell ref="X568:AR568"/>
    <mergeCell ref="D569:D572"/>
    <mergeCell ref="E569:E572"/>
    <mergeCell ref="F569:F572"/>
    <mergeCell ref="G569:G572"/>
    <mergeCell ref="H569:H572"/>
    <mergeCell ref="I569:I572"/>
    <mergeCell ref="J569:J572"/>
    <mergeCell ref="K569:K572"/>
    <mergeCell ref="L569:L572"/>
    <mergeCell ref="M569:M572"/>
    <mergeCell ref="N569:N572"/>
    <mergeCell ref="O569:O572"/>
    <mergeCell ref="P569:P572"/>
    <mergeCell ref="Q569:Q572"/>
    <mergeCell ref="R569:R572"/>
    <mergeCell ref="S569:S572"/>
    <mergeCell ref="T569:T572"/>
    <mergeCell ref="U569:U572"/>
    <mergeCell ref="X577:AR577"/>
    <mergeCell ref="X586:AR586"/>
    <mergeCell ref="D591:D593"/>
    <mergeCell ref="E591:E593"/>
    <mergeCell ref="F591:F593"/>
    <mergeCell ref="G591:G593"/>
    <mergeCell ref="H591:H593"/>
    <mergeCell ref="I591:I593"/>
    <mergeCell ref="J591:J593"/>
    <mergeCell ref="K591:K593"/>
    <mergeCell ref="L591:L593"/>
    <mergeCell ref="M591:M593"/>
    <mergeCell ref="N591:N593"/>
    <mergeCell ref="O591:O593"/>
    <mergeCell ref="X604:AR604"/>
    <mergeCell ref="X613:AR613"/>
    <mergeCell ref="D618:D620"/>
    <mergeCell ref="E618:E620"/>
    <mergeCell ref="F618:F620"/>
    <mergeCell ref="G618:G620"/>
    <mergeCell ref="H618:H620"/>
    <mergeCell ref="I618:I620"/>
    <mergeCell ref="J618:J620"/>
    <mergeCell ref="K618:K620"/>
    <mergeCell ref="L618:L620"/>
    <mergeCell ref="M618:M620"/>
    <mergeCell ref="N618:N620"/>
    <mergeCell ref="O618:O620"/>
    <mergeCell ref="P672:P674"/>
    <mergeCell ref="Q672:Q674"/>
    <mergeCell ref="R672:R674"/>
    <mergeCell ref="S672:S674"/>
    <mergeCell ref="T672:T674"/>
    <mergeCell ref="U672:U674"/>
    <mergeCell ref="V677:V680"/>
    <mergeCell ref="V672:V674"/>
    <mergeCell ref="D675:V675"/>
    <mergeCell ref="D676:V676"/>
    <mergeCell ref="X676:AR676"/>
    <mergeCell ref="D677:D680"/>
    <mergeCell ref="E677:E680"/>
    <mergeCell ref="F677:F680"/>
    <mergeCell ref="G677:G680"/>
    <mergeCell ref="H677:H680"/>
    <mergeCell ref="I677:I680"/>
    <mergeCell ref="J677:J680"/>
    <mergeCell ref="K677:K680"/>
    <mergeCell ref="L677:L680"/>
    <mergeCell ref="M677:M680"/>
    <mergeCell ref="N677:N680"/>
    <mergeCell ref="O677:O680"/>
    <mergeCell ref="P677:P680"/>
    <mergeCell ref="Q677:Q680"/>
    <mergeCell ref="R677:R680"/>
    <mergeCell ref="S677:S680"/>
    <mergeCell ref="T677:T680"/>
    <mergeCell ref="U677:U680"/>
    <mergeCell ref="P618:P620"/>
    <mergeCell ref="Q618:Q620"/>
    <mergeCell ref="R618:R620"/>
    <mergeCell ref="S618:S620"/>
    <mergeCell ref="T618:T620"/>
    <mergeCell ref="U618:U620"/>
    <mergeCell ref="V623:V626"/>
    <mergeCell ref="V618:V620"/>
    <mergeCell ref="D621:V621"/>
    <mergeCell ref="D622:V622"/>
    <mergeCell ref="X622:AR622"/>
    <mergeCell ref="D623:D626"/>
    <mergeCell ref="E623:E626"/>
    <mergeCell ref="F623:F626"/>
    <mergeCell ref="G623:G626"/>
    <mergeCell ref="H623:H626"/>
    <mergeCell ref="I623:I626"/>
    <mergeCell ref="J623:J626"/>
    <mergeCell ref="K623:K626"/>
    <mergeCell ref="L623:L626"/>
    <mergeCell ref="M623:M626"/>
    <mergeCell ref="N623:N626"/>
    <mergeCell ref="O623:O626"/>
    <mergeCell ref="P623:P626"/>
    <mergeCell ref="Q623:Q626"/>
    <mergeCell ref="R623:R626"/>
    <mergeCell ref="S623:S626"/>
    <mergeCell ref="T623:T626"/>
    <mergeCell ref="U623:U626"/>
    <mergeCell ref="X631:AR631"/>
    <mergeCell ref="X640:AR640"/>
    <mergeCell ref="D645:D647"/>
    <mergeCell ref="E645:E647"/>
    <mergeCell ref="F645:F647"/>
    <mergeCell ref="G645:G647"/>
    <mergeCell ref="H645:H647"/>
    <mergeCell ref="I645:I647"/>
    <mergeCell ref="J645:J647"/>
    <mergeCell ref="K645:K647"/>
    <mergeCell ref="L645:L647"/>
    <mergeCell ref="M645:M647"/>
    <mergeCell ref="N645:N647"/>
    <mergeCell ref="O645:O647"/>
    <mergeCell ref="P645:P647"/>
    <mergeCell ref="Q645:Q647"/>
    <mergeCell ref="R645:R647"/>
    <mergeCell ref="S645:S647"/>
    <mergeCell ref="T645:T647"/>
    <mergeCell ref="U645:U647"/>
    <mergeCell ref="V650:V653"/>
    <mergeCell ref="V645:V647"/>
    <mergeCell ref="D648:V648"/>
    <mergeCell ref="D649:V649"/>
    <mergeCell ref="X649:AR649"/>
    <mergeCell ref="D650:D653"/>
    <mergeCell ref="E650:E653"/>
    <mergeCell ref="F650:F653"/>
    <mergeCell ref="G650:G653"/>
    <mergeCell ref="H650:H653"/>
    <mergeCell ref="I650:I653"/>
    <mergeCell ref="J650:J653"/>
    <mergeCell ref="K650:K653"/>
    <mergeCell ref="L650:L653"/>
    <mergeCell ref="M650:M653"/>
    <mergeCell ref="N650:N653"/>
    <mergeCell ref="O650:O653"/>
    <mergeCell ref="P650:P653"/>
    <mergeCell ref="Q650:Q653"/>
    <mergeCell ref="R650:R653"/>
    <mergeCell ref="S650:S653"/>
    <mergeCell ref="T650:T653"/>
    <mergeCell ref="U650:U653"/>
    <mergeCell ref="X658:AR658"/>
    <mergeCell ref="X667:AR667"/>
    <mergeCell ref="D672:D674"/>
    <mergeCell ref="E672:E674"/>
    <mergeCell ref="F672:F674"/>
    <mergeCell ref="G672:G674"/>
    <mergeCell ref="H672:H674"/>
    <mergeCell ref="I672:I674"/>
    <mergeCell ref="J672:J674"/>
    <mergeCell ref="K672:K674"/>
    <mergeCell ref="L672:L674"/>
    <mergeCell ref="M672:M674"/>
    <mergeCell ref="N672:N674"/>
    <mergeCell ref="O672:O674"/>
    <mergeCell ref="X685:AR685"/>
    <mergeCell ref="X694:AR694"/>
    <mergeCell ref="D699:D701"/>
    <mergeCell ref="E699:E701"/>
    <mergeCell ref="F699:F701"/>
    <mergeCell ref="G699:G701"/>
    <mergeCell ref="H699:H701"/>
    <mergeCell ref="I699:I701"/>
    <mergeCell ref="J699:J701"/>
    <mergeCell ref="K699:K701"/>
    <mergeCell ref="L699:L701"/>
    <mergeCell ref="M699:M701"/>
    <mergeCell ref="N699:N701"/>
    <mergeCell ref="O699:O701"/>
    <mergeCell ref="P753:P755"/>
    <mergeCell ref="Q753:Q755"/>
    <mergeCell ref="R753:R755"/>
    <mergeCell ref="S753:S755"/>
    <mergeCell ref="T753:T755"/>
    <mergeCell ref="U753:U755"/>
    <mergeCell ref="V758:V761"/>
    <mergeCell ref="V753:V755"/>
    <mergeCell ref="D756:V756"/>
    <mergeCell ref="D757:V757"/>
    <mergeCell ref="X757:AR757"/>
    <mergeCell ref="D758:D761"/>
    <mergeCell ref="E758:E761"/>
    <mergeCell ref="F758:F761"/>
    <mergeCell ref="G758:G761"/>
    <mergeCell ref="H758:H761"/>
    <mergeCell ref="I758:I761"/>
    <mergeCell ref="J758:J761"/>
    <mergeCell ref="K758:K761"/>
    <mergeCell ref="L758:L761"/>
    <mergeCell ref="M758:M761"/>
    <mergeCell ref="N758:N761"/>
    <mergeCell ref="O758:O761"/>
    <mergeCell ref="P758:P761"/>
    <mergeCell ref="Q758:Q761"/>
    <mergeCell ref="R758:R761"/>
    <mergeCell ref="S758:S761"/>
    <mergeCell ref="T758:T761"/>
    <mergeCell ref="U758:U761"/>
    <mergeCell ref="P861:P863"/>
    <mergeCell ref="Q861:Q863"/>
    <mergeCell ref="I861:I863"/>
    <mergeCell ref="J861:J863"/>
    <mergeCell ref="K861:K863"/>
    <mergeCell ref="L861:L863"/>
    <mergeCell ref="M861:M863"/>
    <mergeCell ref="N861:N863"/>
    <mergeCell ref="O861:O863"/>
    <mergeCell ref="D865:P867"/>
    <mergeCell ref="H812:H815"/>
    <mergeCell ref="I812:I815"/>
    <mergeCell ref="J812:J815"/>
    <mergeCell ref="F834:F836"/>
    <mergeCell ref="G834:G836"/>
    <mergeCell ref="H834:H836"/>
    <mergeCell ref="I834:I836"/>
    <mergeCell ref="J834:J836"/>
    <mergeCell ref="A812:A836"/>
    <mergeCell ref="B812:B815"/>
    <mergeCell ref="C812:C815"/>
    <mergeCell ref="D812:D815"/>
    <mergeCell ref="E812:E815"/>
    <mergeCell ref="F812:F815"/>
    <mergeCell ref="G812:G815"/>
    <mergeCell ref="I839:I842"/>
    <mergeCell ref="J839:J842"/>
    <mergeCell ref="D834:D836"/>
    <mergeCell ref="E834:E836"/>
    <mergeCell ref="D839:D842"/>
    <mergeCell ref="E839:E842"/>
    <mergeCell ref="F839:F842"/>
    <mergeCell ref="G839:G842"/>
    <mergeCell ref="H839:H842"/>
    <mergeCell ref="B861:B863"/>
    <mergeCell ref="C861:C863"/>
    <mergeCell ref="D861:D863"/>
    <mergeCell ref="E861:E863"/>
    <mergeCell ref="F861:F863"/>
    <mergeCell ref="G861:G863"/>
    <mergeCell ref="H861:H863"/>
    <mergeCell ref="A864:C864"/>
    <mergeCell ref="A865:C912"/>
    <mergeCell ref="B834:B836"/>
    <mergeCell ref="C834:C836"/>
    <mergeCell ref="A837:C837"/>
    <mergeCell ref="A838:C838"/>
    <mergeCell ref="A839:A863"/>
    <mergeCell ref="B839:B842"/>
    <mergeCell ref="C839:C842"/>
    <mergeCell ref="A81:C81"/>
    <mergeCell ref="A82:C82"/>
    <mergeCell ref="A83:A107"/>
    <mergeCell ref="B83:B86"/>
    <mergeCell ref="C83:C86"/>
    <mergeCell ref="D83:D86"/>
    <mergeCell ref="E83:E86"/>
    <mergeCell ref="D132:D134"/>
    <mergeCell ref="E132:E134"/>
    <mergeCell ref="B105:B107"/>
    <mergeCell ref="C105:C107"/>
    <mergeCell ref="A110:A134"/>
    <mergeCell ref="B110:B113"/>
    <mergeCell ref="C110:C113"/>
    <mergeCell ref="B132:B134"/>
    <mergeCell ref="C132:C134"/>
    <mergeCell ref="A135:C135"/>
    <mergeCell ref="A136:C136"/>
    <mergeCell ref="A137:A161"/>
    <mergeCell ref="B137:B140"/>
    <mergeCell ref="C137:C140"/>
    <mergeCell ref="B159:B161"/>
    <mergeCell ref="C159:C161"/>
    <mergeCell ref="A162:C162"/>
    <mergeCell ref="A163:C163"/>
    <mergeCell ref="A164:A188"/>
    <mergeCell ref="B164:B167"/>
    <mergeCell ref="C164:C167"/>
    <mergeCell ref="B186:B188"/>
    <mergeCell ref="C186:C188"/>
    <mergeCell ref="D213:D215"/>
    <mergeCell ref="E213:E215"/>
    <mergeCell ref="F213:F215"/>
    <mergeCell ref="G213:G215"/>
    <mergeCell ref="H213:H215"/>
    <mergeCell ref="I213:I215"/>
    <mergeCell ref="J213:J215"/>
    <mergeCell ref="A189:C189"/>
    <mergeCell ref="A190:C190"/>
    <mergeCell ref="A191:A215"/>
    <mergeCell ref="B191:B194"/>
    <mergeCell ref="C191:C194"/>
    <mergeCell ref="B213:B215"/>
    <mergeCell ref="C213:C215"/>
    <mergeCell ref="F218:F221"/>
    <mergeCell ref="G218:G221"/>
    <mergeCell ref="A216:C216"/>
    <mergeCell ref="A217:C217"/>
    <mergeCell ref="A218:A242"/>
    <mergeCell ref="B218:B221"/>
    <mergeCell ref="C218:C221"/>
    <mergeCell ref="D218:D221"/>
    <mergeCell ref="E218:E221"/>
    <mergeCell ref="I245:I248"/>
    <mergeCell ref="J245:J248"/>
    <mergeCell ref="B240:B242"/>
    <mergeCell ref="C240:C242"/>
    <mergeCell ref="D245:D248"/>
    <mergeCell ref="E245:E248"/>
    <mergeCell ref="F245:F248"/>
    <mergeCell ref="G245:G248"/>
    <mergeCell ref="H245:H248"/>
    <mergeCell ref="D267:D269"/>
    <mergeCell ref="E267:E269"/>
    <mergeCell ref="F267:F269"/>
    <mergeCell ref="G267:G269"/>
    <mergeCell ref="H267:H269"/>
    <mergeCell ref="I267:I269"/>
    <mergeCell ref="J267:J269"/>
    <mergeCell ref="A243:C243"/>
    <mergeCell ref="A244:C244"/>
    <mergeCell ref="A245:A269"/>
    <mergeCell ref="B245:B248"/>
    <mergeCell ref="C245:C248"/>
    <mergeCell ref="B267:B269"/>
    <mergeCell ref="C267:C269"/>
    <mergeCell ref="F272:F275"/>
    <mergeCell ref="G272:G275"/>
    <mergeCell ref="H272:H275"/>
    <mergeCell ref="I272:I275"/>
    <mergeCell ref="J272:J275"/>
    <mergeCell ref="D294:D296"/>
    <mergeCell ref="E294:E296"/>
    <mergeCell ref="F294:F296"/>
    <mergeCell ref="G294:G296"/>
    <mergeCell ref="H294:H296"/>
    <mergeCell ref="I294:I296"/>
    <mergeCell ref="J294:J296"/>
    <mergeCell ref="A270:C270"/>
    <mergeCell ref="A271:C271"/>
    <mergeCell ref="A272:A296"/>
    <mergeCell ref="B272:B275"/>
    <mergeCell ref="C272:C275"/>
    <mergeCell ref="D272:D275"/>
    <mergeCell ref="E272:E275"/>
    <mergeCell ref="I299:I302"/>
    <mergeCell ref="J299:J302"/>
    <mergeCell ref="B294:B296"/>
    <mergeCell ref="C294:C296"/>
    <mergeCell ref="D299:D302"/>
    <mergeCell ref="E299:E302"/>
    <mergeCell ref="F299:F302"/>
    <mergeCell ref="G299:G302"/>
    <mergeCell ref="H299:H302"/>
    <mergeCell ref="D321:D323"/>
    <mergeCell ref="E321:E323"/>
    <mergeCell ref="F321:F323"/>
    <mergeCell ref="G321:G323"/>
    <mergeCell ref="H321:H323"/>
    <mergeCell ref="I321:I323"/>
    <mergeCell ref="J321:J323"/>
    <mergeCell ref="A297:C297"/>
    <mergeCell ref="A298:C298"/>
    <mergeCell ref="A299:A323"/>
    <mergeCell ref="B299:B302"/>
    <mergeCell ref="C299:C302"/>
    <mergeCell ref="B321:B323"/>
    <mergeCell ref="C321:C323"/>
    <mergeCell ref="F326:F329"/>
    <mergeCell ref="G326:G329"/>
    <mergeCell ref="H326:H329"/>
    <mergeCell ref="I326:I329"/>
    <mergeCell ref="J326:J329"/>
    <mergeCell ref="D348:D350"/>
    <mergeCell ref="E348:E350"/>
    <mergeCell ref="F348:F350"/>
    <mergeCell ref="G348:G350"/>
    <mergeCell ref="H348:H350"/>
    <mergeCell ref="I348:I350"/>
    <mergeCell ref="J348:J350"/>
    <mergeCell ref="A324:C324"/>
    <mergeCell ref="A325:C325"/>
    <mergeCell ref="A326:A350"/>
    <mergeCell ref="B326:B329"/>
    <mergeCell ref="C326:C329"/>
    <mergeCell ref="D326:D329"/>
    <mergeCell ref="E326:E329"/>
    <mergeCell ref="I353:I356"/>
    <mergeCell ref="J353:J356"/>
    <mergeCell ref="B348:B350"/>
    <mergeCell ref="C348:C350"/>
    <mergeCell ref="D353:D356"/>
    <mergeCell ref="E353:E356"/>
    <mergeCell ref="F353:F356"/>
    <mergeCell ref="G353:G356"/>
    <mergeCell ref="H353:H356"/>
    <mergeCell ref="D375:D377"/>
    <mergeCell ref="E375:E377"/>
    <mergeCell ref="F375:F377"/>
    <mergeCell ref="G375:G377"/>
    <mergeCell ref="H375:H377"/>
    <mergeCell ref="I375:I377"/>
    <mergeCell ref="J375:J377"/>
    <mergeCell ref="A351:C351"/>
    <mergeCell ref="A352:C352"/>
    <mergeCell ref="A353:A377"/>
    <mergeCell ref="B353:B356"/>
    <mergeCell ref="C353:C356"/>
    <mergeCell ref="B375:B377"/>
    <mergeCell ref="C375:C377"/>
    <mergeCell ref="F380:F383"/>
    <mergeCell ref="G380:G383"/>
    <mergeCell ref="H380:H383"/>
    <mergeCell ref="I380:I383"/>
    <mergeCell ref="J380:J383"/>
    <mergeCell ref="D402:D404"/>
    <mergeCell ref="E402:E404"/>
    <mergeCell ref="F402:F404"/>
    <mergeCell ref="G402:G404"/>
    <mergeCell ref="H402:H404"/>
    <mergeCell ref="I402:I404"/>
    <mergeCell ref="J402:J404"/>
    <mergeCell ref="A378:C378"/>
    <mergeCell ref="A379:C379"/>
    <mergeCell ref="A380:A404"/>
    <mergeCell ref="B380:B383"/>
    <mergeCell ref="C380:C383"/>
    <mergeCell ref="D380:D383"/>
    <mergeCell ref="E380:E383"/>
    <mergeCell ref="I407:I410"/>
    <mergeCell ref="J407:J410"/>
    <mergeCell ref="B402:B404"/>
    <mergeCell ref="C402:C404"/>
    <mergeCell ref="D407:D410"/>
    <mergeCell ref="E407:E410"/>
    <mergeCell ref="F407:F410"/>
    <mergeCell ref="G407:G410"/>
    <mergeCell ref="H407:H410"/>
    <mergeCell ref="D429:D431"/>
    <mergeCell ref="E429:E431"/>
    <mergeCell ref="F429:F431"/>
    <mergeCell ref="G429:G431"/>
    <mergeCell ref="H429:H431"/>
    <mergeCell ref="I429:I431"/>
    <mergeCell ref="J429:J431"/>
    <mergeCell ref="A405:C405"/>
    <mergeCell ref="A406:C406"/>
    <mergeCell ref="A407:A431"/>
    <mergeCell ref="B407:B410"/>
    <mergeCell ref="C407:C410"/>
    <mergeCell ref="B429:B431"/>
    <mergeCell ref="C429:C431"/>
    <mergeCell ref="F434:F437"/>
    <mergeCell ref="G434:G437"/>
    <mergeCell ref="H434:H437"/>
    <mergeCell ref="I434:I437"/>
    <mergeCell ref="J434:J437"/>
    <mergeCell ref="B456:B458"/>
    <mergeCell ref="C456:C458"/>
    <mergeCell ref="D456:D458"/>
    <mergeCell ref="E456:E458"/>
    <mergeCell ref="F456:F458"/>
    <mergeCell ref="G456:G458"/>
    <mergeCell ref="H456:H458"/>
    <mergeCell ref="I456:I458"/>
    <mergeCell ref="J456:J458"/>
    <mergeCell ref="A432:C432"/>
    <mergeCell ref="A433:C433"/>
    <mergeCell ref="A434:A458"/>
    <mergeCell ref="B434:B437"/>
    <mergeCell ref="C434:C437"/>
    <mergeCell ref="D434:D437"/>
    <mergeCell ref="E434:E437"/>
    <mergeCell ref="A459:C459"/>
    <mergeCell ref="A460:C460"/>
    <mergeCell ref="A461:A485"/>
    <mergeCell ref="B461:B464"/>
    <mergeCell ref="C461:C464"/>
    <mergeCell ref="B483:B485"/>
    <mergeCell ref="C483:C485"/>
    <mergeCell ref="A486:C486"/>
    <mergeCell ref="A487:C487"/>
    <mergeCell ref="A488:A512"/>
    <mergeCell ref="B488:B491"/>
    <mergeCell ref="C488:C491"/>
    <mergeCell ref="B510:B512"/>
    <mergeCell ref="C510:C512"/>
    <mergeCell ref="A513:C513"/>
    <mergeCell ref="A514:C514"/>
    <mergeCell ref="A515:A539"/>
    <mergeCell ref="B515:B518"/>
    <mergeCell ref="C515:C518"/>
    <mergeCell ref="B537:B539"/>
    <mergeCell ref="C537:C539"/>
    <mergeCell ref="A540:C540"/>
    <mergeCell ref="A541:C541"/>
    <mergeCell ref="A542:A566"/>
    <mergeCell ref="B542:B545"/>
    <mergeCell ref="C542:C545"/>
    <mergeCell ref="B564:B566"/>
    <mergeCell ref="C564:C566"/>
    <mergeCell ref="A567:C567"/>
    <mergeCell ref="A568:C568"/>
    <mergeCell ref="A569:A593"/>
    <mergeCell ref="B569:B572"/>
    <mergeCell ref="C569:C572"/>
    <mergeCell ref="B591:B593"/>
    <mergeCell ref="C591:C593"/>
    <mergeCell ref="A594:C594"/>
    <mergeCell ref="A595:C595"/>
    <mergeCell ref="A596:A620"/>
    <mergeCell ref="B596:B599"/>
    <mergeCell ref="C596:C599"/>
    <mergeCell ref="B618:B620"/>
    <mergeCell ref="C618:C620"/>
    <mergeCell ref="A621:C621"/>
    <mergeCell ref="A622:C622"/>
    <mergeCell ref="A623:A647"/>
    <mergeCell ref="B623:B626"/>
    <mergeCell ref="C623:C626"/>
    <mergeCell ref="B645:B647"/>
    <mergeCell ref="C645:C647"/>
    <mergeCell ref="A648:C648"/>
    <mergeCell ref="A649:C649"/>
    <mergeCell ref="A650:A674"/>
    <mergeCell ref="B650:B653"/>
    <mergeCell ref="C650:C653"/>
    <mergeCell ref="B672:B674"/>
    <mergeCell ref="C672:C674"/>
    <mergeCell ref="A675:C675"/>
    <mergeCell ref="A676:C676"/>
    <mergeCell ref="A677:A701"/>
    <mergeCell ref="B677:B680"/>
    <mergeCell ref="C677:C680"/>
    <mergeCell ref="B699:B701"/>
    <mergeCell ref="C699:C701"/>
    <mergeCell ref="A702:C702"/>
    <mergeCell ref="A703:C703"/>
    <mergeCell ref="A704:A728"/>
    <mergeCell ref="B704:B707"/>
    <mergeCell ref="C704:C707"/>
    <mergeCell ref="B726:B728"/>
    <mergeCell ref="C726:C728"/>
    <mergeCell ref="A729:C729"/>
    <mergeCell ref="A730:C730"/>
    <mergeCell ref="A731:A755"/>
    <mergeCell ref="B731:B734"/>
    <mergeCell ref="C731:C734"/>
    <mergeCell ref="B753:B755"/>
    <mergeCell ref="C753:C755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P78:P80"/>
    <mergeCell ref="Q78:Q80"/>
    <mergeCell ref="I78:I80"/>
    <mergeCell ref="J78:J80"/>
    <mergeCell ref="K78:K80"/>
    <mergeCell ref="L78:L80"/>
    <mergeCell ref="M78:M80"/>
    <mergeCell ref="N78:N80"/>
    <mergeCell ref="O78:O80"/>
    <mergeCell ref="R51:R53"/>
    <mergeCell ref="S51:S53"/>
    <mergeCell ref="R78:R80"/>
    <mergeCell ref="S78:S80"/>
    <mergeCell ref="T78:T80"/>
    <mergeCell ref="U78:U80"/>
    <mergeCell ref="V78:V80"/>
    <mergeCell ref="T51:T53"/>
    <mergeCell ref="U51:U53"/>
    <mergeCell ref="V56:V59"/>
    <mergeCell ref="V51:V53"/>
    <mergeCell ref="A54:C54"/>
    <mergeCell ref="D54:V54"/>
    <mergeCell ref="A55:C55"/>
    <mergeCell ref="D55:V55"/>
    <mergeCell ref="A1:C1"/>
    <mergeCell ref="A56:A80"/>
    <mergeCell ref="B56:B59"/>
    <mergeCell ref="C56:C59"/>
    <mergeCell ref="B78:B80"/>
    <mergeCell ref="C78:C80"/>
    <mergeCell ref="F56:F59"/>
    <mergeCell ref="G56:G59"/>
    <mergeCell ref="D56:D59"/>
    <mergeCell ref="E56:E59"/>
    <mergeCell ref="D78:D80"/>
    <mergeCell ref="E78:E80"/>
    <mergeCell ref="F78:F80"/>
    <mergeCell ref="G78:G80"/>
    <mergeCell ref="H78:H80"/>
    <mergeCell ref="X37:AR37"/>
    <mergeCell ref="X46:AR46"/>
    <mergeCell ref="X64:AR64"/>
    <mergeCell ref="X73:AR73"/>
    <mergeCell ref="D81:V81"/>
    <mergeCell ref="D82:V82"/>
    <mergeCell ref="X82:AR82"/>
    <mergeCell ref="R83:R86"/>
    <mergeCell ref="S83:S86"/>
    <mergeCell ref="T83:T86"/>
    <mergeCell ref="U83:U86"/>
    <mergeCell ref="V83:V86"/>
    <mergeCell ref="R105:R107"/>
    <mergeCell ref="S105:S107"/>
    <mergeCell ref="T105:T107"/>
    <mergeCell ref="U105:U107"/>
    <mergeCell ref="V105:V107"/>
    <mergeCell ref="D108:V108"/>
    <mergeCell ref="D109:V109"/>
    <mergeCell ref="X109:AR109"/>
    <mergeCell ref="P51:P53"/>
    <mergeCell ref="Q51:Q53"/>
    <mergeCell ref="I51:I53"/>
    <mergeCell ref="J51:J53"/>
    <mergeCell ref="K51:K53"/>
    <mergeCell ref="L51:L53"/>
    <mergeCell ref="M51:M53"/>
    <mergeCell ref="N51:N53"/>
    <mergeCell ref="O51:O53"/>
    <mergeCell ref="M83:M86"/>
    <mergeCell ref="N83:N86"/>
    <mergeCell ref="O83:O86"/>
    <mergeCell ref="P83:P86"/>
    <mergeCell ref="Q83:Q86"/>
    <mergeCell ref="F83:F86"/>
    <mergeCell ref="G83:G86"/>
    <mergeCell ref="H83:H86"/>
    <mergeCell ref="I83:I86"/>
    <mergeCell ref="J83:J86"/>
    <mergeCell ref="K83:K86"/>
    <mergeCell ref="L83:L86"/>
    <mergeCell ref="K105:K107"/>
    <mergeCell ref="L105:L107"/>
    <mergeCell ref="M105:M107"/>
    <mergeCell ref="N105:N107"/>
    <mergeCell ref="O105:O107"/>
    <mergeCell ref="P105:P107"/>
    <mergeCell ref="Q105:Q107"/>
    <mergeCell ref="D105:D107"/>
    <mergeCell ref="E105:E107"/>
    <mergeCell ref="F105:F107"/>
    <mergeCell ref="G105:G107"/>
    <mergeCell ref="H105:H107"/>
    <mergeCell ref="I105:I107"/>
    <mergeCell ref="J105:J107"/>
    <mergeCell ref="A108:C108"/>
    <mergeCell ref="A109:C109"/>
    <mergeCell ref="N186:N188"/>
    <mergeCell ref="O186:O188"/>
    <mergeCell ref="P186:P188"/>
    <mergeCell ref="Q186:Q188"/>
    <mergeCell ref="R186:R188"/>
    <mergeCell ref="S186:S188"/>
    <mergeCell ref="T186:T188"/>
    <mergeCell ref="U186:U188"/>
    <mergeCell ref="V186:V188"/>
    <mergeCell ref="D189:V189"/>
    <mergeCell ref="D190:V190"/>
    <mergeCell ref="X190:AR190"/>
    <mergeCell ref="D191:D194"/>
    <mergeCell ref="E191:E194"/>
    <mergeCell ref="F191:F194"/>
    <mergeCell ref="G191:G194"/>
    <mergeCell ref="H191:H194"/>
    <mergeCell ref="I191:I194"/>
    <mergeCell ref="J191:J194"/>
    <mergeCell ref="K191:K194"/>
    <mergeCell ref="L191:L194"/>
    <mergeCell ref="M191:M194"/>
    <mergeCell ref="N191:N194"/>
    <mergeCell ref="O191:O194"/>
    <mergeCell ref="P191:P194"/>
    <mergeCell ref="Q191:Q194"/>
    <mergeCell ref="R191:R194"/>
    <mergeCell ref="S191:S194"/>
    <mergeCell ref="C2:C5"/>
    <mergeCell ref="D2:D5"/>
    <mergeCell ref="E2:E5"/>
    <mergeCell ref="F2:F5"/>
    <mergeCell ref="G2:G5"/>
    <mergeCell ref="H2:H5"/>
    <mergeCell ref="I2:I5"/>
    <mergeCell ref="J2:J5"/>
    <mergeCell ref="K2:K5"/>
    <mergeCell ref="L2:L5"/>
    <mergeCell ref="M2:M5"/>
    <mergeCell ref="N2:N5"/>
    <mergeCell ref="O2:O5"/>
    <mergeCell ref="P2:P5"/>
    <mergeCell ref="Q2:Q5"/>
    <mergeCell ref="R2:R5"/>
    <mergeCell ref="S2:S5"/>
    <mergeCell ref="T2:T5"/>
    <mergeCell ref="U2:U5"/>
    <mergeCell ref="V2:V5"/>
    <mergeCell ref="B24:B26"/>
    <mergeCell ref="C24:C26"/>
    <mergeCell ref="D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S26"/>
    <mergeCell ref="T24:T26"/>
    <mergeCell ref="U24:U26"/>
    <mergeCell ref="A2:A26"/>
    <mergeCell ref="A27:C27"/>
    <mergeCell ref="X10:AR10"/>
    <mergeCell ref="X19:AR19"/>
    <mergeCell ref="M29:M32"/>
    <mergeCell ref="N29:N32"/>
    <mergeCell ref="O29:O32"/>
    <mergeCell ref="P29:P32"/>
    <mergeCell ref="Q29:Q32"/>
    <mergeCell ref="R29:R32"/>
    <mergeCell ref="S29:S32"/>
    <mergeCell ref="T29:T32"/>
    <mergeCell ref="U29:U32"/>
    <mergeCell ref="V29:V32"/>
    <mergeCell ref="B51:B53"/>
    <mergeCell ref="C51:C53"/>
    <mergeCell ref="D27:V27"/>
    <mergeCell ref="A28:C28"/>
    <mergeCell ref="D28:V28"/>
    <mergeCell ref="B2:B5"/>
    <mergeCell ref="A29:A53"/>
    <mergeCell ref="B29:B32"/>
    <mergeCell ref="E29:E32"/>
    <mergeCell ref="F29:F32"/>
    <mergeCell ref="G29:G32"/>
    <mergeCell ref="H29:H32"/>
    <mergeCell ref="I29:I32"/>
    <mergeCell ref="J29:J32"/>
    <mergeCell ref="K29:K32"/>
    <mergeCell ref="L29:L32"/>
    <mergeCell ref="C29:C32"/>
    <mergeCell ref="D29:D32"/>
    <mergeCell ref="D51:D53"/>
    <mergeCell ref="E51:E53"/>
    <mergeCell ref="F51:F53"/>
    <mergeCell ref="G51:G53"/>
    <mergeCell ref="H51:H53"/>
    <mergeCell ref="D110:D113"/>
    <mergeCell ref="E110:E113"/>
    <mergeCell ref="F110:F113"/>
    <mergeCell ref="G110:G113"/>
    <mergeCell ref="H110:H113"/>
    <mergeCell ref="I110:I113"/>
    <mergeCell ref="J110:J113"/>
    <mergeCell ref="K110:K113"/>
    <mergeCell ref="L110:L113"/>
    <mergeCell ref="M110:M113"/>
    <mergeCell ref="N110:N113"/>
    <mergeCell ref="O110:O113"/>
    <mergeCell ref="P110:P113"/>
    <mergeCell ref="Q110:Q113"/>
    <mergeCell ref="T191:T194"/>
    <mergeCell ref="U191:U194"/>
    <mergeCell ref="V191:V194"/>
    <mergeCell ref="X199:AR199"/>
    <mergeCell ref="X208:AR208"/>
    <mergeCell ref="R213:R215"/>
    <mergeCell ref="S213:S215"/>
    <mergeCell ref="T213:T215"/>
    <mergeCell ref="U213:U215"/>
    <mergeCell ref="V213:V215"/>
    <mergeCell ref="D216:V216"/>
    <mergeCell ref="D217:V217"/>
    <mergeCell ref="X217:AR217"/>
    <mergeCell ref="K213:K215"/>
    <mergeCell ref="L213:L215"/>
    <mergeCell ref="M213:M215"/>
    <mergeCell ref="N213:N215"/>
    <mergeCell ref="O213:O215"/>
    <mergeCell ref="P213:P215"/>
    <mergeCell ref="Q213:Q215"/>
    <mergeCell ref="X91:AR91"/>
    <mergeCell ref="X100:AR100"/>
    <mergeCell ref="R110:R113"/>
    <mergeCell ref="S110:S113"/>
    <mergeCell ref="T110:T113"/>
    <mergeCell ref="U110:U113"/>
    <mergeCell ref="V110:V113"/>
    <mergeCell ref="X118:AR118"/>
    <mergeCell ref="L132:L134"/>
    <mergeCell ref="M132:M134"/>
    <mergeCell ref="N132:N134"/>
    <mergeCell ref="O132:O134"/>
    <mergeCell ref="P132:P134"/>
    <mergeCell ref="Q132:Q134"/>
    <mergeCell ref="R132:R134"/>
    <mergeCell ref="S132:S134"/>
    <mergeCell ref="T132:T134"/>
    <mergeCell ref="U132:U134"/>
    <mergeCell ref="V132:V134"/>
    <mergeCell ref="D135:V135"/>
    <mergeCell ref="D136:V136"/>
    <mergeCell ref="X136:AR136"/>
    <mergeCell ref="D137:D140"/>
    <mergeCell ref="E137:E140"/>
    <mergeCell ref="F137:F140"/>
    <mergeCell ref="G137:G140"/>
    <mergeCell ref="H137:H140"/>
    <mergeCell ref="I137:I140"/>
    <mergeCell ref="J137:J140"/>
    <mergeCell ref="K137:K140"/>
    <mergeCell ref="L137:L140"/>
    <mergeCell ref="M137:M140"/>
    <mergeCell ref="N137:N140"/>
    <mergeCell ref="O137:O140"/>
    <mergeCell ref="P137:P140"/>
    <mergeCell ref="Q137:Q140"/>
    <mergeCell ref="R137:R140"/>
    <mergeCell ref="S137:S140"/>
    <mergeCell ref="T137:T140"/>
    <mergeCell ref="U137:U140"/>
    <mergeCell ref="V137:V140"/>
    <mergeCell ref="X145:AR145"/>
    <mergeCell ref="X127:AR127"/>
    <mergeCell ref="F132:F134"/>
    <mergeCell ref="G132:G134"/>
    <mergeCell ref="H132:H134"/>
    <mergeCell ref="I132:I134"/>
    <mergeCell ref="J132:J134"/>
    <mergeCell ref="K132:K134"/>
    <mergeCell ref="J159:J161"/>
    <mergeCell ref="K159:K161"/>
    <mergeCell ref="L159:L161"/>
    <mergeCell ref="M159:M161"/>
    <mergeCell ref="N159:N161"/>
    <mergeCell ref="O159:O161"/>
    <mergeCell ref="P159:P161"/>
    <mergeCell ref="Q159:Q161"/>
    <mergeCell ref="R159:R161"/>
    <mergeCell ref="S159:S161"/>
    <mergeCell ref="T159:T161"/>
    <mergeCell ref="U159:U161"/>
    <mergeCell ref="X154:AR154"/>
    <mergeCell ref="D159:D161"/>
    <mergeCell ref="E159:E161"/>
    <mergeCell ref="F159:F161"/>
    <mergeCell ref="G159:G161"/>
    <mergeCell ref="H159:H161"/>
    <mergeCell ref="I159:I161"/>
    <mergeCell ref="V159:V161"/>
    <mergeCell ref="D162:V162"/>
    <mergeCell ref="D163:V163"/>
    <mergeCell ref="J164:J167"/>
    <mergeCell ref="K164:K167"/>
    <mergeCell ref="L164:L167"/>
    <mergeCell ref="M164:M167"/>
    <mergeCell ref="N164:N167"/>
    <mergeCell ref="O164:O167"/>
    <mergeCell ref="P164:P167"/>
    <mergeCell ref="Q164:Q167"/>
    <mergeCell ref="R164:R167"/>
    <mergeCell ref="S164:S167"/>
    <mergeCell ref="X163:AR163"/>
    <mergeCell ref="D164:D167"/>
    <mergeCell ref="E164:E167"/>
    <mergeCell ref="F164:F167"/>
    <mergeCell ref="G164:G167"/>
    <mergeCell ref="H164:H167"/>
    <mergeCell ref="I164:I167"/>
    <mergeCell ref="V164:V167"/>
    <mergeCell ref="T164:T167"/>
    <mergeCell ref="U164:U167"/>
    <mergeCell ref="D186:D188"/>
    <mergeCell ref="E186:E188"/>
    <mergeCell ref="F186:F188"/>
    <mergeCell ref="G186:G188"/>
    <mergeCell ref="H186:H188"/>
    <mergeCell ref="I186:I188"/>
    <mergeCell ref="J186:J188"/>
    <mergeCell ref="K186:K188"/>
    <mergeCell ref="L186:L188"/>
    <mergeCell ref="M186:M188"/>
    <mergeCell ref="H218:H221"/>
    <mergeCell ref="I218:I221"/>
    <mergeCell ref="J218:J221"/>
    <mergeCell ref="K218:K221"/>
    <mergeCell ref="L218:L221"/>
    <mergeCell ref="M218:M221"/>
    <mergeCell ref="N218:N221"/>
    <mergeCell ref="O218:O221"/>
    <mergeCell ref="P218:P221"/>
    <mergeCell ref="Q218:Q221"/>
    <mergeCell ref="R218:R221"/>
    <mergeCell ref="S218:S221"/>
    <mergeCell ref="T218:T221"/>
    <mergeCell ref="U218:U221"/>
    <mergeCell ref="X172:AR172"/>
    <mergeCell ref="X181:AR181"/>
    <mergeCell ref="V218:V221"/>
    <mergeCell ref="X226:AR226"/>
    <mergeCell ref="J240:J242"/>
    <mergeCell ref="K240:K242"/>
    <mergeCell ref="L240:L242"/>
    <mergeCell ref="M240:M242"/>
    <mergeCell ref="N240:N242"/>
    <mergeCell ref="O240:O242"/>
    <mergeCell ref="P240:P242"/>
    <mergeCell ref="Q240:Q242"/>
    <mergeCell ref="R240:R242"/>
    <mergeCell ref="S240:S242"/>
    <mergeCell ref="T240:T242"/>
    <mergeCell ref="U240:U242"/>
    <mergeCell ref="D243:V243"/>
    <mergeCell ref="D244:V244"/>
    <mergeCell ref="Q245:Q248"/>
    <mergeCell ref="R245:R248"/>
    <mergeCell ref="S245:S248"/>
    <mergeCell ref="T245:T248"/>
    <mergeCell ref="U245:U248"/>
    <mergeCell ref="V245:V248"/>
    <mergeCell ref="X244:AR244"/>
    <mergeCell ref="K245:K248"/>
    <mergeCell ref="L245:L248"/>
    <mergeCell ref="M245:M248"/>
    <mergeCell ref="N245:N248"/>
    <mergeCell ref="O245:O248"/>
    <mergeCell ref="P245:P248"/>
    <mergeCell ref="X253:AR253"/>
    <mergeCell ref="X262:AR262"/>
    <mergeCell ref="K267:K269"/>
    <mergeCell ref="L267:L269"/>
    <mergeCell ref="M267:M269"/>
    <mergeCell ref="N267:N269"/>
    <mergeCell ref="O267:O269"/>
    <mergeCell ref="P267:P269"/>
    <mergeCell ref="Q267:Q269"/>
    <mergeCell ref="R267:R269"/>
    <mergeCell ref="S267:S269"/>
    <mergeCell ref="T267:T269"/>
    <mergeCell ref="U267:U269"/>
    <mergeCell ref="V267:V269"/>
    <mergeCell ref="D270:V270"/>
    <mergeCell ref="D271:V271"/>
    <mergeCell ref="Q272:Q275"/>
    <mergeCell ref="R272:R275"/>
    <mergeCell ref="S272:S275"/>
    <mergeCell ref="T272:T275"/>
    <mergeCell ref="U272:U275"/>
    <mergeCell ref="V272:V275"/>
    <mergeCell ref="X271:AR271"/>
    <mergeCell ref="K272:K275"/>
    <mergeCell ref="L272:L275"/>
    <mergeCell ref="M272:M275"/>
    <mergeCell ref="N272:N275"/>
    <mergeCell ref="O272:O275"/>
    <mergeCell ref="P272:P275"/>
    <mergeCell ref="X280:AR280"/>
    <mergeCell ref="X289:AR289"/>
    <mergeCell ref="K294:K296"/>
    <mergeCell ref="L294:L296"/>
    <mergeCell ref="M294:M296"/>
    <mergeCell ref="N294:N296"/>
    <mergeCell ref="X235:AR235"/>
    <mergeCell ref="D240:D242"/>
    <mergeCell ref="E240:E242"/>
    <mergeCell ref="F240:F242"/>
    <mergeCell ref="G240:G242"/>
    <mergeCell ref="H240:H242"/>
    <mergeCell ref="I240:I242"/>
    <mergeCell ref="V240:V242"/>
    <mergeCell ref="O294:O296"/>
    <mergeCell ref="P294:P296"/>
    <mergeCell ref="Q294:Q296"/>
    <mergeCell ref="R294:R296"/>
    <mergeCell ref="S294:S296"/>
    <mergeCell ref="T294:T296"/>
    <mergeCell ref="U294:U296"/>
    <mergeCell ref="V294:V296"/>
    <mergeCell ref="D297:V297"/>
    <mergeCell ref="D298:V298"/>
    <mergeCell ref="Q299:Q302"/>
    <mergeCell ref="R299:R302"/>
    <mergeCell ref="S299:S302"/>
    <mergeCell ref="T299:T302"/>
    <mergeCell ref="U299:U302"/>
    <mergeCell ref="V299:V302"/>
    <mergeCell ref="X298:AR298"/>
    <mergeCell ref="K299:K302"/>
    <mergeCell ref="L299:L302"/>
    <mergeCell ref="M299:M302"/>
    <mergeCell ref="N299:N302"/>
    <mergeCell ref="O299:O302"/>
    <mergeCell ref="P299:P302"/>
    <mergeCell ref="K321:K323"/>
    <mergeCell ref="L321:L323"/>
    <mergeCell ref="M321:M323"/>
    <mergeCell ref="N321:N323"/>
    <mergeCell ref="O321:O323"/>
    <mergeCell ref="P321:P323"/>
    <mergeCell ref="Q321:Q323"/>
    <mergeCell ref="R321:R323"/>
    <mergeCell ref="X307:AR307"/>
    <mergeCell ref="X316:AR316"/>
    <mergeCell ref="S321:S323"/>
    <mergeCell ref="T321:T323"/>
    <mergeCell ref="U321:U323"/>
    <mergeCell ref="V321:V323"/>
    <mergeCell ref="D324:V324"/>
    <mergeCell ref="D325:V325"/>
    <mergeCell ref="Q326:Q329"/>
    <mergeCell ref="R326:R329"/>
    <mergeCell ref="S326:S329"/>
    <mergeCell ref="T326:T329"/>
    <mergeCell ref="U326:U329"/>
    <mergeCell ref="V326:V329"/>
    <mergeCell ref="O807:O809"/>
    <mergeCell ref="P807:P809"/>
    <mergeCell ref="A810:C810"/>
    <mergeCell ref="D810:V810"/>
    <mergeCell ref="A811:C811"/>
    <mergeCell ref="D811:V811"/>
    <mergeCell ref="H807:H809"/>
    <mergeCell ref="I807:I809"/>
    <mergeCell ref="J807:J809"/>
    <mergeCell ref="K807:K809"/>
    <mergeCell ref="L807:L809"/>
    <mergeCell ref="M807:M809"/>
    <mergeCell ref="N807:N809"/>
    <mergeCell ref="R812:R815"/>
    <mergeCell ref="S812:S815"/>
    <mergeCell ref="T812:T815"/>
    <mergeCell ref="U812:U815"/>
    <mergeCell ref="V812:V815"/>
    <mergeCell ref="K812:K815"/>
    <mergeCell ref="L812:L815"/>
    <mergeCell ref="M812:M815"/>
    <mergeCell ref="N812:N815"/>
    <mergeCell ref="O812:O815"/>
    <mergeCell ref="P812:P815"/>
    <mergeCell ref="Q812:Q815"/>
    <mergeCell ref="D837:V837"/>
    <mergeCell ref="D838:V838"/>
    <mergeCell ref="P834:P836"/>
    <mergeCell ref="Q834:Q836"/>
    <mergeCell ref="R834:R836"/>
    <mergeCell ref="S834:S836"/>
    <mergeCell ref="T834:T836"/>
    <mergeCell ref="U834:U836"/>
    <mergeCell ref="V834:V836"/>
    <mergeCell ref="D807:D809"/>
    <mergeCell ref="E807:E809"/>
    <mergeCell ref="K834:K836"/>
    <mergeCell ref="L834:L836"/>
    <mergeCell ref="M834:M836"/>
    <mergeCell ref="N834:N836"/>
    <mergeCell ref="O834:O836"/>
    <mergeCell ref="R839:R842"/>
    <mergeCell ref="S839:S842"/>
    <mergeCell ref="T839:T842"/>
    <mergeCell ref="U839:U842"/>
    <mergeCell ref="V839:V842"/>
    <mergeCell ref="K839:K842"/>
    <mergeCell ref="L839:L842"/>
    <mergeCell ref="M839:M842"/>
    <mergeCell ref="N839:N842"/>
    <mergeCell ref="O839:O842"/>
    <mergeCell ref="P839:P842"/>
    <mergeCell ref="Q839:Q842"/>
    <mergeCell ref="A756:C756"/>
    <mergeCell ref="A757:C757"/>
    <mergeCell ref="A758:A782"/>
    <mergeCell ref="B758:B761"/>
    <mergeCell ref="C758:C761"/>
    <mergeCell ref="B780:B782"/>
    <mergeCell ref="C780:C782"/>
    <mergeCell ref="Q785:Q788"/>
    <mergeCell ref="R785:R788"/>
    <mergeCell ref="S785:S788"/>
    <mergeCell ref="T785:T788"/>
    <mergeCell ref="U785:U788"/>
    <mergeCell ref="V785:V788"/>
    <mergeCell ref="X793:AR793"/>
    <mergeCell ref="X802:AR802"/>
    <mergeCell ref="J785:J788"/>
    <mergeCell ref="K785:K788"/>
    <mergeCell ref="L785:L788"/>
    <mergeCell ref="M785:M788"/>
    <mergeCell ref="N785:N788"/>
    <mergeCell ref="O785:O788"/>
    <mergeCell ref="P785:P788"/>
    <mergeCell ref="B807:B809"/>
    <mergeCell ref="C807:C809"/>
    <mergeCell ref="A783:C783"/>
    <mergeCell ref="A784:C784"/>
    <mergeCell ref="A785:A809"/>
    <mergeCell ref="B785:B788"/>
    <mergeCell ref="C785:C788"/>
    <mergeCell ref="H785:H788"/>
    <mergeCell ref="I785:I788"/>
    <mergeCell ref="V807:V809"/>
    <mergeCell ref="X811:AR811"/>
    <mergeCell ref="X820:AR820"/>
    <mergeCell ref="X829:AR829"/>
    <mergeCell ref="F807:F809"/>
    <mergeCell ref="G807:G809"/>
    <mergeCell ref="Q807:Q809"/>
    <mergeCell ref="R807:R809"/>
    <mergeCell ref="S807:S809"/>
    <mergeCell ref="T807:T809"/>
    <mergeCell ref="U807:U80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12.63"/>
    <col customWidth="1" min="2" max="3" width="9.25"/>
    <col customWidth="1" min="4" max="5" width="8.63"/>
    <col customWidth="1" min="6" max="6" width="12.0"/>
    <col customWidth="1" min="7" max="13" width="11.38"/>
    <col customWidth="1" min="14" max="22" width="12.63"/>
    <col customWidth="1" min="24" max="24" width="9.75"/>
    <col customWidth="1" min="25" max="25" width="9.13"/>
    <col customWidth="1" min="26" max="27" width="9.0"/>
    <col customWidth="1" min="28" max="28" width="11.88"/>
    <col customWidth="1" min="29" max="34" width="15.0"/>
    <col customWidth="1" min="35" max="35" width="17.75"/>
    <col customWidth="1" min="36" max="36" width="16.0"/>
    <col customWidth="1" min="37" max="37" width="19.38"/>
    <col customWidth="1" min="38" max="38" width="23.88"/>
    <col customWidth="1" min="39" max="39" width="21.0"/>
    <col customWidth="1" min="40" max="40" width="24.75"/>
    <col customWidth="1" min="41" max="41" width="16.13"/>
    <col customWidth="1" min="42" max="42" width="12.63"/>
    <col customWidth="1" min="43" max="43" width="8.75"/>
    <col customWidth="1" min="44" max="44" width="16.25"/>
    <col customWidth="1" min="45" max="45" width="21.63"/>
    <col customWidth="1" min="46" max="46" width="26.63"/>
  </cols>
  <sheetData>
    <row r="1" ht="15.75" customHeight="1">
      <c r="A1" s="1" t="s">
        <v>0</v>
      </c>
      <c r="D1" s="2"/>
      <c r="W1" s="3"/>
      <c r="X1" s="4" t="s">
        <v>1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6"/>
      <c r="AS1" s="3"/>
    </row>
    <row r="2" ht="15.75" customHeight="1">
      <c r="A2" s="7">
        <v>46266.0</v>
      </c>
      <c r="B2" s="8" t="s">
        <v>2</v>
      </c>
      <c r="C2" s="8" t="s">
        <v>3</v>
      </c>
      <c r="D2" s="8" t="s">
        <v>4</v>
      </c>
      <c r="E2" s="8" t="s">
        <v>5</v>
      </c>
      <c r="F2" s="9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9" t="s">
        <v>14</v>
      </c>
      <c r="O2" s="8" t="s">
        <v>15</v>
      </c>
      <c r="P2" s="8" t="s">
        <v>16</v>
      </c>
      <c r="Q2" s="8" t="s">
        <v>17</v>
      </c>
      <c r="R2" s="8" t="s">
        <v>18</v>
      </c>
      <c r="S2" s="11" t="s">
        <v>19</v>
      </c>
      <c r="T2" s="12" t="s">
        <v>20</v>
      </c>
      <c r="U2" s="12" t="s">
        <v>21</v>
      </c>
      <c r="V2" s="13" t="s">
        <v>22</v>
      </c>
      <c r="X2" s="14" t="s">
        <v>2</v>
      </c>
      <c r="Y2" s="14" t="s">
        <v>3</v>
      </c>
      <c r="Z2" s="14" t="s">
        <v>4</v>
      </c>
      <c r="AA2" s="14" t="s">
        <v>5</v>
      </c>
      <c r="AB2" s="15" t="s">
        <v>6</v>
      </c>
      <c r="AC2" s="14" t="s">
        <v>7</v>
      </c>
      <c r="AD2" s="14" t="s">
        <v>8</v>
      </c>
      <c r="AE2" s="14" t="s">
        <v>9</v>
      </c>
      <c r="AF2" s="14" t="s">
        <v>10</v>
      </c>
      <c r="AG2" s="14" t="s">
        <v>11</v>
      </c>
      <c r="AH2" s="14" t="s">
        <v>12</v>
      </c>
      <c r="AI2" s="14" t="s">
        <v>13</v>
      </c>
      <c r="AJ2" s="15" t="s">
        <v>14</v>
      </c>
      <c r="AK2" s="14" t="s">
        <v>15</v>
      </c>
      <c r="AL2" s="14" t="s">
        <v>16</v>
      </c>
      <c r="AM2" s="16" t="s">
        <v>17</v>
      </c>
      <c r="AN2" s="17" t="s">
        <v>18</v>
      </c>
      <c r="AO2" s="18" t="s">
        <v>19</v>
      </c>
      <c r="AP2" s="19" t="s">
        <v>20</v>
      </c>
      <c r="AQ2" s="19" t="s">
        <v>21</v>
      </c>
      <c r="AR2" s="20" t="s">
        <v>22</v>
      </c>
    </row>
    <row r="3" ht="15.7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X3" s="22">
        <v>1.0</v>
      </c>
      <c r="Y3" s="22" t="s">
        <v>23</v>
      </c>
      <c r="Z3" s="22">
        <f t="shared" ref="Z3:AI3" si="1">SUM(D11)</f>
        <v>35</v>
      </c>
      <c r="AA3" s="23">
        <f t="shared" si="1"/>
        <v>34</v>
      </c>
      <c r="AB3" s="24">
        <f t="shared" si="1"/>
        <v>6680.52</v>
      </c>
      <c r="AC3" s="23">
        <f t="shared" si="1"/>
        <v>1627</v>
      </c>
      <c r="AD3" s="23">
        <f t="shared" si="1"/>
        <v>0</v>
      </c>
      <c r="AE3" s="23">
        <f t="shared" si="1"/>
        <v>1627</v>
      </c>
      <c r="AF3" s="23">
        <f t="shared" si="1"/>
        <v>3262</v>
      </c>
      <c r="AG3" s="23">
        <f t="shared" si="1"/>
        <v>0</v>
      </c>
      <c r="AH3" s="23">
        <f t="shared" si="1"/>
        <v>3262</v>
      </c>
      <c r="AI3" s="23">
        <f t="shared" si="1"/>
        <v>4889</v>
      </c>
      <c r="AJ3" s="25">
        <f t="shared" ref="AJ3:AJ5" si="4">AB3/AA3</f>
        <v>196.4858824</v>
      </c>
      <c r="AK3" s="22">
        <f>SUM(O11)</f>
        <v>6853</v>
      </c>
      <c r="AL3" s="26">
        <f t="shared" ref="AL3:AL9" si="5">AI3/AK3</f>
        <v>0.7134101853</v>
      </c>
      <c r="AM3" s="27">
        <f t="shared" ref="AM3:AM5" si="6">SUM(Q11)</f>
        <v>1.5</v>
      </c>
      <c r="AN3" s="26">
        <f t="shared" ref="AN3:AN9" si="7">AO3/AM3</f>
        <v>0.4878861725</v>
      </c>
      <c r="AO3" s="28">
        <f t="shared" ref="AO3:AO9" si="8">AI3/AB3</f>
        <v>0.7318292588</v>
      </c>
      <c r="AP3" s="27">
        <f t="shared" ref="AP3:AQ3" si="2">SUM(T11)</f>
        <v>198</v>
      </c>
      <c r="AQ3" s="27">
        <f t="shared" si="2"/>
        <v>5.823529412</v>
      </c>
      <c r="AR3" s="23">
        <f t="shared" ref="AR3:AR9" si="10">AI3/AA3</f>
        <v>143.7941176</v>
      </c>
    </row>
    <row r="4" ht="15.7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X4" s="22">
        <v>2.0</v>
      </c>
      <c r="Y4" s="22" t="s">
        <v>24</v>
      </c>
      <c r="Z4" s="22">
        <f t="shared" ref="Z4:AI4" si="3">SUM(D12)</f>
        <v>44</v>
      </c>
      <c r="AA4" s="23">
        <f t="shared" si="3"/>
        <v>44</v>
      </c>
      <c r="AB4" s="24">
        <f t="shared" si="3"/>
        <v>8029.356</v>
      </c>
      <c r="AC4" s="23">
        <f t="shared" si="3"/>
        <v>1194</v>
      </c>
      <c r="AD4" s="23">
        <f t="shared" si="3"/>
        <v>0</v>
      </c>
      <c r="AE4" s="23">
        <f t="shared" si="3"/>
        <v>1194</v>
      </c>
      <c r="AF4" s="23">
        <f t="shared" si="3"/>
        <v>1455</v>
      </c>
      <c r="AG4" s="23">
        <f t="shared" si="3"/>
        <v>0</v>
      </c>
      <c r="AH4" s="23">
        <f t="shared" si="3"/>
        <v>1455</v>
      </c>
      <c r="AI4" s="23">
        <f t="shared" si="3"/>
        <v>2649</v>
      </c>
      <c r="AJ4" s="25">
        <f t="shared" si="4"/>
        <v>182.4853636</v>
      </c>
      <c r="AK4" s="22">
        <v>1580.0</v>
      </c>
      <c r="AL4" s="29">
        <f t="shared" si="5"/>
        <v>1.676582278</v>
      </c>
      <c r="AM4" s="27">
        <f t="shared" si="6"/>
        <v>1.5</v>
      </c>
      <c r="AN4" s="26">
        <f t="shared" si="7"/>
        <v>0.2199429195</v>
      </c>
      <c r="AO4" s="28">
        <f t="shared" si="8"/>
        <v>0.3299143792</v>
      </c>
      <c r="AP4" s="27">
        <f t="shared" ref="AP4:AQ4" si="9">SUM(T12)</f>
        <v>299.5469502</v>
      </c>
      <c r="AQ4" s="27">
        <f t="shared" si="9"/>
        <v>6.807885232</v>
      </c>
      <c r="AR4" s="23">
        <f t="shared" si="10"/>
        <v>60.20454545</v>
      </c>
    </row>
    <row r="5" ht="15.75" customHeight="1">
      <c r="A5" s="21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X5" s="31">
        <v>3.0</v>
      </c>
      <c r="Y5" s="31" t="s">
        <v>25</v>
      </c>
      <c r="Z5" s="31">
        <f t="shared" ref="Z5:AI5" si="11">SUM(D13)</f>
        <v>32</v>
      </c>
      <c r="AA5" s="32">
        <f t="shared" si="11"/>
        <v>32</v>
      </c>
      <c r="AB5" s="33">
        <f t="shared" si="11"/>
        <v>5963.536</v>
      </c>
      <c r="AC5" s="32">
        <f t="shared" si="11"/>
        <v>2444</v>
      </c>
      <c r="AD5" s="32">
        <f t="shared" si="11"/>
        <v>331</v>
      </c>
      <c r="AE5" s="32">
        <f t="shared" si="11"/>
        <v>2775</v>
      </c>
      <c r="AF5" s="32">
        <f t="shared" si="11"/>
        <v>3085</v>
      </c>
      <c r="AG5" s="32">
        <f t="shared" si="11"/>
        <v>319</v>
      </c>
      <c r="AH5" s="32">
        <f t="shared" si="11"/>
        <v>3404</v>
      </c>
      <c r="AI5" s="32">
        <f t="shared" si="11"/>
        <v>6179</v>
      </c>
      <c r="AJ5" s="34">
        <f t="shared" si="4"/>
        <v>186.3605</v>
      </c>
      <c r="AK5" s="31">
        <f>SUM(O13)</f>
        <v>6622</v>
      </c>
      <c r="AL5" s="35">
        <f t="shared" si="5"/>
        <v>0.9331017819</v>
      </c>
      <c r="AM5" s="36">
        <f t="shared" si="6"/>
        <v>1.5</v>
      </c>
      <c r="AN5" s="35">
        <f t="shared" si="7"/>
        <v>0.6907534948</v>
      </c>
      <c r="AO5" s="37">
        <f t="shared" si="8"/>
        <v>1.036130242</v>
      </c>
      <c r="AP5" s="36">
        <f t="shared" ref="AP5:AQ5" si="12">SUM(T13)</f>
        <v>250.1483221</v>
      </c>
      <c r="AQ5" s="36">
        <f t="shared" si="12"/>
        <v>7.817135067</v>
      </c>
      <c r="AR5" s="32">
        <f t="shared" si="10"/>
        <v>193.09375</v>
      </c>
    </row>
    <row r="6" ht="15.75" customHeight="1">
      <c r="A6" s="21"/>
      <c r="B6" s="38">
        <v>1.0</v>
      </c>
      <c r="C6" s="38" t="s">
        <v>26</v>
      </c>
      <c r="D6" s="39">
        <v>20.0</v>
      </c>
      <c r="E6" s="40">
        <f>IFERROR(__xludf.DUMMYFUNCTION("COUNT(IMPORTRANGE(""https://docs.google.com/spreadsheets/d/1F0NpMx7WhcgPgxTWpryY3Z1CGg56FL6aiL4mHs43w4E/edit"",""1!d2:d21""))"),20.0)</f>
        <v>20</v>
      </c>
      <c r="F6" s="41">
        <f>IFERROR(__xludf.DUMMYFUNCTION("SUM(IMPORTRANGE(""https://docs.google.com/spreadsheets/d/1F0NpMx7WhcgPgxTWpryY3Z1CGg56FL6aiL4mHs43w4E/edit"",""1!Q2:Q21""))"),3935.2949999999996)</f>
        <v>3935.295</v>
      </c>
      <c r="G6" s="40">
        <f>IFERROR(__xludf.DUMMYFUNCTION("IMPORTRANGE(""https://docs.google.com/spreadsheets/d/1F0NpMx7WhcgPgxTWpryY3Z1CGg56FL6aiL4mHs43w4E/edit"",""1!e28"")"),2229.0)</f>
        <v>2229</v>
      </c>
      <c r="H6" s="40">
        <f>IFERROR(__xludf.DUMMYFUNCTION("IMPORTRANGE(""https://docs.google.com/spreadsheets/d/1F0NpMx7WhcgPgxTWpryY3Z1CGg56FL6aiL4mHs43w4E/edit"",""1!e29"")"),0.0)</f>
        <v>0</v>
      </c>
      <c r="I6" s="40">
        <f t="shared" ref="I6:I23" si="15">SUM(G6:H6)</f>
        <v>2229</v>
      </c>
      <c r="J6" s="40">
        <f>IFERROR(__xludf.DUMMYFUNCTION("IMPORTRANGE(""https://docs.google.com/spreadsheets/d/1F0NpMx7WhcgPgxTWpryY3Z1CGg56FL6aiL4mHs43w4E/edit"",""1!e32"")"),2661.0)</f>
        <v>2661</v>
      </c>
      <c r="K6" s="40">
        <f>IFERROR(__xludf.DUMMYFUNCTION("IMPORTRANGE(""https://docs.google.com/spreadsheets/d/1F0NpMx7WhcgPgxTWpryY3Z1CGg56FL6aiL4mHs43w4E/edit"",""1!e33"")"),47.0)</f>
        <v>47</v>
      </c>
      <c r="L6" s="40">
        <f t="shared" ref="L6:L12" si="16">SUM(J6:K6)</f>
        <v>2708</v>
      </c>
      <c r="M6" s="40">
        <f t="shared" ref="M6:M23" si="17">SUM(I6+L6)</f>
        <v>4937</v>
      </c>
      <c r="N6" s="41">
        <f t="shared" ref="N6:N24" si="18">F6/E6</f>
        <v>196.76475</v>
      </c>
      <c r="O6" s="38">
        <v>5161.0</v>
      </c>
      <c r="P6" s="42">
        <f t="shared" ref="P6:P24" si="19">M6/O6</f>
        <v>0.9565975586</v>
      </c>
      <c r="Q6" s="43">
        <v>1.5</v>
      </c>
      <c r="R6" s="42">
        <f t="shared" ref="R6:R24" si="20">S6/Q6</f>
        <v>0.8363625429</v>
      </c>
      <c r="S6" s="44">
        <f t="shared" ref="S6:S24" si="21">M6/F6</f>
        <v>1.254543814</v>
      </c>
      <c r="T6" s="43">
        <f>F6/14.415</f>
        <v>273</v>
      </c>
      <c r="U6" s="43">
        <f t="shared" ref="U6:U24" si="22">T6/E6</f>
        <v>13.65</v>
      </c>
      <c r="V6" s="40">
        <f t="shared" ref="V6:V24" si="23">M6/E6</f>
        <v>246.85</v>
      </c>
      <c r="X6" s="22">
        <v>4.0</v>
      </c>
      <c r="Y6" s="22" t="s">
        <v>27</v>
      </c>
      <c r="Z6" s="22">
        <f t="shared" ref="Z6:AK6" si="13">SUM(D19)</f>
        <v>30</v>
      </c>
      <c r="AA6" s="23">
        <f t="shared" si="13"/>
        <v>29</v>
      </c>
      <c r="AB6" s="24">
        <f t="shared" si="13"/>
        <v>5631.663</v>
      </c>
      <c r="AC6" s="23">
        <f t="shared" si="13"/>
        <v>2486</v>
      </c>
      <c r="AD6" s="23">
        <f t="shared" si="13"/>
        <v>80</v>
      </c>
      <c r="AE6" s="23">
        <f t="shared" si="13"/>
        <v>2566</v>
      </c>
      <c r="AF6" s="23">
        <f t="shared" si="13"/>
        <v>2945</v>
      </c>
      <c r="AG6" s="23">
        <f t="shared" si="13"/>
        <v>88</v>
      </c>
      <c r="AH6" s="23">
        <f t="shared" si="13"/>
        <v>3033</v>
      </c>
      <c r="AI6" s="23">
        <f t="shared" si="13"/>
        <v>5599</v>
      </c>
      <c r="AJ6" s="25">
        <f t="shared" si="13"/>
        <v>194.1952759</v>
      </c>
      <c r="AK6" s="22">
        <f t="shared" si="13"/>
        <v>8101</v>
      </c>
      <c r="AL6" s="26">
        <f t="shared" si="5"/>
        <v>0.6911492408</v>
      </c>
      <c r="AM6" s="27">
        <f>SUM(Q19)</f>
        <v>1.5</v>
      </c>
      <c r="AN6" s="26">
        <f t="shared" si="7"/>
        <v>0.6628000764</v>
      </c>
      <c r="AO6" s="28">
        <f t="shared" si="8"/>
        <v>0.9942001146</v>
      </c>
      <c r="AP6" s="27">
        <f t="shared" ref="AP6:AQ6" si="14">SUM(T19)</f>
        <v>281.7944959</v>
      </c>
      <c r="AQ6" s="27">
        <f t="shared" si="14"/>
        <v>9.717051582</v>
      </c>
      <c r="AR6" s="23">
        <f t="shared" si="10"/>
        <v>193.0689655</v>
      </c>
    </row>
    <row r="7" ht="15.75" customHeight="1">
      <c r="A7" s="21"/>
      <c r="B7" s="38">
        <v>2.0</v>
      </c>
      <c r="C7" s="38" t="s">
        <v>28</v>
      </c>
      <c r="D7" s="39">
        <v>33.0</v>
      </c>
      <c r="E7" s="40">
        <f>IFERROR(__xludf.DUMMYFUNCTION("COUNT(IMPORTRANGE(""https://docs.google.com/spreadsheets/d/1H9vAqftAHb0OdeSGXHTnJFzoWUgpoH31sc0sHNN8y1o/edit"",""1!d2:d34""))"),32.0)</f>
        <v>32</v>
      </c>
      <c r="F7" s="41">
        <f>IFERROR(__xludf.DUMMYFUNCTION("SUM(IMPORTRANGE(""https://docs.google.com/spreadsheets/d/1H9vAqftAHb0OdeSGXHTnJFzoWUgpoH31sc0sHNN8y1o/edit"",""1!Q2:Q34""))"),6234.134999999998)</f>
        <v>6234.135</v>
      </c>
      <c r="G7" s="40">
        <f>IFERROR(__xludf.DUMMYFUNCTION("IMPORTRANGE(""https://docs.google.com/spreadsheets/d/1H9vAqftAHb0OdeSGXHTnJFzoWUgpoH31sc0sHNN8y1o/edit"",""1!e41"")"),2719.0)</f>
        <v>2719</v>
      </c>
      <c r="H7" s="40">
        <f>IFERROR(__xludf.DUMMYFUNCTION("IMPORTRANGE(""https://docs.google.com/spreadsheets/d/1H9vAqftAHb0OdeSGXHTnJFzoWUgpoH31sc0sHNN8y1o/edit"",""1!e42"")"),208.0)</f>
        <v>208</v>
      </c>
      <c r="I7" s="40">
        <f t="shared" si="15"/>
        <v>2927</v>
      </c>
      <c r="J7" s="40">
        <f>IFERROR(__xludf.DUMMYFUNCTION("IMPORTRANGE(""https://docs.google.com/spreadsheets/d/1H9vAqftAHb0OdeSGXHTnJFzoWUgpoH31sc0sHNN8y1o/edit"",""1!e45"")"),3192.0)</f>
        <v>3192</v>
      </c>
      <c r="K7" s="40">
        <f>IFERROR(__xludf.DUMMYFUNCTION("IMPORTRANGE(""https://docs.google.com/spreadsheets/d/1H9vAqftAHb0OdeSGXHTnJFzoWUgpoH31sc0sHNN8y1o/edit"",""1!e46"")"),138.0)</f>
        <v>138</v>
      </c>
      <c r="L7" s="40">
        <f t="shared" si="16"/>
        <v>3330</v>
      </c>
      <c r="M7" s="40">
        <f t="shared" si="17"/>
        <v>6257</v>
      </c>
      <c r="N7" s="41">
        <f t="shared" si="18"/>
        <v>194.8167188</v>
      </c>
      <c r="O7" s="38">
        <v>7315.0</v>
      </c>
      <c r="P7" s="42">
        <f t="shared" si="19"/>
        <v>0.8553656869</v>
      </c>
      <c r="Q7" s="43">
        <v>1.5</v>
      </c>
      <c r="R7" s="42">
        <f t="shared" si="20"/>
        <v>0.6691118067</v>
      </c>
      <c r="S7" s="44">
        <f t="shared" si="21"/>
        <v>1.00366771</v>
      </c>
      <c r="T7" s="43">
        <f>F7/30.897</f>
        <v>201.7715312</v>
      </c>
      <c r="U7" s="43">
        <f t="shared" si="22"/>
        <v>6.305360351</v>
      </c>
      <c r="V7" s="40">
        <f t="shared" si="23"/>
        <v>195.53125</v>
      </c>
      <c r="X7" s="22">
        <v>5.0</v>
      </c>
      <c r="Y7" s="22" t="s">
        <v>29</v>
      </c>
      <c r="Z7" s="22">
        <f t="shared" ref="Z7:AI7" si="24">SUM(D22)</f>
        <v>30</v>
      </c>
      <c r="AA7" s="23">
        <f t="shared" si="24"/>
        <v>29</v>
      </c>
      <c r="AB7" s="24">
        <f t="shared" si="24"/>
        <v>5722.056</v>
      </c>
      <c r="AC7" s="23">
        <f t="shared" si="24"/>
        <v>2610</v>
      </c>
      <c r="AD7" s="23">
        <f t="shared" si="24"/>
        <v>0</v>
      </c>
      <c r="AE7" s="23">
        <f t="shared" si="24"/>
        <v>2610</v>
      </c>
      <c r="AF7" s="23">
        <f t="shared" si="24"/>
        <v>4378</v>
      </c>
      <c r="AG7" s="23">
        <f t="shared" si="24"/>
        <v>0</v>
      </c>
      <c r="AH7" s="23">
        <f t="shared" si="24"/>
        <v>4378</v>
      </c>
      <c r="AI7" s="23">
        <f t="shared" si="24"/>
        <v>6988</v>
      </c>
      <c r="AJ7" s="25">
        <f t="shared" ref="AJ7:AJ9" si="27">AB7/AA7</f>
        <v>197.3122759</v>
      </c>
      <c r="AK7" s="22">
        <f t="shared" ref="AK7:AK8" si="28">SUM(O22)</f>
        <v>9201</v>
      </c>
      <c r="AL7" s="26">
        <f t="shared" si="5"/>
        <v>0.7594826649</v>
      </c>
      <c r="AM7" s="27">
        <f t="shared" ref="AM7:AM8" si="29">SUM(Q22)</f>
        <v>1.5</v>
      </c>
      <c r="AN7" s="26">
        <f t="shared" si="7"/>
        <v>0.8141595725</v>
      </c>
      <c r="AO7" s="28">
        <f t="shared" si="8"/>
        <v>1.221239359</v>
      </c>
      <c r="AP7" s="27">
        <f t="shared" ref="AP7:AQ7" si="25">SUM(T22)</f>
        <v>216</v>
      </c>
      <c r="AQ7" s="27">
        <f t="shared" si="25"/>
        <v>7.448275862</v>
      </c>
      <c r="AR7" s="23">
        <f t="shared" si="10"/>
        <v>240.9655172</v>
      </c>
    </row>
    <row r="8" ht="15.75" customHeight="1">
      <c r="A8" s="21"/>
      <c r="B8" s="38">
        <v>3.0</v>
      </c>
      <c r="C8" s="38" t="s">
        <v>30</v>
      </c>
      <c r="D8" s="39">
        <v>60.0</v>
      </c>
      <c r="E8" s="40">
        <f>IFERROR(__xludf.DUMMYFUNCTION("COUNT(IMPORTRANGE(""https://docs.google.com/spreadsheets/d/1EWN6nfpuVxbUE_9opjYCWaI7MTm5xsF6ssjklSbMZnA/edit"",""1!d2:d61""))"),59.0)</f>
        <v>59</v>
      </c>
      <c r="F8" s="45">
        <f>IFERROR(__xludf.DUMMYFUNCTION("SUM(IMPORTRANGE(""https://docs.google.com/spreadsheets/d/1EWN6nfpuVxbUE_9opjYCWaI7MTm5xsF6ssjklSbMZnA/edit"",""1!Q2:Q61""))"),11739.691999999988)</f>
        <v>11739.692</v>
      </c>
      <c r="G8" s="40">
        <f>IFERROR(__xludf.DUMMYFUNCTION("IMPORTRANGE(""https://docs.google.com/spreadsheets/d/1EWN6nfpuVxbUE_9opjYCWaI7MTm5xsF6ssjklSbMZnA/edit"",""1!e68"")"),3754.0)</f>
        <v>3754</v>
      </c>
      <c r="H8" s="40">
        <f>IFERROR(__xludf.DUMMYFUNCTION("IMPORTRANGE(""https://docs.google.com/spreadsheets/d/1EWN6nfpuVxbUE_9opjYCWaI7MTm5xsF6ssjklSbMZnA/edit"",""1!e69"")"),14.0)</f>
        <v>14</v>
      </c>
      <c r="I8" s="40">
        <f t="shared" si="15"/>
        <v>3768</v>
      </c>
      <c r="J8" s="40">
        <f>IFERROR(__xludf.DUMMYFUNCTION("IMPORTRANGE(""https://docs.google.com/spreadsheets/d/1EWN6nfpuVxbUE_9opjYCWaI7MTm5xsF6ssjklSbMZnA/edit"",""1!e72"")"),5982.0)</f>
        <v>5982</v>
      </c>
      <c r="K8" s="40">
        <f>IFERROR(__xludf.DUMMYFUNCTION("IMPORTRANGE(""https://docs.google.com/spreadsheets/d/1EWN6nfpuVxbUE_9opjYCWaI7MTm5xsF6ssjklSbMZnA/edit"",""1!e73"")"),0.0)</f>
        <v>0</v>
      </c>
      <c r="L8" s="40">
        <f t="shared" si="16"/>
        <v>5982</v>
      </c>
      <c r="M8" s="40">
        <f t="shared" si="17"/>
        <v>9750</v>
      </c>
      <c r="N8" s="41">
        <f t="shared" si="18"/>
        <v>198.9778305</v>
      </c>
      <c r="O8" s="38">
        <v>11164.0</v>
      </c>
      <c r="P8" s="42">
        <f t="shared" si="19"/>
        <v>0.8733428879</v>
      </c>
      <c r="Q8" s="43">
        <v>1.5</v>
      </c>
      <c r="R8" s="42">
        <f t="shared" si="20"/>
        <v>0.5536772174</v>
      </c>
      <c r="S8" s="44">
        <f t="shared" si="21"/>
        <v>0.8305158261</v>
      </c>
      <c r="T8" s="43">
        <f>F8/29.603</f>
        <v>396.5710232</v>
      </c>
      <c r="U8" s="43">
        <f t="shared" si="22"/>
        <v>6.721542766</v>
      </c>
      <c r="V8" s="40">
        <f t="shared" si="23"/>
        <v>165.2542373</v>
      </c>
      <c r="X8" s="22">
        <v>6.0</v>
      </c>
      <c r="Y8" s="22" t="s">
        <v>31</v>
      </c>
      <c r="Z8" s="22">
        <f t="shared" ref="Z8:AI8" si="26">SUM(D23)</f>
        <v>15</v>
      </c>
      <c r="AA8" s="23">
        <f t="shared" si="26"/>
        <v>14</v>
      </c>
      <c r="AB8" s="25">
        <f t="shared" si="26"/>
        <v>2520.97</v>
      </c>
      <c r="AC8" s="23">
        <f t="shared" si="26"/>
        <v>633</v>
      </c>
      <c r="AD8" s="23">
        <f t="shared" si="26"/>
        <v>0</v>
      </c>
      <c r="AE8" s="23">
        <f t="shared" si="26"/>
        <v>633</v>
      </c>
      <c r="AF8" s="23">
        <f t="shared" si="26"/>
        <v>1148</v>
      </c>
      <c r="AG8" s="23">
        <f t="shared" si="26"/>
        <v>15</v>
      </c>
      <c r="AH8" s="23">
        <f t="shared" si="26"/>
        <v>1163</v>
      </c>
      <c r="AI8" s="23">
        <f t="shared" si="26"/>
        <v>1796</v>
      </c>
      <c r="AJ8" s="25">
        <f t="shared" si="27"/>
        <v>180.0692857</v>
      </c>
      <c r="AK8" s="22">
        <f t="shared" si="28"/>
        <v>2717</v>
      </c>
      <c r="AL8" s="26">
        <f t="shared" si="5"/>
        <v>0.6610231873</v>
      </c>
      <c r="AM8" s="27">
        <f t="shared" si="29"/>
        <v>1.5</v>
      </c>
      <c r="AN8" s="26">
        <f t="shared" si="7"/>
        <v>0.4749494573</v>
      </c>
      <c r="AO8" s="28">
        <f t="shared" si="8"/>
        <v>0.7124241859</v>
      </c>
      <c r="AP8" s="27">
        <f t="shared" ref="AP8:AQ8" si="30">SUM(T23)</f>
        <v>58</v>
      </c>
      <c r="AQ8" s="27">
        <f t="shared" si="30"/>
        <v>4.142857143</v>
      </c>
      <c r="AR8" s="23">
        <f t="shared" si="10"/>
        <v>128.2857143</v>
      </c>
    </row>
    <row r="9" ht="15.75" customHeight="1">
      <c r="A9" s="21"/>
      <c r="B9" s="38">
        <v>4.0</v>
      </c>
      <c r="C9" s="38" t="s">
        <v>32</v>
      </c>
      <c r="D9" s="39">
        <v>42.0</v>
      </c>
      <c r="E9" s="40">
        <f>IFERROR(__xludf.DUMMYFUNCTION("COUNT(IMPORTRANGE(""https://docs.google.com/spreadsheets/d/1Rmar8QqWK4XOJ-eY6xMzkAfDSw0srEXcAw89ilArun8/edit"",""1!d2:d43""))"),42.0)</f>
        <v>42</v>
      </c>
      <c r="F9" s="45">
        <f>IFERROR(__xludf.DUMMYFUNCTION("SUM(IMPORTRANGE(""https://docs.google.com/spreadsheets/d/1Rmar8QqWK4XOJ-eY6xMzkAfDSw0srEXcAw89ilArun8/edit"",""1!Q2:Q43""))"),8240.661999999991)</f>
        <v>8240.662</v>
      </c>
      <c r="G9" s="38">
        <f>IFERROR(__xludf.DUMMYFUNCTION("IMPORTRANGE(""https://docs.google.com/spreadsheets/d/1Rmar8QqWK4XOJ-eY6xMzkAfDSw0srEXcAw89ilArun8/edit"",""1!e50"")"),4515.0)</f>
        <v>4515</v>
      </c>
      <c r="H9" s="38">
        <f>IFERROR(__xludf.DUMMYFUNCTION("IMPORTRANGE(""https://docs.google.com/spreadsheets/d/1Rmar8QqWK4XOJ-eY6xMzkAfDSw0srEXcAw89ilArun8/edit"",""1!e51"")"),0.0)</f>
        <v>0</v>
      </c>
      <c r="I9" s="40">
        <f t="shared" si="15"/>
        <v>4515</v>
      </c>
      <c r="J9" s="38">
        <f>IFERROR(__xludf.DUMMYFUNCTION("IMPORTRANGE(""https://docs.google.com/spreadsheets/d/1Rmar8QqWK4XOJ-eY6xMzkAfDSw0srEXcAw89ilArun8/edit"",""1!e54"")"),5726.0)</f>
        <v>5726</v>
      </c>
      <c r="K9" s="38">
        <f>IFERROR(__xludf.DUMMYFUNCTION("IMPORTRANGE(""https://docs.google.com/spreadsheets/d/1Rmar8QqWK4XOJ-eY6xMzkAfDSw0srEXcAw89ilArun8/edit"",""1!e55"")"),0.0)</f>
        <v>0</v>
      </c>
      <c r="L9" s="40">
        <f t="shared" si="16"/>
        <v>5726</v>
      </c>
      <c r="M9" s="40">
        <f t="shared" si="17"/>
        <v>10241</v>
      </c>
      <c r="N9" s="41">
        <f t="shared" si="18"/>
        <v>196.2062381</v>
      </c>
      <c r="O9" s="38">
        <v>13817.0</v>
      </c>
      <c r="P9" s="42">
        <f t="shared" si="19"/>
        <v>0.7411883911</v>
      </c>
      <c r="Q9" s="43">
        <v>1.5</v>
      </c>
      <c r="R9" s="42">
        <f t="shared" si="20"/>
        <v>0.8284933096</v>
      </c>
      <c r="S9" s="44">
        <f t="shared" si="21"/>
        <v>1.242739964</v>
      </c>
      <c r="T9" s="43">
        <f>F9/25.089</f>
        <v>328.4571725</v>
      </c>
      <c r="U9" s="43">
        <f t="shared" si="22"/>
        <v>7.820408868</v>
      </c>
      <c r="V9" s="40">
        <f t="shared" si="23"/>
        <v>243.8333333</v>
      </c>
      <c r="X9" s="46" t="s">
        <v>33</v>
      </c>
      <c r="Y9" s="46">
        <v>6.0</v>
      </c>
      <c r="Z9" s="46">
        <f t="shared" ref="Z9:AI9" si="31">SUM(Z3:Z8)</f>
        <v>186</v>
      </c>
      <c r="AA9" s="47">
        <f t="shared" si="31"/>
        <v>182</v>
      </c>
      <c r="AB9" s="48">
        <f t="shared" si="31"/>
        <v>34548.101</v>
      </c>
      <c r="AC9" s="47">
        <f t="shared" si="31"/>
        <v>10994</v>
      </c>
      <c r="AD9" s="47">
        <f t="shared" si="31"/>
        <v>411</v>
      </c>
      <c r="AE9" s="47">
        <f t="shared" si="31"/>
        <v>11405</v>
      </c>
      <c r="AF9" s="47">
        <f t="shared" si="31"/>
        <v>16273</v>
      </c>
      <c r="AG9" s="47">
        <f t="shared" si="31"/>
        <v>422</v>
      </c>
      <c r="AH9" s="47">
        <f t="shared" si="31"/>
        <v>16695</v>
      </c>
      <c r="AI9" s="47">
        <f t="shared" si="31"/>
        <v>28100</v>
      </c>
      <c r="AJ9" s="49">
        <f t="shared" si="27"/>
        <v>189.8247308</v>
      </c>
      <c r="AK9" s="46">
        <f>SUM(AK3:AK8)</f>
        <v>35074</v>
      </c>
      <c r="AL9" s="50">
        <f t="shared" si="5"/>
        <v>0.8011632548</v>
      </c>
      <c r="AM9" s="51">
        <v>1.5</v>
      </c>
      <c r="AN9" s="50">
        <f t="shared" si="7"/>
        <v>0.542239162</v>
      </c>
      <c r="AO9" s="52">
        <f t="shared" si="8"/>
        <v>0.8133587429</v>
      </c>
      <c r="AP9" s="51">
        <f>SUM(AP3:AP8)</f>
        <v>1303.489768</v>
      </c>
      <c r="AQ9" s="51">
        <f>AP9/AA9</f>
        <v>7.162031693</v>
      </c>
      <c r="AR9" s="47">
        <f t="shared" si="10"/>
        <v>154.3956044</v>
      </c>
    </row>
    <row r="10" ht="15.75" customHeight="1">
      <c r="A10" s="21"/>
      <c r="B10" s="38">
        <v>5.0</v>
      </c>
      <c r="C10" s="38" t="s">
        <v>34</v>
      </c>
      <c r="D10" s="39">
        <v>40.0</v>
      </c>
      <c r="E10" s="40">
        <f>IFERROR(__xludf.DUMMYFUNCTION("COUNT(IMPORTRANGE(""https://docs.google.com/spreadsheets/d/1u99JxAoytGQQ8GcjxXl38CGdyEWy5uIbuJJHnsotyvk/edit"",""1!d2:d41""))"),40.0)</f>
        <v>40</v>
      </c>
      <c r="F10" s="45">
        <f>IFERROR(__xludf.DUMMYFUNCTION("SUM(IMPORTRANGE(""https://docs.google.com/spreadsheets/d/1u99JxAoytGQQ8GcjxXl38CGdyEWy5uIbuJJHnsotyvk/edit"",""1!Q2:Q41""))"),8007.324000000002)</f>
        <v>8007.324</v>
      </c>
      <c r="G10" s="40">
        <f>IFERROR(__xludf.DUMMYFUNCTION("IMPORTRANGE(""https://docs.google.com/spreadsheets/d/1u99JxAoytGQQ8GcjxXl38CGdyEWy5uIbuJJHnsotyvk/edit"",""1!e48"")"),2819.0)</f>
        <v>2819</v>
      </c>
      <c r="H10" s="40">
        <f>IFERROR(__xludf.DUMMYFUNCTION("IMPORTRANGE(""https://docs.google.com/spreadsheets/d/1u99JxAoytGQQ8GcjxXl38CGdyEWy5uIbuJJHnsotyvk/edit"",""1!e49"")"),0.0)</f>
        <v>0</v>
      </c>
      <c r="I10" s="40">
        <f t="shared" si="15"/>
        <v>2819</v>
      </c>
      <c r="J10" s="40">
        <f>IFERROR(__xludf.DUMMYFUNCTION("IMPORTRANGE(""https://docs.google.com/spreadsheets/d/1u99JxAoytGQQ8GcjxXl38CGdyEWy5uIbuJJHnsotyvk/edit"",""1!e52"")"),3504.0)</f>
        <v>3504</v>
      </c>
      <c r="K10" s="40">
        <f>IFERROR(__xludf.DUMMYFUNCTION("IMPORTRANGE(""https://docs.google.com/spreadsheets/d/1u99JxAoytGQQ8GcjxXl38CGdyEWy5uIbuJJHnsotyvk/edit"",""1!e53"")"),0.0)</f>
        <v>0</v>
      </c>
      <c r="L10" s="40">
        <f t="shared" si="16"/>
        <v>3504</v>
      </c>
      <c r="M10" s="40">
        <f t="shared" si="17"/>
        <v>6323</v>
      </c>
      <c r="N10" s="41">
        <f t="shared" si="18"/>
        <v>200.1831</v>
      </c>
      <c r="O10" s="38">
        <v>9354.0</v>
      </c>
      <c r="P10" s="42">
        <f t="shared" si="19"/>
        <v>0.6759675005</v>
      </c>
      <c r="Q10" s="43">
        <v>1.5</v>
      </c>
      <c r="R10" s="42">
        <f t="shared" si="20"/>
        <v>0.5264347157</v>
      </c>
      <c r="S10" s="44">
        <f t="shared" si="21"/>
        <v>0.7896520735</v>
      </c>
      <c r="T10" s="43">
        <f>F10/30.713</f>
        <v>260.7144857</v>
      </c>
      <c r="U10" s="43">
        <f t="shared" si="22"/>
        <v>6.517862143</v>
      </c>
      <c r="V10" s="40">
        <f t="shared" si="23"/>
        <v>158.075</v>
      </c>
      <c r="X10" s="53" t="s">
        <v>35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6"/>
    </row>
    <row r="11" ht="15.75" customHeight="1">
      <c r="A11" s="21"/>
      <c r="B11" s="38">
        <v>6.0</v>
      </c>
      <c r="C11" s="38" t="s">
        <v>23</v>
      </c>
      <c r="D11" s="39">
        <v>35.0</v>
      </c>
      <c r="E11" s="40">
        <f>IFERROR(__xludf.DUMMYFUNCTION("COUNT(IMPORTRANGE(""https://docs.google.com/spreadsheets/d/1uVc-vnTn57HE53lwrUYNZP4sGKTXisrqOoZ-6EyvLzY/edit"",""1!d2:d36""))"),34.0)</f>
        <v>34</v>
      </c>
      <c r="F11" s="45">
        <f>IFERROR(__xludf.DUMMYFUNCTION("SUM(IMPORTRANGE(""https://docs.google.com/spreadsheets/d/1uVc-vnTn57HE53lwrUYNZP4sGKTXisrqOoZ-6EyvLzY/edit"",""1!Q2:Q36""))"),6680.519999999995)</f>
        <v>6680.52</v>
      </c>
      <c r="G11" s="40">
        <f>IFERROR(__xludf.DUMMYFUNCTION("IMPORTRANGE(""https://docs.google.com/spreadsheets/d/1uVc-vnTn57HE53lwrUYNZP4sGKTXisrqOoZ-6EyvLzY/edit"",""1!e43"")"),1627.0)</f>
        <v>1627</v>
      </c>
      <c r="H11" s="40">
        <f>IFERROR(__xludf.DUMMYFUNCTION("IMPORTRANGE(""https://docs.google.com/spreadsheets/d/1uVc-vnTn57HE53lwrUYNZP4sGKTXisrqOoZ-6EyvLzY/edit"",""1!e44"")"),0.0)</f>
        <v>0</v>
      </c>
      <c r="I11" s="40">
        <f t="shared" si="15"/>
        <v>1627</v>
      </c>
      <c r="J11" s="40">
        <f>IFERROR(__xludf.DUMMYFUNCTION("IMPORTRANGE(""https://docs.google.com/spreadsheets/d/1uVc-vnTn57HE53lwrUYNZP4sGKTXisrqOoZ-6EyvLzY/edit"",""1!e47"")"),3262.0)</f>
        <v>3262</v>
      </c>
      <c r="K11" s="40">
        <f>IFERROR(__xludf.DUMMYFUNCTION("IMPORTRANGE(""https://docs.google.com/spreadsheets/d/1uVc-vnTn57HE53lwrUYNZP4sGKTXisrqOoZ-6EyvLzY/edit"",""1!e48"")"),0.0)</f>
        <v>0</v>
      </c>
      <c r="L11" s="40">
        <f t="shared" si="16"/>
        <v>3262</v>
      </c>
      <c r="M11" s="40">
        <f t="shared" si="17"/>
        <v>4889</v>
      </c>
      <c r="N11" s="41">
        <f t="shared" si="18"/>
        <v>196.4858824</v>
      </c>
      <c r="O11" s="38">
        <v>6853.0</v>
      </c>
      <c r="P11" s="42">
        <f t="shared" si="19"/>
        <v>0.7134101853</v>
      </c>
      <c r="Q11" s="43">
        <v>1.5</v>
      </c>
      <c r="R11" s="42">
        <f t="shared" si="20"/>
        <v>0.4878861725</v>
      </c>
      <c r="S11" s="44">
        <f t="shared" si="21"/>
        <v>0.7318292588</v>
      </c>
      <c r="T11" s="43">
        <f>F11/33.74</f>
        <v>198</v>
      </c>
      <c r="U11" s="43">
        <f t="shared" si="22"/>
        <v>5.823529412</v>
      </c>
      <c r="V11" s="40">
        <f t="shared" si="23"/>
        <v>143.7941176</v>
      </c>
      <c r="X11" s="14" t="s">
        <v>2</v>
      </c>
      <c r="Y11" s="14" t="s">
        <v>3</v>
      </c>
      <c r="Z11" s="14" t="s">
        <v>4</v>
      </c>
      <c r="AA11" s="14" t="s">
        <v>5</v>
      </c>
      <c r="AB11" s="15" t="s">
        <v>6</v>
      </c>
      <c r="AC11" s="14" t="s">
        <v>7</v>
      </c>
      <c r="AD11" s="14" t="s">
        <v>8</v>
      </c>
      <c r="AE11" s="14" t="s">
        <v>9</v>
      </c>
      <c r="AF11" s="14" t="s">
        <v>10</v>
      </c>
      <c r="AG11" s="14" t="s">
        <v>11</v>
      </c>
      <c r="AH11" s="14" t="s">
        <v>12</v>
      </c>
      <c r="AI11" s="14" t="s">
        <v>13</v>
      </c>
      <c r="AJ11" s="15" t="s">
        <v>14</v>
      </c>
      <c r="AK11" s="14" t="s">
        <v>15</v>
      </c>
      <c r="AL11" s="14" t="s">
        <v>16</v>
      </c>
      <c r="AM11" s="16" t="s">
        <v>17</v>
      </c>
      <c r="AN11" s="17" t="s">
        <v>18</v>
      </c>
      <c r="AO11" s="18" t="s">
        <v>19</v>
      </c>
      <c r="AP11" s="19" t="s">
        <v>20</v>
      </c>
      <c r="AQ11" s="19" t="s">
        <v>21</v>
      </c>
      <c r="AR11" s="20" t="s">
        <v>22</v>
      </c>
    </row>
    <row r="12" ht="15.75" customHeight="1">
      <c r="A12" s="21"/>
      <c r="B12" s="38">
        <v>7.0</v>
      </c>
      <c r="C12" s="38" t="s">
        <v>24</v>
      </c>
      <c r="D12" s="39">
        <v>44.0</v>
      </c>
      <c r="E12" s="54">
        <f>IFERROR(__xludf.DUMMYFUNCTION("COUNT(IMPORTRANGE(""https://docs.google.com/spreadsheets/d/1iuPvivSypupo44l6GtmR-2qZ3za7cTk7KzsOVp_kv2c/edit"",""1!d2:d45""))"),44.0)</f>
        <v>44</v>
      </c>
      <c r="F12" s="55">
        <f>IFERROR(__xludf.DUMMYFUNCTION("SUM(IMPORTRANGE(""https://docs.google.com/spreadsheets/d/1iuPvivSypupo44l6GtmR-2qZ3za7cTk7KzsOVp_kv2c/edit"",""1!Q2:Q45""))"),8029.355999999994)</f>
        <v>8029.356</v>
      </c>
      <c r="G12" s="54">
        <f>IFERROR(__xludf.DUMMYFUNCTION("IMPORTRANGE(""https://docs.google.com/spreadsheets/d/1iuPvivSypupo44l6GtmR-2qZ3za7cTk7KzsOVp_kv2c/edit"",""1!e53"")"),1194.0)</f>
        <v>1194</v>
      </c>
      <c r="H12" s="54">
        <f>IFERROR(__xludf.DUMMYFUNCTION("IMPORTRANGE(""https://docs.google.com/spreadsheets/d/1iuPvivSypupo44l6GtmR-2qZ3za7cTk7KzsOVp_kv2c/edit"",""1!e54"")"),0.0)</f>
        <v>0</v>
      </c>
      <c r="I12" s="54">
        <f t="shared" si="15"/>
        <v>1194</v>
      </c>
      <c r="J12" s="54">
        <f>IFERROR(__xludf.DUMMYFUNCTION("IMPORTRANGE(""https://docs.google.com/spreadsheets/d/1iuPvivSypupo44l6GtmR-2qZ3za7cTk7KzsOVp_kv2c/edit"",""1!e57"")"),1455.0)</f>
        <v>1455</v>
      </c>
      <c r="K12" s="54">
        <f>IFERROR(__xludf.DUMMYFUNCTION("IMPORTRANGE(""https://docs.google.com/spreadsheets/d/1iuPvivSypupo44l6GtmR-2qZ3za7cTk7KzsOVp_kv2c/edit"",""1!e58"")"),0.0)</f>
        <v>0</v>
      </c>
      <c r="L12" s="40">
        <f t="shared" si="16"/>
        <v>1455</v>
      </c>
      <c r="M12" s="40">
        <f t="shared" si="17"/>
        <v>2649</v>
      </c>
      <c r="N12" s="41">
        <f t="shared" si="18"/>
        <v>182.4853636</v>
      </c>
      <c r="O12" s="38">
        <v>1580.0</v>
      </c>
      <c r="P12" s="56">
        <f t="shared" si="19"/>
        <v>1.676582278</v>
      </c>
      <c r="Q12" s="43">
        <v>1.5</v>
      </c>
      <c r="R12" s="42">
        <f t="shared" si="20"/>
        <v>0.2199429195</v>
      </c>
      <c r="S12" s="44">
        <f t="shared" si="21"/>
        <v>0.3299143792</v>
      </c>
      <c r="T12" s="43">
        <f>F12/26.805</f>
        <v>299.5469502</v>
      </c>
      <c r="U12" s="43">
        <f t="shared" si="22"/>
        <v>6.807885232</v>
      </c>
      <c r="V12" s="40">
        <f t="shared" si="23"/>
        <v>60.20454545</v>
      </c>
      <c r="X12" s="22">
        <v>1.0</v>
      </c>
      <c r="Y12" s="22" t="s">
        <v>28</v>
      </c>
      <c r="Z12" s="22">
        <f t="shared" ref="Z12:AI12" si="32">SUM(D7)</f>
        <v>33</v>
      </c>
      <c r="AA12" s="23">
        <f t="shared" si="32"/>
        <v>32</v>
      </c>
      <c r="AB12" s="25">
        <f t="shared" si="32"/>
        <v>6234.135</v>
      </c>
      <c r="AC12" s="23">
        <f t="shared" si="32"/>
        <v>2719</v>
      </c>
      <c r="AD12" s="23">
        <f t="shared" si="32"/>
        <v>208</v>
      </c>
      <c r="AE12" s="23">
        <f t="shared" si="32"/>
        <v>2927</v>
      </c>
      <c r="AF12" s="23">
        <f t="shared" si="32"/>
        <v>3192</v>
      </c>
      <c r="AG12" s="23">
        <f t="shared" si="32"/>
        <v>138</v>
      </c>
      <c r="AH12" s="23">
        <f t="shared" si="32"/>
        <v>3330</v>
      </c>
      <c r="AI12" s="23">
        <f t="shared" si="32"/>
        <v>6257</v>
      </c>
      <c r="AJ12" s="25">
        <f t="shared" ref="AJ12:AJ18" si="35">AB12/AA12</f>
        <v>194.8167188</v>
      </c>
      <c r="AK12" s="22">
        <f t="shared" ref="AK12:AK13" si="36">SUM(O7)</f>
        <v>7315</v>
      </c>
      <c r="AL12" s="26">
        <f t="shared" ref="AL12:AL18" si="37">AI12/AK12</f>
        <v>0.8553656869</v>
      </c>
      <c r="AM12" s="27">
        <f t="shared" ref="AM12:AM13" si="38">SUM(Q7)</f>
        <v>1.5</v>
      </c>
      <c r="AN12" s="26">
        <f t="shared" ref="AN12:AN18" si="39">AO12/AM12</f>
        <v>0.6691118067</v>
      </c>
      <c r="AO12" s="28">
        <f t="shared" ref="AO12:AO18" si="40">AI12/AB12</f>
        <v>1.00366771</v>
      </c>
      <c r="AP12" s="27">
        <f t="shared" ref="AP12:AQ12" si="33">SUM(T7)</f>
        <v>201.7715312</v>
      </c>
      <c r="AQ12" s="27">
        <f t="shared" si="33"/>
        <v>6.305360351</v>
      </c>
      <c r="AR12" s="23">
        <f t="shared" ref="AR12:AR18" si="42">AI12/AA12</f>
        <v>195.53125</v>
      </c>
    </row>
    <row r="13" ht="15.75" customHeight="1">
      <c r="A13" s="21"/>
      <c r="B13" s="38">
        <v>8.0</v>
      </c>
      <c r="C13" s="38" t="s">
        <v>25</v>
      </c>
      <c r="D13" s="57">
        <v>32.0</v>
      </c>
      <c r="E13" s="40">
        <f>IFERROR(__xludf.DUMMYFUNCTION("COUNT(IMPORTRANGE(""https://docs.google.com/spreadsheets/d/1sqWX7UerdR9KR_duBzDNfjwbPG-3hLgV1LiN2ZVZ6Js/edit"",""1!d2:D33""))"),32.0)</f>
        <v>32</v>
      </c>
      <c r="F13" s="45">
        <f>IFERROR(__xludf.DUMMYFUNCTION("SUM(IMPORTRANGE(""https://docs.google.com/spreadsheets/d/1sqWX7UerdR9KR_duBzDNfjwbPG-3hLgV1LiN2ZVZ6Js/edit"",""1!Q2:Q33""))"),5963.536000000002)</f>
        <v>5963.536</v>
      </c>
      <c r="G13" s="40">
        <f>IFERROR(__xludf.DUMMYFUNCTION("IMPORTRANGE(""https://docs.google.com/spreadsheets/d/1sqWX7UerdR9KR_duBzDNfjwbPG-3hLgV1LiN2ZVZ6Js/edit"",""1!e40"")"),2444.0)</f>
        <v>2444</v>
      </c>
      <c r="H13" s="40">
        <f>IFERROR(__xludf.DUMMYFUNCTION("IMPORTRANGE(""https://docs.google.com/spreadsheets/d/1sqWX7UerdR9KR_duBzDNfjwbPG-3hLgV1LiN2ZVZ6Js/edit"",""1!e41"")"),331.0)</f>
        <v>331</v>
      </c>
      <c r="I13" s="40">
        <f t="shared" si="15"/>
        <v>2775</v>
      </c>
      <c r="J13" s="40">
        <f>IFERROR(__xludf.DUMMYFUNCTION("IMPORTRANGE(""https://docs.google.com/spreadsheets/d/1sqWX7UerdR9KR_duBzDNfjwbPG-3hLgV1LiN2ZVZ6Js/edit"",""1!e44"")"),3085.0)</f>
        <v>3085</v>
      </c>
      <c r="K13" s="40">
        <f>IFERROR(__xludf.DUMMYFUNCTION("IMPORTRANGE(""https://docs.google.com/spreadsheets/d/1sqWX7UerdR9KR_duBzDNfjwbPG-3hLgV1LiN2ZVZ6Js/edit"",""1!e45"")"),319.0)</f>
        <v>319</v>
      </c>
      <c r="L13" s="40">
        <f>J13+K13</f>
        <v>3404</v>
      </c>
      <c r="M13" s="40">
        <f t="shared" si="17"/>
        <v>6179</v>
      </c>
      <c r="N13" s="41">
        <f t="shared" si="18"/>
        <v>186.3605</v>
      </c>
      <c r="O13" s="38">
        <v>6622.0</v>
      </c>
      <c r="P13" s="42">
        <f t="shared" si="19"/>
        <v>0.9331017819</v>
      </c>
      <c r="Q13" s="43">
        <v>1.5</v>
      </c>
      <c r="R13" s="42">
        <f t="shared" si="20"/>
        <v>0.6907534948</v>
      </c>
      <c r="S13" s="44">
        <f t="shared" si="21"/>
        <v>1.036130242</v>
      </c>
      <c r="T13" s="43">
        <f>F13/23.84</f>
        <v>250.1483221</v>
      </c>
      <c r="U13" s="43">
        <f t="shared" si="22"/>
        <v>7.817135067</v>
      </c>
      <c r="V13" s="40">
        <f t="shared" si="23"/>
        <v>193.09375</v>
      </c>
      <c r="X13" s="31">
        <v>2.0</v>
      </c>
      <c r="Y13" s="31" t="s">
        <v>30</v>
      </c>
      <c r="Z13" s="31">
        <f t="shared" ref="Z13:AI13" si="34">SUM(D8)</f>
        <v>60</v>
      </c>
      <c r="AA13" s="32">
        <f t="shared" si="34"/>
        <v>59</v>
      </c>
      <c r="AB13" s="33">
        <f t="shared" si="34"/>
        <v>11739.692</v>
      </c>
      <c r="AC13" s="32">
        <f t="shared" si="34"/>
        <v>3754</v>
      </c>
      <c r="AD13" s="32">
        <f t="shared" si="34"/>
        <v>14</v>
      </c>
      <c r="AE13" s="32">
        <f t="shared" si="34"/>
        <v>3768</v>
      </c>
      <c r="AF13" s="32">
        <f t="shared" si="34"/>
        <v>5982</v>
      </c>
      <c r="AG13" s="32">
        <f t="shared" si="34"/>
        <v>0</v>
      </c>
      <c r="AH13" s="32">
        <f t="shared" si="34"/>
        <v>5982</v>
      </c>
      <c r="AI13" s="32">
        <f t="shared" si="34"/>
        <v>9750</v>
      </c>
      <c r="AJ13" s="34">
        <f t="shared" si="35"/>
        <v>198.9778305</v>
      </c>
      <c r="AK13" s="31">
        <f t="shared" si="36"/>
        <v>11164</v>
      </c>
      <c r="AL13" s="35">
        <f t="shared" si="37"/>
        <v>0.8733428879</v>
      </c>
      <c r="AM13" s="36">
        <f t="shared" si="38"/>
        <v>1.5</v>
      </c>
      <c r="AN13" s="35">
        <f t="shared" si="39"/>
        <v>0.5536772174</v>
      </c>
      <c r="AO13" s="37">
        <f t="shared" si="40"/>
        <v>0.8305158261</v>
      </c>
      <c r="AP13" s="36">
        <f t="shared" ref="AP13:AQ13" si="41">SUM(T8)</f>
        <v>396.5710232</v>
      </c>
      <c r="AQ13" s="36">
        <f t="shared" si="41"/>
        <v>6.721542766</v>
      </c>
      <c r="AR13" s="32">
        <f t="shared" si="42"/>
        <v>165.2542373</v>
      </c>
    </row>
    <row r="14" ht="15.75" customHeight="1">
      <c r="A14" s="21"/>
      <c r="B14" s="38">
        <v>9.0</v>
      </c>
      <c r="C14" s="38" t="s">
        <v>36</v>
      </c>
      <c r="D14" s="58">
        <v>30.0</v>
      </c>
      <c r="E14" s="40">
        <f>IFERROR(__xludf.DUMMYFUNCTION("COUNT(IMPORTRANGE(""https://docs.google.com/spreadsheets/d/1YNna43iTSqnwwbMJgTIPHSJEoDO8RGPRFg5pJCoQR_Y/edit"",""1!d2:d31""))"),29.0)</f>
        <v>29</v>
      </c>
      <c r="F14" s="45">
        <f>IFERROR(__xludf.DUMMYFUNCTION("SUM(IMPORTRANGE(""https://docs.google.com/spreadsheets/d/1YNna43iTSqnwwbMJgTIPHSJEoDO8RGPRFg5pJCoQR_Y/edit"",""1!Q2:Q31""))"),4875.344999999998)</f>
        <v>4875.345</v>
      </c>
      <c r="G14" s="40">
        <f>IFERROR(__xludf.DUMMYFUNCTION("IMPORTRANGE(""https://docs.google.com/spreadsheets/d/1YNna43iTSqnwwbMJgTIPHSJEoDO8RGPRFg5pJCoQR_Y/edit"",""1!e38"")"),1728.0)</f>
        <v>1728</v>
      </c>
      <c r="H14" s="40">
        <f>IFERROR(__xludf.DUMMYFUNCTION("IMPORTRANGE(""https://docs.google.com/spreadsheets/d/1YNna43iTSqnwwbMJgTIPHSJEoDO8RGPRFg5pJCoQR_Y/edit"",""1!e39"")"),0.0)</f>
        <v>0</v>
      </c>
      <c r="I14" s="40">
        <f t="shared" si="15"/>
        <v>1728</v>
      </c>
      <c r="J14" s="40">
        <f>IFERROR(__xludf.DUMMYFUNCTION("IMPORTRANGE(""https://docs.google.com/spreadsheets/d/1YNna43iTSqnwwbMJgTIPHSJEoDO8RGPRFg5pJCoQR_Y/edit"",""1!e42"")"),2407.0)</f>
        <v>2407</v>
      </c>
      <c r="K14" s="40">
        <f>IFERROR(__xludf.DUMMYFUNCTION("IMPORTRANGE(""https://docs.google.com/spreadsheets/d/1YNna43iTSqnwwbMJgTIPHSJEoDO8RGPRFg5pJCoQR_Y/edit"",""1!e43"")"),20.0)</f>
        <v>20</v>
      </c>
      <c r="L14" s="40">
        <f t="shared" ref="L14:L23" si="45">SUM(J14:K14)</f>
        <v>2427</v>
      </c>
      <c r="M14" s="40">
        <f t="shared" si="17"/>
        <v>4155</v>
      </c>
      <c r="N14" s="41">
        <f t="shared" si="18"/>
        <v>168.1153448</v>
      </c>
      <c r="O14" s="38">
        <v>4796.0</v>
      </c>
      <c r="P14" s="42">
        <f t="shared" si="19"/>
        <v>0.8663469558</v>
      </c>
      <c r="Q14" s="43">
        <v>1.5</v>
      </c>
      <c r="R14" s="42">
        <f t="shared" si="20"/>
        <v>0.5681649196</v>
      </c>
      <c r="S14" s="44">
        <f t="shared" si="21"/>
        <v>0.8522473794</v>
      </c>
      <c r="T14" s="43">
        <f>F14/37.414</f>
        <v>130.3080398</v>
      </c>
      <c r="U14" s="43">
        <f t="shared" si="22"/>
        <v>4.493380682</v>
      </c>
      <c r="V14" s="40">
        <f t="shared" si="23"/>
        <v>143.2758621</v>
      </c>
      <c r="X14" s="22">
        <v>3.0</v>
      </c>
      <c r="Y14" s="22" t="s">
        <v>34</v>
      </c>
      <c r="Z14" s="22">
        <f t="shared" ref="Z14:AI14" si="43">SUM(D10)</f>
        <v>40</v>
      </c>
      <c r="AA14" s="23">
        <f t="shared" si="43"/>
        <v>40</v>
      </c>
      <c r="AB14" s="24">
        <f t="shared" si="43"/>
        <v>8007.324</v>
      </c>
      <c r="AC14" s="23">
        <f t="shared" si="43"/>
        <v>2819</v>
      </c>
      <c r="AD14" s="23">
        <f t="shared" si="43"/>
        <v>0</v>
      </c>
      <c r="AE14" s="23">
        <f t="shared" si="43"/>
        <v>2819</v>
      </c>
      <c r="AF14" s="23">
        <f t="shared" si="43"/>
        <v>3504</v>
      </c>
      <c r="AG14" s="23">
        <f t="shared" si="43"/>
        <v>0</v>
      </c>
      <c r="AH14" s="23">
        <f t="shared" si="43"/>
        <v>3504</v>
      </c>
      <c r="AI14" s="23">
        <f t="shared" si="43"/>
        <v>6323</v>
      </c>
      <c r="AJ14" s="25">
        <f t="shared" si="35"/>
        <v>200.1831</v>
      </c>
      <c r="AK14" s="22">
        <f>SUM(O10)</f>
        <v>9354</v>
      </c>
      <c r="AL14" s="26">
        <f t="shared" si="37"/>
        <v>0.6759675005</v>
      </c>
      <c r="AM14" s="27">
        <f>SUM(Q10)</f>
        <v>1.5</v>
      </c>
      <c r="AN14" s="26">
        <f t="shared" si="39"/>
        <v>0.5264347157</v>
      </c>
      <c r="AO14" s="28">
        <f t="shared" si="40"/>
        <v>0.7896520735</v>
      </c>
      <c r="AP14" s="27">
        <f t="shared" ref="AP14:AQ14" si="44">SUM(T10)</f>
        <v>260.7144857</v>
      </c>
      <c r="AQ14" s="27">
        <f t="shared" si="44"/>
        <v>6.517862143</v>
      </c>
      <c r="AR14" s="23">
        <f t="shared" si="42"/>
        <v>158.075</v>
      </c>
    </row>
    <row r="15" ht="15.75" customHeight="1">
      <c r="A15" s="21"/>
      <c r="B15" s="38">
        <v>10.0</v>
      </c>
      <c r="C15" s="38" t="s">
        <v>37</v>
      </c>
      <c r="D15" s="39">
        <v>30.0</v>
      </c>
      <c r="E15" s="40">
        <f>IFERROR(__xludf.DUMMYFUNCTION("COUNT(IMPORTRANGE(""https://docs.google.com/spreadsheets/d/1913Df5BsXS_b-nClL8LOK5w0engQYTl1mPOiyngRtO0/edit"",""1!d2:d31""))"),28.0)</f>
        <v>28</v>
      </c>
      <c r="F15" s="45">
        <f>IFERROR(__xludf.DUMMYFUNCTION("SUM(IMPORTRANGE(""https://docs.google.com/spreadsheets/d/1913Df5BsXS_b-nClL8LOK5w0engQYTl1mPOiyngRtO0/edit"",""1!Q2:Q31""))"),5465.100000000002)</f>
        <v>5465.1</v>
      </c>
      <c r="G15" s="40">
        <f>IFERROR(__xludf.DUMMYFUNCTION("(IMPORTRANGE(""https://docs.google.com/spreadsheets/d/1913Df5BsXS_b-nClL8LOK5w0engQYTl1mPOiyngRtO0/edit"",""1!e38""))"),2135.0)</f>
        <v>2135</v>
      </c>
      <c r="H15" s="40">
        <f>IFERROR(__xludf.DUMMYFUNCTION("(IMPORTRANGE(""https://docs.google.com/spreadsheets/d/1913Df5BsXS_b-nClL8LOK5w0engQYTl1mPOiyngRtO0/edit"",""1!e39""))"),0.0)</f>
        <v>0</v>
      </c>
      <c r="I15" s="40">
        <f t="shared" si="15"/>
        <v>2135</v>
      </c>
      <c r="J15" s="40">
        <f>IFERROR(__xludf.DUMMYFUNCTION("(IMPORTRANGE(""https://docs.google.com/spreadsheets/d/1913Df5BsXS_b-nClL8LOK5w0engQYTl1mPOiyngRtO0/edit"",""1!e42""))"),3182.0)</f>
        <v>3182</v>
      </c>
      <c r="K15" s="40">
        <f>IFERROR(__xludf.DUMMYFUNCTION("(IMPORTRANGE(""https://docs.google.com/spreadsheets/d/1913Df5BsXS_b-nClL8LOK5w0engQYTl1mPOiyngRtO0/edit"",""1!e43""))"),0.0)</f>
        <v>0</v>
      </c>
      <c r="L15" s="40">
        <f t="shared" si="45"/>
        <v>3182</v>
      </c>
      <c r="M15" s="40">
        <f t="shared" si="17"/>
        <v>5317</v>
      </c>
      <c r="N15" s="41">
        <f t="shared" si="18"/>
        <v>195.1821429</v>
      </c>
      <c r="O15" s="38">
        <v>5887.0</v>
      </c>
      <c r="P15" s="42">
        <f t="shared" si="19"/>
        <v>0.9031764906</v>
      </c>
      <c r="Q15" s="43">
        <v>1.5</v>
      </c>
      <c r="R15" s="42">
        <f t="shared" si="20"/>
        <v>0.6486005136</v>
      </c>
      <c r="S15" s="44">
        <f t="shared" si="21"/>
        <v>0.9729007703</v>
      </c>
      <c r="T15" s="43">
        <f>F15/24.792</f>
        <v>220.4380445</v>
      </c>
      <c r="U15" s="43">
        <f t="shared" si="22"/>
        <v>7.872787305</v>
      </c>
      <c r="V15" s="40">
        <f t="shared" si="23"/>
        <v>189.8928571</v>
      </c>
      <c r="X15" s="31">
        <v>4.0</v>
      </c>
      <c r="Y15" s="31" t="s">
        <v>38</v>
      </c>
      <c r="Z15" s="31">
        <f t="shared" ref="Z15:AI15" si="46">SUM(D18)</f>
        <v>30</v>
      </c>
      <c r="AA15" s="32">
        <f t="shared" si="46"/>
        <v>30</v>
      </c>
      <c r="AB15" s="33">
        <f t="shared" si="46"/>
        <v>6034.986</v>
      </c>
      <c r="AC15" s="32">
        <f t="shared" si="46"/>
        <v>1876</v>
      </c>
      <c r="AD15" s="32">
        <f t="shared" si="46"/>
        <v>79</v>
      </c>
      <c r="AE15" s="32">
        <f t="shared" si="46"/>
        <v>1955</v>
      </c>
      <c r="AF15" s="32">
        <f t="shared" si="46"/>
        <v>2967</v>
      </c>
      <c r="AG15" s="32">
        <f t="shared" si="46"/>
        <v>140</v>
      </c>
      <c r="AH15" s="32">
        <f t="shared" si="46"/>
        <v>3107</v>
      </c>
      <c r="AI15" s="32">
        <f t="shared" si="46"/>
        <v>5062</v>
      </c>
      <c r="AJ15" s="34">
        <f t="shared" si="35"/>
        <v>201.1662</v>
      </c>
      <c r="AK15" s="31">
        <v>7324.0</v>
      </c>
      <c r="AL15" s="35">
        <f t="shared" si="37"/>
        <v>0.6911523758</v>
      </c>
      <c r="AM15" s="36">
        <f>SUM(Q18)</f>
        <v>1.5</v>
      </c>
      <c r="AN15" s="35">
        <f t="shared" si="39"/>
        <v>0.5591838435</v>
      </c>
      <c r="AO15" s="37">
        <f t="shared" si="40"/>
        <v>0.8387757652</v>
      </c>
      <c r="AP15" s="36">
        <f t="shared" ref="AP15:AQ15" si="47">SUM(T18)</f>
        <v>146.4624681</v>
      </c>
      <c r="AQ15" s="36">
        <f t="shared" si="47"/>
        <v>4.882082272</v>
      </c>
      <c r="AR15" s="32">
        <f t="shared" si="42"/>
        <v>168.7333333</v>
      </c>
    </row>
    <row r="16" ht="15.75" customHeight="1">
      <c r="A16" s="21"/>
      <c r="B16" s="38">
        <v>12.0</v>
      </c>
      <c r="C16" s="38" t="s">
        <v>39</v>
      </c>
      <c r="D16" s="39">
        <v>28.0</v>
      </c>
      <c r="E16" s="40">
        <f>IFERROR(__xludf.DUMMYFUNCTION("COUNT(IMPORTRANGE(""https://docs.google.com/spreadsheets/d/1wMeol_MpSIcocGxt3WZGl46mJ2tc80mANPvP_YzaP18/edit"",""1!d2:d29""))"),27.0)</f>
        <v>27</v>
      </c>
      <c r="F16" s="45">
        <f>IFERROR(__xludf.DUMMYFUNCTION("SUM(IMPORTRANGE(""https://docs.google.com/spreadsheets/d/1wMeol_MpSIcocGxt3WZGl46mJ2tc80mANPvP_YzaP18/edit"",""1!Q2:Q29""))"),5318.459)</f>
        <v>5318.459</v>
      </c>
      <c r="G16" s="40">
        <f>IFERROR(__xludf.DUMMYFUNCTION("IMPORTRANGE(""https://docs.google.com/spreadsheets/d/1wMeol_MpSIcocGxt3WZGl46mJ2tc80mANPvP_YzaP18/edit"",""1!e36"")"),1229.0)</f>
        <v>1229</v>
      </c>
      <c r="H16" s="40">
        <f>IFERROR(__xludf.DUMMYFUNCTION("(IMPORTRANGE(""https://docs.google.com/spreadsheets/d/1wMeol_MpSIcocGxt3WZGl46mJ2tc80mANPvP_YzaP18/edit"",""1!e37""))"),0.0)</f>
        <v>0</v>
      </c>
      <c r="I16" s="40">
        <f t="shared" si="15"/>
        <v>1229</v>
      </c>
      <c r="J16" s="40">
        <f>IFERROR(__xludf.DUMMYFUNCTION("IMPORTRANGE(""https://docs.google.com/spreadsheets/d/1wMeol_MpSIcocGxt3WZGl46mJ2tc80mANPvP_YzaP18/edit"",""1!e40"")"),1740.0)</f>
        <v>1740</v>
      </c>
      <c r="K16" s="40">
        <f>IFERROR(__xludf.DUMMYFUNCTION("IMPORTRANGE(""https://docs.google.com/spreadsheets/d/1wMeol_MpSIcocGxt3WZGl46mJ2tc80mANPvP_YzaP18/edit"",""1!e41"")"),0.0)</f>
        <v>0</v>
      </c>
      <c r="L16" s="40">
        <f t="shared" si="45"/>
        <v>1740</v>
      </c>
      <c r="M16" s="40">
        <f t="shared" si="17"/>
        <v>2969</v>
      </c>
      <c r="N16" s="41">
        <f t="shared" si="18"/>
        <v>196.979963</v>
      </c>
      <c r="O16" s="38">
        <v>3569.0</v>
      </c>
      <c r="P16" s="42">
        <f t="shared" si="19"/>
        <v>0.8318856823</v>
      </c>
      <c r="Q16" s="43">
        <v>1.5</v>
      </c>
      <c r="R16" s="42">
        <f t="shared" si="20"/>
        <v>0.3721629392</v>
      </c>
      <c r="S16" s="44">
        <f t="shared" si="21"/>
        <v>0.5582444088</v>
      </c>
      <c r="T16" s="43">
        <f>F16/21.463</f>
        <v>247.7966268</v>
      </c>
      <c r="U16" s="43">
        <f t="shared" si="22"/>
        <v>9.177652843</v>
      </c>
      <c r="V16" s="40">
        <f t="shared" si="23"/>
        <v>109.962963</v>
      </c>
      <c r="X16" s="31">
        <v>5.0</v>
      </c>
      <c r="Y16" s="31" t="s">
        <v>40</v>
      </c>
      <c r="Z16" s="31">
        <f t="shared" ref="Z16:AI16" si="48">SUM(D20)</f>
        <v>30</v>
      </c>
      <c r="AA16" s="32">
        <f t="shared" si="48"/>
        <v>30</v>
      </c>
      <c r="AB16" s="33">
        <f t="shared" si="48"/>
        <v>5660.157</v>
      </c>
      <c r="AC16" s="32">
        <f t="shared" si="48"/>
        <v>3382</v>
      </c>
      <c r="AD16" s="32">
        <f t="shared" si="48"/>
        <v>0</v>
      </c>
      <c r="AE16" s="32">
        <f t="shared" si="48"/>
        <v>3382</v>
      </c>
      <c r="AF16" s="32">
        <f t="shared" si="48"/>
        <v>3798</v>
      </c>
      <c r="AG16" s="32">
        <f t="shared" si="48"/>
        <v>0</v>
      </c>
      <c r="AH16" s="32">
        <f t="shared" si="48"/>
        <v>3798</v>
      </c>
      <c r="AI16" s="32">
        <f t="shared" si="48"/>
        <v>7180</v>
      </c>
      <c r="AJ16" s="34">
        <f t="shared" si="35"/>
        <v>188.6719</v>
      </c>
      <c r="AK16" s="31">
        <f t="shared" ref="AK16:AK17" si="51">SUM(O20)</f>
        <v>8239</v>
      </c>
      <c r="AL16" s="35">
        <f t="shared" si="37"/>
        <v>0.8714649836</v>
      </c>
      <c r="AM16" s="36">
        <f t="shared" ref="AM16:AM17" si="52">SUM(Q20)</f>
        <v>1.5</v>
      </c>
      <c r="AN16" s="35">
        <f t="shared" si="39"/>
        <v>0.8456773667</v>
      </c>
      <c r="AO16" s="37">
        <f t="shared" si="40"/>
        <v>1.26851605</v>
      </c>
      <c r="AP16" s="36">
        <f t="shared" ref="AP16:AQ16" si="49">SUM(T20)</f>
        <v>199</v>
      </c>
      <c r="AQ16" s="36">
        <f t="shared" si="49"/>
        <v>6.633333333</v>
      </c>
      <c r="AR16" s="32">
        <f t="shared" si="42"/>
        <v>239.3333333</v>
      </c>
    </row>
    <row r="17" ht="15.75" customHeight="1">
      <c r="A17" s="21"/>
      <c r="B17" s="38">
        <v>12.0</v>
      </c>
      <c r="C17" s="38" t="s">
        <v>41</v>
      </c>
      <c r="D17" s="39">
        <v>24.0</v>
      </c>
      <c r="E17" s="40">
        <f>IFERROR(__xludf.DUMMYFUNCTION("COUNT(IMPORTRANGE(""https://docs.google.com/spreadsheets/d/1sHk6_yuc4kORC_xnhEeazoemV_hVUQVqRpfoNae-PLk/edit"",""1!d2:d25""))"),24.0)</f>
        <v>24</v>
      </c>
      <c r="F17" s="45">
        <f>IFERROR(__xludf.DUMMYFUNCTION("SUM(IMPORTRANGE(""https://docs.google.com/spreadsheets/d/1sHk6_yuc4kORC_xnhEeazoemV_hVUQVqRpfoNae-PLk/edit"",""1!Q2:Q25""))"),4793.152000000001)</f>
        <v>4793.152</v>
      </c>
      <c r="G17" s="40">
        <f>IFERROR(__xludf.DUMMYFUNCTION("IMPORTRANGE(""https://docs.google.com/spreadsheets/d/1sHk6_yuc4kORC_xnhEeazoemV_hVUQVqRpfoNae-PLk/edit"",""1!e32"")"),1363.0)</f>
        <v>1363</v>
      </c>
      <c r="H17" s="40">
        <f>IFERROR(__xludf.DUMMYFUNCTION("IMPORTRANGE(""https://docs.google.com/spreadsheets/d/1sHk6_yuc4kORC_xnhEeazoemV_hVUQVqRpfoNae-PLk/edit"",""1!e33"")"),0.0)</f>
        <v>0</v>
      </c>
      <c r="I17" s="40">
        <f t="shared" si="15"/>
        <v>1363</v>
      </c>
      <c r="J17" s="40">
        <f>IFERROR(__xludf.DUMMYFUNCTION("IMPORTRANGE(""https://docs.google.com/spreadsheets/d/1sHk6_yuc4kORC_xnhEeazoemV_hVUQVqRpfoNae-PLk/edit"",""1!e36"")"),1818.0)</f>
        <v>1818</v>
      </c>
      <c r="K17" s="40">
        <f>IFERROR(__xludf.DUMMYFUNCTION("IMPORTRANGE(""https://docs.google.com/spreadsheets/d/1sHk6_yuc4kORC_xnhEeazoemV_hVUQVqRpfoNae-PLk/edit"",""1!e37"")"),0.0)</f>
        <v>0</v>
      </c>
      <c r="L17" s="40">
        <f t="shared" si="45"/>
        <v>1818</v>
      </c>
      <c r="M17" s="40">
        <f t="shared" si="17"/>
        <v>3181</v>
      </c>
      <c r="N17" s="41">
        <f t="shared" si="18"/>
        <v>199.7146667</v>
      </c>
      <c r="O17" s="38">
        <v>3801.0</v>
      </c>
      <c r="P17" s="42">
        <f t="shared" si="19"/>
        <v>0.8368850303</v>
      </c>
      <c r="Q17" s="43">
        <v>1.5</v>
      </c>
      <c r="R17" s="42">
        <f t="shared" si="20"/>
        <v>0.4424367653</v>
      </c>
      <c r="S17" s="44">
        <f t="shared" si="21"/>
        <v>0.663655148</v>
      </c>
      <c r="T17" s="43">
        <f>F17/29.628</f>
        <v>161.7777778</v>
      </c>
      <c r="U17" s="43">
        <f t="shared" si="22"/>
        <v>6.740740741</v>
      </c>
      <c r="V17" s="40">
        <f t="shared" si="23"/>
        <v>132.5416667</v>
      </c>
      <c r="X17" s="22">
        <v>6.0</v>
      </c>
      <c r="Y17" s="22" t="s">
        <v>42</v>
      </c>
      <c r="Z17" s="22">
        <f t="shared" ref="Z17:AI17" si="50">SUM(D21)</f>
        <v>33</v>
      </c>
      <c r="AA17" s="23">
        <f t="shared" si="50"/>
        <v>33</v>
      </c>
      <c r="AB17" s="24">
        <f t="shared" si="50"/>
        <v>6597.215</v>
      </c>
      <c r="AC17" s="23">
        <f t="shared" si="50"/>
        <v>3014</v>
      </c>
      <c r="AD17" s="23">
        <f t="shared" si="50"/>
        <v>234</v>
      </c>
      <c r="AE17" s="23">
        <f t="shared" si="50"/>
        <v>3248</v>
      </c>
      <c r="AF17" s="23">
        <f t="shared" si="50"/>
        <v>4605</v>
      </c>
      <c r="AG17" s="23">
        <f t="shared" si="50"/>
        <v>108</v>
      </c>
      <c r="AH17" s="23">
        <f t="shared" si="50"/>
        <v>4713</v>
      </c>
      <c r="AI17" s="23">
        <f t="shared" si="50"/>
        <v>7961</v>
      </c>
      <c r="AJ17" s="25">
        <f t="shared" si="35"/>
        <v>199.9156061</v>
      </c>
      <c r="AK17" s="22">
        <f t="shared" si="51"/>
        <v>9877</v>
      </c>
      <c r="AL17" s="26">
        <f t="shared" si="37"/>
        <v>0.8060139719</v>
      </c>
      <c r="AM17" s="27">
        <f t="shared" si="52"/>
        <v>1.5</v>
      </c>
      <c r="AN17" s="26">
        <f t="shared" si="39"/>
        <v>0.8044808807</v>
      </c>
      <c r="AO17" s="28">
        <f t="shared" si="40"/>
        <v>1.206721321</v>
      </c>
      <c r="AP17" s="27">
        <f t="shared" ref="AP17:AQ17" si="53">SUM(T21)</f>
        <v>252.2353279</v>
      </c>
      <c r="AQ17" s="27">
        <f t="shared" si="53"/>
        <v>7.643494783</v>
      </c>
      <c r="AR17" s="23">
        <f t="shared" si="42"/>
        <v>241.2424242</v>
      </c>
    </row>
    <row r="18" ht="15.75" customHeight="1">
      <c r="A18" s="21"/>
      <c r="B18" s="38">
        <v>13.0</v>
      </c>
      <c r="C18" s="38" t="s">
        <v>43</v>
      </c>
      <c r="D18" s="39">
        <v>30.0</v>
      </c>
      <c r="E18" s="40">
        <f>IFERROR(__xludf.DUMMYFUNCTION("COUNT(IMPORTRANGE(""https://docs.google.com/spreadsheets/d/1uGXvAN2jA6kmcEHUY4KqOHHewllZsujDdA6KVDfBCoA/edit"",""1!d2:d31""))"),30.0)</f>
        <v>30</v>
      </c>
      <c r="F18" s="45">
        <f>IFERROR(__xludf.DUMMYFUNCTION("SUM(IMPORTRANGE(""https://docs.google.com/spreadsheets/d/1uGXvAN2jA6kmcEHUY4KqOHHewllZsujDdA6KVDfBCoA/edit"",""1!Q2:Q31""))"),6034.986)</f>
        <v>6034.986</v>
      </c>
      <c r="G18" s="40">
        <f>IFERROR(__xludf.DUMMYFUNCTION("IMPORTRANGE(""https://docs.google.com/spreadsheets/d/1uGXvAN2jA6kmcEHUY4KqOHHewllZsujDdA6KVDfBCoA/edit"",""1!e38"")"),1876.0)</f>
        <v>1876</v>
      </c>
      <c r="H18" s="40">
        <f>IFERROR(__xludf.DUMMYFUNCTION("IMPORTRANGE(""https://docs.google.com/spreadsheets/d/1uGXvAN2jA6kmcEHUY4KqOHHewllZsujDdA6KVDfBCoA/edit"",""1!e39"")"),79.0)</f>
        <v>79</v>
      </c>
      <c r="I18" s="40">
        <f t="shared" si="15"/>
        <v>1955</v>
      </c>
      <c r="J18" s="40">
        <f>IFERROR(__xludf.DUMMYFUNCTION("IMPORTRANGE(""https://docs.google.com/spreadsheets/d/1uGXvAN2jA6kmcEHUY4KqOHHewllZsujDdA6KVDfBCoA/edit"",""1!e42"")"),2967.0)</f>
        <v>2967</v>
      </c>
      <c r="K18" s="40">
        <f>IFERROR(__xludf.DUMMYFUNCTION("IMPORTRANGE(""https://docs.google.com/spreadsheets/d/1uGXvAN2jA6kmcEHUY4KqOHHewllZsujDdA6KVDfBCoA/edit"",""1!e43"")"),140.0)</f>
        <v>140</v>
      </c>
      <c r="L18" s="40">
        <f t="shared" si="45"/>
        <v>3107</v>
      </c>
      <c r="M18" s="40">
        <f t="shared" si="17"/>
        <v>5062</v>
      </c>
      <c r="N18" s="41">
        <f t="shared" si="18"/>
        <v>201.1662</v>
      </c>
      <c r="O18" s="38">
        <v>8345.0</v>
      </c>
      <c r="P18" s="42">
        <f t="shared" si="19"/>
        <v>0.6065907729</v>
      </c>
      <c r="Q18" s="43">
        <v>1.5</v>
      </c>
      <c r="R18" s="42">
        <f t="shared" si="20"/>
        <v>0.5591838435</v>
      </c>
      <c r="S18" s="44">
        <f t="shared" si="21"/>
        <v>0.8387757652</v>
      </c>
      <c r="T18" s="43">
        <f>F18/41.205</f>
        <v>146.4624681</v>
      </c>
      <c r="U18" s="43">
        <f t="shared" si="22"/>
        <v>4.882082272</v>
      </c>
      <c r="V18" s="40">
        <f t="shared" si="23"/>
        <v>168.7333333</v>
      </c>
      <c r="X18" s="46" t="s">
        <v>33</v>
      </c>
      <c r="Y18" s="46">
        <v>6.0</v>
      </c>
      <c r="Z18" s="46">
        <f t="shared" ref="Z18:AI18" si="54">SUM(Z12:Z17)</f>
        <v>226</v>
      </c>
      <c r="AA18" s="47">
        <f t="shared" si="54"/>
        <v>224</v>
      </c>
      <c r="AB18" s="49">
        <f t="shared" si="54"/>
        <v>44273.509</v>
      </c>
      <c r="AC18" s="47">
        <f t="shared" si="54"/>
        <v>17564</v>
      </c>
      <c r="AD18" s="47">
        <f t="shared" si="54"/>
        <v>535</v>
      </c>
      <c r="AE18" s="47">
        <f t="shared" si="54"/>
        <v>18099</v>
      </c>
      <c r="AF18" s="47">
        <f t="shared" si="54"/>
        <v>24048</v>
      </c>
      <c r="AG18" s="47">
        <f t="shared" si="54"/>
        <v>386</v>
      </c>
      <c r="AH18" s="47">
        <f t="shared" si="54"/>
        <v>24434</v>
      </c>
      <c r="AI18" s="47">
        <f t="shared" si="54"/>
        <v>42533</v>
      </c>
      <c r="AJ18" s="49">
        <f t="shared" si="35"/>
        <v>197.6495938</v>
      </c>
      <c r="AK18" s="46">
        <f>SUM(AK12:AK17)</f>
        <v>53273</v>
      </c>
      <c r="AL18" s="50">
        <f t="shared" si="37"/>
        <v>0.7983969365</v>
      </c>
      <c r="AM18" s="51">
        <v>1.5</v>
      </c>
      <c r="AN18" s="50">
        <f t="shared" si="39"/>
        <v>0.6404582328</v>
      </c>
      <c r="AO18" s="52">
        <f t="shared" si="40"/>
        <v>0.9606873492</v>
      </c>
      <c r="AP18" s="51">
        <f>SUM(AP12:AP17)</f>
        <v>1456.754836</v>
      </c>
      <c r="AQ18" s="51">
        <f>AP18/AA18</f>
        <v>6.503369804</v>
      </c>
      <c r="AR18" s="47">
        <f t="shared" si="42"/>
        <v>189.8794643</v>
      </c>
    </row>
    <row r="19" ht="15.75" customHeight="1">
      <c r="A19" s="21"/>
      <c r="B19" s="38">
        <v>14.0</v>
      </c>
      <c r="C19" s="38" t="s">
        <v>27</v>
      </c>
      <c r="D19" s="39">
        <v>30.0</v>
      </c>
      <c r="E19" s="40">
        <f>IFERROR(__xludf.DUMMYFUNCTION("COUNT(IMPORTRANGE(""https://docs.google.com/spreadsheets/d/1iYtf3wkjJIgOL8ej0-L89wY8FLXKi6EiRbi9UqA1Bzw/edit"",""1!d2:d31""))"),29.0)</f>
        <v>29</v>
      </c>
      <c r="F19" s="45">
        <f>IFERROR(__xludf.DUMMYFUNCTION("SUM(IMPORTRANGE(""https://docs.google.com/spreadsheets/d/1iYtf3wkjJIgOL8ej0-L89wY8FLXKi6EiRbi9UqA1Bzw/edit"",""1!Q2:Q31""))"),5631.663000000001)</f>
        <v>5631.663</v>
      </c>
      <c r="G19" s="40">
        <f>IFERROR(__xludf.DUMMYFUNCTION("IMPORTRANGE(""https://docs.google.com/spreadsheets/d/1iYtf3wkjJIgOL8ej0-L89wY8FLXKi6EiRbi9UqA1Bzw/edit"",""1!e38"")"),2486.0)</f>
        <v>2486</v>
      </c>
      <c r="H19" s="40">
        <f>IFERROR(__xludf.DUMMYFUNCTION("IMPORTRANGE(""https://docs.google.com/spreadsheets/d/1iYtf3wkjJIgOL8ej0-L89wY8FLXKi6EiRbi9UqA1Bzw/edit"",""1!e39"")"),80.0)</f>
        <v>80</v>
      </c>
      <c r="I19" s="40">
        <f t="shared" si="15"/>
        <v>2566</v>
      </c>
      <c r="J19" s="40">
        <f>IFERROR(__xludf.DUMMYFUNCTION("IMPORTRANGE(""https://docs.google.com/spreadsheets/d/1iYtf3wkjJIgOL8ej0-L89wY8FLXKi6EiRbi9UqA1Bzw/edit"",""1!e42"")"),2945.0)</f>
        <v>2945</v>
      </c>
      <c r="K19" s="40">
        <f>IFERROR(__xludf.DUMMYFUNCTION("IMPORTRANGE(""https://docs.google.com/spreadsheets/d/1iYtf3wkjJIgOL8ej0-L89wY8FLXKi6EiRbi9UqA1Bzw/edit"",""1!e43"")"),88.0)</f>
        <v>88</v>
      </c>
      <c r="L19" s="40">
        <f t="shared" si="45"/>
        <v>3033</v>
      </c>
      <c r="M19" s="40">
        <f t="shared" si="17"/>
        <v>5599</v>
      </c>
      <c r="N19" s="41">
        <f t="shared" si="18"/>
        <v>194.1952759</v>
      </c>
      <c r="O19" s="38">
        <v>8101.0</v>
      </c>
      <c r="P19" s="42">
        <f t="shared" si="19"/>
        <v>0.6911492408</v>
      </c>
      <c r="Q19" s="43">
        <v>1.5</v>
      </c>
      <c r="R19" s="42">
        <f t="shared" si="20"/>
        <v>0.6628000764</v>
      </c>
      <c r="S19" s="44">
        <f t="shared" si="21"/>
        <v>0.9942001146</v>
      </c>
      <c r="T19" s="43">
        <f>F19/19.985</f>
        <v>281.7944959</v>
      </c>
      <c r="U19" s="43">
        <f t="shared" si="22"/>
        <v>9.717051582</v>
      </c>
      <c r="V19" s="40">
        <f t="shared" si="23"/>
        <v>193.0689655</v>
      </c>
      <c r="X19" s="59" t="s">
        <v>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6"/>
    </row>
    <row r="20" ht="15.75" customHeight="1">
      <c r="A20" s="21"/>
      <c r="B20" s="38">
        <v>15.0</v>
      </c>
      <c r="C20" s="38" t="s">
        <v>40</v>
      </c>
      <c r="D20" s="39">
        <v>30.0</v>
      </c>
      <c r="E20" s="40">
        <f>IFERROR(__xludf.DUMMYFUNCTION("COUNT(IMPORTRANGE(""https://docs.google.com/spreadsheets/d/1Wdf8MsoDBzMSsrzOXwaGQzbVjVqOWfKSqYmbncevZgA/edit"",""1!d2:d31""))"),30.0)</f>
        <v>30</v>
      </c>
      <c r="F20" s="45">
        <f>IFERROR(__xludf.DUMMYFUNCTION("SUM(IMPORTRANGE(""https://docs.google.com/spreadsheets/d/1Wdf8MsoDBzMSsrzOXwaGQzbVjVqOWfKSqYmbncevZgA/edit"",""1!Q2:Q31""))"),5660.156999999998)</f>
        <v>5660.157</v>
      </c>
      <c r="G20" s="40">
        <f>IFERROR(__xludf.DUMMYFUNCTION("IMPORTRANGE(""https://docs.google.com/spreadsheets/d/1Wdf8MsoDBzMSsrzOXwaGQzbVjVqOWfKSqYmbncevZgA/edit"",""1!e38"")"),3382.0)</f>
        <v>3382</v>
      </c>
      <c r="H20" s="40">
        <f>IFERROR(__xludf.DUMMYFUNCTION("IMPORTRANGE(""https://docs.google.com/spreadsheets/d/1Wdf8MsoDBzMSsrzOXwaGQzbVjVqOWfKSqYmbncevZgA/edit"",""1!e39"")"),0.0)</f>
        <v>0</v>
      </c>
      <c r="I20" s="40">
        <f t="shared" si="15"/>
        <v>3382</v>
      </c>
      <c r="J20" s="40">
        <f>IFERROR(__xludf.DUMMYFUNCTION("IMPORTRANGE(""https://docs.google.com/spreadsheets/d/1Wdf8MsoDBzMSsrzOXwaGQzbVjVqOWfKSqYmbncevZgA/edit"",""1!e42"")"),3798.0)</f>
        <v>3798</v>
      </c>
      <c r="K20" s="40">
        <f>IFERROR(__xludf.DUMMYFUNCTION("IMPORTRANGE(""https://docs.google.com/spreadsheets/d/1Wdf8MsoDBzMSsrzOXwaGQzbVjVqOWfKSqYmbncevZgA/edit"",""1!e43"")"),0.0)</f>
        <v>0</v>
      </c>
      <c r="L20" s="40">
        <f t="shared" si="45"/>
        <v>3798</v>
      </c>
      <c r="M20" s="40">
        <f t="shared" si="17"/>
        <v>7180</v>
      </c>
      <c r="N20" s="41">
        <f t="shared" si="18"/>
        <v>188.6719</v>
      </c>
      <c r="O20" s="38">
        <v>8239.0</v>
      </c>
      <c r="P20" s="42">
        <f t="shared" si="19"/>
        <v>0.8714649836</v>
      </c>
      <c r="Q20" s="43">
        <v>1.5</v>
      </c>
      <c r="R20" s="42">
        <f t="shared" si="20"/>
        <v>0.8456773667</v>
      </c>
      <c r="S20" s="44">
        <f t="shared" si="21"/>
        <v>1.26851605</v>
      </c>
      <c r="T20" s="43">
        <f>F20/28.443</f>
        <v>199</v>
      </c>
      <c r="U20" s="43">
        <f t="shared" si="22"/>
        <v>6.633333333</v>
      </c>
      <c r="V20" s="40">
        <f t="shared" si="23"/>
        <v>239.3333333</v>
      </c>
      <c r="X20" s="14" t="s">
        <v>2</v>
      </c>
      <c r="Y20" s="14" t="s">
        <v>3</v>
      </c>
      <c r="Z20" s="14" t="s">
        <v>4</v>
      </c>
      <c r="AA20" s="14" t="s">
        <v>5</v>
      </c>
      <c r="AB20" s="15" t="s">
        <v>6</v>
      </c>
      <c r="AC20" s="14" t="s">
        <v>7</v>
      </c>
      <c r="AD20" s="14" t="s">
        <v>8</v>
      </c>
      <c r="AE20" s="14" t="s">
        <v>9</v>
      </c>
      <c r="AF20" s="14" t="s">
        <v>10</v>
      </c>
      <c r="AG20" s="14" t="s">
        <v>11</v>
      </c>
      <c r="AH20" s="14" t="s">
        <v>12</v>
      </c>
      <c r="AI20" s="14" t="s">
        <v>13</v>
      </c>
      <c r="AJ20" s="15" t="s">
        <v>14</v>
      </c>
      <c r="AK20" s="14" t="s">
        <v>15</v>
      </c>
      <c r="AL20" s="14" t="s">
        <v>16</v>
      </c>
      <c r="AM20" s="16" t="s">
        <v>17</v>
      </c>
      <c r="AN20" s="17" t="s">
        <v>18</v>
      </c>
      <c r="AO20" s="18" t="s">
        <v>19</v>
      </c>
      <c r="AP20" s="19" t="s">
        <v>20</v>
      </c>
      <c r="AQ20" s="19" t="s">
        <v>21</v>
      </c>
      <c r="AR20" s="20" t="s">
        <v>22</v>
      </c>
    </row>
    <row r="21" ht="15.75" customHeight="1">
      <c r="A21" s="21"/>
      <c r="B21" s="38">
        <v>16.0</v>
      </c>
      <c r="C21" s="38" t="s">
        <v>42</v>
      </c>
      <c r="D21" s="39">
        <v>33.0</v>
      </c>
      <c r="E21" s="40">
        <f>IFERROR(__xludf.DUMMYFUNCTION("COUNT(IMPORTRANGE(""https://docs.google.com/spreadsheets/d/1Z5uB5HbeAKcHmG4EOw3rf2J8NpyvDiha6RReERAMvA0/edit"",""1!d2:d34""))"),33.0)</f>
        <v>33</v>
      </c>
      <c r="F21" s="45">
        <f>IFERROR(__xludf.DUMMYFUNCTION("SUM(IMPORTRANGE(""https://docs.google.com/spreadsheets/d/1Z5uB5HbeAKcHmG4EOw3rf2J8NpyvDiha6RReERAMvA0/edit"",""1!Q2:Q34""))"),6597.214999999997)</f>
        <v>6597.215</v>
      </c>
      <c r="G21" s="40">
        <f>IFERROR(__xludf.DUMMYFUNCTION("IMPORTRANGE(""https://docs.google.com/spreadsheets/d/1Z5uB5HbeAKcHmG4EOw3rf2J8NpyvDiha6RReERAMvA0/edit"",""1!e41"")"),3014.0)</f>
        <v>3014</v>
      </c>
      <c r="H21" s="40">
        <f>IFERROR(__xludf.DUMMYFUNCTION("IMPORTRANGE(""https://docs.google.com/spreadsheets/d/1Z5uB5HbeAKcHmG4EOw3rf2J8NpyvDiha6RReERAMvA0/edit"",""1!e42"")"),234.0)</f>
        <v>234</v>
      </c>
      <c r="I21" s="40">
        <f t="shared" si="15"/>
        <v>3248</v>
      </c>
      <c r="J21" s="40">
        <f>IFERROR(__xludf.DUMMYFUNCTION("IMPORTRANGE(""https://docs.google.com/spreadsheets/d/1Z5uB5HbeAKcHmG4EOw3rf2J8NpyvDiha6RReERAMvA0/edit"",""1!e45"")"),4605.0)</f>
        <v>4605</v>
      </c>
      <c r="K21" s="40">
        <f>IFERROR(__xludf.DUMMYFUNCTION("IMPORTRANGE(""https://docs.google.com/spreadsheets/d/1Z5uB5HbeAKcHmG4EOw3rf2J8NpyvDiha6RReERAMvA0/edit"",""1!e46"")"),108.0)</f>
        <v>108</v>
      </c>
      <c r="L21" s="40">
        <f t="shared" si="45"/>
        <v>4713</v>
      </c>
      <c r="M21" s="40">
        <f t="shared" si="17"/>
        <v>7961</v>
      </c>
      <c r="N21" s="41">
        <f t="shared" si="18"/>
        <v>199.9156061</v>
      </c>
      <c r="O21" s="38">
        <v>9877.0</v>
      </c>
      <c r="P21" s="42">
        <f t="shared" si="19"/>
        <v>0.8060139719</v>
      </c>
      <c r="Q21" s="43">
        <v>1.5</v>
      </c>
      <c r="R21" s="42">
        <f t="shared" si="20"/>
        <v>0.8044808807</v>
      </c>
      <c r="S21" s="44">
        <f t="shared" si="21"/>
        <v>1.206721321</v>
      </c>
      <c r="T21" s="43">
        <f>F21/26.155</f>
        <v>252.2353279</v>
      </c>
      <c r="U21" s="43">
        <f t="shared" si="22"/>
        <v>7.643494783</v>
      </c>
      <c r="V21" s="40">
        <f t="shared" si="23"/>
        <v>241.2424242</v>
      </c>
      <c r="X21" s="31">
        <v>1.0</v>
      </c>
      <c r="Y21" s="31" t="s">
        <v>26</v>
      </c>
      <c r="Z21" s="31">
        <f t="shared" ref="Z21:AI21" si="55">SUM(D6)</f>
        <v>20</v>
      </c>
      <c r="AA21" s="32">
        <f t="shared" si="55"/>
        <v>20</v>
      </c>
      <c r="AB21" s="34">
        <f t="shared" si="55"/>
        <v>3935.295</v>
      </c>
      <c r="AC21" s="32">
        <f t="shared" si="55"/>
        <v>2229</v>
      </c>
      <c r="AD21" s="32">
        <f t="shared" si="55"/>
        <v>0</v>
      </c>
      <c r="AE21" s="32">
        <f t="shared" si="55"/>
        <v>2229</v>
      </c>
      <c r="AF21" s="32">
        <f t="shared" si="55"/>
        <v>2661</v>
      </c>
      <c r="AG21" s="32">
        <f t="shared" si="55"/>
        <v>47</v>
      </c>
      <c r="AH21" s="32">
        <f t="shared" si="55"/>
        <v>2708</v>
      </c>
      <c r="AI21" s="32">
        <f t="shared" si="55"/>
        <v>4937</v>
      </c>
      <c r="AJ21" s="34">
        <f t="shared" ref="AJ21:AJ27" si="58">AB21/AA21</f>
        <v>196.76475</v>
      </c>
      <c r="AK21" s="31">
        <f>SUM(O6)</f>
        <v>5161</v>
      </c>
      <c r="AL21" s="35">
        <f t="shared" ref="AL21:AL27" si="59">AI21/AK21</f>
        <v>0.9565975586</v>
      </c>
      <c r="AM21" s="36">
        <f>SUM(Q6)</f>
        <v>1.5</v>
      </c>
      <c r="AN21" s="35">
        <f t="shared" ref="AN21:AN27" si="60">AO21/AM21</f>
        <v>0.8363625429</v>
      </c>
      <c r="AO21" s="37">
        <f t="shared" ref="AO21:AO27" si="61">AI21/AB21</f>
        <v>1.254543814</v>
      </c>
      <c r="AP21" s="36">
        <f t="shared" ref="AP21:AQ21" si="56">SUM(T6)</f>
        <v>273</v>
      </c>
      <c r="AQ21" s="36">
        <f t="shared" si="56"/>
        <v>13.65</v>
      </c>
      <c r="AR21" s="32">
        <f t="shared" ref="AR21:AR27" si="63">AI21/AA21</f>
        <v>246.85</v>
      </c>
    </row>
    <row r="22" ht="15.75" customHeight="1">
      <c r="A22" s="21"/>
      <c r="B22" s="38">
        <v>17.0</v>
      </c>
      <c r="C22" s="38" t="s">
        <v>29</v>
      </c>
      <c r="D22" s="39">
        <v>30.0</v>
      </c>
      <c r="E22" s="40">
        <f>IFERROR(__xludf.DUMMYFUNCTION("COUNT(IMPORTRANGE(""https://docs.google.com/spreadsheets/d/1wfJqI0e9wVPqEQv3N6b8KgINjqI0OBECEyIFeY9j3i8/edit"",""1!d2:d31""))"),29.0)</f>
        <v>29</v>
      </c>
      <c r="F22" s="45">
        <f>IFERROR(__xludf.DUMMYFUNCTION("SUM(IMPORTRANGE(""https://docs.google.com/spreadsheets/d/1wfJqI0e9wVPqEQv3N6b8KgINjqI0OBECEyIFeY9j3i8/edit"",""1!Q2:Q31""))"),5722.055999999998)</f>
        <v>5722.056</v>
      </c>
      <c r="G22" s="40">
        <f>IFERROR(__xludf.DUMMYFUNCTION("IMPORTRANGE(""https://docs.google.com/spreadsheets/d/1wfJqI0e9wVPqEQv3N6b8KgINjqI0OBECEyIFeY9j3i8/edit"",""1!e38"")"),2610.0)</f>
        <v>2610</v>
      </c>
      <c r="H22" s="40">
        <f>IFERROR(__xludf.DUMMYFUNCTION("IMPORTRANGE(""https://docs.google.com/spreadsheets/d/1wfJqI0e9wVPqEQv3N6b8KgINjqI0OBECEyIFeY9j3i8/edit"",""1!e39"")"),0.0)</f>
        <v>0</v>
      </c>
      <c r="I22" s="40">
        <f t="shared" si="15"/>
        <v>2610</v>
      </c>
      <c r="J22" s="40">
        <f>IFERROR(__xludf.DUMMYFUNCTION("IMPORTRANGE(""https://docs.google.com/spreadsheets/d/1wfJqI0e9wVPqEQv3N6b8KgINjqI0OBECEyIFeY9j3i8/edit"",""1!e42"")"),4378.0)</f>
        <v>4378</v>
      </c>
      <c r="K22" s="40">
        <f>IFERROR(__xludf.DUMMYFUNCTION("IMPORTRANGE(""https://docs.google.com/spreadsheets/d/1wfJqI0e9wVPqEQv3N6b8KgINjqI0OBECEyIFeY9j3i8/edit"",""1!e43"")"),0.0)</f>
        <v>0</v>
      </c>
      <c r="L22" s="40">
        <f t="shared" si="45"/>
        <v>4378</v>
      </c>
      <c r="M22" s="40">
        <f t="shared" si="17"/>
        <v>6988</v>
      </c>
      <c r="N22" s="41">
        <f t="shared" si="18"/>
        <v>197.3122759</v>
      </c>
      <c r="O22" s="38">
        <v>9201.0</v>
      </c>
      <c r="P22" s="42">
        <f t="shared" si="19"/>
        <v>0.7594826649</v>
      </c>
      <c r="Q22" s="43">
        <v>1.5</v>
      </c>
      <c r="R22" s="42">
        <f t="shared" si="20"/>
        <v>0.8141595725</v>
      </c>
      <c r="S22" s="44">
        <f t="shared" si="21"/>
        <v>1.221239359</v>
      </c>
      <c r="T22" s="43">
        <f>F22/26.491</f>
        <v>216</v>
      </c>
      <c r="U22" s="43">
        <f t="shared" si="22"/>
        <v>7.448275862</v>
      </c>
      <c r="V22" s="40">
        <f t="shared" si="23"/>
        <v>240.9655172</v>
      </c>
      <c r="X22" s="31">
        <v>2.0</v>
      </c>
      <c r="Y22" s="31" t="s">
        <v>32</v>
      </c>
      <c r="Z22" s="31">
        <f t="shared" ref="Z22:AI22" si="57">SUM(D9)</f>
        <v>42</v>
      </c>
      <c r="AA22" s="32">
        <f t="shared" si="57"/>
        <v>42</v>
      </c>
      <c r="AB22" s="33">
        <f t="shared" si="57"/>
        <v>8240.662</v>
      </c>
      <c r="AC22" s="31">
        <f t="shared" si="57"/>
        <v>4515</v>
      </c>
      <c r="AD22" s="31">
        <f t="shared" si="57"/>
        <v>0</v>
      </c>
      <c r="AE22" s="32">
        <f t="shared" si="57"/>
        <v>4515</v>
      </c>
      <c r="AF22" s="31">
        <f t="shared" si="57"/>
        <v>5726</v>
      </c>
      <c r="AG22" s="31">
        <f t="shared" si="57"/>
        <v>0</v>
      </c>
      <c r="AH22" s="32">
        <f t="shared" si="57"/>
        <v>5726</v>
      </c>
      <c r="AI22" s="32">
        <f t="shared" si="57"/>
        <v>10241</v>
      </c>
      <c r="AJ22" s="34">
        <f t="shared" si="58"/>
        <v>196.2062381</v>
      </c>
      <c r="AK22" s="31">
        <f>SUM(O9)</f>
        <v>13817</v>
      </c>
      <c r="AL22" s="35">
        <f t="shared" si="59"/>
        <v>0.7411883911</v>
      </c>
      <c r="AM22" s="36">
        <f>SUM(Q9)</f>
        <v>1.5</v>
      </c>
      <c r="AN22" s="35">
        <f t="shared" si="60"/>
        <v>0.8284933096</v>
      </c>
      <c r="AO22" s="37">
        <f t="shared" si="61"/>
        <v>1.242739964</v>
      </c>
      <c r="AP22" s="36">
        <f t="shared" ref="AP22:AQ22" si="62">SUM(T9)</f>
        <v>328.4571725</v>
      </c>
      <c r="AQ22" s="36">
        <f t="shared" si="62"/>
        <v>7.820408868</v>
      </c>
      <c r="AR22" s="32">
        <f t="shared" si="63"/>
        <v>243.8333333</v>
      </c>
    </row>
    <row r="23" ht="15.75" customHeight="1">
      <c r="A23" s="21"/>
      <c r="B23" s="38">
        <v>18.0</v>
      </c>
      <c r="C23" s="38" t="s">
        <v>31</v>
      </c>
      <c r="D23" s="39">
        <v>15.0</v>
      </c>
      <c r="E23" s="40">
        <f>IFERROR(__xludf.DUMMYFUNCTION("COUNT(IMPORTRANGE(""https://docs.google.com/spreadsheets/d/1-y2KhTAo7d8kowgUuWUDfRQuRMUAFteRYEXorT3_wOs/edit"",""1!d2:d16""))"),14.0)</f>
        <v>14</v>
      </c>
      <c r="F23" s="41">
        <f>IFERROR(__xludf.DUMMYFUNCTION("SUM(IMPORTRANGE(""https://docs.google.com/spreadsheets/d/1-y2KhTAo7d8kowgUuWUDfRQuRMUAFteRYEXorT3_wOs/edit"",""1!Q2:Q16""))"),2520.9699999999993)</f>
        <v>2520.97</v>
      </c>
      <c r="G23" s="40">
        <f>IFERROR(__xludf.DUMMYFUNCTION("IMPORTRANGE(""https://docs.google.com/spreadsheets/d/1-y2KhTAo7d8kowgUuWUDfRQuRMUAFteRYEXorT3_wOs/edit"",""1!e23"")"),633.0)</f>
        <v>633</v>
      </c>
      <c r="H23" s="40">
        <f>IFERROR(__xludf.DUMMYFUNCTION("IMPORTRANGE(""https://docs.google.com/spreadsheets/d/1-y2KhTAo7d8kowgUuWUDfRQuRMUAFteRYEXorT3_wOs/edit"",""1!e24"")"),0.0)</f>
        <v>0</v>
      </c>
      <c r="I23" s="40">
        <f t="shared" si="15"/>
        <v>633</v>
      </c>
      <c r="J23" s="40">
        <f>IFERROR(__xludf.DUMMYFUNCTION("IMPORTRANGE(""https://docs.google.com/spreadsheets/d/1-y2KhTAo7d8kowgUuWUDfRQuRMUAFteRYEXorT3_wOs/edit"",""1!e27"")"),1148.0)</f>
        <v>1148</v>
      </c>
      <c r="K23" s="40">
        <f>IFERROR(__xludf.DUMMYFUNCTION("IMPORTRANGE(""https://docs.google.com/spreadsheets/d/1-y2KhTAo7d8kowgUuWUDfRQuRMUAFteRYEXorT3_wOs/edit"",""1!e28"")"),15.0)</f>
        <v>15</v>
      </c>
      <c r="L23" s="40">
        <f t="shared" si="45"/>
        <v>1163</v>
      </c>
      <c r="M23" s="40">
        <f t="shared" si="17"/>
        <v>1796</v>
      </c>
      <c r="N23" s="41">
        <f t="shared" si="18"/>
        <v>180.0692857</v>
      </c>
      <c r="O23" s="38">
        <v>2717.0</v>
      </c>
      <c r="P23" s="42">
        <f t="shared" si="19"/>
        <v>0.6610231873</v>
      </c>
      <c r="Q23" s="43">
        <v>1.5</v>
      </c>
      <c r="R23" s="42">
        <f t="shared" si="20"/>
        <v>0.4749494573</v>
      </c>
      <c r="S23" s="44">
        <f t="shared" si="21"/>
        <v>0.7124241859</v>
      </c>
      <c r="T23" s="43">
        <f>F23/43.465</f>
        <v>58</v>
      </c>
      <c r="U23" s="43">
        <f t="shared" si="22"/>
        <v>4.142857143</v>
      </c>
      <c r="V23" s="40">
        <f t="shared" si="23"/>
        <v>128.2857143</v>
      </c>
      <c r="X23" s="31">
        <v>3.0</v>
      </c>
      <c r="Y23" s="31" t="s">
        <v>36</v>
      </c>
      <c r="Z23" s="31">
        <f t="shared" ref="Z23:AI23" si="64">SUM(D14)</f>
        <v>30</v>
      </c>
      <c r="AA23" s="32">
        <f t="shared" si="64"/>
        <v>29</v>
      </c>
      <c r="AB23" s="33">
        <f t="shared" si="64"/>
        <v>4875.345</v>
      </c>
      <c r="AC23" s="32">
        <f t="shared" si="64"/>
        <v>1728</v>
      </c>
      <c r="AD23" s="32">
        <f t="shared" si="64"/>
        <v>0</v>
      </c>
      <c r="AE23" s="32">
        <f t="shared" si="64"/>
        <v>1728</v>
      </c>
      <c r="AF23" s="32">
        <f t="shared" si="64"/>
        <v>2407</v>
      </c>
      <c r="AG23" s="32">
        <f t="shared" si="64"/>
        <v>20</v>
      </c>
      <c r="AH23" s="32">
        <f t="shared" si="64"/>
        <v>2427</v>
      </c>
      <c r="AI23" s="32">
        <f t="shared" si="64"/>
        <v>4155</v>
      </c>
      <c r="AJ23" s="34">
        <f t="shared" si="58"/>
        <v>168.1153448</v>
      </c>
      <c r="AK23" s="31">
        <f t="shared" ref="AK23:AK26" si="68">SUM(O14)</f>
        <v>4796</v>
      </c>
      <c r="AL23" s="35">
        <f t="shared" si="59"/>
        <v>0.8663469558</v>
      </c>
      <c r="AM23" s="36">
        <f t="shared" ref="AM23:AM26" si="69">SUM(Q14)</f>
        <v>1.5</v>
      </c>
      <c r="AN23" s="35">
        <f t="shared" si="60"/>
        <v>0.5681649196</v>
      </c>
      <c r="AO23" s="37">
        <f t="shared" si="61"/>
        <v>0.8522473794</v>
      </c>
      <c r="AP23" s="36">
        <f t="shared" ref="AP23:AQ23" si="65">SUM(T14)</f>
        <v>130.3080398</v>
      </c>
      <c r="AQ23" s="36">
        <f t="shared" si="65"/>
        <v>4.493380682</v>
      </c>
      <c r="AR23" s="32">
        <f t="shared" si="63"/>
        <v>143.2758621</v>
      </c>
    </row>
    <row r="24" ht="15.75" customHeight="1">
      <c r="A24" s="21"/>
      <c r="B24" s="60" t="s">
        <v>33</v>
      </c>
      <c r="C24" s="60">
        <v>18.0</v>
      </c>
      <c r="D24" s="60">
        <f t="shared" ref="D24:M24" si="66">SUM(D6:D23)</f>
        <v>586</v>
      </c>
      <c r="E24" s="61">
        <f t="shared" si="66"/>
        <v>576</v>
      </c>
      <c r="F24" s="62">
        <f t="shared" si="66"/>
        <v>111449.623</v>
      </c>
      <c r="G24" s="61">
        <f t="shared" si="66"/>
        <v>41757</v>
      </c>
      <c r="H24" s="61">
        <f t="shared" si="66"/>
        <v>946</v>
      </c>
      <c r="I24" s="61">
        <f t="shared" si="66"/>
        <v>42703</v>
      </c>
      <c r="J24" s="61">
        <f t="shared" si="66"/>
        <v>57855</v>
      </c>
      <c r="K24" s="61">
        <f t="shared" si="66"/>
        <v>875</v>
      </c>
      <c r="L24" s="61">
        <f t="shared" si="66"/>
        <v>58730</v>
      </c>
      <c r="M24" s="61">
        <f t="shared" si="66"/>
        <v>101433</v>
      </c>
      <c r="N24" s="62">
        <f t="shared" si="18"/>
        <v>193.4889288</v>
      </c>
      <c r="O24" s="60">
        <f>SUM(O6:O23)</f>
        <v>126399</v>
      </c>
      <c r="P24" s="63">
        <f t="shared" si="19"/>
        <v>0.8024826146</v>
      </c>
      <c r="Q24" s="64">
        <v>1.5</v>
      </c>
      <c r="R24" s="63">
        <f t="shared" si="20"/>
        <v>0.6067494728</v>
      </c>
      <c r="S24" s="65">
        <f t="shared" si="21"/>
        <v>0.9101242092</v>
      </c>
      <c r="T24" s="64">
        <f>SUM(T6:T23)</f>
        <v>4122.022266</v>
      </c>
      <c r="U24" s="64">
        <f t="shared" si="22"/>
        <v>7.156288656</v>
      </c>
      <c r="V24" s="61">
        <f t="shared" si="23"/>
        <v>176.0989583</v>
      </c>
      <c r="X24" s="31">
        <v>4.0</v>
      </c>
      <c r="Y24" s="31" t="s">
        <v>37</v>
      </c>
      <c r="Z24" s="31">
        <f t="shared" ref="Z24:AI24" si="67">SUM(D15)</f>
        <v>30</v>
      </c>
      <c r="AA24" s="32">
        <f t="shared" si="67"/>
        <v>28</v>
      </c>
      <c r="AB24" s="33">
        <f t="shared" si="67"/>
        <v>5465.1</v>
      </c>
      <c r="AC24" s="32">
        <f t="shared" si="67"/>
        <v>2135</v>
      </c>
      <c r="AD24" s="32">
        <f t="shared" si="67"/>
        <v>0</v>
      </c>
      <c r="AE24" s="32">
        <f t="shared" si="67"/>
        <v>2135</v>
      </c>
      <c r="AF24" s="32">
        <f t="shared" si="67"/>
        <v>3182</v>
      </c>
      <c r="AG24" s="32">
        <f t="shared" si="67"/>
        <v>0</v>
      </c>
      <c r="AH24" s="32">
        <f t="shared" si="67"/>
        <v>3182</v>
      </c>
      <c r="AI24" s="32">
        <f t="shared" si="67"/>
        <v>5317</v>
      </c>
      <c r="AJ24" s="34">
        <f t="shared" si="58"/>
        <v>195.1821429</v>
      </c>
      <c r="AK24" s="31">
        <f t="shared" si="68"/>
        <v>5887</v>
      </c>
      <c r="AL24" s="35">
        <f t="shared" si="59"/>
        <v>0.9031764906</v>
      </c>
      <c r="AM24" s="36">
        <f t="shared" si="69"/>
        <v>1.5</v>
      </c>
      <c r="AN24" s="35">
        <f t="shared" si="60"/>
        <v>0.6486005136</v>
      </c>
      <c r="AO24" s="37">
        <f t="shared" si="61"/>
        <v>0.9729007703</v>
      </c>
      <c r="AP24" s="36">
        <f t="shared" ref="AP24:AQ24" si="70">SUM(T15)</f>
        <v>220.4380445</v>
      </c>
      <c r="AQ24" s="36">
        <f t="shared" si="70"/>
        <v>7.872787305</v>
      </c>
      <c r="AR24" s="32">
        <f t="shared" si="63"/>
        <v>189.8928571</v>
      </c>
    </row>
    <row r="25" ht="15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X25" s="31">
        <v>5.0</v>
      </c>
      <c r="Y25" s="31" t="s">
        <v>39</v>
      </c>
      <c r="Z25" s="31">
        <f t="shared" ref="Z25:AI25" si="71">SUM(D16)</f>
        <v>28</v>
      </c>
      <c r="AA25" s="32">
        <f t="shared" si="71"/>
        <v>27</v>
      </c>
      <c r="AB25" s="33">
        <f t="shared" si="71"/>
        <v>5318.459</v>
      </c>
      <c r="AC25" s="32">
        <f t="shared" si="71"/>
        <v>1229</v>
      </c>
      <c r="AD25" s="32">
        <f t="shared" si="71"/>
        <v>0</v>
      </c>
      <c r="AE25" s="32">
        <f t="shared" si="71"/>
        <v>1229</v>
      </c>
      <c r="AF25" s="32">
        <f t="shared" si="71"/>
        <v>1740</v>
      </c>
      <c r="AG25" s="32">
        <f t="shared" si="71"/>
        <v>0</v>
      </c>
      <c r="AH25" s="32">
        <f t="shared" si="71"/>
        <v>1740</v>
      </c>
      <c r="AI25" s="32">
        <f t="shared" si="71"/>
        <v>2969</v>
      </c>
      <c r="AJ25" s="34">
        <f t="shared" si="58"/>
        <v>196.979963</v>
      </c>
      <c r="AK25" s="31">
        <f t="shared" si="68"/>
        <v>3569</v>
      </c>
      <c r="AL25" s="35">
        <f t="shared" si="59"/>
        <v>0.8318856823</v>
      </c>
      <c r="AM25" s="36">
        <f t="shared" si="69"/>
        <v>1.5</v>
      </c>
      <c r="AN25" s="35">
        <f t="shared" si="60"/>
        <v>0.3721629392</v>
      </c>
      <c r="AO25" s="37">
        <f t="shared" si="61"/>
        <v>0.5582444088</v>
      </c>
      <c r="AP25" s="36">
        <f t="shared" ref="AP25:AQ25" si="72">SUM(T16)</f>
        <v>247.7966268</v>
      </c>
      <c r="AQ25" s="36">
        <f t="shared" si="72"/>
        <v>9.177652843</v>
      </c>
      <c r="AR25" s="32">
        <f t="shared" si="63"/>
        <v>109.962963</v>
      </c>
    </row>
    <row r="26" ht="15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X26" s="31">
        <v>6.0</v>
      </c>
      <c r="Y26" s="31" t="s">
        <v>41</v>
      </c>
      <c r="Z26" s="31">
        <f t="shared" ref="Z26:AI26" si="73">SUM(D17)</f>
        <v>24</v>
      </c>
      <c r="AA26" s="32">
        <f t="shared" si="73"/>
        <v>24</v>
      </c>
      <c r="AB26" s="33">
        <f t="shared" si="73"/>
        <v>4793.152</v>
      </c>
      <c r="AC26" s="32">
        <f t="shared" si="73"/>
        <v>1363</v>
      </c>
      <c r="AD26" s="32">
        <f t="shared" si="73"/>
        <v>0</v>
      </c>
      <c r="AE26" s="32">
        <f t="shared" si="73"/>
        <v>1363</v>
      </c>
      <c r="AF26" s="32">
        <f t="shared" si="73"/>
        <v>1818</v>
      </c>
      <c r="AG26" s="32">
        <f t="shared" si="73"/>
        <v>0</v>
      </c>
      <c r="AH26" s="32">
        <f t="shared" si="73"/>
        <v>1818</v>
      </c>
      <c r="AI26" s="32">
        <f t="shared" si="73"/>
        <v>3181</v>
      </c>
      <c r="AJ26" s="34">
        <f t="shared" si="58"/>
        <v>199.7146667</v>
      </c>
      <c r="AK26" s="31">
        <f t="shared" si="68"/>
        <v>3801</v>
      </c>
      <c r="AL26" s="35">
        <f t="shared" si="59"/>
        <v>0.8368850303</v>
      </c>
      <c r="AM26" s="36">
        <f t="shared" si="69"/>
        <v>1.5</v>
      </c>
      <c r="AN26" s="35">
        <f t="shared" si="60"/>
        <v>0.4424367653</v>
      </c>
      <c r="AO26" s="37">
        <f t="shared" si="61"/>
        <v>0.663655148</v>
      </c>
      <c r="AP26" s="36">
        <f t="shared" ref="AP26:AQ26" si="74">SUM(T17)</f>
        <v>161.7777778</v>
      </c>
      <c r="AQ26" s="36">
        <f t="shared" si="74"/>
        <v>6.740740741</v>
      </c>
      <c r="AR26" s="32">
        <f t="shared" si="63"/>
        <v>132.5416667</v>
      </c>
    </row>
    <row r="27" ht="15.75" customHeight="1">
      <c r="A27" s="1" t="s">
        <v>45</v>
      </c>
      <c r="D27" s="2"/>
      <c r="X27" s="46" t="s">
        <v>33</v>
      </c>
      <c r="Y27" s="46">
        <v>6.0</v>
      </c>
      <c r="Z27" s="46">
        <f t="shared" ref="Z27:AI27" si="75">SUM(Z21:Z26)</f>
        <v>174</v>
      </c>
      <c r="AA27" s="47">
        <f t="shared" si="75"/>
        <v>170</v>
      </c>
      <c r="AB27" s="49">
        <f t="shared" si="75"/>
        <v>32628.013</v>
      </c>
      <c r="AC27" s="47">
        <f t="shared" si="75"/>
        <v>13199</v>
      </c>
      <c r="AD27" s="47">
        <f t="shared" si="75"/>
        <v>0</v>
      </c>
      <c r="AE27" s="47">
        <f t="shared" si="75"/>
        <v>13199</v>
      </c>
      <c r="AF27" s="47">
        <f t="shared" si="75"/>
        <v>17534</v>
      </c>
      <c r="AG27" s="47">
        <f t="shared" si="75"/>
        <v>67</v>
      </c>
      <c r="AH27" s="47">
        <f t="shared" si="75"/>
        <v>17601</v>
      </c>
      <c r="AI27" s="47">
        <f t="shared" si="75"/>
        <v>30800</v>
      </c>
      <c r="AJ27" s="49">
        <f t="shared" si="58"/>
        <v>191.9294882</v>
      </c>
      <c r="AK27" s="46">
        <f>SUM(AK21:AK26)</f>
        <v>37031</v>
      </c>
      <c r="AL27" s="50">
        <f t="shared" si="59"/>
        <v>0.8317355729</v>
      </c>
      <c r="AM27" s="51">
        <v>1.5</v>
      </c>
      <c r="AN27" s="50">
        <f t="shared" si="60"/>
        <v>0.6293160829</v>
      </c>
      <c r="AO27" s="52">
        <f t="shared" si="61"/>
        <v>0.9439741243</v>
      </c>
      <c r="AP27" s="51">
        <f>SUM(AP21:AP26)</f>
        <v>1361.777661</v>
      </c>
      <c r="AQ27" s="51">
        <f>AP27/AA27</f>
        <v>8.010456831</v>
      </c>
      <c r="AR27" s="47">
        <f t="shared" si="63"/>
        <v>181.1764706</v>
      </c>
    </row>
    <row r="28" ht="15.75" customHeight="1">
      <c r="A28" s="1" t="s">
        <v>45</v>
      </c>
      <c r="D28" s="2"/>
      <c r="X28" s="66" t="s">
        <v>1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6"/>
    </row>
    <row r="29" ht="15.75" customHeight="1">
      <c r="A29" s="7">
        <v>46267.0</v>
      </c>
      <c r="B29" s="8" t="s">
        <v>2</v>
      </c>
      <c r="C29" s="8" t="s">
        <v>3</v>
      </c>
      <c r="D29" s="8" t="s">
        <v>4</v>
      </c>
      <c r="E29" s="8" t="s">
        <v>5</v>
      </c>
      <c r="F29" s="9" t="s">
        <v>6</v>
      </c>
      <c r="G29" s="8" t="s">
        <v>7</v>
      </c>
      <c r="H29" s="8" t="s">
        <v>8</v>
      </c>
      <c r="I29" s="8" t="s">
        <v>9</v>
      </c>
      <c r="J29" s="8" t="s">
        <v>10</v>
      </c>
      <c r="K29" s="8" t="s">
        <v>11</v>
      </c>
      <c r="L29" s="8" t="s">
        <v>12</v>
      </c>
      <c r="M29" s="8" t="s">
        <v>13</v>
      </c>
      <c r="N29" s="9" t="s">
        <v>14</v>
      </c>
      <c r="O29" s="8" t="s">
        <v>15</v>
      </c>
      <c r="P29" s="8" t="s">
        <v>16</v>
      </c>
      <c r="Q29" s="8" t="s">
        <v>17</v>
      </c>
      <c r="R29" s="8" t="s">
        <v>18</v>
      </c>
      <c r="S29" s="11" t="s">
        <v>19</v>
      </c>
      <c r="T29" s="12" t="s">
        <v>20</v>
      </c>
      <c r="U29" s="12" t="s">
        <v>21</v>
      </c>
      <c r="V29" s="13" t="s">
        <v>22</v>
      </c>
      <c r="X29" s="14" t="s">
        <v>2</v>
      </c>
      <c r="Y29" s="14" t="s">
        <v>3</v>
      </c>
      <c r="Z29" s="14" t="s">
        <v>4</v>
      </c>
      <c r="AA29" s="14" t="s">
        <v>5</v>
      </c>
      <c r="AB29" s="15" t="s">
        <v>6</v>
      </c>
      <c r="AC29" s="14" t="s">
        <v>7</v>
      </c>
      <c r="AD29" s="14" t="s">
        <v>8</v>
      </c>
      <c r="AE29" s="14" t="s">
        <v>9</v>
      </c>
      <c r="AF29" s="14" t="s">
        <v>10</v>
      </c>
      <c r="AG29" s="14" t="s">
        <v>11</v>
      </c>
      <c r="AH29" s="14" t="s">
        <v>12</v>
      </c>
      <c r="AI29" s="14" t="s">
        <v>13</v>
      </c>
      <c r="AJ29" s="15" t="s">
        <v>14</v>
      </c>
      <c r="AK29" s="14" t="s">
        <v>15</v>
      </c>
      <c r="AL29" s="14" t="s">
        <v>16</v>
      </c>
      <c r="AM29" s="16" t="s">
        <v>17</v>
      </c>
      <c r="AN29" s="17" t="s">
        <v>18</v>
      </c>
      <c r="AO29" s="18" t="s">
        <v>19</v>
      </c>
      <c r="AP29" s="19" t="s">
        <v>20</v>
      </c>
      <c r="AQ29" s="19" t="s">
        <v>21</v>
      </c>
      <c r="AR29" s="20" t="s">
        <v>22</v>
      </c>
    </row>
    <row r="30" ht="15.7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X30" s="22">
        <v>1.0</v>
      </c>
      <c r="Y30" s="22" t="s">
        <v>23</v>
      </c>
      <c r="Z30" s="22">
        <f t="shared" ref="Z30:AI30" si="76">SUM(D38)</f>
        <v>35</v>
      </c>
      <c r="AA30" s="23">
        <f t="shared" si="76"/>
        <v>34</v>
      </c>
      <c r="AB30" s="24">
        <f t="shared" si="76"/>
        <v>6680.52</v>
      </c>
      <c r="AC30" s="23">
        <f t="shared" si="76"/>
        <v>2083</v>
      </c>
      <c r="AD30" s="23">
        <f t="shared" si="76"/>
        <v>0</v>
      </c>
      <c r="AE30" s="23">
        <f t="shared" si="76"/>
        <v>2083</v>
      </c>
      <c r="AF30" s="23">
        <f t="shared" si="76"/>
        <v>2916</v>
      </c>
      <c r="AG30" s="23">
        <f t="shared" si="76"/>
        <v>0</v>
      </c>
      <c r="AH30" s="23">
        <f t="shared" si="76"/>
        <v>2916</v>
      </c>
      <c r="AI30" s="23">
        <f t="shared" si="76"/>
        <v>4999</v>
      </c>
      <c r="AJ30" s="25">
        <f t="shared" ref="AJ30:AJ32" si="79">AB30/AA30</f>
        <v>196.4858824</v>
      </c>
      <c r="AK30" s="22">
        <f>SUM(O38)</f>
        <v>6853</v>
      </c>
      <c r="AL30" s="26">
        <f t="shared" ref="AL30:AL36" si="80">AI30/AK30</f>
        <v>0.7294615497</v>
      </c>
      <c r="AM30" s="27">
        <f t="shared" ref="AM30:AM32" si="81">SUM(Q38)</f>
        <v>1.5</v>
      </c>
      <c r="AN30" s="26">
        <f t="shared" ref="AN30:AN36" si="82">AO30/AM30</f>
        <v>0.4988633619</v>
      </c>
      <c r="AO30" s="28">
        <f t="shared" ref="AO30:AO36" si="83">AI30/AB30</f>
        <v>0.7482950429</v>
      </c>
      <c r="AP30" s="27">
        <f t="shared" ref="AP30:AQ30" si="77">SUM(T38)</f>
        <v>198</v>
      </c>
      <c r="AQ30" s="27">
        <f t="shared" si="77"/>
        <v>5.823529412</v>
      </c>
      <c r="AR30" s="23">
        <f t="shared" ref="AR30:AR36" si="85">AI30/AA30</f>
        <v>147.0294118</v>
      </c>
    </row>
    <row r="31" ht="15.7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X31" s="22">
        <v>2.0</v>
      </c>
      <c r="Y31" s="22" t="s">
        <v>24</v>
      </c>
      <c r="Z31" s="22">
        <f t="shared" ref="Z31:AI31" si="78">SUM(D39)</f>
        <v>44</v>
      </c>
      <c r="AA31" s="23">
        <f t="shared" si="78"/>
        <v>44</v>
      </c>
      <c r="AB31" s="24">
        <f t="shared" si="78"/>
        <v>8354.582</v>
      </c>
      <c r="AC31" s="23">
        <f t="shared" si="78"/>
        <v>1454</v>
      </c>
      <c r="AD31" s="23">
        <f t="shared" si="78"/>
        <v>0</v>
      </c>
      <c r="AE31" s="23">
        <f t="shared" si="78"/>
        <v>1454</v>
      </c>
      <c r="AF31" s="23">
        <f t="shared" si="78"/>
        <v>1288</v>
      </c>
      <c r="AG31" s="23">
        <f t="shared" si="78"/>
        <v>28</v>
      </c>
      <c r="AH31" s="23">
        <f t="shared" si="78"/>
        <v>1316</v>
      </c>
      <c r="AI31" s="23">
        <f t="shared" si="78"/>
        <v>2770</v>
      </c>
      <c r="AJ31" s="25">
        <f t="shared" si="79"/>
        <v>189.8768636</v>
      </c>
      <c r="AK31" s="22">
        <v>1580.0</v>
      </c>
      <c r="AL31" s="29">
        <f t="shared" si="80"/>
        <v>1.753164557</v>
      </c>
      <c r="AM31" s="27">
        <f t="shared" si="81"/>
        <v>1.5</v>
      </c>
      <c r="AN31" s="26">
        <f t="shared" si="82"/>
        <v>0.2210363926</v>
      </c>
      <c r="AO31" s="28">
        <f t="shared" si="83"/>
        <v>0.3315545888</v>
      </c>
      <c r="AP31" s="27">
        <f t="shared" ref="AP31:AQ31" si="84">SUM(T39)</f>
        <v>311.6799851</v>
      </c>
      <c r="AQ31" s="27">
        <f t="shared" si="84"/>
        <v>7.083636024</v>
      </c>
      <c r="AR31" s="23">
        <f t="shared" si="85"/>
        <v>62.95454545</v>
      </c>
    </row>
    <row r="32" ht="15.75" customHeight="1">
      <c r="A32" s="21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X32" s="31">
        <v>3.0</v>
      </c>
      <c r="Y32" s="31" t="s">
        <v>25</v>
      </c>
      <c r="Z32" s="31">
        <f t="shared" ref="Z32:AI32" si="86">SUM(D40)</f>
        <v>32</v>
      </c>
      <c r="AA32" s="32">
        <f t="shared" si="86"/>
        <v>31</v>
      </c>
      <c r="AB32" s="33">
        <f t="shared" si="86"/>
        <v>5925.124</v>
      </c>
      <c r="AC32" s="32">
        <f t="shared" si="86"/>
        <v>2351</v>
      </c>
      <c r="AD32" s="32">
        <f t="shared" si="86"/>
        <v>438</v>
      </c>
      <c r="AE32" s="32">
        <f t="shared" si="86"/>
        <v>2789</v>
      </c>
      <c r="AF32" s="32">
        <f t="shared" si="86"/>
        <v>3213</v>
      </c>
      <c r="AG32" s="32">
        <f t="shared" si="86"/>
        <v>305</v>
      </c>
      <c r="AH32" s="32">
        <f t="shared" si="86"/>
        <v>3518</v>
      </c>
      <c r="AI32" s="32">
        <f t="shared" si="86"/>
        <v>6307</v>
      </c>
      <c r="AJ32" s="34">
        <f t="shared" si="79"/>
        <v>191.1330323</v>
      </c>
      <c r="AK32" s="31">
        <f>SUM(O40)</f>
        <v>6622</v>
      </c>
      <c r="AL32" s="35">
        <f t="shared" si="80"/>
        <v>0.9524312896</v>
      </c>
      <c r="AM32" s="36">
        <f t="shared" si="81"/>
        <v>1.5</v>
      </c>
      <c r="AN32" s="35">
        <f t="shared" si="82"/>
        <v>0.7096335312</v>
      </c>
      <c r="AO32" s="37">
        <f t="shared" si="83"/>
        <v>1.064450297</v>
      </c>
      <c r="AP32" s="36">
        <f t="shared" ref="AP32:AQ32" si="87">SUM(T40)</f>
        <v>248.5370805</v>
      </c>
      <c r="AQ32" s="36">
        <f t="shared" si="87"/>
        <v>8.017325179</v>
      </c>
      <c r="AR32" s="32">
        <f t="shared" si="85"/>
        <v>203.4516129</v>
      </c>
    </row>
    <row r="33" ht="15.75" customHeight="1">
      <c r="A33" s="21"/>
      <c r="B33" s="38">
        <v>1.0</v>
      </c>
      <c r="C33" s="38" t="s">
        <v>26</v>
      </c>
      <c r="D33" s="39">
        <v>20.0</v>
      </c>
      <c r="E33" s="40">
        <f>IFERROR(__xludf.DUMMYFUNCTION("COUNT(IMPORTRANGE(""https://docs.google.com/spreadsheets/d/1F0NpMx7WhcgPgxTWpryY3Z1CGg56FL6aiL4mHs43w4E/edit"",""2!d2:d21""))"),20.0)</f>
        <v>20</v>
      </c>
      <c r="F33" s="41">
        <f>IFERROR(__xludf.DUMMYFUNCTION("SUM(IMPORTRANGE(""https://docs.google.com/spreadsheets/d/1F0NpMx7WhcgPgxTWpryY3Z1CGg56FL6aiL4mHs43w4E/edit"",""2!Q2:Q21""))"),3560.964)</f>
        <v>3560.964</v>
      </c>
      <c r="G33" s="40">
        <f>IFERROR(__xludf.DUMMYFUNCTION("IMPORTRANGE(""https://docs.google.com/spreadsheets/d/1F0NpMx7WhcgPgxTWpryY3Z1CGg56FL6aiL4mHs43w4E/edit"",""2!e28"")"),1873.0)</f>
        <v>1873</v>
      </c>
      <c r="H33" s="40">
        <f>IFERROR(__xludf.DUMMYFUNCTION("IMPORTRANGE(""https://docs.google.com/spreadsheets/d/1F0NpMx7WhcgPgxTWpryY3Z1CGg56FL6aiL4mHs43w4E/edit"",""2!e29"")"),0.0)</f>
        <v>0</v>
      </c>
      <c r="I33" s="40">
        <f t="shared" ref="I33:I50" si="90">SUM(G33:H33)</f>
        <v>1873</v>
      </c>
      <c r="J33" s="40">
        <f>IFERROR(__xludf.DUMMYFUNCTION("IMPORTRANGE(""https://docs.google.com/spreadsheets/d/1F0NpMx7WhcgPgxTWpryY3Z1CGg56FL6aiL4mHs43w4E/edit"",""2!e32"")"),3204.0)</f>
        <v>3204</v>
      </c>
      <c r="K33" s="40">
        <f>IFERROR(__xludf.DUMMYFUNCTION("IMPORTRANGE(""https://docs.google.com/spreadsheets/d/1F0NpMx7WhcgPgxTWpryY3Z1CGg56FL6aiL4mHs43w4E/edit"",""2!e33"")"),0.0)</f>
        <v>0</v>
      </c>
      <c r="L33" s="40">
        <f t="shared" ref="L33:L39" si="91">SUM(J33:K33)</f>
        <v>3204</v>
      </c>
      <c r="M33" s="40">
        <f t="shared" ref="M33:M50" si="92">SUM(I33+L33)</f>
        <v>5077</v>
      </c>
      <c r="N33" s="41">
        <f t="shared" ref="N33:N51" si="93">F33/E33</f>
        <v>178.0482</v>
      </c>
      <c r="O33" s="38">
        <v>5161.0</v>
      </c>
      <c r="P33" s="42">
        <f t="shared" ref="P33:P51" si="94">M33/O33</f>
        <v>0.9837240845</v>
      </c>
      <c r="Q33" s="43">
        <v>1.5</v>
      </c>
      <c r="R33" s="42">
        <f t="shared" ref="R33:R51" si="95">S33/Q33</f>
        <v>0.9504916833</v>
      </c>
      <c r="S33" s="44">
        <f t="shared" ref="S33:S51" si="96">M33/F33</f>
        <v>1.425737525</v>
      </c>
      <c r="T33" s="43">
        <f>F33/14.415</f>
        <v>247.0318418</v>
      </c>
      <c r="U33" s="43">
        <f t="shared" ref="U33:U51" si="97">T33/E33</f>
        <v>12.35159209</v>
      </c>
      <c r="V33" s="40">
        <f t="shared" ref="V33:V51" si="98">M33/E33</f>
        <v>253.85</v>
      </c>
      <c r="X33" s="22">
        <v>4.0</v>
      </c>
      <c r="Y33" s="22" t="s">
        <v>27</v>
      </c>
      <c r="Z33" s="22">
        <f t="shared" ref="Z33:AK33" si="88">SUM(D46)</f>
        <v>30</v>
      </c>
      <c r="AA33" s="23">
        <f t="shared" si="88"/>
        <v>28</v>
      </c>
      <c r="AB33" s="24">
        <f t="shared" si="88"/>
        <v>5465.76</v>
      </c>
      <c r="AC33" s="23">
        <f t="shared" si="88"/>
        <v>2368</v>
      </c>
      <c r="AD33" s="23">
        <f t="shared" si="88"/>
        <v>140</v>
      </c>
      <c r="AE33" s="23">
        <f t="shared" si="88"/>
        <v>2508</v>
      </c>
      <c r="AF33" s="23">
        <f t="shared" si="88"/>
        <v>3355</v>
      </c>
      <c r="AG33" s="23">
        <f t="shared" si="88"/>
        <v>107</v>
      </c>
      <c r="AH33" s="23">
        <f t="shared" si="88"/>
        <v>3462</v>
      </c>
      <c r="AI33" s="23">
        <f t="shared" si="88"/>
        <v>5970</v>
      </c>
      <c r="AJ33" s="25">
        <f t="shared" si="88"/>
        <v>195.2057143</v>
      </c>
      <c r="AK33" s="22">
        <f t="shared" si="88"/>
        <v>8101</v>
      </c>
      <c r="AL33" s="26">
        <f t="shared" si="80"/>
        <v>0.736946056</v>
      </c>
      <c r="AM33" s="27">
        <f>SUM(Q46)</f>
        <v>1.5</v>
      </c>
      <c r="AN33" s="26">
        <f t="shared" si="82"/>
        <v>0.7281695501</v>
      </c>
      <c r="AO33" s="28">
        <f t="shared" si="83"/>
        <v>1.092254325</v>
      </c>
      <c r="AP33" s="27">
        <f t="shared" ref="AP33:AQ33" si="89">SUM(T46)</f>
        <v>273.4931198</v>
      </c>
      <c r="AQ33" s="27">
        <f t="shared" si="89"/>
        <v>9.767611423</v>
      </c>
      <c r="AR33" s="23">
        <f t="shared" si="85"/>
        <v>213.2142857</v>
      </c>
    </row>
    <row r="34" ht="15.75" customHeight="1">
      <c r="A34" s="21"/>
      <c r="B34" s="38">
        <v>2.0</v>
      </c>
      <c r="C34" s="38" t="s">
        <v>28</v>
      </c>
      <c r="D34" s="39">
        <v>33.0</v>
      </c>
      <c r="E34" s="40">
        <f>IFERROR(__xludf.DUMMYFUNCTION("COUNT(IMPORTRANGE(""https://docs.google.com/spreadsheets/d/1H9vAqftAHb0OdeSGXHTnJFzoWUgpoH31sc0sHNN8y1o/edit"",""2!d2:d34""))"),33.0)</f>
        <v>33</v>
      </c>
      <c r="F34" s="41">
        <f>IFERROR(__xludf.DUMMYFUNCTION("SUM(IMPORTRANGE(""https://docs.google.com/spreadsheets/d/1H9vAqftAHb0OdeSGXHTnJFzoWUgpoH31sc0sHNN8y1o/edit"",""2!Q2:Q34""))"),6528.832999999999)</f>
        <v>6528.833</v>
      </c>
      <c r="G34" s="40">
        <f>IFERROR(__xludf.DUMMYFUNCTION("IMPORTRANGE(""https://docs.google.com/spreadsheets/d/1H9vAqftAHb0OdeSGXHTnJFzoWUgpoH31sc0sHNN8y1o/edit"",""2!e41"")"),2700.0)</f>
        <v>2700</v>
      </c>
      <c r="H34" s="40">
        <f>IFERROR(__xludf.DUMMYFUNCTION("IMPORTRANGE(""https://docs.google.com/spreadsheets/d/1H9vAqftAHb0OdeSGXHTnJFzoWUgpoH31sc0sHNN8y1o/edit"",""2!e42"")"),104.0)</f>
        <v>104</v>
      </c>
      <c r="I34" s="40">
        <f t="shared" si="90"/>
        <v>2804</v>
      </c>
      <c r="J34" s="40">
        <f>IFERROR(__xludf.DUMMYFUNCTION("IMPORTRANGE(""https://docs.google.com/spreadsheets/d/1H9vAqftAHb0OdeSGXHTnJFzoWUgpoH31sc0sHNN8y1o/edit"",""2!e45"")"),3205.0)</f>
        <v>3205</v>
      </c>
      <c r="K34" s="40">
        <f>IFERROR(__xludf.DUMMYFUNCTION("IMPORTRANGE(""https://docs.google.com/spreadsheets/d/1H9vAqftAHb0OdeSGXHTnJFzoWUgpoH31sc0sHNN8y1o/edit"",""2!e46"")"),102.0)</f>
        <v>102</v>
      </c>
      <c r="L34" s="40">
        <f t="shared" si="91"/>
        <v>3307</v>
      </c>
      <c r="M34" s="40">
        <f t="shared" si="92"/>
        <v>6111</v>
      </c>
      <c r="N34" s="41">
        <f t="shared" si="93"/>
        <v>197.8434242</v>
      </c>
      <c r="O34" s="38">
        <v>7315.0</v>
      </c>
      <c r="P34" s="42">
        <f t="shared" si="94"/>
        <v>0.8354066986</v>
      </c>
      <c r="Q34" s="43">
        <v>1.5</v>
      </c>
      <c r="R34" s="42">
        <f t="shared" si="95"/>
        <v>0.6240012572</v>
      </c>
      <c r="S34" s="44">
        <f t="shared" si="96"/>
        <v>0.9360018858</v>
      </c>
      <c r="T34" s="43">
        <f>F34/30.897</f>
        <v>211.3096093</v>
      </c>
      <c r="U34" s="43">
        <f t="shared" si="97"/>
        <v>6.403321495</v>
      </c>
      <c r="V34" s="40">
        <f t="shared" si="98"/>
        <v>185.1818182</v>
      </c>
      <c r="X34" s="22">
        <v>5.0</v>
      </c>
      <c r="Y34" s="22" t="s">
        <v>29</v>
      </c>
      <c r="Z34" s="22">
        <f t="shared" ref="Z34:AI34" si="99">SUM(D49)</f>
        <v>30</v>
      </c>
      <c r="AA34" s="23">
        <f t="shared" si="99"/>
        <v>29</v>
      </c>
      <c r="AB34" s="24">
        <f t="shared" si="99"/>
        <v>5775.038</v>
      </c>
      <c r="AC34" s="23">
        <f t="shared" si="99"/>
        <v>2726</v>
      </c>
      <c r="AD34" s="23">
        <f t="shared" si="99"/>
        <v>0</v>
      </c>
      <c r="AE34" s="23">
        <f t="shared" si="99"/>
        <v>2726</v>
      </c>
      <c r="AF34" s="23">
        <f t="shared" si="99"/>
        <v>4235</v>
      </c>
      <c r="AG34" s="23">
        <f t="shared" si="99"/>
        <v>0</v>
      </c>
      <c r="AH34" s="23">
        <f t="shared" si="99"/>
        <v>4235</v>
      </c>
      <c r="AI34" s="23">
        <f t="shared" si="99"/>
        <v>6961</v>
      </c>
      <c r="AJ34" s="25">
        <f t="shared" ref="AJ34:AJ36" si="102">AB34/AA34</f>
        <v>199.1392414</v>
      </c>
      <c r="AK34" s="22">
        <f t="shared" ref="AK34:AK35" si="103">SUM(O49)</f>
        <v>9201</v>
      </c>
      <c r="AL34" s="26">
        <f t="shared" si="80"/>
        <v>0.7565482013</v>
      </c>
      <c r="AM34" s="27">
        <f t="shared" ref="AM34:AM35" si="104">SUM(Q49)</f>
        <v>1.5</v>
      </c>
      <c r="AN34" s="26">
        <f t="shared" si="82"/>
        <v>0.803573356</v>
      </c>
      <c r="AO34" s="28">
        <f t="shared" si="83"/>
        <v>1.205360034</v>
      </c>
      <c r="AP34" s="27">
        <f t="shared" ref="AP34:AQ34" si="100">SUM(T49)</f>
        <v>218</v>
      </c>
      <c r="AQ34" s="27">
        <f t="shared" si="100"/>
        <v>7.517241379</v>
      </c>
      <c r="AR34" s="23">
        <f t="shared" si="85"/>
        <v>240.0344828</v>
      </c>
    </row>
    <row r="35" ht="15.75" customHeight="1">
      <c r="A35" s="21"/>
      <c r="B35" s="38">
        <v>3.0</v>
      </c>
      <c r="C35" s="38" t="s">
        <v>30</v>
      </c>
      <c r="D35" s="39">
        <v>60.0</v>
      </c>
      <c r="E35" s="40">
        <f>IFERROR(__xludf.DUMMYFUNCTION("COUNT(IMPORTRANGE(""https://docs.google.com/spreadsheets/d/1EWN6nfpuVxbUE_9opjYCWaI7MTm5xsF6ssjklSbMZnA/edit"",""2!d2:d61""))"),58.0)</f>
        <v>58</v>
      </c>
      <c r="F35" s="45">
        <f>IFERROR(__xludf.DUMMYFUNCTION("SUM(IMPORTRANGE(""https://docs.google.com/spreadsheets/d/1EWN6nfpuVxbUE_9opjYCWaI7MTm5xsF6ssjklSbMZnA/edit"",""2!Q2:Q61""))"),11253.344999999988)</f>
        <v>11253.345</v>
      </c>
      <c r="G35" s="40">
        <f>IFERROR(__xludf.DUMMYFUNCTION("IMPORTRANGE(""https://docs.google.com/spreadsheets/d/1EWN6nfpuVxbUE_9opjYCWaI7MTm5xsF6ssjklSbMZnA/edit"",""2!e68"")"),3757.0)</f>
        <v>3757</v>
      </c>
      <c r="H35" s="40">
        <f>IFERROR(__xludf.DUMMYFUNCTION("IMPORTRANGE(""https://docs.google.com/spreadsheets/d/1EWN6nfpuVxbUE_9opjYCWaI7MTm5xsF6ssjklSbMZnA/edit"",""2!e69"")"),0.0)</f>
        <v>0</v>
      </c>
      <c r="I35" s="40">
        <f t="shared" si="90"/>
        <v>3757</v>
      </c>
      <c r="J35" s="40">
        <f>IFERROR(__xludf.DUMMYFUNCTION("IMPORTRANGE(""https://docs.google.com/spreadsheets/d/1EWN6nfpuVxbUE_9opjYCWaI7MTm5xsF6ssjklSbMZnA/edit"",""2!e72"")"),5596.0)</f>
        <v>5596</v>
      </c>
      <c r="K35" s="40">
        <f>IFERROR(__xludf.DUMMYFUNCTION("IMPORTRANGE(""https://docs.google.com/spreadsheets/d/1EWN6nfpuVxbUE_9opjYCWaI7MTm5xsF6ssjklSbMZnA/edit"",""2!e73"")"),0.0)</f>
        <v>0</v>
      </c>
      <c r="L35" s="40">
        <f t="shared" si="91"/>
        <v>5596</v>
      </c>
      <c r="M35" s="40">
        <f t="shared" si="92"/>
        <v>9353</v>
      </c>
      <c r="N35" s="41">
        <f t="shared" si="93"/>
        <v>194.0231897</v>
      </c>
      <c r="O35" s="38">
        <v>11164.0</v>
      </c>
      <c r="P35" s="42">
        <f t="shared" si="94"/>
        <v>0.8377821569</v>
      </c>
      <c r="Q35" s="43">
        <v>1.5</v>
      </c>
      <c r="R35" s="42">
        <f t="shared" si="95"/>
        <v>0.5540871033</v>
      </c>
      <c r="S35" s="44">
        <f t="shared" si="96"/>
        <v>0.8311306549</v>
      </c>
      <c r="T35" s="43">
        <f>F35/29.603</f>
        <v>380.1420464</v>
      </c>
      <c r="U35" s="43">
        <f t="shared" si="97"/>
        <v>6.554173214</v>
      </c>
      <c r="V35" s="40">
        <f t="shared" si="98"/>
        <v>161.2586207</v>
      </c>
      <c r="X35" s="22">
        <v>6.0</v>
      </c>
      <c r="Y35" s="22" t="s">
        <v>31</v>
      </c>
      <c r="Z35" s="22">
        <f t="shared" ref="Z35:AI35" si="101">SUM(D50)</f>
        <v>15</v>
      </c>
      <c r="AA35" s="23">
        <f t="shared" si="101"/>
        <v>13</v>
      </c>
      <c r="AB35" s="25">
        <f t="shared" si="101"/>
        <v>2607.9</v>
      </c>
      <c r="AC35" s="23">
        <f t="shared" si="101"/>
        <v>870</v>
      </c>
      <c r="AD35" s="23">
        <f t="shared" si="101"/>
        <v>0</v>
      </c>
      <c r="AE35" s="23">
        <f t="shared" si="101"/>
        <v>870</v>
      </c>
      <c r="AF35" s="23">
        <f t="shared" si="101"/>
        <v>975</v>
      </c>
      <c r="AG35" s="23">
        <f t="shared" si="101"/>
        <v>55</v>
      </c>
      <c r="AH35" s="23">
        <f t="shared" si="101"/>
        <v>1030</v>
      </c>
      <c r="AI35" s="23">
        <f t="shared" si="101"/>
        <v>1900</v>
      </c>
      <c r="AJ35" s="25">
        <f t="shared" si="102"/>
        <v>200.6076923</v>
      </c>
      <c r="AK35" s="22">
        <f t="shared" si="103"/>
        <v>2717</v>
      </c>
      <c r="AL35" s="26">
        <f t="shared" si="80"/>
        <v>0.6993006993</v>
      </c>
      <c r="AM35" s="27">
        <f t="shared" si="104"/>
        <v>1.5</v>
      </c>
      <c r="AN35" s="26">
        <f t="shared" si="82"/>
        <v>0.4857036952</v>
      </c>
      <c r="AO35" s="28">
        <f t="shared" si="83"/>
        <v>0.7285555428</v>
      </c>
      <c r="AP35" s="27">
        <f t="shared" ref="AP35:AQ35" si="105">SUM(T50)</f>
        <v>60</v>
      </c>
      <c r="AQ35" s="27">
        <f t="shared" si="105"/>
        <v>4.615384615</v>
      </c>
      <c r="AR35" s="23">
        <f t="shared" si="85"/>
        <v>146.1538462</v>
      </c>
    </row>
    <row r="36" ht="15.75" customHeight="1">
      <c r="A36" s="21"/>
      <c r="B36" s="38">
        <v>4.0</v>
      </c>
      <c r="C36" s="38" t="s">
        <v>32</v>
      </c>
      <c r="D36" s="39">
        <v>42.0</v>
      </c>
      <c r="E36" s="40">
        <f>IFERROR(__xludf.DUMMYFUNCTION("COUNT(IMPORTRANGE(""https://docs.google.com/spreadsheets/d/1Rmar8QqWK4XOJ-eY6xMzkAfDSw0srEXcAw89ilArun8/edit"",""2!d2:d43""))"),42.0)</f>
        <v>42</v>
      </c>
      <c r="F36" s="45">
        <f>IFERROR(__xludf.DUMMYFUNCTION("SUM(IMPORTRANGE(""https://docs.google.com/spreadsheets/d/1Rmar8QqWK4XOJ-eY6xMzkAfDSw0srEXcAw89ilArun8/edit"",""2!Q2:Q43""))"),8179.01399999999)</f>
        <v>8179.014</v>
      </c>
      <c r="G36" s="38">
        <f>IFERROR(__xludf.DUMMYFUNCTION("IMPORTRANGE(""https://docs.google.com/spreadsheets/d/1Rmar8QqWK4XOJ-eY6xMzkAfDSw0srEXcAw89ilArun8/edit"",""2!e50"")"),4808.0)</f>
        <v>4808</v>
      </c>
      <c r="H36" s="38">
        <f>IFERROR(__xludf.DUMMYFUNCTION("IMPORTRANGE(""https://docs.google.com/spreadsheets/d/1Rmar8QqWK4XOJ-eY6xMzkAfDSw0srEXcAw89ilArun8/edit"",""2!e51"")"),0.0)</f>
        <v>0</v>
      </c>
      <c r="I36" s="40">
        <f t="shared" si="90"/>
        <v>4808</v>
      </c>
      <c r="J36" s="38">
        <f>IFERROR(__xludf.DUMMYFUNCTION("IMPORTRANGE(""https://docs.google.com/spreadsheets/d/1Rmar8QqWK4XOJ-eY6xMzkAfDSw0srEXcAw89ilArun8/edit"",""2!e54"")"),5449.0)</f>
        <v>5449</v>
      </c>
      <c r="K36" s="38">
        <f>IFERROR(__xludf.DUMMYFUNCTION("IMPORTRANGE(""https://docs.google.com/spreadsheets/d/1Rmar8QqWK4XOJ-eY6xMzkAfDSw0srEXcAw89ilArun8/edit"",""2!e55"")"),190.0)</f>
        <v>190</v>
      </c>
      <c r="L36" s="40">
        <f t="shared" si="91"/>
        <v>5639</v>
      </c>
      <c r="M36" s="40">
        <f t="shared" si="92"/>
        <v>10447</v>
      </c>
      <c r="N36" s="41">
        <f t="shared" si="93"/>
        <v>194.7384286</v>
      </c>
      <c r="O36" s="38">
        <v>13817.0</v>
      </c>
      <c r="P36" s="42">
        <f t="shared" si="94"/>
        <v>0.756097561</v>
      </c>
      <c r="Q36" s="43">
        <v>1.5</v>
      </c>
      <c r="R36" s="42">
        <f t="shared" si="95"/>
        <v>0.8515288844</v>
      </c>
      <c r="S36" s="44">
        <f t="shared" si="96"/>
        <v>1.277293327</v>
      </c>
      <c r="T36" s="43">
        <f>F36/25.089</f>
        <v>326</v>
      </c>
      <c r="U36" s="43">
        <f t="shared" si="97"/>
        <v>7.761904762</v>
      </c>
      <c r="V36" s="40">
        <f t="shared" si="98"/>
        <v>248.7380952</v>
      </c>
      <c r="X36" s="46" t="s">
        <v>33</v>
      </c>
      <c r="Y36" s="46">
        <v>6.0</v>
      </c>
      <c r="Z36" s="46">
        <f t="shared" ref="Z36:AI36" si="106">SUM(Z30:Z35)</f>
        <v>186</v>
      </c>
      <c r="AA36" s="47">
        <f t="shared" si="106"/>
        <v>179</v>
      </c>
      <c r="AB36" s="48">
        <f t="shared" si="106"/>
        <v>34808.924</v>
      </c>
      <c r="AC36" s="47">
        <f t="shared" si="106"/>
        <v>11852</v>
      </c>
      <c r="AD36" s="47">
        <f t="shared" si="106"/>
        <v>578</v>
      </c>
      <c r="AE36" s="47">
        <f t="shared" si="106"/>
        <v>12430</v>
      </c>
      <c r="AF36" s="47">
        <f t="shared" si="106"/>
        <v>15982</v>
      </c>
      <c r="AG36" s="47">
        <f t="shared" si="106"/>
        <v>495</v>
      </c>
      <c r="AH36" s="47">
        <f t="shared" si="106"/>
        <v>16477</v>
      </c>
      <c r="AI36" s="47">
        <f t="shared" si="106"/>
        <v>28907</v>
      </c>
      <c r="AJ36" s="49">
        <f t="shared" si="102"/>
        <v>194.4632626</v>
      </c>
      <c r="AK36" s="46">
        <f>SUM(AK30:AK35)</f>
        <v>35074</v>
      </c>
      <c r="AL36" s="50">
        <f t="shared" si="80"/>
        <v>0.8241717512</v>
      </c>
      <c r="AM36" s="51">
        <v>1.5</v>
      </c>
      <c r="AN36" s="50">
        <f t="shared" si="82"/>
        <v>0.5536319748</v>
      </c>
      <c r="AO36" s="52">
        <f t="shared" si="83"/>
        <v>0.8304479621</v>
      </c>
      <c r="AP36" s="51">
        <f>SUM(AP30:AP35)</f>
        <v>1309.710185</v>
      </c>
      <c r="AQ36" s="51">
        <f>AP36/AA36</f>
        <v>7.316816679</v>
      </c>
      <c r="AR36" s="47">
        <f t="shared" si="85"/>
        <v>161.4916201</v>
      </c>
    </row>
    <row r="37" ht="15.75" customHeight="1">
      <c r="A37" s="21"/>
      <c r="B37" s="38">
        <v>5.0</v>
      </c>
      <c r="C37" s="38" t="s">
        <v>34</v>
      </c>
      <c r="D37" s="39">
        <v>40.0</v>
      </c>
      <c r="E37" s="40">
        <f>IFERROR(__xludf.DUMMYFUNCTION("COUNT(IMPORTRANGE(""https://docs.google.com/spreadsheets/d/1u99JxAoytGQQ8GcjxXl38CGdyEWy5uIbuJJHnsotyvk/edit"",""2!d2:d41""))"),40.0)</f>
        <v>40</v>
      </c>
      <c r="F37" s="45">
        <f>IFERROR(__xludf.DUMMYFUNCTION("SUM(IMPORTRANGE(""https://docs.google.com/spreadsheets/d/1u99JxAoytGQQ8GcjxXl38CGdyEWy5uIbuJJHnsotyvk/edit"",""2!Q2:Q41""))"),7895.343000000003)</f>
        <v>7895.343</v>
      </c>
      <c r="G37" s="40">
        <f>IFERROR(__xludf.DUMMYFUNCTION("IMPORTRANGE(""https://docs.google.com/spreadsheets/d/1u99JxAoytGQQ8GcjxXl38CGdyEWy5uIbuJJHnsotyvk/edit"",""2!e48"")"),3069.0)</f>
        <v>3069</v>
      </c>
      <c r="H37" s="40">
        <f>IFERROR(__xludf.DUMMYFUNCTION("IMPORTRANGE(""https://docs.google.com/spreadsheets/d/1u99JxAoytGQQ8GcjxXl38CGdyEWy5uIbuJJHnsotyvk/edit"",""2!e49"")"),0.0)</f>
        <v>0</v>
      </c>
      <c r="I37" s="40">
        <f t="shared" si="90"/>
        <v>3069</v>
      </c>
      <c r="J37" s="40">
        <f>IFERROR(__xludf.DUMMYFUNCTION("IMPORTRANGE(""https://docs.google.com/spreadsheets/d/1u99JxAoytGQQ8GcjxXl38CGdyEWy5uIbuJJHnsotyvk/edit"",""2!e52"")"),3126.0)</f>
        <v>3126</v>
      </c>
      <c r="K37" s="40">
        <f>IFERROR(__xludf.DUMMYFUNCTION("IMPORTRANGE(""https://docs.google.com/spreadsheets/d/1u99JxAoytGQQ8GcjxXl38CGdyEWy5uIbuJJHnsotyvk/edit"",""2!e53"")"),0.0)</f>
        <v>0</v>
      </c>
      <c r="L37" s="40">
        <f t="shared" si="91"/>
        <v>3126</v>
      </c>
      <c r="M37" s="40">
        <f t="shared" si="92"/>
        <v>6195</v>
      </c>
      <c r="N37" s="41">
        <f t="shared" si="93"/>
        <v>197.383575</v>
      </c>
      <c r="O37" s="38">
        <v>9354.0</v>
      </c>
      <c r="P37" s="42">
        <f t="shared" si="94"/>
        <v>0.6622835151</v>
      </c>
      <c r="Q37" s="43">
        <v>1.5</v>
      </c>
      <c r="R37" s="42">
        <f t="shared" si="95"/>
        <v>0.5230931702</v>
      </c>
      <c r="S37" s="44">
        <f t="shared" si="96"/>
        <v>0.7846397554</v>
      </c>
      <c r="T37" s="43">
        <f>F37/30.713</f>
        <v>257.0684401</v>
      </c>
      <c r="U37" s="43">
        <f t="shared" si="97"/>
        <v>6.426711002</v>
      </c>
      <c r="V37" s="40">
        <f t="shared" si="98"/>
        <v>154.875</v>
      </c>
      <c r="X37" s="53" t="s">
        <v>35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6"/>
    </row>
    <row r="38" ht="15.75" customHeight="1">
      <c r="A38" s="21"/>
      <c r="B38" s="38">
        <v>6.0</v>
      </c>
      <c r="C38" s="38" t="s">
        <v>23</v>
      </c>
      <c r="D38" s="39">
        <v>35.0</v>
      </c>
      <c r="E38" s="40">
        <f>IFERROR(__xludf.DUMMYFUNCTION("COUNT(IMPORTRANGE(""https://docs.google.com/spreadsheets/d/1uVc-vnTn57HE53lwrUYNZP4sGKTXisrqOoZ-6EyvLzY/edit"",""2!d2:d36""))"),34.0)</f>
        <v>34</v>
      </c>
      <c r="F38" s="45">
        <f>IFERROR(__xludf.DUMMYFUNCTION("SUM(IMPORTRANGE(""https://docs.google.com/spreadsheets/d/1uVc-vnTn57HE53lwrUYNZP4sGKTXisrqOoZ-6EyvLzY/edit"",""2!Q2:Q36""))"),6680.519999999996)</f>
        <v>6680.52</v>
      </c>
      <c r="G38" s="40">
        <f>IFERROR(__xludf.DUMMYFUNCTION("IMPORTRANGE(""https://docs.google.com/spreadsheets/d/1uVc-vnTn57HE53lwrUYNZP4sGKTXisrqOoZ-6EyvLzY/edit"",""2!e43"")"),2083.0)</f>
        <v>2083</v>
      </c>
      <c r="H38" s="40">
        <f>IFERROR(__xludf.DUMMYFUNCTION("IMPORTRANGE(""https://docs.google.com/spreadsheets/d/1uVc-vnTn57HE53lwrUYNZP4sGKTXisrqOoZ-6EyvLzY/edit"",""2!e44"")"),0.0)</f>
        <v>0</v>
      </c>
      <c r="I38" s="40">
        <f t="shared" si="90"/>
        <v>2083</v>
      </c>
      <c r="J38" s="40">
        <f>IFERROR(__xludf.DUMMYFUNCTION("IMPORTRANGE(""https://docs.google.com/spreadsheets/d/1uVc-vnTn57HE53lwrUYNZP4sGKTXisrqOoZ-6EyvLzY/edit"",""2!e47"")"),2916.0)</f>
        <v>2916</v>
      </c>
      <c r="K38" s="40">
        <f>IFERROR(__xludf.DUMMYFUNCTION("IMPORTRANGE(""https://docs.google.com/spreadsheets/d/1uVc-vnTn57HE53lwrUYNZP4sGKTXisrqOoZ-6EyvLzY/edit"",""2!e48"")"),0.0)</f>
        <v>0</v>
      </c>
      <c r="L38" s="40">
        <f t="shared" si="91"/>
        <v>2916</v>
      </c>
      <c r="M38" s="40">
        <f t="shared" si="92"/>
        <v>4999</v>
      </c>
      <c r="N38" s="41">
        <f t="shared" si="93"/>
        <v>196.4858824</v>
      </c>
      <c r="O38" s="38">
        <v>6853.0</v>
      </c>
      <c r="P38" s="42">
        <f t="shared" si="94"/>
        <v>0.7294615497</v>
      </c>
      <c r="Q38" s="43">
        <v>1.5</v>
      </c>
      <c r="R38" s="42">
        <f t="shared" si="95"/>
        <v>0.4988633619</v>
      </c>
      <c r="S38" s="44">
        <f t="shared" si="96"/>
        <v>0.7482950429</v>
      </c>
      <c r="T38" s="43">
        <f>F38/33.74</f>
        <v>198</v>
      </c>
      <c r="U38" s="43">
        <f t="shared" si="97"/>
        <v>5.823529412</v>
      </c>
      <c r="V38" s="40">
        <f t="shared" si="98"/>
        <v>147.0294118</v>
      </c>
      <c r="X38" s="14" t="s">
        <v>2</v>
      </c>
      <c r="Y38" s="14" t="s">
        <v>3</v>
      </c>
      <c r="Z38" s="14" t="s">
        <v>4</v>
      </c>
      <c r="AA38" s="14" t="s">
        <v>5</v>
      </c>
      <c r="AB38" s="15" t="s">
        <v>6</v>
      </c>
      <c r="AC38" s="14" t="s">
        <v>7</v>
      </c>
      <c r="AD38" s="14" t="s">
        <v>8</v>
      </c>
      <c r="AE38" s="14" t="s">
        <v>9</v>
      </c>
      <c r="AF38" s="14" t="s">
        <v>10</v>
      </c>
      <c r="AG38" s="14" t="s">
        <v>11</v>
      </c>
      <c r="AH38" s="14" t="s">
        <v>12</v>
      </c>
      <c r="AI38" s="14" t="s">
        <v>13</v>
      </c>
      <c r="AJ38" s="15" t="s">
        <v>14</v>
      </c>
      <c r="AK38" s="14" t="s">
        <v>15</v>
      </c>
      <c r="AL38" s="14" t="s">
        <v>16</v>
      </c>
      <c r="AM38" s="16" t="s">
        <v>17</v>
      </c>
      <c r="AN38" s="17" t="s">
        <v>18</v>
      </c>
      <c r="AO38" s="18" t="s">
        <v>19</v>
      </c>
      <c r="AP38" s="19" t="s">
        <v>20</v>
      </c>
      <c r="AQ38" s="19" t="s">
        <v>21</v>
      </c>
      <c r="AR38" s="20" t="s">
        <v>22</v>
      </c>
    </row>
    <row r="39" ht="15.75" customHeight="1">
      <c r="A39" s="21"/>
      <c r="B39" s="38">
        <v>7.0</v>
      </c>
      <c r="C39" s="38" t="s">
        <v>24</v>
      </c>
      <c r="D39" s="39">
        <v>44.0</v>
      </c>
      <c r="E39" s="54">
        <f>IFERROR(__xludf.DUMMYFUNCTION("COUNT(IMPORTRANGE(""https://docs.google.com/spreadsheets/d/1iuPvivSypupo44l6GtmR-2qZ3za7cTk7KzsOVp_kv2c/edit"",""2!d2:d45""))"),44.0)</f>
        <v>44</v>
      </c>
      <c r="F39" s="55">
        <f>IFERROR(__xludf.DUMMYFUNCTION("SUM(IMPORTRANGE(""https://docs.google.com/spreadsheets/d/1iuPvivSypupo44l6GtmR-2qZ3za7cTk7KzsOVp_kv2c/edit"",""2!Q2:Q45""))"),8354.581999999995)</f>
        <v>8354.582</v>
      </c>
      <c r="G39" s="54">
        <f>IFERROR(__xludf.DUMMYFUNCTION("IMPORTRANGE(""https://docs.google.com/spreadsheets/d/1iuPvivSypupo44l6GtmR-2qZ3za7cTk7KzsOVp_kv2c/edit"",""2!e53"")"),1454.0)</f>
        <v>1454</v>
      </c>
      <c r="H39" s="54">
        <f>IFERROR(__xludf.DUMMYFUNCTION("IMPORTRANGE(""https://docs.google.com/spreadsheets/d/1iuPvivSypupo44l6GtmR-2qZ3za7cTk7KzsOVp_kv2c/edit"",""2!e54"")"),0.0)</f>
        <v>0</v>
      </c>
      <c r="I39" s="54">
        <f t="shared" si="90"/>
        <v>1454</v>
      </c>
      <c r="J39" s="54">
        <f>IFERROR(__xludf.DUMMYFUNCTION("IMPORTRANGE(""https://docs.google.com/spreadsheets/d/1iuPvivSypupo44l6GtmR-2qZ3za7cTk7KzsOVp_kv2c/edit"",""2!e57"")"),1288.0)</f>
        <v>1288</v>
      </c>
      <c r="K39" s="54">
        <f>IFERROR(__xludf.DUMMYFUNCTION("IMPORTRANGE(""https://docs.google.com/spreadsheets/d/1iuPvivSypupo44l6GtmR-2qZ3za7cTk7KzsOVp_kv2c/edit"",""2!e58"")"),28.0)</f>
        <v>28</v>
      </c>
      <c r="L39" s="40">
        <f t="shared" si="91"/>
        <v>1316</v>
      </c>
      <c r="M39" s="40">
        <f t="shared" si="92"/>
        <v>2770</v>
      </c>
      <c r="N39" s="41">
        <f t="shared" si="93"/>
        <v>189.8768636</v>
      </c>
      <c r="O39" s="38">
        <v>1580.0</v>
      </c>
      <c r="P39" s="56">
        <f t="shared" si="94"/>
        <v>1.753164557</v>
      </c>
      <c r="Q39" s="43">
        <v>1.5</v>
      </c>
      <c r="R39" s="42">
        <f t="shared" si="95"/>
        <v>0.2210363926</v>
      </c>
      <c r="S39" s="44">
        <f t="shared" si="96"/>
        <v>0.3315545888</v>
      </c>
      <c r="T39" s="43">
        <f>F39/26.805</f>
        <v>311.6799851</v>
      </c>
      <c r="U39" s="43">
        <f t="shared" si="97"/>
        <v>7.083636024</v>
      </c>
      <c r="V39" s="40">
        <f t="shared" si="98"/>
        <v>62.95454545</v>
      </c>
      <c r="X39" s="22">
        <v>1.0</v>
      </c>
      <c r="Y39" s="22" t="s">
        <v>28</v>
      </c>
      <c r="Z39" s="22">
        <f t="shared" ref="Z39:AI39" si="107">SUM(D34)</f>
        <v>33</v>
      </c>
      <c r="AA39" s="23">
        <f t="shared" si="107"/>
        <v>33</v>
      </c>
      <c r="AB39" s="25">
        <f t="shared" si="107"/>
        <v>6528.833</v>
      </c>
      <c r="AC39" s="23">
        <f t="shared" si="107"/>
        <v>2700</v>
      </c>
      <c r="AD39" s="23">
        <f t="shared" si="107"/>
        <v>104</v>
      </c>
      <c r="AE39" s="23">
        <f t="shared" si="107"/>
        <v>2804</v>
      </c>
      <c r="AF39" s="23">
        <f t="shared" si="107"/>
        <v>3205</v>
      </c>
      <c r="AG39" s="23">
        <f t="shared" si="107"/>
        <v>102</v>
      </c>
      <c r="AH39" s="23">
        <f t="shared" si="107"/>
        <v>3307</v>
      </c>
      <c r="AI39" s="23">
        <f t="shared" si="107"/>
        <v>6111</v>
      </c>
      <c r="AJ39" s="25">
        <f t="shared" ref="AJ39:AJ45" si="110">AB39/AA39</f>
        <v>197.8434242</v>
      </c>
      <c r="AK39" s="22">
        <f t="shared" ref="AK39:AK40" si="111">SUM(O34)</f>
        <v>7315</v>
      </c>
      <c r="AL39" s="26">
        <f t="shared" ref="AL39:AL45" si="112">AI39/AK39</f>
        <v>0.8354066986</v>
      </c>
      <c r="AM39" s="27">
        <f t="shared" ref="AM39:AM40" si="113">SUM(Q34)</f>
        <v>1.5</v>
      </c>
      <c r="AN39" s="26">
        <f t="shared" ref="AN39:AN45" si="114">AO39/AM39</f>
        <v>0.6240012572</v>
      </c>
      <c r="AO39" s="28">
        <f t="shared" ref="AO39:AO45" si="115">AI39/AB39</f>
        <v>0.9360018858</v>
      </c>
      <c r="AP39" s="27">
        <f t="shared" ref="AP39:AQ39" si="108">SUM(T34)</f>
        <v>211.3096093</v>
      </c>
      <c r="AQ39" s="27">
        <f t="shared" si="108"/>
        <v>6.403321495</v>
      </c>
      <c r="AR39" s="23">
        <f t="shared" ref="AR39:AR45" si="117">AI39/AA39</f>
        <v>185.1818182</v>
      </c>
    </row>
    <row r="40" ht="15.75" customHeight="1">
      <c r="A40" s="21"/>
      <c r="B40" s="38">
        <v>8.0</v>
      </c>
      <c r="C40" s="38" t="s">
        <v>25</v>
      </c>
      <c r="D40" s="57">
        <v>32.0</v>
      </c>
      <c r="E40" s="40">
        <f>IFERROR(__xludf.DUMMYFUNCTION("COUNT(IMPORTRANGE(""https://docs.google.com/spreadsheets/d/1sqWX7UerdR9KR_duBzDNfjwbPG-3hLgV1LiN2ZVZ6Js/edit"",""2!d2:D33""))"),31.0)</f>
        <v>31</v>
      </c>
      <c r="F40" s="45">
        <f>IFERROR(__xludf.DUMMYFUNCTION("SUM(IMPORTRANGE(""https://docs.google.com/spreadsheets/d/1sqWX7UerdR9KR_duBzDNfjwbPG-3hLgV1LiN2ZVZ6Js/edit"",""2!Q2:Q33""))"),5925.124000000001)</f>
        <v>5925.124</v>
      </c>
      <c r="G40" s="40">
        <f>IFERROR(__xludf.DUMMYFUNCTION("IMPORTRANGE(""https://docs.google.com/spreadsheets/d/1sqWX7UerdR9KR_duBzDNfjwbPG-3hLgV1LiN2ZVZ6Js/edit"",""2!e40"")"),2351.0)</f>
        <v>2351</v>
      </c>
      <c r="H40" s="40">
        <f>IFERROR(__xludf.DUMMYFUNCTION("IMPORTRANGE(""https://docs.google.com/spreadsheets/d/1sqWX7UerdR9KR_duBzDNfjwbPG-3hLgV1LiN2ZVZ6Js/edit"",""2!e41"")"),438.0)</f>
        <v>438</v>
      </c>
      <c r="I40" s="40">
        <f t="shared" si="90"/>
        <v>2789</v>
      </c>
      <c r="J40" s="40">
        <f>IFERROR(__xludf.DUMMYFUNCTION("IMPORTRANGE(""https://docs.google.com/spreadsheets/d/1sqWX7UerdR9KR_duBzDNfjwbPG-3hLgV1LiN2ZVZ6Js/edit"",""2!e44"")"),3213.0)</f>
        <v>3213</v>
      </c>
      <c r="K40" s="40">
        <f>IFERROR(__xludf.DUMMYFUNCTION("IMPORTRANGE(""https://docs.google.com/spreadsheets/d/1sqWX7UerdR9KR_duBzDNfjwbPG-3hLgV1LiN2ZVZ6Js/edit"",""2!e45"")"),305.0)</f>
        <v>305</v>
      </c>
      <c r="L40" s="40">
        <f>J40+K40</f>
        <v>3518</v>
      </c>
      <c r="M40" s="40">
        <f t="shared" si="92"/>
        <v>6307</v>
      </c>
      <c r="N40" s="41">
        <f t="shared" si="93"/>
        <v>191.1330323</v>
      </c>
      <c r="O40" s="38">
        <v>6622.0</v>
      </c>
      <c r="P40" s="42">
        <f t="shared" si="94"/>
        <v>0.9524312896</v>
      </c>
      <c r="Q40" s="43">
        <v>1.5</v>
      </c>
      <c r="R40" s="42">
        <f t="shared" si="95"/>
        <v>0.7096335312</v>
      </c>
      <c r="S40" s="44">
        <f t="shared" si="96"/>
        <v>1.064450297</v>
      </c>
      <c r="T40" s="43">
        <f>F40/23.84</f>
        <v>248.5370805</v>
      </c>
      <c r="U40" s="43">
        <f t="shared" si="97"/>
        <v>8.017325179</v>
      </c>
      <c r="V40" s="40">
        <f t="shared" si="98"/>
        <v>203.4516129</v>
      </c>
      <c r="X40" s="31">
        <v>2.0</v>
      </c>
      <c r="Y40" s="31" t="s">
        <v>30</v>
      </c>
      <c r="Z40" s="31">
        <f t="shared" ref="Z40:AI40" si="109">SUM(D35)</f>
        <v>60</v>
      </c>
      <c r="AA40" s="32">
        <f t="shared" si="109"/>
        <v>58</v>
      </c>
      <c r="AB40" s="33">
        <f t="shared" si="109"/>
        <v>11253.345</v>
      </c>
      <c r="AC40" s="32">
        <f t="shared" si="109"/>
        <v>3757</v>
      </c>
      <c r="AD40" s="32">
        <f t="shared" si="109"/>
        <v>0</v>
      </c>
      <c r="AE40" s="32">
        <f t="shared" si="109"/>
        <v>3757</v>
      </c>
      <c r="AF40" s="32">
        <f t="shared" si="109"/>
        <v>5596</v>
      </c>
      <c r="AG40" s="32">
        <f t="shared" si="109"/>
        <v>0</v>
      </c>
      <c r="AH40" s="32">
        <f t="shared" si="109"/>
        <v>5596</v>
      </c>
      <c r="AI40" s="32">
        <f t="shared" si="109"/>
        <v>9353</v>
      </c>
      <c r="AJ40" s="34">
        <f t="shared" si="110"/>
        <v>194.0231897</v>
      </c>
      <c r="AK40" s="31">
        <f t="shared" si="111"/>
        <v>11164</v>
      </c>
      <c r="AL40" s="35">
        <f t="shared" si="112"/>
        <v>0.8377821569</v>
      </c>
      <c r="AM40" s="36">
        <f t="shared" si="113"/>
        <v>1.5</v>
      </c>
      <c r="AN40" s="35">
        <f t="shared" si="114"/>
        <v>0.5540871033</v>
      </c>
      <c r="AO40" s="37">
        <f t="shared" si="115"/>
        <v>0.8311306549</v>
      </c>
      <c r="AP40" s="36">
        <f t="shared" ref="AP40:AQ40" si="116">SUM(T35)</f>
        <v>380.1420464</v>
      </c>
      <c r="AQ40" s="36">
        <f t="shared" si="116"/>
        <v>6.554173214</v>
      </c>
      <c r="AR40" s="32">
        <f t="shared" si="117"/>
        <v>161.2586207</v>
      </c>
    </row>
    <row r="41" ht="15.75" customHeight="1">
      <c r="A41" s="21"/>
      <c r="B41" s="38">
        <v>9.0</v>
      </c>
      <c r="C41" s="38" t="s">
        <v>36</v>
      </c>
      <c r="D41" s="58">
        <v>30.0</v>
      </c>
      <c r="E41" s="40">
        <f>IFERROR(__xludf.DUMMYFUNCTION("COUNT(IMPORTRANGE(""https://docs.google.com/spreadsheets/d/1YNna43iTSqnwwbMJgTIPHSJEoDO8RGPRFg5pJCoQR_Y/edit"",""2!d2:d31""))"),29.0)</f>
        <v>29</v>
      </c>
      <c r="F41" s="45">
        <f>IFERROR(__xludf.DUMMYFUNCTION("SUM(IMPORTRANGE(""https://docs.google.com/spreadsheets/d/1YNna43iTSqnwwbMJgTIPHSJEoDO8RGPRFg5pJCoQR_Y/edit"",""2!Q2:Q31""))"),5604.12)</f>
        <v>5604.12</v>
      </c>
      <c r="G41" s="40">
        <f>IFERROR(__xludf.DUMMYFUNCTION("IMPORTRANGE(""https://docs.google.com/spreadsheets/d/1YNna43iTSqnwwbMJgTIPHSJEoDO8RGPRFg5pJCoQR_Y/edit"",""2!e38"")"),1533.0)</f>
        <v>1533</v>
      </c>
      <c r="H41" s="40">
        <f>IFERROR(__xludf.DUMMYFUNCTION("IMPORTRANGE(""https://docs.google.com/spreadsheets/d/1YNna43iTSqnwwbMJgTIPHSJEoDO8RGPRFg5pJCoQR_Y/edit"",""2!e39"")"),0.0)</f>
        <v>0</v>
      </c>
      <c r="I41" s="40">
        <f t="shared" si="90"/>
        <v>1533</v>
      </c>
      <c r="J41" s="40">
        <f>IFERROR(__xludf.DUMMYFUNCTION("IMPORTRANGE(""https://docs.google.com/spreadsheets/d/1YNna43iTSqnwwbMJgTIPHSJEoDO8RGPRFg5pJCoQR_Y/edit"",""2!e42"")"),2301.0)</f>
        <v>2301</v>
      </c>
      <c r="K41" s="40">
        <f>IFERROR(__xludf.DUMMYFUNCTION("IMPORTRANGE(""https://docs.google.com/spreadsheets/d/1YNna43iTSqnwwbMJgTIPHSJEoDO8RGPRFg5pJCoQR_Y/edit"",""2!e43"")"),0.0)</f>
        <v>0</v>
      </c>
      <c r="L41" s="40">
        <f t="shared" ref="L41:L50" si="120">SUM(J41:K41)</f>
        <v>2301</v>
      </c>
      <c r="M41" s="40">
        <f t="shared" si="92"/>
        <v>3834</v>
      </c>
      <c r="N41" s="41">
        <f t="shared" si="93"/>
        <v>193.2455172</v>
      </c>
      <c r="O41" s="38">
        <v>4796.0</v>
      </c>
      <c r="P41" s="42">
        <f t="shared" si="94"/>
        <v>0.7994161802</v>
      </c>
      <c r="Q41" s="43">
        <v>1.5</v>
      </c>
      <c r="R41" s="42">
        <f t="shared" si="95"/>
        <v>0.4560930173</v>
      </c>
      <c r="S41" s="44">
        <f t="shared" si="96"/>
        <v>0.6841395259</v>
      </c>
      <c r="T41" s="43">
        <f>F41/37.414</f>
        <v>149.7867109</v>
      </c>
      <c r="U41" s="43">
        <f t="shared" si="97"/>
        <v>5.165058995</v>
      </c>
      <c r="V41" s="40">
        <f t="shared" si="98"/>
        <v>132.2068966</v>
      </c>
      <c r="X41" s="22">
        <v>3.0</v>
      </c>
      <c r="Y41" s="22" t="s">
        <v>34</v>
      </c>
      <c r="Z41" s="22">
        <f t="shared" ref="Z41:AI41" si="118">SUM(D37)</f>
        <v>40</v>
      </c>
      <c r="AA41" s="23">
        <f t="shared" si="118"/>
        <v>40</v>
      </c>
      <c r="AB41" s="24">
        <f t="shared" si="118"/>
        <v>7895.343</v>
      </c>
      <c r="AC41" s="23">
        <f t="shared" si="118"/>
        <v>3069</v>
      </c>
      <c r="AD41" s="23">
        <f t="shared" si="118"/>
        <v>0</v>
      </c>
      <c r="AE41" s="23">
        <f t="shared" si="118"/>
        <v>3069</v>
      </c>
      <c r="AF41" s="23">
        <f t="shared" si="118"/>
        <v>3126</v>
      </c>
      <c r="AG41" s="23">
        <f t="shared" si="118"/>
        <v>0</v>
      </c>
      <c r="AH41" s="23">
        <f t="shared" si="118"/>
        <v>3126</v>
      </c>
      <c r="AI41" s="23">
        <f t="shared" si="118"/>
        <v>6195</v>
      </c>
      <c r="AJ41" s="25">
        <f t="shared" si="110"/>
        <v>197.383575</v>
      </c>
      <c r="AK41" s="22">
        <f>SUM(O37)</f>
        <v>9354</v>
      </c>
      <c r="AL41" s="26">
        <f t="shared" si="112"/>
        <v>0.6622835151</v>
      </c>
      <c r="AM41" s="27">
        <f>SUM(Q37)</f>
        <v>1.5</v>
      </c>
      <c r="AN41" s="26">
        <f t="shared" si="114"/>
        <v>0.5230931702</v>
      </c>
      <c r="AO41" s="28">
        <f t="shared" si="115"/>
        <v>0.7846397554</v>
      </c>
      <c r="AP41" s="27">
        <f t="shared" ref="AP41:AQ41" si="119">SUM(T37)</f>
        <v>257.0684401</v>
      </c>
      <c r="AQ41" s="27">
        <f t="shared" si="119"/>
        <v>6.426711002</v>
      </c>
      <c r="AR41" s="23">
        <f t="shared" si="117"/>
        <v>154.875</v>
      </c>
    </row>
    <row r="42" ht="15.75" customHeight="1">
      <c r="A42" s="21"/>
      <c r="B42" s="38">
        <v>10.0</v>
      </c>
      <c r="C42" s="38" t="s">
        <v>37</v>
      </c>
      <c r="D42" s="39">
        <v>30.0</v>
      </c>
      <c r="E42" s="40">
        <f>IFERROR(__xludf.DUMMYFUNCTION("COUNT(IMPORTRANGE(""https://docs.google.com/spreadsheets/d/1913Df5BsXS_b-nClL8LOK5w0engQYTl1mPOiyngRtO0/edit"",""2!d2:d31""))"),30.0)</f>
        <v>30</v>
      </c>
      <c r="F42" s="45">
        <f>IFERROR(__xludf.DUMMYFUNCTION("SUM(IMPORTRANGE(""https://docs.google.com/spreadsheets/d/1913Df5BsXS_b-nClL8LOK5w0engQYTl1mPOiyngRtO0/edit"",""2!Q2:Q31""))"),5812.188)</f>
        <v>5812.188</v>
      </c>
      <c r="G42" s="40">
        <f>IFERROR(__xludf.DUMMYFUNCTION("(IMPORTRANGE(""https://docs.google.com/spreadsheets/d/1913Df5BsXS_b-nClL8LOK5w0engQYTl1mPOiyngRtO0/edit"",""2!e38""))"),2138.0)</f>
        <v>2138</v>
      </c>
      <c r="H42" s="40">
        <f>IFERROR(__xludf.DUMMYFUNCTION("(IMPORTRANGE(""https://docs.google.com/spreadsheets/d/1913Df5BsXS_b-nClL8LOK5w0engQYTl1mPOiyngRtO0/edit"",""2!e39""))"),0.0)</f>
        <v>0</v>
      </c>
      <c r="I42" s="40">
        <f t="shared" si="90"/>
        <v>2138</v>
      </c>
      <c r="J42" s="40">
        <f>IFERROR(__xludf.DUMMYFUNCTION("(IMPORTRANGE(""https://docs.google.com/spreadsheets/d/1913Df5BsXS_b-nClL8LOK5w0engQYTl1mPOiyngRtO0/edit"",""2!e42""))"),3071.0)</f>
        <v>3071</v>
      </c>
      <c r="K42" s="40">
        <f>IFERROR(__xludf.DUMMYFUNCTION("(IMPORTRANGE(""https://docs.google.com/spreadsheets/d/1913Df5BsXS_b-nClL8LOK5w0engQYTl1mPOiyngRtO0/edit"",""2!e43""))"),0.0)</f>
        <v>0</v>
      </c>
      <c r="L42" s="40">
        <f t="shared" si="120"/>
        <v>3071</v>
      </c>
      <c r="M42" s="40">
        <f t="shared" si="92"/>
        <v>5209</v>
      </c>
      <c r="N42" s="41">
        <f t="shared" si="93"/>
        <v>193.7396</v>
      </c>
      <c r="O42" s="38">
        <v>5887.0</v>
      </c>
      <c r="P42" s="42">
        <f t="shared" si="94"/>
        <v>0.8848309835</v>
      </c>
      <c r="Q42" s="43">
        <v>1.5</v>
      </c>
      <c r="R42" s="42">
        <f t="shared" si="95"/>
        <v>0.5974800999</v>
      </c>
      <c r="S42" s="44">
        <f t="shared" si="96"/>
        <v>0.8962201498</v>
      </c>
      <c r="T42" s="43">
        <f>F42/24.792</f>
        <v>234.4380445</v>
      </c>
      <c r="U42" s="43">
        <f t="shared" si="97"/>
        <v>7.814601484</v>
      </c>
      <c r="V42" s="40">
        <f t="shared" si="98"/>
        <v>173.6333333</v>
      </c>
      <c r="X42" s="31">
        <v>4.0</v>
      </c>
      <c r="Y42" s="31" t="s">
        <v>38</v>
      </c>
      <c r="Z42" s="31">
        <f t="shared" ref="Z42:AI42" si="121">SUM(D45)</f>
        <v>30</v>
      </c>
      <c r="AA42" s="32">
        <f t="shared" si="121"/>
        <v>30</v>
      </c>
      <c r="AB42" s="33">
        <f t="shared" si="121"/>
        <v>6284.278</v>
      </c>
      <c r="AC42" s="32">
        <f t="shared" si="121"/>
        <v>2309</v>
      </c>
      <c r="AD42" s="32">
        <f t="shared" si="121"/>
        <v>0</v>
      </c>
      <c r="AE42" s="32">
        <f t="shared" si="121"/>
        <v>2309</v>
      </c>
      <c r="AF42" s="32">
        <f t="shared" si="121"/>
        <v>2749</v>
      </c>
      <c r="AG42" s="32">
        <f t="shared" si="121"/>
        <v>159</v>
      </c>
      <c r="AH42" s="32">
        <f t="shared" si="121"/>
        <v>2908</v>
      </c>
      <c r="AI42" s="32">
        <f t="shared" si="121"/>
        <v>5217</v>
      </c>
      <c r="AJ42" s="34">
        <f t="shared" si="110"/>
        <v>209.4759333</v>
      </c>
      <c r="AK42" s="31">
        <v>7324.0</v>
      </c>
      <c r="AL42" s="35">
        <f t="shared" si="112"/>
        <v>0.7123156745</v>
      </c>
      <c r="AM42" s="36">
        <f>SUM(Q45)</f>
        <v>1.5</v>
      </c>
      <c r="AN42" s="35">
        <f t="shared" si="114"/>
        <v>0.5534446439</v>
      </c>
      <c r="AO42" s="37">
        <f t="shared" si="115"/>
        <v>0.8301669659</v>
      </c>
      <c r="AP42" s="36">
        <f t="shared" ref="AP42:AQ42" si="122">SUM(T45)</f>
        <v>152.5125106</v>
      </c>
      <c r="AQ42" s="36">
        <f t="shared" si="122"/>
        <v>5.083750354</v>
      </c>
      <c r="AR42" s="32">
        <f t="shared" si="117"/>
        <v>173.9</v>
      </c>
    </row>
    <row r="43" ht="15.75" customHeight="1">
      <c r="A43" s="21"/>
      <c r="B43" s="38">
        <v>12.0</v>
      </c>
      <c r="C43" s="38" t="s">
        <v>39</v>
      </c>
      <c r="D43" s="39">
        <v>28.0</v>
      </c>
      <c r="E43" s="40">
        <f>IFERROR(__xludf.DUMMYFUNCTION("COUNT(IMPORTRANGE(""https://docs.google.com/spreadsheets/d/1wMeol_MpSIcocGxt3WZGl46mJ2tc80mANPvP_YzaP18/edit"",""2!d2:d29""))"),28.0)</f>
        <v>28</v>
      </c>
      <c r="F43" s="45">
        <f>IFERROR(__xludf.DUMMYFUNCTION("SUM(IMPORTRANGE(""https://docs.google.com/spreadsheets/d/1wMeol_MpSIcocGxt3WZGl46mJ2tc80mANPvP_YzaP18/edit"",""2!Q2:Q29""))"),5458.878)</f>
        <v>5458.878</v>
      </c>
      <c r="G43" s="40">
        <f>IFERROR(__xludf.DUMMYFUNCTION("IMPORTRANGE(""https://docs.google.com/spreadsheets/d/1wMeol_MpSIcocGxt3WZGl46mJ2tc80mANPvP_YzaP18/edit"",""2!e36"")"),1516.0)</f>
        <v>1516</v>
      </c>
      <c r="H43" s="40">
        <f>IFERROR(__xludf.DUMMYFUNCTION("(IMPORTRANGE(""https://docs.google.com/spreadsheets/d/1wMeol_MpSIcocGxt3WZGl46mJ2tc80mANPvP_YzaP18/edit"",""2!e37""))"),43.0)</f>
        <v>43</v>
      </c>
      <c r="I43" s="40">
        <f t="shared" si="90"/>
        <v>1559</v>
      </c>
      <c r="J43" s="40">
        <f>IFERROR(__xludf.DUMMYFUNCTION("IMPORTRANGE(""https://docs.google.com/spreadsheets/d/1wMeol_MpSIcocGxt3WZGl46mJ2tc80mANPvP_YzaP18/edit"",""2!e40"")"),1765.0)</f>
        <v>1765</v>
      </c>
      <c r="K43" s="40">
        <f>IFERROR(__xludf.DUMMYFUNCTION("IMPORTRANGE(""https://docs.google.com/spreadsheets/d/1wMeol_MpSIcocGxt3WZGl46mJ2tc80mANPvP_YzaP18/edit"",""2!e41"")"),115.0)</f>
        <v>115</v>
      </c>
      <c r="L43" s="40">
        <f t="shared" si="120"/>
        <v>1880</v>
      </c>
      <c r="M43" s="40">
        <f t="shared" si="92"/>
        <v>3439</v>
      </c>
      <c r="N43" s="41">
        <f t="shared" si="93"/>
        <v>194.9599286</v>
      </c>
      <c r="O43" s="38">
        <v>3569.0</v>
      </c>
      <c r="P43" s="42">
        <f t="shared" si="94"/>
        <v>0.9635752312</v>
      </c>
      <c r="Q43" s="43">
        <v>1.5</v>
      </c>
      <c r="R43" s="42">
        <f t="shared" si="95"/>
        <v>0.4199886253</v>
      </c>
      <c r="S43" s="44">
        <f t="shared" si="96"/>
        <v>0.6299829379</v>
      </c>
      <c r="T43" s="43">
        <f>F43/21.463</f>
        <v>254.339002</v>
      </c>
      <c r="U43" s="43">
        <f t="shared" si="97"/>
        <v>9.083535786</v>
      </c>
      <c r="V43" s="40">
        <f t="shared" si="98"/>
        <v>122.8214286</v>
      </c>
      <c r="X43" s="31">
        <v>5.0</v>
      </c>
      <c r="Y43" s="31" t="s">
        <v>40</v>
      </c>
      <c r="Z43" s="31">
        <f t="shared" ref="Z43:AI43" si="123">SUM(D47)</f>
        <v>30</v>
      </c>
      <c r="AA43" s="32">
        <f t="shared" si="123"/>
        <v>30</v>
      </c>
      <c r="AB43" s="33">
        <f t="shared" si="123"/>
        <v>5845.703</v>
      </c>
      <c r="AC43" s="32">
        <f t="shared" si="123"/>
        <v>3323</v>
      </c>
      <c r="AD43" s="32">
        <f t="shared" si="123"/>
        <v>39</v>
      </c>
      <c r="AE43" s="32">
        <f t="shared" si="123"/>
        <v>3362</v>
      </c>
      <c r="AF43" s="32">
        <f t="shared" si="123"/>
        <v>3928</v>
      </c>
      <c r="AG43" s="32">
        <f t="shared" si="123"/>
        <v>73</v>
      </c>
      <c r="AH43" s="32">
        <f t="shared" si="123"/>
        <v>4001</v>
      </c>
      <c r="AI43" s="32">
        <f t="shared" si="123"/>
        <v>7363</v>
      </c>
      <c r="AJ43" s="34">
        <f t="shared" si="110"/>
        <v>194.8567667</v>
      </c>
      <c r="AK43" s="31">
        <f t="shared" ref="AK43:AK44" si="126">SUM(O47)</f>
        <v>8239</v>
      </c>
      <c r="AL43" s="35">
        <f t="shared" si="112"/>
        <v>0.893676417</v>
      </c>
      <c r="AM43" s="36">
        <f t="shared" ref="AM43:AM44" si="127">SUM(Q47)</f>
        <v>1.5</v>
      </c>
      <c r="AN43" s="35">
        <f t="shared" si="114"/>
        <v>0.8397051076</v>
      </c>
      <c r="AO43" s="37">
        <f t="shared" si="115"/>
        <v>1.259557661</v>
      </c>
      <c r="AP43" s="36">
        <f t="shared" ref="AP43:AQ43" si="124">SUM(T47)</f>
        <v>205.5234328</v>
      </c>
      <c r="AQ43" s="36">
        <f t="shared" si="124"/>
        <v>6.850781094</v>
      </c>
      <c r="AR43" s="32">
        <f t="shared" si="117"/>
        <v>245.4333333</v>
      </c>
    </row>
    <row r="44" ht="15.75" customHeight="1">
      <c r="A44" s="21"/>
      <c r="B44" s="38">
        <v>12.0</v>
      </c>
      <c r="C44" s="38" t="s">
        <v>41</v>
      </c>
      <c r="D44" s="39">
        <v>24.0</v>
      </c>
      <c r="E44" s="40">
        <f>IFERROR(__xludf.DUMMYFUNCTION("COUNT(IMPORTRANGE(""https://docs.google.com/spreadsheets/d/1sHk6_yuc4kORC_xnhEeazoemV_hVUQVqRpfoNae-PLk/edit"",""2!d2:d25""))"),24.0)</f>
        <v>24</v>
      </c>
      <c r="F44" s="45">
        <f>IFERROR(__xludf.DUMMYFUNCTION("SUM(IMPORTRANGE(""https://docs.google.com/spreadsheets/d/1sHk6_yuc4kORC_xnhEeazoemV_hVUQVqRpfoNae-PLk/edit"",""2!Q2:Q25""))"),4806.3200000000015)</f>
        <v>4806.32</v>
      </c>
      <c r="G44" s="40">
        <f>IFERROR(__xludf.DUMMYFUNCTION("IMPORTRANGE(""https://docs.google.com/spreadsheets/d/1sHk6_yuc4kORC_xnhEeazoemV_hVUQVqRpfoNae-PLk/edit"",""2!e32"")"),1468.0)</f>
        <v>1468</v>
      </c>
      <c r="H44" s="40">
        <f>IFERROR(__xludf.DUMMYFUNCTION("IMPORTRANGE(""https://docs.google.com/spreadsheets/d/1sHk6_yuc4kORC_xnhEeazoemV_hVUQVqRpfoNae-PLk/edit"",""2!e33"")"),0.0)</f>
        <v>0</v>
      </c>
      <c r="I44" s="40">
        <f t="shared" si="90"/>
        <v>1468</v>
      </c>
      <c r="J44" s="40">
        <f>IFERROR(__xludf.DUMMYFUNCTION("IMPORTRANGE(""https://docs.google.com/spreadsheets/d/1sHk6_yuc4kORC_xnhEeazoemV_hVUQVqRpfoNae-PLk/edit"",""2!e36"")"),1656.0)</f>
        <v>1656</v>
      </c>
      <c r="K44" s="40">
        <f>IFERROR(__xludf.DUMMYFUNCTION("IMPORTRANGE(""https://docs.google.com/spreadsheets/d/1sHk6_yuc4kORC_xnhEeazoemV_hVUQVqRpfoNae-PLk/edit"",""2!e37"")"),0.0)</f>
        <v>0</v>
      </c>
      <c r="L44" s="40">
        <f t="shared" si="120"/>
        <v>1656</v>
      </c>
      <c r="M44" s="40">
        <f t="shared" si="92"/>
        <v>3124</v>
      </c>
      <c r="N44" s="41">
        <f t="shared" si="93"/>
        <v>200.2633333</v>
      </c>
      <c r="O44" s="38">
        <v>3801.0</v>
      </c>
      <c r="P44" s="42">
        <f t="shared" si="94"/>
        <v>0.8218889766</v>
      </c>
      <c r="Q44" s="43">
        <v>1.5</v>
      </c>
      <c r="R44" s="42">
        <f t="shared" si="95"/>
        <v>0.4333183531</v>
      </c>
      <c r="S44" s="44">
        <f t="shared" si="96"/>
        <v>0.6499775296</v>
      </c>
      <c r="T44" s="43">
        <f>F44/29.628</f>
        <v>162.2222222</v>
      </c>
      <c r="U44" s="43">
        <f t="shared" si="97"/>
        <v>6.759259259</v>
      </c>
      <c r="V44" s="40">
        <f t="shared" si="98"/>
        <v>130.1666667</v>
      </c>
      <c r="X44" s="22">
        <v>6.0</v>
      </c>
      <c r="Y44" s="22" t="s">
        <v>42</v>
      </c>
      <c r="Z44" s="22">
        <f t="shared" ref="Z44:AI44" si="125">SUM(D48)</f>
        <v>33</v>
      </c>
      <c r="AA44" s="23">
        <f t="shared" si="125"/>
        <v>33</v>
      </c>
      <c r="AB44" s="24">
        <f t="shared" si="125"/>
        <v>6380.282</v>
      </c>
      <c r="AC44" s="23">
        <f t="shared" si="125"/>
        <v>3133</v>
      </c>
      <c r="AD44" s="23">
        <f t="shared" si="125"/>
        <v>0</v>
      </c>
      <c r="AE44" s="23">
        <f t="shared" si="125"/>
        <v>3133</v>
      </c>
      <c r="AF44" s="23">
        <f t="shared" si="125"/>
        <v>4360</v>
      </c>
      <c r="AG44" s="23">
        <f t="shared" si="125"/>
        <v>0</v>
      </c>
      <c r="AH44" s="23">
        <f t="shared" si="125"/>
        <v>4360</v>
      </c>
      <c r="AI44" s="23">
        <f t="shared" si="125"/>
        <v>7493</v>
      </c>
      <c r="AJ44" s="25">
        <f t="shared" si="110"/>
        <v>193.3418788</v>
      </c>
      <c r="AK44" s="22">
        <f t="shared" si="126"/>
        <v>9877</v>
      </c>
      <c r="AL44" s="26">
        <f t="shared" si="112"/>
        <v>0.7586311633</v>
      </c>
      <c r="AM44" s="27">
        <f t="shared" si="127"/>
        <v>1.5</v>
      </c>
      <c r="AN44" s="26">
        <f t="shared" si="114"/>
        <v>0.782933001</v>
      </c>
      <c r="AO44" s="28">
        <f t="shared" si="115"/>
        <v>1.174399501</v>
      </c>
      <c r="AP44" s="27">
        <f t="shared" ref="AP44:AQ44" si="128">SUM(T48)</f>
        <v>243.9411967</v>
      </c>
      <c r="AQ44" s="27">
        <f t="shared" si="128"/>
        <v>7.392157476</v>
      </c>
      <c r="AR44" s="23">
        <f t="shared" si="117"/>
        <v>227.0606061</v>
      </c>
    </row>
    <row r="45" ht="15.75" customHeight="1">
      <c r="A45" s="21"/>
      <c r="B45" s="38">
        <v>13.0</v>
      </c>
      <c r="C45" s="38" t="s">
        <v>43</v>
      </c>
      <c r="D45" s="39">
        <v>30.0</v>
      </c>
      <c r="E45" s="40">
        <f>IFERROR(__xludf.DUMMYFUNCTION("COUNT(IMPORTRANGE(""https://docs.google.com/spreadsheets/d/1uGXvAN2jA6kmcEHUY4KqOHHewllZsujDdA6KVDfBCoA/edit"",""2!d2:d31""))"),30.0)</f>
        <v>30</v>
      </c>
      <c r="F45" s="45">
        <f>IFERROR(__xludf.DUMMYFUNCTION("SUM(IMPORTRANGE(""https://docs.google.com/spreadsheets/d/1uGXvAN2jA6kmcEHUY4KqOHHewllZsujDdA6KVDfBCoA/edit"",""2!Q2:Q31""))"),6284.277999999999)</f>
        <v>6284.278</v>
      </c>
      <c r="G45" s="40">
        <f>IFERROR(__xludf.DUMMYFUNCTION("IMPORTRANGE(""https://docs.google.com/spreadsheets/d/1uGXvAN2jA6kmcEHUY4KqOHHewllZsujDdA6KVDfBCoA/edit"",""2!e38"")"),2309.0)</f>
        <v>2309</v>
      </c>
      <c r="H45" s="40">
        <f>IFERROR(__xludf.DUMMYFUNCTION("IMPORTRANGE(""https://docs.google.com/spreadsheets/d/1uGXvAN2jA6kmcEHUY4KqOHHewllZsujDdA6KVDfBCoA/edit"",""2!e39"")"),0.0)</f>
        <v>0</v>
      </c>
      <c r="I45" s="40">
        <f t="shared" si="90"/>
        <v>2309</v>
      </c>
      <c r="J45" s="40">
        <f>IFERROR(__xludf.DUMMYFUNCTION("IMPORTRANGE(""https://docs.google.com/spreadsheets/d/1uGXvAN2jA6kmcEHUY4KqOHHewllZsujDdA6KVDfBCoA/edit"",""2!e42"")"),2749.0)</f>
        <v>2749</v>
      </c>
      <c r="K45" s="40">
        <f>IFERROR(__xludf.DUMMYFUNCTION("IMPORTRANGE(""https://docs.google.com/spreadsheets/d/1uGXvAN2jA6kmcEHUY4KqOHHewllZsujDdA6KVDfBCoA/edit"",""2!e43"")"),159.0)</f>
        <v>159</v>
      </c>
      <c r="L45" s="40">
        <f t="shared" si="120"/>
        <v>2908</v>
      </c>
      <c r="M45" s="40">
        <f t="shared" si="92"/>
        <v>5217</v>
      </c>
      <c r="N45" s="41">
        <f t="shared" si="93"/>
        <v>209.4759333</v>
      </c>
      <c r="O45" s="38">
        <v>8345.0</v>
      </c>
      <c r="P45" s="42">
        <f t="shared" si="94"/>
        <v>0.6251647693</v>
      </c>
      <c r="Q45" s="43">
        <v>1.5</v>
      </c>
      <c r="R45" s="42">
        <f t="shared" si="95"/>
        <v>0.5534446439</v>
      </c>
      <c r="S45" s="44">
        <f t="shared" si="96"/>
        <v>0.8301669659</v>
      </c>
      <c r="T45" s="43">
        <f>F45/41.205</f>
        <v>152.5125106</v>
      </c>
      <c r="U45" s="43">
        <f t="shared" si="97"/>
        <v>5.083750354</v>
      </c>
      <c r="V45" s="40">
        <f t="shared" si="98"/>
        <v>173.9</v>
      </c>
      <c r="X45" s="46" t="s">
        <v>33</v>
      </c>
      <c r="Y45" s="46">
        <v>6.0</v>
      </c>
      <c r="Z45" s="46">
        <f t="shared" ref="Z45:AI45" si="129">SUM(Z39:Z44)</f>
        <v>226</v>
      </c>
      <c r="AA45" s="47">
        <f t="shared" si="129"/>
        <v>224</v>
      </c>
      <c r="AB45" s="49">
        <f t="shared" si="129"/>
        <v>44187.784</v>
      </c>
      <c r="AC45" s="47">
        <f t="shared" si="129"/>
        <v>18291</v>
      </c>
      <c r="AD45" s="47">
        <f t="shared" si="129"/>
        <v>143</v>
      </c>
      <c r="AE45" s="47">
        <f t="shared" si="129"/>
        <v>18434</v>
      </c>
      <c r="AF45" s="47">
        <f t="shared" si="129"/>
        <v>22964</v>
      </c>
      <c r="AG45" s="47">
        <f t="shared" si="129"/>
        <v>334</v>
      </c>
      <c r="AH45" s="47">
        <f t="shared" si="129"/>
        <v>23298</v>
      </c>
      <c r="AI45" s="47">
        <f t="shared" si="129"/>
        <v>41732</v>
      </c>
      <c r="AJ45" s="49">
        <f t="shared" si="110"/>
        <v>197.2668929</v>
      </c>
      <c r="AK45" s="46">
        <f>SUM(AK39:AK44)</f>
        <v>53273</v>
      </c>
      <c r="AL45" s="50">
        <f t="shared" si="112"/>
        <v>0.7833611773</v>
      </c>
      <c r="AM45" s="51">
        <v>1.5</v>
      </c>
      <c r="AN45" s="50">
        <f t="shared" si="114"/>
        <v>0.6296159439</v>
      </c>
      <c r="AO45" s="52">
        <f t="shared" si="115"/>
        <v>0.9444239159</v>
      </c>
      <c r="AP45" s="51">
        <f>SUM(AP39:AP44)</f>
        <v>1450.497236</v>
      </c>
      <c r="AQ45" s="51">
        <f>AP45/AA45</f>
        <v>6.475434089</v>
      </c>
      <c r="AR45" s="47">
        <f t="shared" si="117"/>
        <v>186.3035714</v>
      </c>
    </row>
    <row r="46" ht="15.75" customHeight="1">
      <c r="A46" s="21"/>
      <c r="B46" s="38">
        <v>14.0</v>
      </c>
      <c r="C46" s="38" t="s">
        <v>27</v>
      </c>
      <c r="D46" s="39">
        <v>30.0</v>
      </c>
      <c r="E46" s="40">
        <f>IFERROR(__xludf.DUMMYFUNCTION("COUNT(IMPORTRANGE(""https://docs.google.com/spreadsheets/d/1iYtf3wkjJIgOL8ej0-L89wY8FLXKi6EiRbi9UqA1Bzw/edit"",""2!d2:d31""))"),28.0)</f>
        <v>28</v>
      </c>
      <c r="F46" s="45">
        <f>IFERROR(__xludf.DUMMYFUNCTION("SUM(IMPORTRANGE(""https://docs.google.com/spreadsheets/d/1iYtf3wkjJIgOL8ej0-L89wY8FLXKi6EiRbi9UqA1Bzw/edit"",""2!Q2:Q31""))"),5465.76)</f>
        <v>5465.76</v>
      </c>
      <c r="G46" s="40">
        <f>IFERROR(__xludf.DUMMYFUNCTION("IMPORTRANGE(""https://docs.google.com/spreadsheets/d/1iYtf3wkjJIgOL8ej0-L89wY8FLXKi6EiRbi9UqA1Bzw/edit"",""2!e38"")"),2368.0)</f>
        <v>2368</v>
      </c>
      <c r="H46" s="40">
        <f>IFERROR(__xludf.DUMMYFUNCTION("IMPORTRANGE(""https://docs.google.com/spreadsheets/d/1iYtf3wkjJIgOL8ej0-L89wY8FLXKi6EiRbi9UqA1Bzw/edit"",""2!e39"")"),140.0)</f>
        <v>140</v>
      </c>
      <c r="I46" s="40">
        <f t="shared" si="90"/>
        <v>2508</v>
      </c>
      <c r="J46" s="40">
        <f>IFERROR(__xludf.DUMMYFUNCTION("IMPORTRANGE(""https://docs.google.com/spreadsheets/d/1iYtf3wkjJIgOL8ej0-L89wY8FLXKi6EiRbi9UqA1Bzw/edit"",""2!e42"")"),3355.0)</f>
        <v>3355</v>
      </c>
      <c r="K46" s="40">
        <f>IFERROR(__xludf.DUMMYFUNCTION("IMPORTRANGE(""https://docs.google.com/spreadsheets/d/1iYtf3wkjJIgOL8ej0-L89wY8FLXKi6EiRbi9UqA1Bzw/edit"",""2!e43"")"),107.0)</f>
        <v>107</v>
      </c>
      <c r="L46" s="40">
        <f t="shared" si="120"/>
        <v>3462</v>
      </c>
      <c r="M46" s="40">
        <f t="shared" si="92"/>
        <v>5970</v>
      </c>
      <c r="N46" s="41">
        <f t="shared" si="93"/>
        <v>195.2057143</v>
      </c>
      <c r="O46" s="38">
        <v>8101.0</v>
      </c>
      <c r="P46" s="42">
        <f t="shared" si="94"/>
        <v>0.736946056</v>
      </c>
      <c r="Q46" s="43">
        <v>1.5</v>
      </c>
      <c r="R46" s="42">
        <f t="shared" si="95"/>
        <v>0.7281695501</v>
      </c>
      <c r="S46" s="44">
        <f t="shared" si="96"/>
        <v>1.092254325</v>
      </c>
      <c r="T46" s="43">
        <f>F46/19.985</f>
        <v>273.4931198</v>
      </c>
      <c r="U46" s="43">
        <f t="shared" si="97"/>
        <v>9.767611423</v>
      </c>
      <c r="V46" s="40">
        <f t="shared" si="98"/>
        <v>213.2142857</v>
      </c>
      <c r="X46" s="59" t="s">
        <v>44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6"/>
    </row>
    <row r="47" ht="15.75" customHeight="1">
      <c r="A47" s="21"/>
      <c r="B47" s="38">
        <v>15.0</v>
      </c>
      <c r="C47" s="38" t="s">
        <v>40</v>
      </c>
      <c r="D47" s="39">
        <v>30.0</v>
      </c>
      <c r="E47" s="40">
        <f>IFERROR(__xludf.DUMMYFUNCTION("COUNT(IMPORTRANGE(""https://docs.google.com/spreadsheets/d/1Wdf8MsoDBzMSsrzOXwaGQzbVjVqOWfKSqYmbncevZgA/edit"",""2!d2:d31""))"),30.0)</f>
        <v>30</v>
      </c>
      <c r="F47" s="45">
        <f>IFERROR(__xludf.DUMMYFUNCTION("SUM(IMPORTRANGE(""https://docs.google.com/spreadsheets/d/1Wdf8MsoDBzMSsrzOXwaGQzbVjVqOWfKSqYmbncevZgA/edit"",""2!Q2:Q31""))"),5845.702999999999)</f>
        <v>5845.703</v>
      </c>
      <c r="G47" s="40">
        <f>IFERROR(__xludf.DUMMYFUNCTION("IMPORTRANGE(""https://docs.google.com/spreadsheets/d/1Wdf8MsoDBzMSsrzOXwaGQzbVjVqOWfKSqYmbncevZgA/edit"",""2!e38"")"),3323.0)</f>
        <v>3323</v>
      </c>
      <c r="H47" s="40">
        <f>IFERROR(__xludf.DUMMYFUNCTION("IMPORTRANGE(""https://docs.google.com/spreadsheets/d/1Wdf8MsoDBzMSsrzOXwaGQzbVjVqOWfKSqYmbncevZgA/edit"",""2!e39"")"),39.0)</f>
        <v>39</v>
      </c>
      <c r="I47" s="40">
        <f t="shared" si="90"/>
        <v>3362</v>
      </c>
      <c r="J47" s="40">
        <f>IFERROR(__xludf.DUMMYFUNCTION("IMPORTRANGE(""https://docs.google.com/spreadsheets/d/1Wdf8MsoDBzMSsrzOXwaGQzbVjVqOWfKSqYmbncevZgA/edit"",""2!e42"")"),3928.0)</f>
        <v>3928</v>
      </c>
      <c r="K47" s="40">
        <f>IFERROR(__xludf.DUMMYFUNCTION("IMPORTRANGE(""https://docs.google.com/spreadsheets/d/1Wdf8MsoDBzMSsrzOXwaGQzbVjVqOWfKSqYmbncevZgA/edit"",""2!e43"")"),73.0)</f>
        <v>73</v>
      </c>
      <c r="L47" s="40">
        <f t="shared" si="120"/>
        <v>4001</v>
      </c>
      <c r="M47" s="40">
        <f t="shared" si="92"/>
        <v>7363</v>
      </c>
      <c r="N47" s="41">
        <f t="shared" si="93"/>
        <v>194.8567667</v>
      </c>
      <c r="O47" s="38">
        <v>8239.0</v>
      </c>
      <c r="P47" s="42">
        <f t="shared" si="94"/>
        <v>0.893676417</v>
      </c>
      <c r="Q47" s="43">
        <v>1.5</v>
      </c>
      <c r="R47" s="42">
        <f t="shared" si="95"/>
        <v>0.8397051076</v>
      </c>
      <c r="S47" s="44">
        <f t="shared" si="96"/>
        <v>1.259557661</v>
      </c>
      <c r="T47" s="43">
        <f>F47/28.443</f>
        <v>205.5234328</v>
      </c>
      <c r="U47" s="43">
        <f t="shared" si="97"/>
        <v>6.850781094</v>
      </c>
      <c r="V47" s="40">
        <f t="shared" si="98"/>
        <v>245.4333333</v>
      </c>
      <c r="X47" s="14" t="s">
        <v>2</v>
      </c>
      <c r="Y47" s="14" t="s">
        <v>3</v>
      </c>
      <c r="Z47" s="14" t="s">
        <v>4</v>
      </c>
      <c r="AA47" s="14" t="s">
        <v>5</v>
      </c>
      <c r="AB47" s="15" t="s">
        <v>6</v>
      </c>
      <c r="AC47" s="14" t="s">
        <v>7</v>
      </c>
      <c r="AD47" s="14" t="s">
        <v>8</v>
      </c>
      <c r="AE47" s="14" t="s">
        <v>9</v>
      </c>
      <c r="AF47" s="14" t="s">
        <v>10</v>
      </c>
      <c r="AG47" s="14" t="s">
        <v>11</v>
      </c>
      <c r="AH47" s="14" t="s">
        <v>12</v>
      </c>
      <c r="AI47" s="14" t="s">
        <v>13</v>
      </c>
      <c r="AJ47" s="15" t="s">
        <v>14</v>
      </c>
      <c r="AK47" s="14" t="s">
        <v>15</v>
      </c>
      <c r="AL47" s="14" t="s">
        <v>16</v>
      </c>
      <c r="AM47" s="16" t="s">
        <v>17</v>
      </c>
      <c r="AN47" s="17" t="s">
        <v>18</v>
      </c>
      <c r="AO47" s="18" t="s">
        <v>19</v>
      </c>
      <c r="AP47" s="19" t="s">
        <v>20</v>
      </c>
      <c r="AQ47" s="19" t="s">
        <v>21</v>
      </c>
      <c r="AR47" s="20" t="s">
        <v>22</v>
      </c>
    </row>
    <row r="48" ht="15.75" customHeight="1">
      <c r="A48" s="21"/>
      <c r="B48" s="38">
        <v>16.0</v>
      </c>
      <c r="C48" s="38" t="s">
        <v>42</v>
      </c>
      <c r="D48" s="39">
        <v>33.0</v>
      </c>
      <c r="E48" s="40">
        <f>IFERROR(__xludf.DUMMYFUNCTION("COUNT(IMPORTRANGE(""https://docs.google.com/spreadsheets/d/1Z5uB5HbeAKcHmG4EOw3rf2J8NpyvDiha6RReERAMvA0/edit"",""2!d2:d34""))"),33.0)</f>
        <v>33</v>
      </c>
      <c r="F48" s="45">
        <f>IFERROR(__xludf.DUMMYFUNCTION("SUM(IMPORTRANGE(""https://docs.google.com/spreadsheets/d/1Z5uB5HbeAKcHmG4EOw3rf2J8NpyvDiha6RReERAMvA0/edit"",""2!Q2:Q34""))"),6380.281999999998)</f>
        <v>6380.282</v>
      </c>
      <c r="G48" s="40">
        <f>IFERROR(__xludf.DUMMYFUNCTION("IMPORTRANGE(""https://docs.google.com/spreadsheets/d/1Z5uB5HbeAKcHmG4EOw3rf2J8NpyvDiha6RReERAMvA0/edit"",""2!e41"")"),3133.0)</f>
        <v>3133</v>
      </c>
      <c r="H48" s="40">
        <f>IFERROR(__xludf.DUMMYFUNCTION("IMPORTRANGE(""https://docs.google.com/spreadsheets/d/1Z5uB5HbeAKcHmG4EOw3rf2J8NpyvDiha6RReERAMvA0/edit"",""2!e42"")"),0.0)</f>
        <v>0</v>
      </c>
      <c r="I48" s="40">
        <f t="shared" si="90"/>
        <v>3133</v>
      </c>
      <c r="J48" s="40">
        <f>IFERROR(__xludf.DUMMYFUNCTION("IMPORTRANGE(""https://docs.google.com/spreadsheets/d/1Z5uB5HbeAKcHmG4EOw3rf2J8NpyvDiha6RReERAMvA0/edit"",""2!e45"")"),4360.0)</f>
        <v>4360</v>
      </c>
      <c r="K48" s="40">
        <f>IFERROR(__xludf.DUMMYFUNCTION("IMPORTRANGE(""https://docs.google.com/spreadsheets/d/1Z5uB5HbeAKcHmG4EOw3rf2J8NpyvDiha6RReERAMvA0/edit"",""2!e46"")"),0.0)</f>
        <v>0</v>
      </c>
      <c r="L48" s="40">
        <f t="shared" si="120"/>
        <v>4360</v>
      </c>
      <c r="M48" s="40">
        <f t="shared" si="92"/>
        <v>7493</v>
      </c>
      <c r="N48" s="41">
        <f t="shared" si="93"/>
        <v>193.3418788</v>
      </c>
      <c r="O48" s="38">
        <v>9877.0</v>
      </c>
      <c r="P48" s="42">
        <f t="shared" si="94"/>
        <v>0.7586311633</v>
      </c>
      <c r="Q48" s="43">
        <v>1.5</v>
      </c>
      <c r="R48" s="42">
        <f t="shared" si="95"/>
        <v>0.782933001</v>
      </c>
      <c r="S48" s="44">
        <f t="shared" si="96"/>
        <v>1.174399501</v>
      </c>
      <c r="T48" s="43">
        <f>F48/26.155</f>
        <v>243.9411967</v>
      </c>
      <c r="U48" s="43">
        <f t="shared" si="97"/>
        <v>7.392157476</v>
      </c>
      <c r="V48" s="40">
        <f t="shared" si="98"/>
        <v>227.0606061</v>
      </c>
      <c r="X48" s="31">
        <v>1.0</v>
      </c>
      <c r="Y48" s="31" t="s">
        <v>26</v>
      </c>
      <c r="Z48" s="31">
        <f t="shared" ref="Z48:AI48" si="130">SUM(D33)</f>
        <v>20</v>
      </c>
      <c r="AA48" s="32">
        <f t="shared" si="130"/>
        <v>20</v>
      </c>
      <c r="AB48" s="34">
        <f t="shared" si="130"/>
        <v>3560.964</v>
      </c>
      <c r="AC48" s="32">
        <f t="shared" si="130"/>
        <v>1873</v>
      </c>
      <c r="AD48" s="32">
        <f t="shared" si="130"/>
        <v>0</v>
      </c>
      <c r="AE48" s="32">
        <f t="shared" si="130"/>
        <v>1873</v>
      </c>
      <c r="AF48" s="32">
        <f t="shared" si="130"/>
        <v>3204</v>
      </c>
      <c r="AG48" s="32">
        <f t="shared" si="130"/>
        <v>0</v>
      </c>
      <c r="AH48" s="32">
        <f t="shared" si="130"/>
        <v>3204</v>
      </c>
      <c r="AI48" s="32">
        <f t="shared" si="130"/>
        <v>5077</v>
      </c>
      <c r="AJ48" s="34">
        <f t="shared" ref="AJ48:AJ54" si="133">AB48/AA48</f>
        <v>178.0482</v>
      </c>
      <c r="AK48" s="31">
        <f>SUM(O33)</f>
        <v>5161</v>
      </c>
      <c r="AL48" s="35">
        <f t="shared" ref="AL48:AL54" si="134">AI48/AK48</f>
        <v>0.9837240845</v>
      </c>
      <c r="AM48" s="36">
        <f>SUM(Q33)</f>
        <v>1.5</v>
      </c>
      <c r="AN48" s="35">
        <f t="shared" ref="AN48:AN54" si="135">AO48/AM48</f>
        <v>0.9504916833</v>
      </c>
      <c r="AO48" s="37">
        <f t="shared" ref="AO48:AO54" si="136">AI48/AB48</f>
        <v>1.425737525</v>
      </c>
      <c r="AP48" s="36">
        <f t="shared" ref="AP48:AQ48" si="131">SUM(T33)</f>
        <v>247.0318418</v>
      </c>
      <c r="AQ48" s="36">
        <f t="shared" si="131"/>
        <v>12.35159209</v>
      </c>
      <c r="AR48" s="32">
        <f t="shared" ref="AR48:AR54" si="138">AI48/AA48</f>
        <v>253.85</v>
      </c>
    </row>
    <row r="49" ht="15.75" customHeight="1">
      <c r="A49" s="21"/>
      <c r="B49" s="38">
        <v>17.0</v>
      </c>
      <c r="C49" s="38" t="s">
        <v>29</v>
      </c>
      <c r="D49" s="39">
        <v>30.0</v>
      </c>
      <c r="E49" s="40">
        <f>IFERROR(__xludf.DUMMYFUNCTION("COUNT(IMPORTRANGE(""https://docs.google.com/spreadsheets/d/1wfJqI0e9wVPqEQv3N6b8KgINjqI0OBECEyIFeY9j3i8/edit"",""2!d2:d31""))"),29.0)</f>
        <v>29</v>
      </c>
      <c r="F49" s="45">
        <f>IFERROR(__xludf.DUMMYFUNCTION("SUM(IMPORTRANGE(""https://docs.google.com/spreadsheets/d/1wfJqI0e9wVPqEQv3N6b8KgINjqI0OBECEyIFeY9j3i8/edit"",""2!Q2:Q31""))"),5775.037999999998)</f>
        <v>5775.038</v>
      </c>
      <c r="G49" s="40">
        <f>IFERROR(__xludf.DUMMYFUNCTION("IMPORTRANGE(""https://docs.google.com/spreadsheets/d/1wfJqI0e9wVPqEQv3N6b8KgINjqI0OBECEyIFeY9j3i8/edit"",""2!e38"")"),2726.0)</f>
        <v>2726</v>
      </c>
      <c r="H49" s="40">
        <f>IFERROR(__xludf.DUMMYFUNCTION("IMPORTRANGE(""https://docs.google.com/spreadsheets/d/1wfJqI0e9wVPqEQv3N6b8KgINjqI0OBECEyIFeY9j3i8/edit"",""2!e39"")"),0.0)</f>
        <v>0</v>
      </c>
      <c r="I49" s="40">
        <f t="shared" si="90"/>
        <v>2726</v>
      </c>
      <c r="J49" s="40">
        <f>IFERROR(__xludf.DUMMYFUNCTION("IMPORTRANGE(""https://docs.google.com/spreadsheets/d/1wfJqI0e9wVPqEQv3N6b8KgINjqI0OBECEyIFeY9j3i8/edit"",""2!e42"")"),4235.0)</f>
        <v>4235</v>
      </c>
      <c r="K49" s="40">
        <f>IFERROR(__xludf.DUMMYFUNCTION("IMPORTRANGE(""https://docs.google.com/spreadsheets/d/1wfJqI0e9wVPqEQv3N6b8KgINjqI0OBECEyIFeY9j3i8/edit"",""2!e43"")"),0.0)</f>
        <v>0</v>
      </c>
      <c r="L49" s="40">
        <f t="shared" si="120"/>
        <v>4235</v>
      </c>
      <c r="M49" s="40">
        <f t="shared" si="92"/>
        <v>6961</v>
      </c>
      <c r="N49" s="41">
        <f t="shared" si="93"/>
        <v>199.1392414</v>
      </c>
      <c r="O49" s="38">
        <v>9201.0</v>
      </c>
      <c r="P49" s="42">
        <f t="shared" si="94"/>
        <v>0.7565482013</v>
      </c>
      <c r="Q49" s="43">
        <v>1.5</v>
      </c>
      <c r="R49" s="42">
        <f t="shared" si="95"/>
        <v>0.803573356</v>
      </c>
      <c r="S49" s="44">
        <f t="shared" si="96"/>
        <v>1.205360034</v>
      </c>
      <c r="T49" s="43">
        <f>F49/26.491</f>
        <v>218</v>
      </c>
      <c r="U49" s="43">
        <f t="shared" si="97"/>
        <v>7.517241379</v>
      </c>
      <c r="V49" s="40">
        <f t="shared" si="98"/>
        <v>240.0344828</v>
      </c>
      <c r="X49" s="31">
        <v>2.0</v>
      </c>
      <c r="Y49" s="31" t="s">
        <v>32</v>
      </c>
      <c r="Z49" s="31">
        <f t="shared" ref="Z49:AI49" si="132">SUM(D36)</f>
        <v>42</v>
      </c>
      <c r="AA49" s="32">
        <f t="shared" si="132"/>
        <v>42</v>
      </c>
      <c r="AB49" s="33">
        <f t="shared" si="132"/>
        <v>8179.014</v>
      </c>
      <c r="AC49" s="31">
        <f t="shared" si="132"/>
        <v>4808</v>
      </c>
      <c r="AD49" s="31">
        <f t="shared" si="132"/>
        <v>0</v>
      </c>
      <c r="AE49" s="32">
        <f t="shared" si="132"/>
        <v>4808</v>
      </c>
      <c r="AF49" s="31">
        <f t="shared" si="132"/>
        <v>5449</v>
      </c>
      <c r="AG49" s="31">
        <f t="shared" si="132"/>
        <v>190</v>
      </c>
      <c r="AH49" s="32">
        <f t="shared" si="132"/>
        <v>5639</v>
      </c>
      <c r="AI49" s="32">
        <f t="shared" si="132"/>
        <v>10447</v>
      </c>
      <c r="AJ49" s="34">
        <f t="shared" si="133"/>
        <v>194.7384286</v>
      </c>
      <c r="AK49" s="31">
        <f>SUM(O36)</f>
        <v>13817</v>
      </c>
      <c r="AL49" s="35">
        <f t="shared" si="134"/>
        <v>0.756097561</v>
      </c>
      <c r="AM49" s="36">
        <f>SUM(Q36)</f>
        <v>1.5</v>
      </c>
      <c r="AN49" s="35">
        <f t="shared" si="135"/>
        <v>0.8515288844</v>
      </c>
      <c r="AO49" s="37">
        <f t="shared" si="136"/>
        <v>1.277293327</v>
      </c>
      <c r="AP49" s="36">
        <f t="shared" ref="AP49:AQ49" si="137">SUM(T36)</f>
        <v>326</v>
      </c>
      <c r="AQ49" s="36">
        <f t="shared" si="137"/>
        <v>7.761904762</v>
      </c>
      <c r="AR49" s="32">
        <f t="shared" si="138"/>
        <v>248.7380952</v>
      </c>
    </row>
    <row r="50" ht="15.75" customHeight="1">
      <c r="A50" s="21"/>
      <c r="B50" s="38">
        <v>18.0</v>
      </c>
      <c r="C50" s="38" t="s">
        <v>31</v>
      </c>
      <c r="D50" s="39">
        <v>15.0</v>
      </c>
      <c r="E50" s="40">
        <f>IFERROR(__xludf.DUMMYFUNCTION("COUNT(IMPORTRANGE(""https://docs.google.com/spreadsheets/d/1-y2KhTAo7d8kowgUuWUDfRQuRMUAFteRYEXorT3_wOs/edit"",""2!d2:d16""))"),13.0)</f>
        <v>13</v>
      </c>
      <c r="F50" s="41">
        <f>IFERROR(__xludf.DUMMYFUNCTION("SUM(IMPORTRANGE(""https://docs.google.com/spreadsheets/d/1-y2KhTAo7d8kowgUuWUDfRQuRMUAFteRYEXorT3_wOs/edit"",""2!Q2:Q16""))"),2607.9000000000005)</f>
        <v>2607.9</v>
      </c>
      <c r="G50" s="40">
        <f>IFERROR(__xludf.DUMMYFUNCTION("IMPORTRANGE(""https://docs.google.com/spreadsheets/d/1-y2KhTAo7d8kowgUuWUDfRQuRMUAFteRYEXorT3_wOs/edit"",""2!e23"")"),870.0)</f>
        <v>870</v>
      </c>
      <c r="H50" s="40">
        <f>IFERROR(__xludf.DUMMYFUNCTION("IMPORTRANGE(""https://docs.google.com/spreadsheets/d/1-y2KhTAo7d8kowgUuWUDfRQuRMUAFteRYEXorT3_wOs/edit"",""2!e24"")"),0.0)</f>
        <v>0</v>
      </c>
      <c r="I50" s="40">
        <f t="shared" si="90"/>
        <v>870</v>
      </c>
      <c r="J50" s="40">
        <f>IFERROR(__xludf.DUMMYFUNCTION("IMPORTRANGE(""https://docs.google.com/spreadsheets/d/1-y2KhTAo7d8kowgUuWUDfRQuRMUAFteRYEXorT3_wOs/edit"",""2!e27"")"),975.0)</f>
        <v>975</v>
      </c>
      <c r="K50" s="40">
        <f>IFERROR(__xludf.DUMMYFUNCTION("IMPORTRANGE(""https://docs.google.com/spreadsheets/d/1-y2KhTAo7d8kowgUuWUDfRQuRMUAFteRYEXorT3_wOs/edit"",""2!e28"")"),55.0)</f>
        <v>55</v>
      </c>
      <c r="L50" s="40">
        <f t="shared" si="120"/>
        <v>1030</v>
      </c>
      <c r="M50" s="40">
        <f t="shared" si="92"/>
        <v>1900</v>
      </c>
      <c r="N50" s="41">
        <f t="shared" si="93"/>
        <v>200.6076923</v>
      </c>
      <c r="O50" s="38">
        <v>2717.0</v>
      </c>
      <c r="P50" s="42">
        <f t="shared" si="94"/>
        <v>0.6993006993</v>
      </c>
      <c r="Q50" s="43">
        <v>1.5</v>
      </c>
      <c r="R50" s="42">
        <f t="shared" si="95"/>
        <v>0.4857036952</v>
      </c>
      <c r="S50" s="44">
        <f t="shared" si="96"/>
        <v>0.7285555428</v>
      </c>
      <c r="T50" s="43">
        <f>F50/43.465</f>
        <v>60</v>
      </c>
      <c r="U50" s="43">
        <f t="shared" si="97"/>
        <v>4.615384615</v>
      </c>
      <c r="V50" s="40">
        <f t="shared" si="98"/>
        <v>146.1538462</v>
      </c>
      <c r="X50" s="31">
        <v>3.0</v>
      </c>
      <c r="Y50" s="31" t="s">
        <v>36</v>
      </c>
      <c r="Z50" s="31">
        <f t="shared" ref="Z50:AI50" si="139">SUM(D41)</f>
        <v>30</v>
      </c>
      <c r="AA50" s="32">
        <f t="shared" si="139"/>
        <v>29</v>
      </c>
      <c r="AB50" s="33">
        <f t="shared" si="139"/>
        <v>5604.12</v>
      </c>
      <c r="AC50" s="32">
        <f t="shared" si="139"/>
        <v>1533</v>
      </c>
      <c r="AD50" s="32">
        <f t="shared" si="139"/>
        <v>0</v>
      </c>
      <c r="AE50" s="32">
        <f t="shared" si="139"/>
        <v>1533</v>
      </c>
      <c r="AF50" s="32">
        <f t="shared" si="139"/>
        <v>2301</v>
      </c>
      <c r="AG50" s="32">
        <f t="shared" si="139"/>
        <v>0</v>
      </c>
      <c r="AH50" s="32">
        <f t="shared" si="139"/>
        <v>2301</v>
      </c>
      <c r="AI50" s="32">
        <f t="shared" si="139"/>
        <v>3834</v>
      </c>
      <c r="AJ50" s="34">
        <f t="shared" si="133"/>
        <v>193.2455172</v>
      </c>
      <c r="AK50" s="31">
        <f t="shared" ref="AK50:AK53" si="143">SUM(O41)</f>
        <v>4796</v>
      </c>
      <c r="AL50" s="35">
        <f t="shared" si="134"/>
        <v>0.7994161802</v>
      </c>
      <c r="AM50" s="36">
        <f t="shared" ref="AM50:AM53" si="144">SUM(Q41)</f>
        <v>1.5</v>
      </c>
      <c r="AN50" s="35">
        <f t="shared" si="135"/>
        <v>0.4560930173</v>
      </c>
      <c r="AO50" s="37">
        <f t="shared" si="136"/>
        <v>0.6841395259</v>
      </c>
      <c r="AP50" s="36">
        <f t="shared" ref="AP50:AQ50" si="140">SUM(T41)</f>
        <v>149.7867109</v>
      </c>
      <c r="AQ50" s="36">
        <f t="shared" si="140"/>
        <v>5.165058995</v>
      </c>
      <c r="AR50" s="32">
        <f t="shared" si="138"/>
        <v>132.2068966</v>
      </c>
    </row>
    <row r="51" ht="15.75" customHeight="1">
      <c r="A51" s="21"/>
      <c r="B51" s="60" t="s">
        <v>33</v>
      </c>
      <c r="C51" s="60">
        <v>18.0</v>
      </c>
      <c r="D51" s="60">
        <f t="shared" ref="D51:M51" si="141">SUM(D33:D50)</f>
        <v>586</v>
      </c>
      <c r="E51" s="61">
        <f t="shared" si="141"/>
        <v>576</v>
      </c>
      <c r="F51" s="62">
        <f t="shared" si="141"/>
        <v>112418.192</v>
      </c>
      <c r="G51" s="61">
        <f t="shared" si="141"/>
        <v>43479</v>
      </c>
      <c r="H51" s="61">
        <f t="shared" si="141"/>
        <v>764</v>
      </c>
      <c r="I51" s="61">
        <f t="shared" si="141"/>
        <v>44243</v>
      </c>
      <c r="J51" s="61">
        <f t="shared" si="141"/>
        <v>56392</v>
      </c>
      <c r="K51" s="61">
        <f t="shared" si="141"/>
        <v>1134</v>
      </c>
      <c r="L51" s="61">
        <f t="shared" si="141"/>
        <v>57526</v>
      </c>
      <c r="M51" s="61">
        <f t="shared" si="141"/>
        <v>101769</v>
      </c>
      <c r="N51" s="62">
        <f t="shared" si="93"/>
        <v>195.1704722</v>
      </c>
      <c r="O51" s="60">
        <f>SUM(O33:O50)</f>
        <v>126399</v>
      </c>
      <c r="P51" s="63">
        <f t="shared" si="94"/>
        <v>0.8051408635</v>
      </c>
      <c r="Q51" s="64">
        <v>1.5</v>
      </c>
      <c r="R51" s="63">
        <f t="shared" si="95"/>
        <v>0.6035144205</v>
      </c>
      <c r="S51" s="65">
        <f t="shared" si="96"/>
        <v>0.9052716308</v>
      </c>
      <c r="T51" s="64">
        <f>SUM(T33:T50)</f>
        <v>4134.025243</v>
      </c>
      <c r="U51" s="64">
        <f t="shared" si="97"/>
        <v>7.177127158</v>
      </c>
      <c r="V51" s="61">
        <f t="shared" si="98"/>
        <v>176.6822917</v>
      </c>
      <c r="X51" s="31">
        <v>4.0</v>
      </c>
      <c r="Y51" s="31" t="s">
        <v>37</v>
      </c>
      <c r="Z51" s="31">
        <f t="shared" ref="Z51:AI51" si="142">SUM(D42)</f>
        <v>30</v>
      </c>
      <c r="AA51" s="32">
        <f t="shared" si="142"/>
        <v>30</v>
      </c>
      <c r="AB51" s="33">
        <f t="shared" si="142"/>
        <v>5812.188</v>
      </c>
      <c r="AC51" s="32">
        <f t="shared" si="142"/>
        <v>2138</v>
      </c>
      <c r="AD51" s="32">
        <f t="shared" si="142"/>
        <v>0</v>
      </c>
      <c r="AE51" s="32">
        <f t="shared" si="142"/>
        <v>2138</v>
      </c>
      <c r="AF51" s="32">
        <f t="shared" si="142"/>
        <v>3071</v>
      </c>
      <c r="AG51" s="32">
        <f t="shared" si="142"/>
        <v>0</v>
      </c>
      <c r="AH51" s="32">
        <f t="shared" si="142"/>
        <v>3071</v>
      </c>
      <c r="AI51" s="32">
        <f t="shared" si="142"/>
        <v>5209</v>
      </c>
      <c r="AJ51" s="34">
        <f t="shared" si="133"/>
        <v>193.7396</v>
      </c>
      <c r="AK51" s="31">
        <f t="shared" si="143"/>
        <v>5887</v>
      </c>
      <c r="AL51" s="35">
        <f t="shared" si="134"/>
        <v>0.8848309835</v>
      </c>
      <c r="AM51" s="36">
        <f t="shared" si="144"/>
        <v>1.5</v>
      </c>
      <c r="AN51" s="35">
        <f t="shared" si="135"/>
        <v>0.5974800999</v>
      </c>
      <c r="AO51" s="37">
        <f t="shared" si="136"/>
        <v>0.8962201498</v>
      </c>
      <c r="AP51" s="36">
        <f t="shared" ref="AP51:AQ51" si="145">SUM(T42)</f>
        <v>234.4380445</v>
      </c>
      <c r="AQ51" s="36">
        <f t="shared" si="145"/>
        <v>7.814601484</v>
      </c>
      <c r="AR51" s="32">
        <f t="shared" si="138"/>
        <v>173.6333333</v>
      </c>
    </row>
    <row r="52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X52" s="31">
        <v>5.0</v>
      </c>
      <c r="Y52" s="31" t="s">
        <v>39</v>
      </c>
      <c r="Z52" s="31">
        <f t="shared" ref="Z52:AI52" si="146">SUM(D43)</f>
        <v>28</v>
      </c>
      <c r="AA52" s="32">
        <f t="shared" si="146"/>
        <v>28</v>
      </c>
      <c r="AB52" s="33">
        <f t="shared" si="146"/>
        <v>5458.878</v>
      </c>
      <c r="AC52" s="32">
        <f t="shared" si="146"/>
        <v>1516</v>
      </c>
      <c r="AD52" s="32">
        <f t="shared" si="146"/>
        <v>43</v>
      </c>
      <c r="AE52" s="32">
        <f t="shared" si="146"/>
        <v>1559</v>
      </c>
      <c r="AF52" s="32">
        <f t="shared" si="146"/>
        <v>1765</v>
      </c>
      <c r="AG52" s="32">
        <f t="shared" si="146"/>
        <v>115</v>
      </c>
      <c r="AH52" s="32">
        <f t="shared" si="146"/>
        <v>1880</v>
      </c>
      <c r="AI52" s="32">
        <f t="shared" si="146"/>
        <v>3439</v>
      </c>
      <c r="AJ52" s="34">
        <f t="shared" si="133"/>
        <v>194.9599286</v>
      </c>
      <c r="AK52" s="31">
        <f t="shared" si="143"/>
        <v>3569</v>
      </c>
      <c r="AL52" s="35">
        <f t="shared" si="134"/>
        <v>0.9635752312</v>
      </c>
      <c r="AM52" s="36">
        <f t="shared" si="144"/>
        <v>1.5</v>
      </c>
      <c r="AN52" s="35">
        <f t="shared" si="135"/>
        <v>0.4199886253</v>
      </c>
      <c r="AO52" s="37">
        <f t="shared" si="136"/>
        <v>0.6299829379</v>
      </c>
      <c r="AP52" s="36">
        <f t="shared" ref="AP52:AQ52" si="147">SUM(T43)</f>
        <v>254.339002</v>
      </c>
      <c r="AQ52" s="36">
        <f t="shared" si="147"/>
        <v>9.083535786</v>
      </c>
      <c r="AR52" s="32">
        <f t="shared" si="138"/>
        <v>122.8214286</v>
      </c>
    </row>
    <row r="53" ht="15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X53" s="31">
        <v>6.0</v>
      </c>
      <c r="Y53" s="31" t="s">
        <v>41</v>
      </c>
      <c r="Z53" s="31">
        <f t="shared" ref="Z53:AI53" si="148">SUM(D44)</f>
        <v>24</v>
      </c>
      <c r="AA53" s="32">
        <f t="shared" si="148"/>
        <v>24</v>
      </c>
      <c r="AB53" s="33">
        <f t="shared" si="148"/>
        <v>4806.32</v>
      </c>
      <c r="AC53" s="32">
        <f t="shared" si="148"/>
        <v>1468</v>
      </c>
      <c r="AD53" s="32">
        <f t="shared" si="148"/>
        <v>0</v>
      </c>
      <c r="AE53" s="32">
        <f t="shared" si="148"/>
        <v>1468</v>
      </c>
      <c r="AF53" s="32">
        <f t="shared" si="148"/>
        <v>1656</v>
      </c>
      <c r="AG53" s="32">
        <f t="shared" si="148"/>
        <v>0</v>
      </c>
      <c r="AH53" s="32">
        <f t="shared" si="148"/>
        <v>1656</v>
      </c>
      <c r="AI53" s="32">
        <f t="shared" si="148"/>
        <v>3124</v>
      </c>
      <c r="AJ53" s="34">
        <f t="shared" si="133"/>
        <v>200.2633333</v>
      </c>
      <c r="AK53" s="31">
        <f t="shared" si="143"/>
        <v>3801</v>
      </c>
      <c r="AL53" s="35">
        <f t="shared" si="134"/>
        <v>0.8218889766</v>
      </c>
      <c r="AM53" s="36">
        <f t="shared" si="144"/>
        <v>1.5</v>
      </c>
      <c r="AN53" s="35">
        <f t="shared" si="135"/>
        <v>0.4333183531</v>
      </c>
      <c r="AO53" s="37">
        <f t="shared" si="136"/>
        <v>0.6499775296</v>
      </c>
      <c r="AP53" s="36">
        <f t="shared" ref="AP53:AQ53" si="149">SUM(T44)</f>
        <v>162.2222222</v>
      </c>
      <c r="AQ53" s="36">
        <f t="shared" si="149"/>
        <v>6.759259259</v>
      </c>
      <c r="AR53" s="32">
        <f t="shared" si="138"/>
        <v>130.1666667</v>
      </c>
    </row>
    <row r="54" ht="15.75" customHeight="1">
      <c r="A54" s="1" t="s">
        <v>45</v>
      </c>
      <c r="D54" s="2"/>
      <c r="X54" s="46" t="s">
        <v>33</v>
      </c>
      <c r="Y54" s="46">
        <v>6.0</v>
      </c>
      <c r="Z54" s="46">
        <f t="shared" ref="Z54:AI54" si="150">SUM(Z48:Z53)</f>
        <v>174</v>
      </c>
      <c r="AA54" s="47">
        <f t="shared" si="150"/>
        <v>173</v>
      </c>
      <c r="AB54" s="49">
        <f t="shared" si="150"/>
        <v>33421.484</v>
      </c>
      <c r="AC54" s="47">
        <f t="shared" si="150"/>
        <v>13336</v>
      </c>
      <c r="AD54" s="47">
        <f t="shared" si="150"/>
        <v>43</v>
      </c>
      <c r="AE54" s="47">
        <f t="shared" si="150"/>
        <v>13379</v>
      </c>
      <c r="AF54" s="47">
        <f t="shared" si="150"/>
        <v>17446</v>
      </c>
      <c r="AG54" s="47">
        <f t="shared" si="150"/>
        <v>305</v>
      </c>
      <c r="AH54" s="47">
        <f t="shared" si="150"/>
        <v>17751</v>
      </c>
      <c r="AI54" s="47">
        <f t="shared" si="150"/>
        <v>31130</v>
      </c>
      <c r="AJ54" s="49">
        <f t="shared" si="133"/>
        <v>193.1877688</v>
      </c>
      <c r="AK54" s="46">
        <f>SUM(AK48:AK53)</f>
        <v>37031</v>
      </c>
      <c r="AL54" s="50">
        <f t="shared" si="134"/>
        <v>0.8406470255</v>
      </c>
      <c r="AM54" s="51">
        <v>1.5</v>
      </c>
      <c r="AN54" s="50">
        <f t="shared" si="135"/>
        <v>0.6209578645</v>
      </c>
      <c r="AO54" s="52">
        <f t="shared" si="136"/>
        <v>0.9314367968</v>
      </c>
      <c r="AP54" s="51">
        <f>SUM(AP48:AP53)</f>
        <v>1373.817821</v>
      </c>
      <c r="AQ54" s="51">
        <f>AP54/AA54</f>
        <v>7.941143477</v>
      </c>
      <c r="AR54" s="47">
        <f t="shared" si="138"/>
        <v>179.9421965</v>
      </c>
    </row>
    <row r="55" ht="15.75" customHeight="1">
      <c r="A55" s="1" t="s">
        <v>45</v>
      </c>
      <c r="D55" s="2"/>
      <c r="X55" s="66" t="s">
        <v>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6"/>
    </row>
    <row r="56" ht="15.75" customHeight="1">
      <c r="A56" s="7">
        <v>46268.0</v>
      </c>
      <c r="B56" s="8" t="s">
        <v>2</v>
      </c>
      <c r="C56" s="8" t="s">
        <v>3</v>
      </c>
      <c r="D56" s="8" t="s">
        <v>4</v>
      </c>
      <c r="E56" s="8" t="s">
        <v>5</v>
      </c>
      <c r="F56" s="9" t="s">
        <v>6</v>
      </c>
      <c r="G56" s="8" t="s">
        <v>7</v>
      </c>
      <c r="H56" s="8" t="s">
        <v>8</v>
      </c>
      <c r="I56" s="8" t="s">
        <v>9</v>
      </c>
      <c r="J56" s="8" t="s">
        <v>10</v>
      </c>
      <c r="K56" s="8" t="s">
        <v>11</v>
      </c>
      <c r="L56" s="8" t="s">
        <v>12</v>
      </c>
      <c r="M56" s="8" t="s">
        <v>13</v>
      </c>
      <c r="N56" s="9" t="s">
        <v>14</v>
      </c>
      <c r="O56" s="8" t="s">
        <v>15</v>
      </c>
      <c r="P56" s="8" t="s">
        <v>16</v>
      </c>
      <c r="Q56" s="8" t="s">
        <v>17</v>
      </c>
      <c r="R56" s="8" t="s">
        <v>18</v>
      </c>
      <c r="S56" s="11" t="s">
        <v>19</v>
      </c>
      <c r="T56" s="12" t="s">
        <v>20</v>
      </c>
      <c r="U56" s="12" t="s">
        <v>21</v>
      </c>
      <c r="V56" s="13" t="s">
        <v>22</v>
      </c>
      <c r="X56" s="14" t="s">
        <v>2</v>
      </c>
      <c r="Y56" s="14" t="s">
        <v>3</v>
      </c>
      <c r="Z56" s="14" t="s">
        <v>4</v>
      </c>
      <c r="AA56" s="14" t="s">
        <v>5</v>
      </c>
      <c r="AB56" s="15" t="s">
        <v>6</v>
      </c>
      <c r="AC56" s="14" t="s">
        <v>7</v>
      </c>
      <c r="AD56" s="14" t="s">
        <v>8</v>
      </c>
      <c r="AE56" s="14" t="s">
        <v>9</v>
      </c>
      <c r="AF56" s="14" t="s">
        <v>10</v>
      </c>
      <c r="AG56" s="14" t="s">
        <v>11</v>
      </c>
      <c r="AH56" s="14" t="s">
        <v>12</v>
      </c>
      <c r="AI56" s="14" t="s">
        <v>13</v>
      </c>
      <c r="AJ56" s="15" t="s">
        <v>14</v>
      </c>
      <c r="AK56" s="14" t="s">
        <v>15</v>
      </c>
      <c r="AL56" s="14" t="s">
        <v>16</v>
      </c>
      <c r="AM56" s="16" t="s">
        <v>17</v>
      </c>
      <c r="AN56" s="17" t="s">
        <v>18</v>
      </c>
      <c r="AO56" s="18" t="s">
        <v>19</v>
      </c>
      <c r="AP56" s="19" t="s">
        <v>20</v>
      </c>
      <c r="AQ56" s="19" t="s">
        <v>21</v>
      </c>
      <c r="AR56" s="20" t="s">
        <v>22</v>
      </c>
    </row>
    <row r="57" ht="15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X57" s="22">
        <v>1.0</v>
      </c>
      <c r="Y57" s="22" t="s">
        <v>23</v>
      </c>
      <c r="Z57" s="22">
        <f t="shared" ref="Z57:AI57" si="151">SUM(D65)</f>
        <v>35</v>
      </c>
      <c r="AA57" s="23">
        <f t="shared" si="151"/>
        <v>34</v>
      </c>
      <c r="AB57" s="24">
        <f t="shared" si="151"/>
        <v>6343.12</v>
      </c>
      <c r="AC57" s="23">
        <f t="shared" si="151"/>
        <v>1642</v>
      </c>
      <c r="AD57" s="23">
        <f t="shared" si="151"/>
        <v>0</v>
      </c>
      <c r="AE57" s="23">
        <f t="shared" si="151"/>
        <v>1642</v>
      </c>
      <c r="AF57" s="23">
        <f t="shared" si="151"/>
        <v>2911</v>
      </c>
      <c r="AG57" s="23">
        <f t="shared" si="151"/>
        <v>0</v>
      </c>
      <c r="AH57" s="23">
        <f t="shared" si="151"/>
        <v>2911</v>
      </c>
      <c r="AI57" s="23">
        <f t="shared" si="151"/>
        <v>4553</v>
      </c>
      <c r="AJ57" s="25">
        <f t="shared" ref="AJ57:AJ59" si="154">AB57/AA57</f>
        <v>186.5623529</v>
      </c>
      <c r="AK57" s="22">
        <f>SUM(O65)</f>
        <v>6853</v>
      </c>
      <c r="AL57" s="26">
        <f t="shared" ref="AL57:AL63" si="155">AI57/AK57</f>
        <v>0.6643805633</v>
      </c>
      <c r="AM57" s="27">
        <f t="shared" ref="AM57:AM59" si="156">SUM(Q65)</f>
        <v>1.5</v>
      </c>
      <c r="AN57" s="26">
        <f t="shared" ref="AN57:AN63" si="157">AO57/AM57</f>
        <v>0.4785237128</v>
      </c>
      <c r="AO57" s="28">
        <f t="shared" ref="AO57:AO63" si="158">AI57/AB57</f>
        <v>0.7177855692</v>
      </c>
      <c r="AP57" s="27">
        <f t="shared" ref="AP57:AQ57" si="152">SUM(T65)</f>
        <v>188</v>
      </c>
      <c r="AQ57" s="27">
        <f t="shared" si="152"/>
        <v>5.529411765</v>
      </c>
      <c r="AR57" s="23">
        <f t="shared" ref="AR57:AR63" si="160">AI57/AA57</f>
        <v>133.9117647</v>
      </c>
    </row>
    <row r="58" ht="15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X58" s="22">
        <v>2.0</v>
      </c>
      <c r="Y58" s="22" t="s">
        <v>24</v>
      </c>
      <c r="Z58" s="22">
        <f t="shared" ref="Z58:AI58" si="153">SUM(D66)</f>
        <v>44</v>
      </c>
      <c r="AA58" s="23">
        <f t="shared" si="153"/>
        <v>44</v>
      </c>
      <c r="AB58" s="24">
        <f t="shared" si="153"/>
        <v>8503.184</v>
      </c>
      <c r="AC58" s="23">
        <f t="shared" si="153"/>
        <v>1215</v>
      </c>
      <c r="AD58" s="23">
        <f t="shared" si="153"/>
        <v>0</v>
      </c>
      <c r="AE58" s="23">
        <f t="shared" si="153"/>
        <v>1215</v>
      </c>
      <c r="AF58" s="23">
        <f t="shared" si="153"/>
        <v>1449</v>
      </c>
      <c r="AG58" s="23">
        <f t="shared" si="153"/>
        <v>47</v>
      </c>
      <c r="AH58" s="23">
        <f t="shared" si="153"/>
        <v>1496</v>
      </c>
      <c r="AI58" s="23">
        <f t="shared" si="153"/>
        <v>2711</v>
      </c>
      <c r="AJ58" s="25">
        <f t="shared" si="154"/>
        <v>193.2541818</v>
      </c>
      <c r="AK58" s="22">
        <v>1580.0</v>
      </c>
      <c r="AL58" s="29">
        <f t="shared" si="155"/>
        <v>1.715822785</v>
      </c>
      <c r="AM58" s="27">
        <f t="shared" si="156"/>
        <v>1.5</v>
      </c>
      <c r="AN58" s="26">
        <f t="shared" si="157"/>
        <v>0.2125478331</v>
      </c>
      <c r="AO58" s="28">
        <f t="shared" si="158"/>
        <v>0.3188217496</v>
      </c>
      <c r="AP58" s="27">
        <f t="shared" ref="AP58:AQ58" si="159">SUM(T66)</f>
        <v>317.2238015</v>
      </c>
      <c r="AQ58" s="27">
        <f t="shared" si="159"/>
        <v>7.209631853</v>
      </c>
      <c r="AR58" s="23">
        <f t="shared" si="160"/>
        <v>61.61363636</v>
      </c>
    </row>
    <row r="59" ht="15.75" customHeight="1">
      <c r="A59" s="21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X59" s="31">
        <v>3.0</v>
      </c>
      <c r="Y59" s="31" t="s">
        <v>25</v>
      </c>
      <c r="Z59" s="31">
        <f t="shared" ref="Z59:AI59" si="161">SUM(D67)</f>
        <v>32</v>
      </c>
      <c r="AA59" s="32">
        <f t="shared" si="161"/>
        <v>32</v>
      </c>
      <c r="AB59" s="33">
        <f t="shared" si="161"/>
        <v>6115.844</v>
      </c>
      <c r="AC59" s="32">
        <f t="shared" si="161"/>
        <v>2262</v>
      </c>
      <c r="AD59" s="32">
        <f t="shared" si="161"/>
        <v>452</v>
      </c>
      <c r="AE59" s="32">
        <f t="shared" si="161"/>
        <v>2714</v>
      </c>
      <c r="AF59" s="32">
        <f t="shared" si="161"/>
        <v>2922</v>
      </c>
      <c r="AG59" s="32">
        <f t="shared" si="161"/>
        <v>298</v>
      </c>
      <c r="AH59" s="32">
        <f t="shared" si="161"/>
        <v>3220</v>
      </c>
      <c r="AI59" s="32">
        <f t="shared" si="161"/>
        <v>5934</v>
      </c>
      <c r="AJ59" s="34">
        <f t="shared" si="154"/>
        <v>191.120125</v>
      </c>
      <c r="AK59" s="31">
        <f>SUM(O67)</f>
        <v>6622</v>
      </c>
      <c r="AL59" s="35">
        <f t="shared" si="155"/>
        <v>0.8961038961</v>
      </c>
      <c r="AM59" s="36">
        <f t="shared" si="156"/>
        <v>1.5</v>
      </c>
      <c r="AN59" s="35">
        <f t="shared" si="157"/>
        <v>0.6468444911</v>
      </c>
      <c r="AO59" s="37">
        <f t="shared" si="158"/>
        <v>0.9702667367</v>
      </c>
      <c r="AP59" s="36">
        <f t="shared" ref="AP59:AQ59" si="162">SUM(T67)</f>
        <v>256.5370805</v>
      </c>
      <c r="AQ59" s="36">
        <f t="shared" si="162"/>
        <v>8.016783767</v>
      </c>
      <c r="AR59" s="32">
        <f t="shared" si="160"/>
        <v>185.4375</v>
      </c>
    </row>
    <row r="60" ht="15.75" customHeight="1">
      <c r="A60" s="21"/>
      <c r="B60" s="38">
        <v>1.0</v>
      </c>
      <c r="C60" s="38" t="s">
        <v>26</v>
      </c>
      <c r="D60" s="39">
        <v>20.0</v>
      </c>
      <c r="E60" s="40">
        <f>IFERROR(__xludf.DUMMYFUNCTION("COUNT(IMPORTRANGE(""https://docs.google.com/spreadsheets/d/1F0NpMx7WhcgPgxTWpryY3Z1CGg56FL6aiL4mHs43w4E/edit"",""3!d2:d21""))"),20.0)</f>
        <v>20</v>
      </c>
      <c r="F60" s="41">
        <f>IFERROR(__xludf.DUMMYFUNCTION("SUM(IMPORTRANGE(""https://docs.google.com/spreadsheets/d/1F0NpMx7WhcgPgxTWpryY3Z1CGg56FL6aiL4mHs43w4E/edit"",""3!Q2:Q21""))"),3993.567)</f>
        <v>3993.567</v>
      </c>
      <c r="G60" s="40">
        <f>IFERROR(__xludf.DUMMYFUNCTION("IMPORTRANGE(""https://docs.google.com/spreadsheets/d/1F0NpMx7WhcgPgxTWpryY3Z1CGg56FL6aiL4mHs43w4E/edit"",""3!e28"")"),2441.0)</f>
        <v>2441</v>
      </c>
      <c r="H60" s="40">
        <f>IFERROR(__xludf.DUMMYFUNCTION("IMPORTRANGE(""https://docs.google.com/spreadsheets/d/1F0NpMx7WhcgPgxTWpryY3Z1CGg56FL6aiL4mHs43w4E/edit"",""3!e29"")"),20.0)</f>
        <v>20</v>
      </c>
      <c r="I60" s="40">
        <f t="shared" ref="I60:I77" si="165">SUM(G60:H60)</f>
        <v>2461</v>
      </c>
      <c r="J60" s="40">
        <f>IFERROR(__xludf.DUMMYFUNCTION("IMPORTRANGE(""https://docs.google.com/spreadsheets/d/1F0NpMx7WhcgPgxTWpryY3Z1CGg56FL6aiL4mHs43w4E/edit"",""3!e32"")"),2544.0)</f>
        <v>2544</v>
      </c>
      <c r="K60" s="40">
        <f>IFERROR(__xludf.DUMMYFUNCTION("IMPORTRANGE(""https://docs.google.com/spreadsheets/d/1F0NpMx7WhcgPgxTWpryY3Z1CGg56FL6aiL4mHs43w4E/edit"",""3!e33"")"),220.0)</f>
        <v>220</v>
      </c>
      <c r="L60" s="40">
        <f t="shared" ref="L60:L66" si="166">SUM(J60:K60)</f>
        <v>2764</v>
      </c>
      <c r="M60" s="40">
        <f t="shared" ref="M60:M77" si="167">SUM(I60+L60)</f>
        <v>5225</v>
      </c>
      <c r="N60" s="41">
        <f t="shared" ref="N60:N78" si="168">F60/E60</f>
        <v>199.67835</v>
      </c>
      <c r="O60" s="38">
        <v>5161.0</v>
      </c>
      <c r="P60" s="56">
        <f t="shared" ref="P60:P78" si="169">M60/O60</f>
        <v>1.012400698</v>
      </c>
      <c r="Q60" s="43">
        <v>1.5</v>
      </c>
      <c r="R60" s="42">
        <f t="shared" ref="R60:R78" si="170">S60/Q60</f>
        <v>0.8722361071</v>
      </c>
      <c r="S60" s="44">
        <f t="shared" ref="S60:S78" si="171">M60/F60</f>
        <v>1.308354161</v>
      </c>
      <c r="T60" s="43">
        <f>F60/14.415</f>
        <v>277.0424558</v>
      </c>
      <c r="U60" s="43">
        <f t="shared" ref="U60:U78" si="172">T60/E60</f>
        <v>13.85212279</v>
      </c>
      <c r="V60" s="40">
        <f t="shared" ref="V60:V78" si="173">M60/E60</f>
        <v>261.25</v>
      </c>
      <c r="X60" s="22">
        <v>4.0</v>
      </c>
      <c r="Y60" s="22" t="s">
        <v>27</v>
      </c>
      <c r="Z60" s="22">
        <f t="shared" ref="Z60:AK60" si="163">SUM(D73)</f>
        <v>30</v>
      </c>
      <c r="AA60" s="23">
        <f t="shared" si="163"/>
        <v>29</v>
      </c>
      <c r="AB60" s="24">
        <f t="shared" si="163"/>
        <v>5265.91</v>
      </c>
      <c r="AC60" s="23">
        <f t="shared" si="163"/>
        <v>2086</v>
      </c>
      <c r="AD60" s="23">
        <f t="shared" si="163"/>
        <v>80</v>
      </c>
      <c r="AE60" s="23">
        <f t="shared" si="163"/>
        <v>2166</v>
      </c>
      <c r="AF60" s="23">
        <f t="shared" si="163"/>
        <v>3135</v>
      </c>
      <c r="AG60" s="23">
        <f t="shared" si="163"/>
        <v>99</v>
      </c>
      <c r="AH60" s="23">
        <f t="shared" si="163"/>
        <v>3234</v>
      </c>
      <c r="AI60" s="23">
        <f t="shared" si="163"/>
        <v>5400</v>
      </c>
      <c r="AJ60" s="25">
        <f t="shared" si="163"/>
        <v>181.5831034</v>
      </c>
      <c r="AK60" s="22">
        <f t="shared" si="163"/>
        <v>8101</v>
      </c>
      <c r="AL60" s="26">
        <f t="shared" si="155"/>
        <v>0.6665843723</v>
      </c>
      <c r="AM60" s="27">
        <f>SUM(Q73)</f>
        <v>1.5</v>
      </c>
      <c r="AN60" s="26">
        <f t="shared" si="157"/>
        <v>0.6836425233</v>
      </c>
      <c r="AO60" s="28">
        <f t="shared" si="158"/>
        <v>1.025463785</v>
      </c>
      <c r="AP60" s="27">
        <f t="shared" ref="AP60:AQ60" si="164">SUM(T73)</f>
        <v>263.4931198</v>
      </c>
      <c r="AQ60" s="27">
        <f t="shared" si="164"/>
        <v>9.08596965</v>
      </c>
      <c r="AR60" s="23">
        <f t="shared" si="160"/>
        <v>186.2068966</v>
      </c>
    </row>
    <row r="61" ht="15.75" customHeight="1">
      <c r="A61" s="21"/>
      <c r="B61" s="38">
        <v>2.0</v>
      </c>
      <c r="C61" s="38" t="s">
        <v>28</v>
      </c>
      <c r="D61" s="39">
        <v>33.0</v>
      </c>
      <c r="E61" s="40">
        <f>IFERROR(__xludf.DUMMYFUNCTION("COUNT(IMPORTRANGE(""https://docs.google.com/spreadsheets/d/1H9vAqftAHb0OdeSGXHTnJFzoWUgpoH31sc0sHNN8y1o/edit"",""3!d2:d34""))"),32.0)</f>
        <v>32</v>
      </c>
      <c r="F61" s="41">
        <f>IFERROR(__xludf.DUMMYFUNCTION("SUM(IMPORTRANGE(""https://docs.google.com/spreadsheets/d/1H9vAqftAHb0OdeSGXHTnJFzoWUgpoH31sc0sHNN8y1o/edit"",""3!Q2:Q34""))"),6236.487999999999)</f>
        <v>6236.488</v>
      </c>
      <c r="G61" s="40">
        <f>IFERROR(__xludf.DUMMYFUNCTION("IMPORTRANGE(""https://docs.google.com/spreadsheets/d/1H9vAqftAHb0OdeSGXHTnJFzoWUgpoH31sc0sHNN8y1o/edit"",""3!e41"")"),2795.0)</f>
        <v>2795</v>
      </c>
      <c r="H61" s="40">
        <f>IFERROR(__xludf.DUMMYFUNCTION("IMPORTRANGE(""https://docs.google.com/spreadsheets/d/1H9vAqftAHb0OdeSGXHTnJFzoWUgpoH31sc0sHNN8y1o/edit"",""3!e42"")"),140.0)</f>
        <v>140</v>
      </c>
      <c r="I61" s="40">
        <f t="shared" si="165"/>
        <v>2935</v>
      </c>
      <c r="J61" s="40">
        <f>IFERROR(__xludf.DUMMYFUNCTION("IMPORTRANGE(""https://docs.google.com/spreadsheets/d/1H9vAqftAHb0OdeSGXHTnJFzoWUgpoH31sc0sHNN8y1o/edit"",""3!e45"")"),2886.0)</f>
        <v>2886</v>
      </c>
      <c r="K61" s="40">
        <f>IFERROR(__xludf.DUMMYFUNCTION("IMPORTRANGE(""https://docs.google.com/spreadsheets/d/1H9vAqftAHb0OdeSGXHTnJFzoWUgpoH31sc0sHNN8y1o/edit"",""3!e46"")"),186.0)</f>
        <v>186</v>
      </c>
      <c r="L61" s="40">
        <f t="shared" si="166"/>
        <v>3072</v>
      </c>
      <c r="M61" s="40">
        <f t="shared" si="167"/>
        <v>6007</v>
      </c>
      <c r="N61" s="41">
        <f t="shared" si="168"/>
        <v>194.89025</v>
      </c>
      <c r="O61" s="38">
        <v>7315.0</v>
      </c>
      <c r="P61" s="42">
        <f t="shared" si="169"/>
        <v>0.821189337</v>
      </c>
      <c r="Q61" s="43">
        <v>1.5</v>
      </c>
      <c r="R61" s="42">
        <f t="shared" si="170"/>
        <v>0.642134911</v>
      </c>
      <c r="S61" s="44">
        <f t="shared" si="171"/>
        <v>0.9632023665</v>
      </c>
      <c r="T61" s="43">
        <f>F61/30.897</f>
        <v>201.8476875</v>
      </c>
      <c r="U61" s="43">
        <f t="shared" si="172"/>
        <v>6.307740234</v>
      </c>
      <c r="V61" s="40">
        <f t="shared" si="173"/>
        <v>187.71875</v>
      </c>
      <c r="X61" s="22">
        <v>5.0</v>
      </c>
      <c r="Y61" s="22" t="s">
        <v>29</v>
      </c>
      <c r="Z61" s="22">
        <f t="shared" ref="Z61:AI61" si="174">SUM(D76)</f>
        <v>30</v>
      </c>
      <c r="AA61" s="23">
        <f t="shared" si="174"/>
        <v>30</v>
      </c>
      <c r="AB61" s="24">
        <f t="shared" si="174"/>
        <v>6172.403</v>
      </c>
      <c r="AC61" s="23">
        <f t="shared" si="174"/>
        <v>2776</v>
      </c>
      <c r="AD61" s="23">
        <f t="shared" si="174"/>
        <v>0</v>
      </c>
      <c r="AE61" s="23">
        <f t="shared" si="174"/>
        <v>2776</v>
      </c>
      <c r="AF61" s="23">
        <f t="shared" si="174"/>
        <v>4306</v>
      </c>
      <c r="AG61" s="23">
        <f t="shared" si="174"/>
        <v>0</v>
      </c>
      <c r="AH61" s="23">
        <f t="shared" si="174"/>
        <v>4306</v>
      </c>
      <c r="AI61" s="23">
        <f t="shared" si="174"/>
        <v>7082</v>
      </c>
      <c r="AJ61" s="25">
        <f t="shared" ref="AJ61:AJ63" si="177">AB61/AA61</f>
        <v>205.7467667</v>
      </c>
      <c r="AK61" s="22">
        <f t="shared" ref="AK61:AK62" si="178">SUM(O76)</f>
        <v>9201</v>
      </c>
      <c r="AL61" s="26">
        <f t="shared" si="155"/>
        <v>0.7696989458</v>
      </c>
      <c r="AM61" s="27">
        <f t="shared" ref="AM61:AM62" si="179">SUM(Q76)</f>
        <v>1.5</v>
      </c>
      <c r="AN61" s="26">
        <f t="shared" si="157"/>
        <v>0.7649100899</v>
      </c>
      <c r="AO61" s="28">
        <f t="shared" si="158"/>
        <v>1.147365135</v>
      </c>
      <c r="AP61" s="27">
        <f t="shared" ref="AP61:AQ61" si="175">SUM(T76)</f>
        <v>233</v>
      </c>
      <c r="AQ61" s="27">
        <f t="shared" si="175"/>
        <v>7.766666667</v>
      </c>
      <c r="AR61" s="23">
        <f t="shared" si="160"/>
        <v>236.0666667</v>
      </c>
    </row>
    <row r="62" ht="15.75" customHeight="1">
      <c r="A62" s="21"/>
      <c r="B62" s="38">
        <v>3.0</v>
      </c>
      <c r="C62" s="38" t="s">
        <v>30</v>
      </c>
      <c r="D62" s="39">
        <v>60.0</v>
      </c>
      <c r="E62" s="40">
        <f>IFERROR(__xludf.DUMMYFUNCTION("COUNT(IMPORTRANGE(""https://docs.google.com/spreadsheets/d/1EWN6nfpuVxbUE_9opjYCWaI7MTm5xsF6ssjklSbMZnA/edit"",""3!d2:d61""))"),60.0)</f>
        <v>60</v>
      </c>
      <c r="F62" s="45">
        <f>IFERROR(__xludf.DUMMYFUNCTION("SUM(IMPORTRANGE(""https://docs.google.com/spreadsheets/d/1EWN6nfpuVxbUE_9opjYCWaI7MTm5xsF6ssjklSbMZnA/edit"",""3!Q2:Q61""))"),11240.645999999992)</f>
        <v>11240.646</v>
      </c>
      <c r="G62" s="40">
        <f>IFERROR(__xludf.DUMMYFUNCTION("IMPORTRANGE(""https://docs.google.com/spreadsheets/d/1EWN6nfpuVxbUE_9opjYCWaI7MTm5xsF6ssjklSbMZnA/edit"",""3!e68"")"),3447.0)</f>
        <v>3447</v>
      </c>
      <c r="H62" s="40">
        <f>IFERROR(__xludf.DUMMYFUNCTION("IMPORTRANGE(""https://docs.google.com/spreadsheets/d/1EWN6nfpuVxbUE_9opjYCWaI7MTm5xsF6ssjklSbMZnA/edit"",""3!e69"")"),0.0)</f>
        <v>0</v>
      </c>
      <c r="I62" s="40">
        <f t="shared" si="165"/>
        <v>3447</v>
      </c>
      <c r="J62" s="40">
        <f>IFERROR(__xludf.DUMMYFUNCTION("IMPORTRANGE(""https://docs.google.com/spreadsheets/d/1EWN6nfpuVxbUE_9opjYCWaI7MTm5xsF6ssjklSbMZnA/edit"",""3!e72"")"),5534.0)</f>
        <v>5534</v>
      </c>
      <c r="K62" s="40">
        <f>IFERROR(__xludf.DUMMYFUNCTION("IMPORTRANGE(""https://docs.google.com/spreadsheets/d/1EWN6nfpuVxbUE_9opjYCWaI7MTm5xsF6ssjklSbMZnA/edit"",""3!e73"")"),0.0)</f>
        <v>0</v>
      </c>
      <c r="L62" s="40">
        <f t="shared" si="166"/>
        <v>5534</v>
      </c>
      <c r="M62" s="40">
        <f t="shared" si="167"/>
        <v>8981</v>
      </c>
      <c r="N62" s="41">
        <f t="shared" si="168"/>
        <v>187.3441</v>
      </c>
      <c r="O62" s="38">
        <v>11164.0</v>
      </c>
      <c r="P62" s="42">
        <f t="shared" si="169"/>
        <v>0.8044607668</v>
      </c>
      <c r="Q62" s="43">
        <v>1.5</v>
      </c>
      <c r="R62" s="42">
        <f t="shared" si="170"/>
        <v>0.5326502884</v>
      </c>
      <c r="S62" s="44">
        <f t="shared" si="171"/>
        <v>0.7989754326</v>
      </c>
      <c r="T62" s="43">
        <f>F62/29.603</f>
        <v>379.7130696</v>
      </c>
      <c r="U62" s="43">
        <f t="shared" si="172"/>
        <v>6.32855116</v>
      </c>
      <c r="V62" s="40">
        <f t="shared" si="173"/>
        <v>149.6833333</v>
      </c>
      <c r="X62" s="22">
        <v>6.0</v>
      </c>
      <c r="Y62" s="22" t="s">
        <v>31</v>
      </c>
      <c r="Z62" s="22">
        <f t="shared" ref="Z62:AI62" si="176">SUM(D77)</f>
        <v>15</v>
      </c>
      <c r="AA62" s="23">
        <f t="shared" si="176"/>
        <v>14</v>
      </c>
      <c r="AB62" s="25">
        <f t="shared" si="176"/>
        <v>2825.225</v>
      </c>
      <c r="AC62" s="23">
        <f t="shared" si="176"/>
        <v>838</v>
      </c>
      <c r="AD62" s="23">
        <f t="shared" si="176"/>
        <v>0</v>
      </c>
      <c r="AE62" s="23">
        <f t="shared" si="176"/>
        <v>838</v>
      </c>
      <c r="AF62" s="23">
        <f t="shared" si="176"/>
        <v>1055</v>
      </c>
      <c r="AG62" s="23">
        <f t="shared" si="176"/>
        <v>14</v>
      </c>
      <c r="AH62" s="23">
        <f t="shared" si="176"/>
        <v>1069</v>
      </c>
      <c r="AI62" s="23">
        <f t="shared" si="176"/>
        <v>1907</v>
      </c>
      <c r="AJ62" s="25">
        <f t="shared" si="177"/>
        <v>201.8017857</v>
      </c>
      <c r="AK62" s="22">
        <f t="shared" si="178"/>
        <v>2717</v>
      </c>
      <c r="AL62" s="26">
        <f t="shared" si="155"/>
        <v>0.7018770703</v>
      </c>
      <c r="AM62" s="27">
        <f t="shared" si="179"/>
        <v>1.5</v>
      </c>
      <c r="AN62" s="26">
        <f t="shared" si="157"/>
        <v>0.4499936583</v>
      </c>
      <c r="AO62" s="28">
        <f t="shared" si="158"/>
        <v>0.6749904875</v>
      </c>
      <c r="AP62" s="27">
        <f t="shared" ref="AP62:AQ62" si="180">SUM(T77)</f>
        <v>65</v>
      </c>
      <c r="AQ62" s="27">
        <f t="shared" si="180"/>
        <v>4.642857143</v>
      </c>
      <c r="AR62" s="23">
        <f t="shared" si="160"/>
        <v>136.2142857</v>
      </c>
    </row>
    <row r="63" ht="15.75" customHeight="1">
      <c r="A63" s="21"/>
      <c r="B63" s="38">
        <v>4.0</v>
      </c>
      <c r="C63" s="38" t="s">
        <v>32</v>
      </c>
      <c r="D63" s="39">
        <v>42.0</v>
      </c>
      <c r="E63" s="40">
        <f>IFERROR(__xludf.DUMMYFUNCTION("COUNT(IMPORTRANGE(""https://docs.google.com/spreadsheets/d/1Rmar8QqWK4XOJ-eY6xMzkAfDSw0srEXcAw89ilArun8/edit"",""3!d2:d43""))"),42.0)</f>
        <v>42</v>
      </c>
      <c r="F63" s="45">
        <f>IFERROR(__xludf.DUMMYFUNCTION("SUM(IMPORTRANGE(""https://docs.google.com/spreadsheets/d/1Rmar8QqWK4XOJ-eY6xMzkAfDSw0srEXcAw89ilArun8/edit"",""3!Q2:Q43""))"),8204.10299999999)</f>
        <v>8204.103</v>
      </c>
      <c r="G63" s="38">
        <f>IFERROR(__xludf.DUMMYFUNCTION("IMPORTRANGE(""https://docs.google.com/spreadsheets/d/1Rmar8QqWK4XOJ-eY6xMzkAfDSw0srEXcAw89ilArun8/edit"",""3!e50"")"),4595.0)</f>
        <v>4595</v>
      </c>
      <c r="H63" s="38">
        <f>IFERROR(__xludf.DUMMYFUNCTION("IMPORTRANGE(""https://docs.google.com/spreadsheets/d/1Rmar8QqWK4XOJ-eY6xMzkAfDSw0srEXcAw89ilArun8/edit"",""3!e51"")"),0.0)</f>
        <v>0</v>
      </c>
      <c r="I63" s="40">
        <f t="shared" si="165"/>
        <v>4595</v>
      </c>
      <c r="J63" s="38">
        <f>IFERROR(__xludf.DUMMYFUNCTION("IMPORTRANGE(""https://docs.google.com/spreadsheets/d/1Rmar8QqWK4XOJ-eY6xMzkAfDSw0srEXcAw89ilArun8/edit"",""3!e54"")"),5729.0)</f>
        <v>5729</v>
      </c>
      <c r="K63" s="38">
        <f>IFERROR(__xludf.DUMMYFUNCTION("IMPORTRANGE(""https://docs.google.com/spreadsheets/d/1Rmar8QqWK4XOJ-eY6xMzkAfDSw0srEXcAw89ilArun8/edit"",""3!e55"")"),110.0)</f>
        <v>110</v>
      </c>
      <c r="L63" s="40">
        <f t="shared" si="166"/>
        <v>5839</v>
      </c>
      <c r="M63" s="40">
        <f t="shared" si="167"/>
        <v>10434</v>
      </c>
      <c r="N63" s="41">
        <f t="shared" si="168"/>
        <v>195.3357857</v>
      </c>
      <c r="O63" s="38">
        <v>13817.0</v>
      </c>
      <c r="P63" s="42">
        <f t="shared" si="169"/>
        <v>0.755156691</v>
      </c>
      <c r="Q63" s="43">
        <v>1.5</v>
      </c>
      <c r="R63" s="42">
        <f t="shared" si="170"/>
        <v>0.8478684385</v>
      </c>
      <c r="S63" s="44">
        <f t="shared" si="171"/>
        <v>1.271802658</v>
      </c>
      <c r="T63" s="43">
        <f>F63/25.089</f>
        <v>327</v>
      </c>
      <c r="U63" s="43">
        <f t="shared" si="172"/>
        <v>7.785714286</v>
      </c>
      <c r="V63" s="40">
        <f t="shared" si="173"/>
        <v>248.4285714</v>
      </c>
      <c r="X63" s="46" t="s">
        <v>33</v>
      </c>
      <c r="Y63" s="46">
        <v>6.0</v>
      </c>
      <c r="Z63" s="46">
        <f t="shared" ref="Z63:AI63" si="181">SUM(Z57:Z62)</f>
        <v>186</v>
      </c>
      <c r="AA63" s="47">
        <f t="shared" si="181"/>
        <v>183</v>
      </c>
      <c r="AB63" s="48">
        <f t="shared" si="181"/>
        <v>35225.686</v>
      </c>
      <c r="AC63" s="47">
        <f t="shared" si="181"/>
        <v>10819</v>
      </c>
      <c r="AD63" s="47">
        <f t="shared" si="181"/>
        <v>532</v>
      </c>
      <c r="AE63" s="47">
        <f t="shared" si="181"/>
        <v>11351</v>
      </c>
      <c r="AF63" s="47">
        <f t="shared" si="181"/>
        <v>15778</v>
      </c>
      <c r="AG63" s="47">
        <f t="shared" si="181"/>
        <v>458</v>
      </c>
      <c r="AH63" s="47">
        <f t="shared" si="181"/>
        <v>16236</v>
      </c>
      <c r="AI63" s="47">
        <f t="shared" si="181"/>
        <v>27587</v>
      </c>
      <c r="AJ63" s="49">
        <f t="shared" si="177"/>
        <v>192.4900874</v>
      </c>
      <c r="AK63" s="46">
        <f>SUM(AK57:AK62)</f>
        <v>35074</v>
      </c>
      <c r="AL63" s="50">
        <f t="shared" si="155"/>
        <v>0.786537036</v>
      </c>
      <c r="AM63" s="51">
        <v>1.5</v>
      </c>
      <c r="AN63" s="50">
        <f t="shared" si="157"/>
        <v>0.5221000759</v>
      </c>
      <c r="AO63" s="52">
        <f t="shared" si="158"/>
        <v>0.7831501138</v>
      </c>
      <c r="AP63" s="51">
        <f>SUM(AP57:AP62)</f>
        <v>1323.254002</v>
      </c>
      <c r="AQ63" s="51">
        <f>AP63/AA63</f>
        <v>7.230896185</v>
      </c>
      <c r="AR63" s="47">
        <f t="shared" si="160"/>
        <v>150.7486339</v>
      </c>
    </row>
    <row r="64" ht="15.75" customHeight="1">
      <c r="A64" s="21"/>
      <c r="B64" s="38">
        <v>5.0</v>
      </c>
      <c r="C64" s="38" t="s">
        <v>34</v>
      </c>
      <c r="D64" s="39">
        <v>40.0</v>
      </c>
      <c r="E64" s="40">
        <f>IFERROR(__xludf.DUMMYFUNCTION("COUNT(IMPORTRANGE(""https://docs.google.com/spreadsheets/d/1u99JxAoytGQQ8GcjxXl38CGdyEWy5uIbuJJHnsotyvk/edit"",""3!d2:d41""))"),39.0)</f>
        <v>39</v>
      </c>
      <c r="F64" s="45">
        <f>IFERROR(__xludf.DUMMYFUNCTION("SUM(IMPORTRANGE(""https://docs.google.com/spreadsheets/d/1u99JxAoytGQQ8GcjxXl38CGdyEWy5uIbuJJHnsotyvk/edit"",""3!Q2:Q41""))"),7668.567000000002)</f>
        <v>7668.567</v>
      </c>
      <c r="G64" s="40">
        <f>IFERROR(__xludf.DUMMYFUNCTION("IMPORTRANGE(""https://docs.google.com/spreadsheets/d/1u99JxAoytGQQ8GcjxXl38CGdyEWy5uIbuJJHnsotyvk/edit"",""3!e48"")"),3177.0)</f>
        <v>3177</v>
      </c>
      <c r="H64" s="40">
        <f>IFERROR(__xludf.DUMMYFUNCTION("IMPORTRANGE(""https://docs.google.com/spreadsheets/d/1u99JxAoytGQQ8GcjxXl38CGdyEWy5uIbuJJHnsotyvk/edit"",""3!e49"")"),0.0)</f>
        <v>0</v>
      </c>
      <c r="I64" s="40">
        <f t="shared" si="165"/>
        <v>3177</v>
      </c>
      <c r="J64" s="40">
        <f>IFERROR(__xludf.DUMMYFUNCTION("IMPORTRANGE(""https://docs.google.com/spreadsheets/d/1u99JxAoytGQQ8GcjxXl38CGdyEWy5uIbuJJHnsotyvk/edit"",""3!e52"")"),2832.0)</f>
        <v>2832</v>
      </c>
      <c r="K64" s="40">
        <f>IFERROR(__xludf.DUMMYFUNCTION("IMPORTRANGE(""https://docs.google.com/spreadsheets/d/1u99JxAoytGQQ8GcjxXl38CGdyEWy5uIbuJJHnsotyvk/edit"",""3!e53"")"),107.0)</f>
        <v>107</v>
      </c>
      <c r="L64" s="40">
        <f t="shared" si="166"/>
        <v>2939</v>
      </c>
      <c r="M64" s="40">
        <f t="shared" si="167"/>
        <v>6116</v>
      </c>
      <c r="N64" s="41">
        <f t="shared" si="168"/>
        <v>196.6299231</v>
      </c>
      <c r="O64" s="38">
        <v>9354.0</v>
      </c>
      <c r="P64" s="42">
        <f t="shared" si="169"/>
        <v>0.6538379303</v>
      </c>
      <c r="Q64" s="43">
        <v>1.5</v>
      </c>
      <c r="R64" s="42">
        <f t="shared" si="170"/>
        <v>0.5316942961</v>
      </c>
      <c r="S64" s="44">
        <f t="shared" si="171"/>
        <v>0.7975414442</v>
      </c>
      <c r="T64" s="43">
        <f>F64/30.713</f>
        <v>249.6847263</v>
      </c>
      <c r="U64" s="43">
        <f t="shared" si="172"/>
        <v>6.40217247</v>
      </c>
      <c r="V64" s="40">
        <f t="shared" si="173"/>
        <v>156.8205128</v>
      </c>
      <c r="X64" s="53" t="s">
        <v>35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6"/>
    </row>
    <row r="65" ht="15.75" customHeight="1">
      <c r="A65" s="21"/>
      <c r="B65" s="38">
        <v>6.0</v>
      </c>
      <c r="C65" s="38" t="s">
        <v>23</v>
      </c>
      <c r="D65" s="39">
        <v>35.0</v>
      </c>
      <c r="E65" s="40">
        <f>IFERROR(__xludf.DUMMYFUNCTION("COUNT(IMPORTRANGE(""https://docs.google.com/spreadsheets/d/1uVc-vnTn57HE53lwrUYNZP4sGKTXisrqOoZ-6EyvLzY/edit"",""3!d2:d36""))"),34.0)</f>
        <v>34</v>
      </c>
      <c r="F65" s="45">
        <f>IFERROR(__xludf.DUMMYFUNCTION("SUM(IMPORTRANGE(""https://docs.google.com/spreadsheets/d/1uVc-vnTn57HE53lwrUYNZP4sGKTXisrqOoZ-6EyvLzY/edit"",""3!Q2:Q36""))"),6343.119999999997)</f>
        <v>6343.12</v>
      </c>
      <c r="G65" s="40">
        <f>IFERROR(__xludf.DUMMYFUNCTION("IMPORTRANGE(""https://docs.google.com/spreadsheets/d/1uVc-vnTn57HE53lwrUYNZP4sGKTXisrqOoZ-6EyvLzY/edit"",""3!e43"")"),1642.0)</f>
        <v>1642</v>
      </c>
      <c r="H65" s="40">
        <f>IFERROR(__xludf.DUMMYFUNCTION("IMPORTRANGE(""https://docs.google.com/spreadsheets/d/1uVc-vnTn57HE53lwrUYNZP4sGKTXisrqOoZ-6EyvLzY/edit"",""3!e44"")"),0.0)</f>
        <v>0</v>
      </c>
      <c r="I65" s="40">
        <f t="shared" si="165"/>
        <v>1642</v>
      </c>
      <c r="J65" s="40">
        <f>IFERROR(__xludf.DUMMYFUNCTION("IMPORTRANGE(""https://docs.google.com/spreadsheets/d/1uVc-vnTn57HE53lwrUYNZP4sGKTXisrqOoZ-6EyvLzY/edit"",""3!e47"")"),2911.0)</f>
        <v>2911</v>
      </c>
      <c r="K65" s="40">
        <f>IFERROR(__xludf.DUMMYFUNCTION("IMPORTRANGE(""https://docs.google.com/spreadsheets/d/1uVc-vnTn57HE53lwrUYNZP4sGKTXisrqOoZ-6EyvLzY/edit"",""3!e48"")"),0.0)</f>
        <v>0</v>
      </c>
      <c r="L65" s="40">
        <f t="shared" si="166"/>
        <v>2911</v>
      </c>
      <c r="M65" s="40">
        <f t="shared" si="167"/>
        <v>4553</v>
      </c>
      <c r="N65" s="41">
        <f t="shared" si="168"/>
        <v>186.5623529</v>
      </c>
      <c r="O65" s="38">
        <v>6853.0</v>
      </c>
      <c r="P65" s="42">
        <f t="shared" si="169"/>
        <v>0.6643805633</v>
      </c>
      <c r="Q65" s="43">
        <v>1.5</v>
      </c>
      <c r="R65" s="42">
        <f t="shared" si="170"/>
        <v>0.4785237128</v>
      </c>
      <c r="S65" s="44">
        <f t="shared" si="171"/>
        <v>0.7177855692</v>
      </c>
      <c r="T65" s="43">
        <f>F65/33.74</f>
        <v>188</v>
      </c>
      <c r="U65" s="43">
        <f t="shared" si="172"/>
        <v>5.529411765</v>
      </c>
      <c r="V65" s="40">
        <f t="shared" si="173"/>
        <v>133.9117647</v>
      </c>
      <c r="X65" s="14" t="s">
        <v>2</v>
      </c>
      <c r="Y65" s="14" t="s">
        <v>3</v>
      </c>
      <c r="Z65" s="14" t="s">
        <v>4</v>
      </c>
      <c r="AA65" s="14" t="s">
        <v>5</v>
      </c>
      <c r="AB65" s="15" t="s">
        <v>6</v>
      </c>
      <c r="AC65" s="14" t="s">
        <v>7</v>
      </c>
      <c r="AD65" s="14" t="s">
        <v>8</v>
      </c>
      <c r="AE65" s="14" t="s">
        <v>9</v>
      </c>
      <c r="AF65" s="14" t="s">
        <v>10</v>
      </c>
      <c r="AG65" s="14" t="s">
        <v>11</v>
      </c>
      <c r="AH65" s="14" t="s">
        <v>12</v>
      </c>
      <c r="AI65" s="14" t="s">
        <v>13</v>
      </c>
      <c r="AJ65" s="15" t="s">
        <v>14</v>
      </c>
      <c r="AK65" s="14" t="s">
        <v>15</v>
      </c>
      <c r="AL65" s="14" t="s">
        <v>16</v>
      </c>
      <c r="AM65" s="16" t="s">
        <v>17</v>
      </c>
      <c r="AN65" s="17" t="s">
        <v>18</v>
      </c>
      <c r="AO65" s="18" t="s">
        <v>19</v>
      </c>
      <c r="AP65" s="19" t="s">
        <v>20</v>
      </c>
      <c r="AQ65" s="19" t="s">
        <v>21</v>
      </c>
      <c r="AR65" s="20" t="s">
        <v>22</v>
      </c>
    </row>
    <row r="66" ht="15.75" customHeight="1">
      <c r="A66" s="21"/>
      <c r="B66" s="38">
        <v>7.0</v>
      </c>
      <c r="C66" s="38" t="s">
        <v>24</v>
      </c>
      <c r="D66" s="39">
        <v>44.0</v>
      </c>
      <c r="E66" s="54">
        <f>IFERROR(__xludf.DUMMYFUNCTION("COUNT(IMPORTRANGE(""https://docs.google.com/spreadsheets/d/1iuPvivSypupo44l6GtmR-2qZ3za7cTk7KzsOVp_kv2c/edit"",""3!d2:d45""))"),44.0)</f>
        <v>44</v>
      </c>
      <c r="F66" s="55">
        <f>IFERROR(__xludf.DUMMYFUNCTION("SUM(IMPORTRANGE(""https://docs.google.com/spreadsheets/d/1iuPvivSypupo44l6GtmR-2qZ3za7cTk7KzsOVp_kv2c/edit"",""3!Q2:Q45""))"),8503.183999999994)</f>
        <v>8503.184</v>
      </c>
      <c r="G66" s="54">
        <f>IFERROR(__xludf.DUMMYFUNCTION("IMPORTRANGE(""https://docs.google.com/spreadsheets/d/1iuPvivSypupo44l6GtmR-2qZ3za7cTk7KzsOVp_kv2c/edit"",""3!e53"")"),1215.0)</f>
        <v>1215</v>
      </c>
      <c r="H66" s="54">
        <f>IFERROR(__xludf.DUMMYFUNCTION("IMPORTRANGE(""https://docs.google.com/spreadsheets/d/1iuPvivSypupo44l6GtmR-2qZ3za7cTk7KzsOVp_kv2c/edit"",""3!e54"")"),0.0)</f>
        <v>0</v>
      </c>
      <c r="I66" s="54">
        <f t="shared" si="165"/>
        <v>1215</v>
      </c>
      <c r="J66" s="54">
        <f>IFERROR(__xludf.DUMMYFUNCTION("IMPORTRANGE(""https://docs.google.com/spreadsheets/d/1iuPvivSypupo44l6GtmR-2qZ3za7cTk7KzsOVp_kv2c/edit"",""3!e57"")"),1449.0)</f>
        <v>1449</v>
      </c>
      <c r="K66" s="54">
        <f>IFERROR(__xludf.DUMMYFUNCTION("IMPORTRANGE(""https://docs.google.com/spreadsheets/d/1iuPvivSypupo44l6GtmR-2qZ3za7cTk7KzsOVp_kv2c/edit"",""3!e58"")"),47.0)</f>
        <v>47</v>
      </c>
      <c r="L66" s="40">
        <f t="shared" si="166"/>
        <v>1496</v>
      </c>
      <c r="M66" s="40">
        <f t="shared" si="167"/>
        <v>2711</v>
      </c>
      <c r="N66" s="41">
        <f t="shared" si="168"/>
        <v>193.2541818</v>
      </c>
      <c r="O66" s="38">
        <v>1580.0</v>
      </c>
      <c r="P66" s="56">
        <f t="shared" si="169"/>
        <v>1.715822785</v>
      </c>
      <c r="Q66" s="43">
        <v>1.5</v>
      </c>
      <c r="R66" s="42">
        <f t="shared" si="170"/>
        <v>0.2125478331</v>
      </c>
      <c r="S66" s="44">
        <f t="shared" si="171"/>
        <v>0.3188217496</v>
      </c>
      <c r="T66" s="43">
        <f>F66/26.805</f>
        <v>317.2238015</v>
      </c>
      <c r="U66" s="43">
        <f t="shared" si="172"/>
        <v>7.209631853</v>
      </c>
      <c r="V66" s="40">
        <f t="shared" si="173"/>
        <v>61.61363636</v>
      </c>
      <c r="X66" s="22">
        <v>1.0</v>
      </c>
      <c r="Y66" s="22" t="s">
        <v>28</v>
      </c>
      <c r="Z66" s="22">
        <f t="shared" ref="Z66:AI66" si="182">SUM(D61)</f>
        <v>33</v>
      </c>
      <c r="AA66" s="23">
        <f t="shared" si="182"/>
        <v>32</v>
      </c>
      <c r="AB66" s="25">
        <f t="shared" si="182"/>
        <v>6236.488</v>
      </c>
      <c r="AC66" s="23">
        <f t="shared" si="182"/>
        <v>2795</v>
      </c>
      <c r="AD66" s="23">
        <f t="shared" si="182"/>
        <v>140</v>
      </c>
      <c r="AE66" s="23">
        <f t="shared" si="182"/>
        <v>2935</v>
      </c>
      <c r="AF66" s="23">
        <f t="shared" si="182"/>
        <v>2886</v>
      </c>
      <c r="AG66" s="23">
        <f t="shared" si="182"/>
        <v>186</v>
      </c>
      <c r="AH66" s="23">
        <f t="shared" si="182"/>
        <v>3072</v>
      </c>
      <c r="AI66" s="23">
        <f t="shared" si="182"/>
        <v>6007</v>
      </c>
      <c r="AJ66" s="25">
        <f t="shared" ref="AJ66:AJ72" si="185">AB66/AA66</f>
        <v>194.89025</v>
      </c>
      <c r="AK66" s="22">
        <f t="shared" ref="AK66:AK67" si="186">SUM(O61)</f>
        <v>7315</v>
      </c>
      <c r="AL66" s="26">
        <f t="shared" ref="AL66:AL72" si="187">AI66/AK66</f>
        <v>0.821189337</v>
      </c>
      <c r="AM66" s="27">
        <f t="shared" ref="AM66:AM67" si="188">SUM(Q61)</f>
        <v>1.5</v>
      </c>
      <c r="AN66" s="26">
        <f t="shared" ref="AN66:AN72" si="189">AO66/AM66</f>
        <v>0.642134911</v>
      </c>
      <c r="AO66" s="28">
        <f t="shared" ref="AO66:AO72" si="190">AI66/AB66</f>
        <v>0.9632023665</v>
      </c>
      <c r="AP66" s="27">
        <f t="shared" ref="AP66:AQ66" si="183">SUM(T61)</f>
        <v>201.8476875</v>
      </c>
      <c r="AQ66" s="27">
        <f t="shared" si="183"/>
        <v>6.307740234</v>
      </c>
      <c r="AR66" s="23">
        <f t="shared" ref="AR66:AR72" si="192">AI66/AA66</f>
        <v>187.71875</v>
      </c>
    </row>
    <row r="67" ht="15.75" customHeight="1">
      <c r="A67" s="21"/>
      <c r="B67" s="38">
        <v>8.0</v>
      </c>
      <c r="C67" s="38" t="s">
        <v>25</v>
      </c>
      <c r="D67" s="57">
        <v>32.0</v>
      </c>
      <c r="E67" s="40">
        <f>IFERROR(__xludf.DUMMYFUNCTION("COUNT(IMPORTRANGE(""https://docs.google.com/spreadsheets/d/1sqWX7UerdR9KR_duBzDNfjwbPG-3hLgV1LiN2ZVZ6Js/edit"",""3!d2:D33""))"),32.0)</f>
        <v>32</v>
      </c>
      <c r="F67" s="45">
        <f>IFERROR(__xludf.DUMMYFUNCTION("SUM(IMPORTRANGE(""https://docs.google.com/spreadsheets/d/1sqWX7UerdR9KR_duBzDNfjwbPG-3hLgV1LiN2ZVZ6Js/edit"",""3!Q2:Q33""))"),6115.844000000002)</f>
        <v>6115.844</v>
      </c>
      <c r="G67" s="40">
        <f>IFERROR(__xludf.DUMMYFUNCTION("IMPORTRANGE(""https://docs.google.com/spreadsheets/d/1sqWX7UerdR9KR_duBzDNfjwbPG-3hLgV1LiN2ZVZ6Js/edit"",""3!e40"")"),2262.0)</f>
        <v>2262</v>
      </c>
      <c r="H67" s="40">
        <f>IFERROR(__xludf.DUMMYFUNCTION("IMPORTRANGE(""https://docs.google.com/spreadsheets/d/1sqWX7UerdR9KR_duBzDNfjwbPG-3hLgV1LiN2ZVZ6Js/edit"",""3!e41"")"),452.0)</f>
        <v>452</v>
      </c>
      <c r="I67" s="40">
        <f t="shared" si="165"/>
        <v>2714</v>
      </c>
      <c r="J67" s="40">
        <f>IFERROR(__xludf.DUMMYFUNCTION("IMPORTRANGE(""https://docs.google.com/spreadsheets/d/1sqWX7UerdR9KR_duBzDNfjwbPG-3hLgV1LiN2ZVZ6Js/edit"",""3!e44"")"),2922.0)</f>
        <v>2922</v>
      </c>
      <c r="K67" s="40">
        <f>IFERROR(__xludf.DUMMYFUNCTION("IMPORTRANGE(""https://docs.google.com/spreadsheets/d/1sqWX7UerdR9KR_duBzDNfjwbPG-3hLgV1LiN2ZVZ6Js/edit"",""3!e45"")"),298.0)</f>
        <v>298</v>
      </c>
      <c r="L67" s="40">
        <f>J67+K67</f>
        <v>3220</v>
      </c>
      <c r="M67" s="40">
        <f t="shared" si="167"/>
        <v>5934</v>
      </c>
      <c r="N67" s="41">
        <f t="shared" si="168"/>
        <v>191.120125</v>
      </c>
      <c r="O67" s="38">
        <v>6622.0</v>
      </c>
      <c r="P67" s="42">
        <f t="shared" si="169"/>
        <v>0.8961038961</v>
      </c>
      <c r="Q67" s="43">
        <v>1.5</v>
      </c>
      <c r="R67" s="42">
        <f t="shared" si="170"/>
        <v>0.6468444911</v>
      </c>
      <c r="S67" s="44">
        <f t="shared" si="171"/>
        <v>0.9702667367</v>
      </c>
      <c r="T67" s="43">
        <f>F67/23.84</f>
        <v>256.5370805</v>
      </c>
      <c r="U67" s="43">
        <f t="shared" si="172"/>
        <v>8.016783767</v>
      </c>
      <c r="V67" s="40">
        <f t="shared" si="173"/>
        <v>185.4375</v>
      </c>
      <c r="X67" s="31">
        <v>2.0</v>
      </c>
      <c r="Y67" s="31" t="s">
        <v>30</v>
      </c>
      <c r="Z67" s="31">
        <f t="shared" ref="Z67:AI67" si="184">SUM(D62)</f>
        <v>60</v>
      </c>
      <c r="AA67" s="32">
        <f t="shared" si="184"/>
        <v>60</v>
      </c>
      <c r="AB67" s="33">
        <f t="shared" si="184"/>
        <v>11240.646</v>
      </c>
      <c r="AC67" s="32">
        <f t="shared" si="184"/>
        <v>3447</v>
      </c>
      <c r="AD67" s="32">
        <f t="shared" si="184"/>
        <v>0</v>
      </c>
      <c r="AE67" s="32">
        <f t="shared" si="184"/>
        <v>3447</v>
      </c>
      <c r="AF67" s="32">
        <f t="shared" si="184"/>
        <v>5534</v>
      </c>
      <c r="AG67" s="32">
        <f t="shared" si="184"/>
        <v>0</v>
      </c>
      <c r="AH67" s="32">
        <f t="shared" si="184"/>
        <v>5534</v>
      </c>
      <c r="AI67" s="32">
        <f t="shared" si="184"/>
        <v>8981</v>
      </c>
      <c r="AJ67" s="34">
        <f t="shared" si="185"/>
        <v>187.3441</v>
      </c>
      <c r="AK67" s="31">
        <f t="shared" si="186"/>
        <v>11164</v>
      </c>
      <c r="AL67" s="35">
        <f t="shared" si="187"/>
        <v>0.8044607668</v>
      </c>
      <c r="AM67" s="36">
        <f t="shared" si="188"/>
        <v>1.5</v>
      </c>
      <c r="AN67" s="35">
        <f t="shared" si="189"/>
        <v>0.5326502884</v>
      </c>
      <c r="AO67" s="37">
        <f t="shared" si="190"/>
        <v>0.7989754326</v>
      </c>
      <c r="AP67" s="36">
        <f t="shared" ref="AP67:AQ67" si="191">SUM(T62)</f>
        <v>379.7130696</v>
      </c>
      <c r="AQ67" s="36">
        <f t="shared" si="191"/>
        <v>6.32855116</v>
      </c>
      <c r="AR67" s="32">
        <f t="shared" si="192"/>
        <v>149.6833333</v>
      </c>
    </row>
    <row r="68" ht="15.75" customHeight="1">
      <c r="A68" s="21"/>
      <c r="B68" s="38">
        <v>9.0</v>
      </c>
      <c r="C68" s="38" t="s">
        <v>36</v>
      </c>
      <c r="D68" s="58">
        <v>30.0</v>
      </c>
      <c r="E68" s="40">
        <f>IFERROR(__xludf.DUMMYFUNCTION("COUNT(IMPORTRANGE(""https://docs.google.com/spreadsheets/d/1YNna43iTSqnwwbMJgTIPHSJEoDO8RGPRFg5pJCoQR_Y/edit"",""3!d2:d31""))"),30.0)</f>
        <v>30</v>
      </c>
      <c r="F68" s="45">
        <f>IFERROR(__xludf.DUMMYFUNCTION("SUM(IMPORTRANGE(""https://docs.google.com/spreadsheets/d/1YNna43iTSqnwwbMJgTIPHSJEoDO8RGPRFg5pJCoQR_Y/edit"",""3!Q2:Q31""))"),5794.3820000000005)</f>
        <v>5794.382</v>
      </c>
      <c r="G68" s="40">
        <f>IFERROR(__xludf.DUMMYFUNCTION("IMPORTRANGE(""https://docs.google.com/spreadsheets/d/1YNna43iTSqnwwbMJgTIPHSJEoDO8RGPRFg5pJCoQR_Y/edit"",""3!e38"")"),1670.0)</f>
        <v>1670</v>
      </c>
      <c r="H68" s="40">
        <f>IFERROR(__xludf.DUMMYFUNCTION("IMPORTRANGE(""https://docs.google.com/spreadsheets/d/1YNna43iTSqnwwbMJgTIPHSJEoDO8RGPRFg5pJCoQR_Y/edit"",""3!e39"")"),0.0)</f>
        <v>0</v>
      </c>
      <c r="I68" s="40">
        <f t="shared" si="165"/>
        <v>1670</v>
      </c>
      <c r="J68" s="40">
        <f>IFERROR(__xludf.DUMMYFUNCTION("IMPORTRANGE(""https://docs.google.com/spreadsheets/d/1YNna43iTSqnwwbMJgTIPHSJEoDO8RGPRFg5pJCoQR_Y/edit"",""3!e42"")"),2442.0)</f>
        <v>2442</v>
      </c>
      <c r="K68" s="40">
        <f>IFERROR(__xludf.DUMMYFUNCTION("IMPORTRANGE(""https://docs.google.com/spreadsheets/d/1YNna43iTSqnwwbMJgTIPHSJEoDO8RGPRFg5pJCoQR_Y/edit"",""3!e43"")"),0.0)</f>
        <v>0</v>
      </c>
      <c r="L68" s="40">
        <f t="shared" ref="L68:L77" si="195">SUM(J68:K68)</f>
        <v>2442</v>
      </c>
      <c r="M68" s="40">
        <f t="shared" si="167"/>
        <v>4112</v>
      </c>
      <c r="N68" s="41">
        <f t="shared" si="168"/>
        <v>193.1460667</v>
      </c>
      <c r="O68" s="38">
        <v>4796.0</v>
      </c>
      <c r="P68" s="42">
        <f t="shared" si="169"/>
        <v>0.857381151</v>
      </c>
      <c r="Q68" s="43">
        <v>1.5</v>
      </c>
      <c r="R68" s="42">
        <f t="shared" si="170"/>
        <v>0.4731019345</v>
      </c>
      <c r="S68" s="44">
        <f t="shared" si="171"/>
        <v>0.7096529017</v>
      </c>
      <c r="T68" s="43">
        <f>F68/37.414</f>
        <v>154.8720265</v>
      </c>
      <c r="U68" s="43">
        <f t="shared" si="172"/>
        <v>5.162400884</v>
      </c>
      <c r="V68" s="40">
        <f t="shared" si="173"/>
        <v>137.0666667</v>
      </c>
      <c r="X68" s="22">
        <v>3.0</v>
      </c>
      <c r="Y68" s="22" t="s">
        <v>34</v>
      </c>
      <c r="Z68" s="22">
        <f t="shared" ref="Z68:AI68" si="193">SUM(D64)</f>
        <v>40</v>
      </c>
      <c r="AA68" s="23">
        <f t="shared" si="193"/>
        <v>39</v>
      </c>
      <c r="AB68" s="24">
        <f t="shared" si="193"/>
        <v>7668.567</v>
      </c>
      <c r="AC68" s="23">
        <f t="shared" si="193"/>
        <v>3177</v>
      </c>
      <c r="AD68" s="23">
        <f t="shared" si="193"/>
        <v>0</v>
      </c>
      <c r="AE68" s="23">
        <f t="shared" si="193"/>
        <v>3177</v>
      </c>
      <c r="AF68" s="23">
        <f t="shared" si="193"/>
        <v>2832</v>
      </c>
      <c r="AG68" s="23">
        <f t="shared" si="193"/>
        <v>107</v>
      </c>
      <c r="AH68" s="23">
        <f t="shared" si="193"/>
        <v>2939</v>
      </c>
      <c r="AI68" s="23">
        <f t="shared" si="193"/>
        <v>6116</v>
      </c>
      <c r="AJ68" s="25">
        <f t="shared" si="185"/>
        <v>196.6299231</v>
      </c>
      <c r="AK68" s="22">
        <f>SUM(O64)</f>
        <v>9354</v>
      </c>
      <c r="AL68" s="26">
        <f t="shared" si="187"/>
        <v>0.6538379303</v>
      </c>
      <c r="AM68" s="27">
        <f>SUM(Q64)</f>
        <v>1.5</v>
      </c>
      <c r="AN68" s="26">
        <f t="shared" si="189"/>
        <v>0.5316942961</v>
      </c>
      <c r="AO68" s="28">
        <f t="shared" si="190"/>
        <v>0.7975414442</v>
      </c>
      <c r="AP68" s="27">
        <f t="shared" ref="AP68:AQ68" si="194">SUM(T64)</f>
        <v>249.6847263</v>
      </c>
      <c r="AQ68" s="27">
        <f t="shared" si="194"/>
        <v>6.40217247</v>
      </c>
      <c r="AR68" s="23">
        <f t="shared" si="192"/>
        <v>156.8205128</v>
      </c>
    </row>
    <row r="69" ht="15.75" customHeight="1">
      <c r="A69" s="21"/>
      <c r="B69" s="38">
        <v>10.0</v>
      </c>
      <c r="C69" s="38" t="s">
        <v>37</v>
      </c>
      <c r="D69" s="39">
        <v>30.0</v>
      </c>
      <c r="E69" s="40">
        <f>IFERROR(__xludf.DUMMYFUNCTION("COUNT(IMPORTRANGE(""https://docs.google.com/spreadsheets/d/1913Df5BsXS_b-nClL8LOK5w0engQYTl1mPOiyngRtO0/edit"",""3!d2:d31""))"),29.0)</f>
        <v>29</v>
      </c>
      <c r="F69" s="45">
        <f>IFERROR(__xludf.DUMMYFUNCTION("SUM(IMPORTRANGE(""https://docs.google.com/spreadsheets/d/1913Df5BsXS_b-nClL8LOK5w0engQYTl1mPOiyngRtO0/edit"",""3!Q2:Q31""))"),5613.852000000001)</f>
        <v>5613.852</v>
      </c>
      <c r="G69" s="40">
        <f>IFERROR(__xludf.DUMMYFUNCTION("(IMPORTRANGE(""https://docs.google.com/spreadsheets/d/1913Df5BsXS_b-nClL8LOK5w0engQYTl1mPOiyngRtO0/edit"",""3!e38""))"),2252.0)</f>
        <v>2252</v>
      </c>
      <c r="H69" s="40">
        <f>IFERROR(__xludf.DUMMYFUNCTION("(IMPORTRANGE(""https://docs.google.com/spreadsheets/d/1913Df5BsXS_b-nClL8LOK5w0engQYTl1mPOiyngRtO0/edit"",""3!e39""))"),0.0)</f>
        <v>0</v>
      </c>
      <c r="I69" s="40">
        <f t="shared" si="165"/>
        <v>2252</v>
      </c>
      <c r="J69" s="40">
        <f>IFERROR(__xludf.DUMMYFUNCTION("(IMPORTRANGE(""https://docs.google.com/spreadsheets/d/1913Df5BsXS_b-nClL8LOK5w0engQYTl1mPOiyngRtO0/edit"",""3!e42""))"),3036.0)</f>
        <v>3036</v>
      </c>
      <c r="K69" s="40">
        <f>IFERROR(__xludf.DUMMYFUNCTION("(IMPORTRANGE(""https://docs.google.com/spreadsheets/d/1913Df5BsXS_b-nClL8LOK5w0engQYTl1mPOiyngRtO0/edit"",""3!e43""))"),0.0)</f>
        <v>0</v>
      </c>
      <c r="L69" s="40">
        <f t="shared" si="195"/>
        <v>3036</v>
      </c>
      <c r="M69" s="40">
        <f t="shared" si="167"/>
        <v>5288</v>
      </c>
      <c r="N69" s="41">
        <f t="shared" si="168"/>
        <v>193.5811034</v>
      </c>
      <c r="O69" s="38">
        <v>5887.0</v>
      </c>
      <c r="P69" s="42">
        <f t="shared" si="169"/>
        <v>0.8982503822</v>
      </c>
      <c r="Q69" s="43">
        <v>1.5</v>
      </c>
      <c r="R69" s="42">
        <f t="shared" si="170"/>
        <v>0.6279704797</v>
      </c>
      <c r="S69" s="44">
        <f t="shared" si="171"/>
        <v>0.9419557195</v>
      </c>
      <c r="T69" s="43">
        <f>F69/24.792</f>
        <v>226.4380445</v>
      </c>
      <c r="U69" s="43">
        <f t="shared" si="172"/>
        <v>7.808208432</v>
      </c>
      <c r="V69" s="40">
        <f t="shared" si="173"/>
        <v>182.3448276</v>
      </c>
      <c r="X69" s="31">
        <v>4.0</v>
      </c>
      <c r="Y69" s="31" t="s">
        <v>38</v>
      </c>
      <c r="Z69" s="31">
        <f t="shared" ref="Z69:AI69" si="196">SUM(D72)</f>
        <v>30</v>
      </c>
      <c r="AA69" s="32">
        <f t="shared" si="196"/>
        <v>30</v>
      </c>
      <c r="AB69" s="33">
        <f t="shared" si="196"/>
        <v>6057.135</v>
      </c>
      <c r="AC69" s="32">
        <f t="shared" si="196"/>
        <v>2252</v>
      </c>
      <c r="AD69" s="32">
        <f t="shared" si="196"/>
        <v>0</v>
      </c>
      <c r="AE69" s="32">
        <f t="shared" si="196"/>
        <v>2252</v>
      </c>
      <c r="AF69" s="32">
        <f t="shared" si="196"/>
        <v>2532</v>
      </c>
      <c r="AG69" s="32">
        <f t="shared" si="196"/>
        <v>106</v>
      </c>
      <c r="AH69" s="32">
        <f t="shared" si="196"/>
        <v>2638</v>
      </c>
      <c r="AI69" s="32">
        <f t="shared" si="196"/>
        <v>4890</v>
      </c>
      <c r="AJ69" s="34">
        <f t="shared" si="185"/>
        <v>201.9045</v>
      </c>
      <c r="AK69" s="31">
        <v>7324.0</v>
      </c>
      <c r="AL69" s="35">
        <f t="shared" si="187"/>
        <v>0.667667941</v>
      </c>
      <c r="AM69" s="36">
        <f>SUM(Q72)</f>
        <v>1.5</v>
      </c>
      <c r="AN69" s="35">
        <f t="shared" si="189"/>
        <v>0.5382082453</v>
      </c>
      <c r="AO69" s="37">
        <f t="shared" si="190"/>
        <v>0.807312368</v>
      </c>
      <c r="AP69" s="36">
        <f t="shared" ref="AP69:AQ69" si="197">SUM(T72)</f>
        <v>147</v>
      </c>
      <c r="AQ69" s="36">
        <f t="shared" si="197"/>
        <v>4.9</v>
      </c>
      <c r="AR69" s="32">
        <f t="shared" si="192"/>
        <v>163</v>
      </c>
    </row>
    <row r="70" ht="15.75" customHeight="1">
      <c r="A70" s="21"/>
      <c r="B70" s="38">
        <v>12.0</v>
      </c>
      <c r="C70" s="38" t="s">
        <v>39</v>
      </c>
      <c r="D70" s="39">
        <v>28.0</v>
      </c>
      <c r="E70" s="40">
        <f>IFERROR(__xludf.DUMMYFUNCTION("COUNT(IMPORTRANGE(""https://docs.google.com/spreadsheets/d/1wMeol_MpSIcocGxt3WZGl46mJ2tc80mANPvP_YzaP18/edit"",""3!d2:d29""))"),28.0)</f>
        <v>28</v>
      </c>
      <c r="F70" s="45">
        <f>IFERROR(__xludf.DUMMYFUNCTION("SUM(IMPORTRANGE(""https://docs.google.com/spreadsheets/d/1wMeol_MpSIcocGxt3WZGl46mJ2tc80mANPvP_YzaP18/edit"",""3!Q2:Q29""))"),5158.396)</f>
        <v>5158.396</v>
      </c>
      <c r="G70" s="40">
        <f>IFERROR(__xludf.DUMMYFUNCTION("IMPORTRANGE(""https://docs.google.com/spreadsheets/d/1wMeol_MpSIcocGxt3WZGl46mJ2tc80mANPvP_YzaP18/edit"",""3!e36"")"),1344.0)</f>
        <v>1344</v>
      </c>
      <c r="H70" s="40">
        <f>IFERROR(__xludf.DUMMYFUNCTION("(IMPORTRANGE(""https://docs.google.com/spreadsheets/d/1wMeol_MpSIcocGxt3WZGl46mJ2tc80mANPvP_YzaP18/edit"",""3!e37""))"),0.0)</f>
        <v>0</v>
      </c>
      <c r="I70" s="40">
        <f t="shared" si="165"/>
        <v>1344</v>
      </c>
      <c r="J70" s="40">
        <f>IFERROR(__xludf.DUMMYFUNCTION("IMPORTRANGE(""https://docs.google.com/spreadsheets/d/1wMeol_MpSIcocGxt3WZGl46mJ2tc80mANPvP_YzaP18/edit"",""3!e40"")"),1623.0)</f>
        <v>1623</v>
      </c>
      <c r="K70" s="40">
        <f>IFERROR(__xludf.DUMMYFUNCTION("IMPORTRANGE(""https://docs.google.com/spreadsheets/d/1wMeol_MpSIcocGxt3WZGl46mJ2tc80mANPvP_YzaP18/edit"",""3!e41"")"),73.0)</f>
        <v>73</v>
      </c>
      <c r="L70" s="40">
        <f t="shared" si="195"/>
        <v>1696</v>
      </c>
      <c r="M70" s="40">
        <f t="shared" si="167"/>
        <v>3040</v>
      </c>
      <c r="N70" s="41">
        <f t="shared" si="168"/>
        <v>184.2284286</v>
      </c>
      <c r="O70" s="38">
        <v>3569.0</v>
      </c>
      <c r="P70" s="42">
        <f t="shared" si="169"/>
        <v>0.8517792099</v>
      </c>
      <c r="Q70" s="43">
        <v>1.5</v>
      </c>
      <c r="R70" s="42">
        <f t="shared" si="170"/>
        <v>0.3928869879</v>
      </c>
      <c r="S70" s="44">
        <f t="shared" si="171"/>
        <v>0.5893304818</v>
      </c>
      <c r="T70" s="43">
        <f>F70/21.463</f>
        <v>240.339002</v>
      </c>
      <c r="U70" s="43">
        <f t="shared" si="172"/>
        <v>8.583535786</v>
      </c>
      <c r="V70" s="40">
        <f t="shared" si="173"/>
        <v>108.5714286</v>
      </c>
      <c r="X70" s="31">
        <v>5.0</v>
      </c>
      <c r="Y70" s="31" t="s">
        <v>40</v>
      </c>
      <c r="Z70" s="31">
        <f t="shared" ref="Z70:AI70" si="198">SUM(D74)</f>
        <v>30</v>
      </c>
      <c r="AA70" s="32">
        <f t="shared" si="198"/>
        <v>30</v>
      </c>
      <c r="AB70" s="33">
        <f t="shared" si="198"/>
        <v>5944.587</v>
      </c>
      <c r="AC70" s="32">
        <f t="shared" si="198"/>
        <v>3145</v>
      </c>
      <c r="AD70" s="32">
        <f t="shared" si="198"/>
        <v>0</v>
      </c>
      <c r="AE70" s="32">
        <f t="shared" si="198"/>
        <v>3145</v>
      </c>
      <c r="AF70" s="32">
        <f t="shared" si="198"/>
        <v>4341</v>
      </c>
      <c r="AG70" s="32">
        <f t="shared" si="198"/>
        <v>25</v>
      </c>
      <c r="AH70" s="32">
        <f t="shared" si="198"/>
        <v>4366</v>
      </c>
      <c r="AI70" s="32">
        <f t="shared" si="198"/>
        <v>7511</v>
      </c>
      <c r="AJ70" s="34">
        <f t="shared" si="185"/>
        <v>198.1529</v>
      </c>
      <c r="AK70" s="31">
        <f t="shared" ref="AK70:AK71" si="201">SUM(O74)</f>
        <v>8239</v>
      </c>
      <c r="AL70" s="35">
        <f t="shared" si="187"/>
        <v>0.9116397621</v>
      </c>
      <c r="AM70" s="36">
        <f t="shared" ref="AM70:AM71" si="202">SUM(Q74)</f>
        <v>1.5</v>
      </c>
      <c r="AN70" s="35">
        <f t="shared" si="189"/>
        <v>0.8423349399</v>
      </c>
      <c r="AO70" s="37">
        <f t="shared" si="190"/>
        <v>1.26350241</v>
      </c>
      <c r="AP70" s="36">
        <f t="shared" ref="AP70:AQ70" si="199">SUM(T74)</f>
        <v>209</v>
      </c>
      <c r="AQ70" s="36">
        <f t="shared" si="199"/>
        <v>6.966666667</v>
      </c>
      <c r="AR70" s="32">
        <f t="shared" si="192"/>
        <v>250.3666667</v>
      </c>
    </row>
    <row r="71" ht="15.75" customHeight="1">
      <c r="A71" s="21"/>
      <c r="B71" s="38">
        <v>12.0</v>
      </c>
      <c r="C71" s="38" t="s">
        <v>41</v>
      </c>
      <c r="D71" s="39">
        <v>24.0</v>
      </c>
      <c r="E71" s="40">
        <f>IFERROR(__xludf.DUMMYFUNCTION("COUNT(IMPORTRANGE(""https://docs.google.com/spreadsheets/d/1sHk6_yuc4kORC_xnhEeazoemV_hVUQVqRpfoNae-PLk/edit"",""3!d2:d25""))"),24.0)</f>
        <v>24</v>
      </c>
      <c r="F71" s="45">
        <f>IFERROR(__xludf.DUMMYFUNCTION("SUM(IMPORTRANGE(""https://docs.google.com/spreadsheets/d/1sHk6_yuc4kORC_xnhEeazoemV_hVUQVqRpfoNae-PLk/edit"",""3!Q2:Q25""))"),4615.384000000001)</f>
        <v>4615.384</v>
      </c>
      <c r="G71" s="40">
        <f>IFERROR(__xludf.DUMMYFUNCTION("IMPORTRANGE(""https://docs.google.com/spreadsheets/d/1sHk6_yuc4kORC_xnhEeazoemV_hVUQVqRpfoNae-PLk/edit"",""3!e32"")"),1410.0)</f>
        <v>1410</v>
      </c>
      <c r="H71" s="40">
        <f>IFERROR(__xludf.DUMMYFUNCTION("IMPORTRANGE(""https://docs.google.com/spreadsheets/d/1sHk6_yuc4kORC_xnhEeazoemV_hVUQVqRpfoNae-PLk/edit"",""3!e33"")"),0.0)</f>
        <v>0</v>
      </c>
      <c r="I71" s="40">
        <f t="shared" si="165"/>
        <v>1410</v>
      </c>
      <c r="J71" s="40">
        <f>IFERROR(__xludf.DUMMYFUNCTION("IMPORTRANGE(""https://docs.google.com/spreadsheets/d/1sHk6_yuc4kORC_xnhEeazoemV_hVUQVqRpfoNae-PLk/edit"",""3!e36"")"),1622.0)</f>
        <v>1622</v>
      </c>
      <c r="K71" s="40">
        <f>IFERROR(__xludf.DUMMYFUNCTION("IMPORTRANGE(""https://docs.google.com/spreadsheets/d/1sHk6_yuc4kORC_xnhEeazoemV_hVUQVqRpfoNae-PLk/edit"",""3!e37"")"),0.0)</f>
        <v>0</v>
      </c>
      <c r="L71" s="40">
        <f t="shared" si="195"/>
        <v>1622</v>
      </c>
      <c r="M71" s="40">
        <f t="shared" si="167"/>
        <v>3032</v>
      </c>
      <c r="N71" s="41">
        <f t="shared" si="168"/>
        <v>192.3076667</v>
      </c>
      <c r="O71" s="38">
        <v>3801.0</v>
      </c>
      <c r="P71" s="42">
        <f t="shared" si="169"/>
        <v>0.7976848198</v>
      </c>
      <c r="Q71" s="43">
        <v>1.5</v>
      </c>
      <c r="R71" s="42">
        <f t="shared" si="170"/>
        <v>0.4379556139</v>
      </c>
      <c r="S71" s="44">
        <f t="shared" si="171"/>
        <v>0.6569334209</v>
      </c>
      <c r="T71" s="43">
        <f>F71/29.628</f>
        <v>155.7777778</v>
      </c>
      <c r="U71" s="43">
        <f t="shared" si="172"/>
        <v>6.490740741</v>
      </c>
      <c r="V71" s="40">
        <f t="shared" si="173"/>
        <v>126.3333333</v>
      </c>
      <c r="X71" s="22">
        <v>6.0</v>
      </c>
      <c r="Y71" s="22" t="s">
        <v>42</v>
      </c>
      <c r="Z71" s="22">
        <f t="shared" ref="Z71:AI71" si="200">SUM(D75)</f>
        <v>33</v>
      </c>
      <c r="AA71" s="23">
        <f t="shared" si="200"/>
        <v>33</v>
      </c>
      <c r="AB71" s="24">
        <f t="shared" si="200"/>
        <v>6587.984</v>
      </c>
      <c r="AC71" s="23">
        <f t="shared" si="200"/>
        <v>3029</v>
      </c>
      <c r="AD71" s="23">
        <f t="shared" si="200"/>
        <v>104</v>
      </c>
      <c r="AE71" s="23">
        <f t="shared" si="200"/>
        <v>3133</v>
      </c>
      <c r="AF71" s="23">
        <f t="shared" si="200"/>
        <v>4505</v>
      </c>
      <c r="AG71" s="23">
        <f t="shared" si="200"/>
        <v>257</v>
      </c>
      <c r="AH71" s="23">
        <f t="shared" si="200"/>
        <v>4762</v>
      </c>
      <c r="AI71" s="23">
        <f t="shared" si="200"/>
        <v>7895</v>
      </c>
      <c r="AJ71" s="25">
        <f t="shared" si="185"/>
        <v>199.6358788</v>
      </c>
      <c r="AK71" s="22">
        <f t="shared" si="201"/>
        <v>9877</v>
      </c>
      <c r="AL71" s="26">
        <f t="shared" si="187"/>
        <v>0.7993317809</v>
      </c>
      <c r="AM71" s="27">
        <f t="shared" si="202"/>
        <v>1.5</v>
      </c>
      <c r="AN71" s="26">
        <f t="shared" si="189"/>
        <v>0.798929283</v>
      </c>
      <c r="AO71" s="28">
        <f t="shared" si="190"/>
        <v>1.198393924</v>
      </c>
      <c r="AP71" s="27">
        <f t="shared" ref="AP71:AQ71" si="203">SUM(T75)</f>
        <v>251.8823934</v>
      </c>
      <c r="AQ71" s="27">
        <f t="shared" si="203"/>
        <v>7.632799801</v>
      </c>
      <c r="AR71" s="23">
        <f t="shared" si="192"/>
        <v>239.2424242</v>
      </c>
    </row>
    <row r="72" ht="15.75" customHeight="1">
      <c r="A72" s="21"/>
      <c r="B72" s="38">
        <v>13.0</v>
      </c>
      <c r="C72" s="38" t="s">
        <v>43</v>
      </c>
      <c r="D72" s="39">
        <v>30.0</v>
      </c>
      <c r="E72" s="40">
        <f>IFERROR(__xludf.DUMMYFUNCTION("COUNT(IMPORTRANGE(""https://docs.google.com/spreadsheets/d/1uGXvAN2jA6kmcEHUY4KqOHHewllZsujDdA6KVDfBCoA/edit"",""3!d2:d31""))"),30.0)</f>
        <v>30</v>
      </c>
      <c r="F72" s="45">
        <f>IFERROR(__xludf.DUMMYFUNCTION("SUM(IMPORTRANGE(""https://docs.google.com/spreadsheets/d/1uGXvAN2jA6kmcEHUY4KqOHHewllZsujDdA6KVDfBCoA/edit"",""3!Q2:Q31""))"),6057.135)</f>
        <v>6057.135</v>
      </c>
      <c r="G72" s="40">
        <f>IFERROR(__xludf.DUMMYFUNCTION("IMPORTRANGE(""https://docs.google.com/spreadsheets/d/1uGXvAN2jA6kmcEHUY4KqOHHewllZsujDdA6KVDfBCoA/edit"",""3!e38"")"),2252.0)</f>
        <v>2252</v>
      </c>
      <c r="H72" s="40">
        <f>IFERROR(__xludf.DUMMYFUNCTION("IMPORTRANGE(""https://docs.google.com/spreadsheets/d/1uGXvAN2jA6kmcEHUY4KqOHHewllZsujDdA6KVDfBCoA/edit"",""3!e39"")"),0.0)</f>
        <v>0</v>
      </c>
      <c r="I72" s="40">
        <f t="shared" si="165"/>
        <v>2252</v>
      </c>
      <c r="J72" s="40">
        <f>IFERROR(__xludf.DUMMYFUNCTION("IMPORTRANGE(""https://docs.google.com/spreadsheets/d/1uGXvAN2jA6kmcEHUY4KqOHHewllZsujDdA6KVDfBCoA/edit"",""3!e42"")"),2532.0)</f>
        <v>2532</v>
      </c>
      <c r="K72" s="40">
        <f>IFERROR(__xludf.DUMMYFUNCTION("IMPORTRANGE(""https://docs.google.com/spreadsheets/d/1uGXvAN2jA6kmcEHUY4KqOHHewllZsujDdA6KVDfBCoA/edit"",""3!e43"")"),106.0)</f>
        <v>106</v>
      </c>
      <c r="L72" s="40">
        <f t="shared" si="195"/>
        <v>2638</v>
      </c>
      <c r="M72" s="40">
        <f t="shared" si="167"/>
        <v>4890</v>
      </c>
      <c r="N72" s="41">
        <f t="shared" si="168"/>
        <v>201.9045</v>
      </c>
      <c r="O72" s="38">
        <v>8345.0</v>
      </c>
      <c r="P72" s="42">
        <f t="shared" si="169"/>
        <v>0.5859796285</v>
      </c>
      <c r="Q72" s="43">
        <v>1.5</v>
      </c>
      <c r="R72" s="42">
        <f t="shared" si="170"/>
        <v>0.5382082453</v>
      </c>
      <c r="S72" s="44">
        <f t="shared" si="171"/>
        <v>0.807312368</v>
      </c>
      <c r="T72" s="43">
        <f>F72/41.205</f>
        <v>147</v>
      </c>
      <c r="U72" s="43">
        <f t="shared" si="172"/>
        <v>4.9</v>
      </c>
      <c r="V72" s="40">
        <f t="shared" si="173"/>
        <v>163</v>
      </c>
      <c r="X72" s="46" t="s">
        <v>33</v>
      </c>
      <c r="Y72" s="46">
        <v>6.0</v>
      </c>
      <c r="Z72" s="46">
        <f t="shared" ref="Z72:AI72" si="204">SUM(Z66:Z71)</f>
        <v>226</v>
      </c>
      <c r="AA72" s="47">
        <f t="shared" si="204"/>
        <v>224</v>
      </c>
      <c r="AB72" s="49">
        <f t="shared" si="204"/>
        <v>43735.407</v>
      </c>
      <c r="AC72" s="47">
        <f t="shared" si="204"/>
        <v>17845</v>
      </c>
      <c r="AD72" s="47">
        <f t="shared" si="204"/>
        <v>244</v>
      </c>
      <c r="AE72" s="47">
        <f t="shared" si="204"/>
        <v>18089</v>
      </c>
      <c r="AF72" s="47">
        <f t="shared" si="204"/>
        <v>22630</v>
      </c>
      <c r="AG72" s="47">
        <f t="shared" si="204"/>
        <v>681</v>
      </c>
      <c r="AH72" s="47">
        <f t="shared" si="204"/>
        <v>23311</v>
      </c>
      <c r="AI72" s="47">
        <f t="shared" si="204"/>
        <v>41400</v>
      </c>
      <c r="AJ72" s="49">
        <f t="shared" si="185"/>
        <v>195.2473527</v>
      </c>
      <c r="AK72" s="46">
        <f>SUM(AK66:AK71)</f>
        <v>53273</v>
      </c>
      <c r="AL72" s="50">
        <f t="shared" si="187"/>
        <v>0.7771291273</v>
      </c>
      <c r="AM72" s="51">
        <v>1.5</v>
      </c>
      <c r="AN72" s="50">
        <f t="shared" si="189"/>
        <v>0.6310676382</v>
      </c>
      <c r="AO72" s="52">
        <f t="shared" si="190"/>
        <v>0.9466014573</v>
      </c>
      <c r="AP72" s="51">
        <f>SUM(AP66:AP71)</f>
        <v>1439.127877</v>
      </c>
      <c r="AQ72" s="51">
        <f>AP72/AA72</f>
        <v>6.424678022</v>
      </c>
      <c r="AR72" s="47">
        <f t="shared" si="192"/>
        <v>184.8214286</v>
      </c>
    </row>
    <row r="73" ht="15.75" customHeight="1">
      <c r="A73" s="21"/>
      <c r="B73" s="38">
        <v>14.0</v>
      </c>
      <c r="C73" s="38" t="s">
        <v>27</v>
      </c>
      <c r="D73" s="39">
        <v>30.0</v>
      </c>
      <c r="E73" s="40">
        <f>IFERROR(__xludf.DUMMYFUNCTION("COUNT(IMPORTRANGE(""https://docs.google.com/spreadsheets/d/1iYtf3wkjJIgOL8ej0-L89wY8FLXKi6EiRbi9UqA1Bzw/edit"",""3!d2:d31""))"),29.0)</f>
        <v>29</v>
      </c>
      <c r="F73" s="45">
        <f>IFERROR(__xludf.DUMMYFUNCTION("SUM(IMPORTRANGE(""https://docs.google.com/spreadsheets/d/1iYtf3wkjJIgOL8ej0-L89wY8FLXKi6EiRbi9UqA1Bzw/edit"",""3!Q2:Q31""))"),5265.910000000001)</f>
        <v>5265.91</v>
      </c>
      <c r="G73" s="40">
        <f>IFERROR(__xludf.DUMMYFUNCTION("IMPORTRANGE(""https://docs.google.com/spreadsheets/d/1iYtf3wkjJIgOL8ej0-L89wY8FLXKi6EiRbi9UqA1Bzw/edit"",""3!e38"")"),2086.0)</f>
        <v>2086</v>
      </c>
      <c r="H73" s="40">
        <f>IFERROR(__xludf.DUMMYFUNCTION("IMPORTRANGE(""https://docs.google.com/spreadsheets/d/1iYtf3wkjJIgOL8ej0-L89wY8FLXKi6EiRbi9UqA1Bzw/edit"",""3!e39"")"),80.0)</f>
        <v>80</v>
      </c>
      <c r="I73" s="40">
        <f t="shared" si="165"/>
        <v>2166</v>
      </c>
      <c r="J73" s="40">
        <f>IFERROR(__xludf.DUMMYFUNCTION("IMPORTRANGE(""https://docs.google.com/spreadsheets/d/1iYtf3wkjJIgOL8ej0-L89wY8FLXKi6EiRbi9UqA1Bzw/edit"",""3!e42"")"),3135.0)</f>
        <v>3135</v>
      </c>
      <c r="K73" s="40">
        <f>IFERROR(__xludf.DUMMYFUNCTION("IMPORTRANGE(""https://docs.google.com/spreadsheets/d/1iYtf3wkjJIgOL8ej0-L89wY8FLXKi6EiRbi9UqA1Bzw/edit"",""3!e43"")"),99.0)</f>
        <v>99</v>
      </c>
      <c r="L73" s="40">
        <f t="shared" si="195"/>
        <v>3234</v>
      </c>
      <c r="M73" s="40">
        <f t="shared" si="167"/>
        <v>5400</v>
      </c>
      <c r="N73" s="41">
        <f t="shared" si="168"/>
        <v>181.5831034</v>
      </c>
      <c r="O73" s="38">
        <v>8101.0</v>
      </c>
      <c r="P73" s="42">
        <f t="shared" si="169"/>
        <v>0.6665843723</v>
      </c>
      <c r="Q73" s="43">
        <v>1.5</v>
      </c>
      <c r="R73" s="42">
        <f t="shared" si="170"/>
        <v>0.6836425233</v>
      </c>
      <c r="S73" s="44">
        <f t="shared" si="171"/>
        <v>1.025463785</v>
      </c>
      <c r="T73" s="43">
        <f>F73/19.985</f>
        <v>263.4931198</v>
      </c>
      <c r="U73" s="43">
        <f t="shared" si="172"/>
        <v>9.08596965</v>
      </c>
      <c r="V73" s="40">
        <f t="shared" si="173"/>
        <v>186.2068966</v>
      </c>
      <c r="X73" s="59" t="s">
        <v>44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6"/>
    </row>
    <row r="74" ht="15.75" customHeight="1">
      <c r="A74" s="21"/>
      <c r="B74" s="38">
        <v>15.0</v>
      </c>
      <c r="C74" s="38" t="s">
        <v>40</v>
      </c>
      <c r="D74" s="39">
        <v>30.0</v>
      </c>
      <c r="E74" s="40">
        <f>IFERROR(__xludf.DUMMYFUNCTION("COUNT(IMPORTRANGE(""https://docs.google.com/spreadsheets/d/1Wdf8MsoDBzMSsrzOXwaGQzbVjVqOWfKSqYmbncevZgA/edit"",""3!d2:d31""))"),30.0)</f>
        <v>30</v>
      </c>
      <c r="F74" s="45">
        <f>IFERROR(__xludf.DUMMYFUNCTION("SUM(IMPORTRANGE(""https://docs.google.com/spreadsheets/d/1Wdf8MsoDBzMSsrzOXwaGQzbVjVqOWfKSqYmbncevZgA/edit"",""3!Q2:Q31""))"),5944.586999999998)</f>
        <v>5944.587</v>
      </c>
      <c r="G74" s="40">
        <f>IFERROR(__xludf.DUMMYFUNCTION("IMPORTRANGE(""https://docs.google.com/spreadsheets/d/1Wdf8MsoDBzMSsrzOXwaGQzbVjVqOWfKSqYmbncevZgA/edit"",""3!e38"")"),3145.0)</f>
        <v>3145</v>
      </c>
      <c r="H74" s="40">
        <f>IFERROR(__xludf.DUMMYFUNCTION("IMPORTRANGE(""https://docs.google.com/spreadsheets/d/1Wdf8MsoDBzMSsrzOXwaGQzbVjVqOWfKSqYmbncevZgA/edit"",""3!e39"")"),0.0)</f>
        <v>0</v>
      </c>
      <c r="I74" s="40">
        <f t="shared" si="165"/>
        <v>3145</v>
      </c>
      <c r="J74" s="40">
        <f>IFERROR(__xludf.DUMMYFUNCTION("IMPORTRANGE(""https://docs.google.com/spreadsheets/d/1Wdf8MsoDBzMSsrzOXwaGQzbVjVqOWfKSqYmbncevZgA/edit"",""3!e42"")"),4341.0)</f>
        <v>4341</v>
      </c>
      <c r="K74" s="40">
        <f>IFERROR(__xludf.DUMMYFUNCTION("IMPORTRANGE(""https://docs.google.com/spreadsheets/d/1Wdf8MsoDBzMSsrzOXwaGQzbVjVqOWfKSqYmbncevZgA/edit"",""3!e43"")"),25.0)</f>
        <v>25</v>
      </c>
      <c r="L74" s="40">
        <f t="shared" si="195"/>
        <v>4366</v>
      </c>
      <c r="M74" s="40">
        <f t="shared" si="167"/>
        <v>7511</v>
      </c>
      <c r="N74" s="41">
        <f t="shared" si="168"/>
        <v>198.1529</v>
      </c>
      <c r="O74" s="38">
        <v>8239.0</v>
      </c>
      <c r="P74" s="42">
        <f t="shared" si="169"/>
        <v>0.9116397621</v>
      </c>
      <c r="Q74" s="43">
        <v>1.5</v>
      </c>
      <c r="R74" s="42">
        <f t="shared" si="170"/>
        <v>0.8423349399</v>
      </c>
      <c r="S74" s="44">
        <f t="shared" si="171"/>
        <v>1.26350241</v>
      </c>
      <c r="T74" s="43">
        <f>F74/28.443</f>
        <v>209</v>
      </c>
      <c r="U74" s="43">
        <f t="shared" si="172"/>
        <v>6.966666667</v>
      </c>
      <c r="V74" s="40">
        <f t="shared" si="173"/>
        <v>250.3666667</v>
      </c>
      <c r="X74" s="14" t="s">
        <v>2</v>
      </c>
      <c r="Y74" s="14" t="s">
        <v>3</v>
      </c>
      <c r="Z74" s="14" t="s">
        <v>4</v>
      </c>
      <c r="AA74" s="14" t="s">
        <v>5</v>
      </c>
      <c r="AB74" s="15" t="s">
        <v>6</v>
      </c>
      <c r="AC74" s="14" t="s">
        <v>7</v>
      </c>
      <c r="AD74" s="14" t="s">
        <v>8</v>
      </c>
      <c r="AE74" s="14" t="s">
        <v>9</v>
      </c>
      <c r="AF74" s="14" t="s">
        <v>10</v>
      </c>
      <c r="AG74" s="14" t="s">
        <v>11</v>
      </c>
      <c r="AH74" s="14" t="s">
        <v>12</v>
      </c>
      <c r="AI74" s="14" t="s">
        <v>13</v>
      </c>
      <c r="AJ74" s="15" t="s">
        <v>14</v>
      </c>
      <c r="AK74" s="14" t="s">
        <v>15</v>
      </c>
      <c r="AL74" s="14" t="s">
        <v>16</v>
      </c>
      <c r="AM74" s="16" t="s">
        <v>17</v>
      </c>
      <c r="AN74" s="17" t="s">
        <v>18</v>
      </c>
      <c r="AO74" s="18" t="s">
        <v>19</v>
      </c>
      <c r="AP74" s="19" t="s">
        <v>20</v>
      </c>
      <c r="AQ74" s="19" t="s">
        <v>21</v>
      </c>
      <c r="AR74" s="20" t="s">
        <v>22</v>
      </c>
    </row>
    <row r="75" ht="15.75" customHeight="1">
      <c r="A75" s="21"/>
      <c r="B75" s="38">
        <v>16.0</v>
      </c>
      <c r="C75" s="38" t="s">
        <v>42</v>
      </c>
      <c r="D75" s="39">
        <v>33.0</v>
      </c>
      <c r="E75" s="40">
        <f>IFERROR(__xludf.DUMMYFUNCTION("COUNT(IMPORTRANGE(""https://docs.google.com/spreadsheets/d/1Z5uB5HbeAKcHmG4EOw3rf2J8NpyvDiha6RReERAMvA0/edit"",""3!d2:d34""))"),33.0)</f>
        <v>33</v>
      </c>
      <c r="F75" s="45">
        <f>IFERROR(__xludf.DUMMYFUNCTION("SUM(IMPORTRANGE(""https://docs.google.com/spreadsheets/d/1Z5uB5HbeAKcHmG4EOw3rf2J8NpyvDiha6RReERAMvA0/edit"",""3!Q2:Q34""))"),6587.983999999998)</f>
        <v>6587.984</v>
      </c>
      <c r="G75" s="40">
        <f>IFERROR(__xludf.DUMMYFUNCTION("IMPORTRANGE(""https://docs.google.com/spreadsheets/d/1Z5uB5HbeAKcHmG4EOw3rf2J8NpyvDiha6RReERAMvA0/edit"",""3!e41"")"),3029.0)</f>
        <v>3029</v>
      </c>
      <c r="H75" s="40">
        <f>IFERROR(__xludf.DUMMYFUNCTION("IMPORTRANGE(""https://docs.google.com/spreadsheets/d/1Z5uB5HbeAKcHmG4EOw3rf2J8NpyvDiha6RReERAMvA0/edit"",""3!e42"")"),104.0)</f>
        <v>104</v>
      </c>
      <c r="I75" s="40">
        <f t="shared" si="165"/>
        <v>3133</v>
      </c>
      <c r="J75" s="40">
        <f>IFERROR(__xludf.DUMMYFUNCTION("IMPORTRANGE(""https://docs.google.com/spreadsheets/d/1Z5uB5HbeAKcHmG4EOw3rf2J8NpyvDiha6RReERAMvA0/edit"",""3!e45"")"),4505.0)</f>
        <v>4505</v>
      </c>
      <c r="K75" s="40">
        <f>IFERROR(__xludf.DUMMYFUNCTION("IMPORTRANGE(""https://docs.google.com/spreadsheets/d/1Z5uB5HbeAKcHmG4EOw3rf2J8NpyvDiha6RReERAMvA0/edit"",""3!e46"")"),257.0)</f>
        <v>257</v>
      </c>
      <c r="L75" s="40">
        <f t="shared" si="195"/>
        <v>4762</v>
      </c>
      <c r="M75" s="40">
        <f t="shared" si="167"/>
        <v>7895</v>
      </c>
      <c r="N75" s="41">
        <f t="shared" si="168"/>
        <v>199.6358788</v>
      </c>
      <c r="O75" s="38">
        <v>9877.0</v>
      </c>
      <c r="P75" s="42">
        <f t="shared" si="169"/>
        <v>0.7993317809</v>
      </c>
      <c r="Q75" s="43">
        <v>1.5</v>
      </c>
      <c r="R75" s="42">
        <f t="shared" si="170"/>
        <v>0.798929283</v>
      </c>
      <c r="S75" s="44">
        <f t="shared" si="171"/>
        <v>1.198393924</v>
      </c>
      <c r="T75" s="43">
        <f>F75/26.155</f>
        <v>251.8823934</v>
      </c>
      <c r="U75" s="43">
        <f t="shared" si="172"/>
        <v>7.632799801</v>
      </c>
      <c r="V75" s="40">
        <f t="shared" si="173"/>
        <v>239.2424242</v>
      </c>
      <c r="X75" s="31">
        <v>1.0</v>
      </c>
      <c r="Y75" s="31" t="s">
        <v>26</v>
      </c>
      <c r="Z75" s="31">
        <f t="shared" ref="Z75:AI75" si="205">SUM(D60)</f>
        <v>20</v>
      </c>
      <c r="AA75" s="32">
        <f t="shared" si="205"/>
        <v>20</v>
      </c>
      <c r="AB75" s="34">
        <f t="shared" si="205"/>
        <v>3993.567</v>
      </c>
      <c r="AC75" s="32">
        <f t="shared" si="205"/>
        <v>2441</v>
      </c>
      <c r="AD75" s="32">
        <f t="shared" si="205"/>
        <v>20</v>
      </c>
      <c r="AE75" s="32">
        <f t="shared" si="205"/>
        <v>2461</v>
      </c>
      <c r="AF75" s="32">
        <f t="shared" si="205"/>
        <v>2544</v>
      </c>
      <c r="AG75" s="32">
        <f t="shared" si="205"/>
        <v>220</v>
      </c>
      <c r="AH75" s="32">
        <f t="shared" si="205"/>
        <v>2764</v>
      </c>
      <c r="AI75" s="32">
        <f t="shared" si="205"/>
        <v>5225</v>
      </c>
      <c r="AJ75" s="34">
        <f t="shared" ref="AJ75:AJ81" si="208">AB75/AA75</f>
        <v>199.67835</v>
      </c>
      <c r="AK75" s="31">
        <f>SUM(O60)</f>
        <v>5161</v>
      </c>
      <c r="AL75" s="67">
        <f t="shared" ref="AL75:AL81" si="209">AI75/AK75</f>
        <v>1.012400698</v>
      </c>
      <c r="AM75" s="36">
        <f>SUM(Q60)</f>
        <v>1.5</v>
      </c>
      <c r="AN75" s="35">
        <f t="shared" ref="AN75:AN81" si="210">AO75/AM75</f>
        <v>0.8722361071</v>
      </c>
      <c r="AO75" s="37">
        <f t="shared" ref="AO75:AO81" si="211">AI75/AB75</f>
        <v>1.308354161</v>
      </c>
      <c r="AP75" s="36">
        <f t="shared" ref="AP75:AQ75" si="206">SUM(T60)</f>
        <v>277.0424558</v>
      </c>
      <c r="AQ75" s="36">
        <f t="shared" si="206"/>
        <v>13.85212279</v>
      </c>
      <c r="AR75" s="32">
        <f t="shared" ref="AR75:AR81" si="213">AI75/AA75</f>
        <v>261.25</v>
      </c>
    </row>
    <row r="76" ht="15.75" customHeight="1">
      <c r="A76" s="21"/>
      <c r="B76" s="38">
        <v>17.0</v>
      </c>
      <c r="C76" s="38" t="s">
        <v>29</v>
      </c>
      <c r="D76" s="39">
        <v>30.0</v>
      </c>
      <c r="E76" s="40">
        <f>IFERROR(__xludf.DUMMYFUNCTION("COUNT(IMPORTRANGE(""https://docs.google.com/spreadsheets/d/1wfJqI0e9wVPqEQv3N6b8KgINjqI0OBECEyIFeY9j3i8/edit"",""3!d2:d31""))"),30.0)</f>
        <v>30</v>
      </c>
      <c r="F76" s="45">
        <f>IFERROR(__xludf.DUMMYFUNCTION("SUM(IMPORTRANGE(""https://docs.google.com/spreadsheets/d/1wfJqI0e9wVPqEQv3N6b8KgINjqI0OBECEyIFeY9j3i8/edit"",""3!Q2:Q31""))"),6172.4029999999975)</f>
        <v>6172.403</v>
      </c>
      <c r="G76" s="40">
        <f>IFERROR(__xludf.DUMMYFUNCTION("IMPORTRANGE(""https://docs.google.com/spreadsheets/d/1wfJqI0e9wVPqEQv3N6b8KgINjqI0OBECEyIFeY9j3i8/edit"",""3!e38"")"),2776.0)</f>
        <v>2776</v>
      </c>
      <c r="H76" s="40">
        <f>IFERROR(__xludf.DUMMYFUNCTION("IMPORTRANGE(""https://docs.google.com/spreadsheets/d/1wfJqI0e9wVPqEQv3N6b8KgINjqI0OBECEyIFeY9j3i8/edit"",""3!e39"")"),0.0)</f>
        <v>0</v>
      </c>
      <c r="I76" s="40">
        <f t="shared" si="165"/>
        <v>2776</v>
      </c>
      <c r="J76" s="40">
        <f>IFERROR(__xludf.DUMMYFUNCTION("IMPORTRANGE(""https://docs.google.com/spreadsheets/d/1wfJqI0e9wVPqEQv3N6b8KgINjqI0OBECEyIFeY9j3i8/edit"",""3!e42"")"),4306.0)</f>
        <v>4306</v>
      </c>
      <c r="K76" s="40">
        <f>IFERROR(__xludf.DUMMYFUNCTION("IMPORTRANGE(""https://docs.google.com/spreadsheets/d/1wfJqI0e9wVPqEQv3N6b8KgINjqI0OBECEyIFeY9j3i8/edit"",""3!e43"")"),0.0)</f>
        <v>0</v>
      </c>
      <c r="L76" s="40">
        <f t="shared" si="195"/>
        <v>4306</v>
      </c>
      <c r="M76" s="40">
        <f t="shared" si="167"/>
        <v>7082</v>
      </c>
      <c r="N76" s="41">
        <f t="shared" si="168"/>
        <v>205.7467667</v>
      </c>
      <c r="O76" s="38">
        <v>9201.0</v>
      </c>
      <c r="P76" s="42">
        <f t="shared" si="169"/>
        <v>0.7696989458</v>
      </c>
      <c r="Q76" s="43">
        <v>1.5</v>
      </c>
      <c r="R76" s="42">
        <f t="shared" si="170"/>
        <v>0.7649100899</v>
      </c>
      <c r="S76" s="44">
        <f t="shared" si="171"/>
        <v>1.147365135</v>
      </c>
      <c r="T76" s="43">
        <f>F76/26.491</f>
        <v>233</v>
      </c>
      <c r="U76" s="43">
        <f t="shared" si="172"/>
        <v>7.766666667</v>
      </c>
      <c r="V76" s="40">
        <f t="shared" si="173"/>
        <v>236.0666667</v>
      </c>
      <c r="X76" s="31">
        <v>2.0</v>
      </c>
      <c r="Y76" s="31" t="s">
        <v>32</v>
      </c>
      <c r="Z76" s="31">
        <f t="shared" ref="Z76:AI76" si="207">SUM(D63)</f>
        <v>42</v>
      </c>
      <c r="AA76" s="32">
        <f t="shared" si="207"/>
        <v>42</v>
      </c>
      <c r="AB76" s="33">
        <f t="shared" si="207"/>
        <v>8204.103</v>
      </c>
      <c r="AC76" s="31">
        <f t="shared" si="207"/>
        <v>4595</v>
      </c>
      <c r="AD76" s="31">
        <f t="shared" si="207"/>
        <v>0</v>
      </c>
      <c r="AE76" s="32">
        <f t="shared" si="207"/>
        <v>4595</v>
      </c>
      <c r="AF76" s="31">
        <f t="shared" si="207"/>
        <v>5729</v>
      </c>
      <c r="AG76" s="31">
        <f t="shared" si="207"/>
        <v>110</v>
      </c>
      <c r="AH76" s="32">
        <f t="shared" si="207"/>
        <v>5839</v>
      </c>
      <c r="AI76" s="32">
        <f t="shared" si="207"/>
        <v>10434</v>
      </c>
      <c r="AJ76" s="34">
        <f t="shared" si="208"/>
        <v>195.3357857</v>
      </c>
      <c r="AK76" s="31">
        <f>SUM(O63)</f>
        <v>13817</v>
      </c>
      <c r="AL76" s="35">
        <f t="shared" si="209"/>
        <v>0.755156691</v>
      </c>
      <c r="AM76" s="36">
        <f>SUM(Q63)</f>
        <v>1.5</v>
      </c>
      <c r="AN76" s="35">
        <f t="shared" si="210"/>
        <v>0.8478684385</v>
      </c>
      <c r="AO76" s="37">
        <f t="shared" si="211"/>
        <v>1.271802658</v>
      </c>
      <c r="AP76" s="36">
        <f t="shared" ref="AP76:AQ76" si="212">SUM(T63)</f>
        <v>327</v>
      </c>
      <c r="AQ76" s="36">
        <f t="shared" si="212"/>
        <v>7.785714286</v>
      </c>
      <c r="AR76" s="32">
        <f t="shared" si="213"/>
        <v>248.4285714</v>
      </c>
    </row>
    <row r="77" ht="15.75" customHeight="1">
      <c r="A77" s="21"/>
      <c r="B77" s="38">
        <v>18.0</v>
      </c>
      <c r="C77" s="38" t="s">
        <v>31</v>
      </c>
      <c r="D77" s="39">
        <v>15.0</v>
      </c>
      <c r="E77" s="40">
        <f>IFERROR(__xludf.DUMMYFUNCTION("COUNT(IMPORTRANGE(""https://docs.google.com/spreadsheets/d/1-y2KhTAo7d8kowgUuWUDfRQuRMUAFteRYEXorT3_wOs/edit"",""3!d2:d16""))"),14.0)</f>
        <v>14</v>
      </c>
      <c r="F77" s="41">
        <f>IFERROR(__xludf.DUMMYFUNCTION("SUM(IMPORTRANGE(""https://docs.google.com/spreadsheets/d/1-y2KhTAo7d8kowgUuWUDfRQuRMUAFteRYEXorT3_wOs/edit"",""3!Q2:Q16""))"),2825.225)</f>
        <v>2825.225</v>
      </c>
      <c r="G77" s="40">
        <f>IFERROR(__xludf.DUMMYFUNCTION("IMPORTRANGE(""https://docs.google.com/spreadsheets/d/1-y2KhTAo7d8kowgUuWUDfRQuRMUAFteRYEXorT3_wOs/edit"",""3!e23"")"),838.0)</f>
        <v>838</v>
      </c>
      <c r="H77" s="40">
        <f>IFERROR(__xludf.DUMMYFUNCTION("IMPORTRANGE(""https://docs.google.com/spreadsheets/d/1-y2KhTAo7d8kowgUuWUDfRQuRMUAFteRYEXorT3_wOs/edit"",""3!e24"")"),0.0)</f>
        <v>0</v>
      </c>
      <c r="I77" s="40">
        <f t="shared" si="165"/>
        <v>838</v>
      </c>
      <c r="J77" s="40">
        <f>IFERROR(__xludf.DUMMYFUNCTION("IMPORTRANGE(""https://docs.google.com/spreadsheets/d/1-y2KhTAo7d8kowgUuWUDfRQuRMUAFteRYEXorT3_wOs/edit"",""3!e27"")"),1055.0)</f>
        <v>1055</v>
      </c>
      <c r="K77" s="40">
        <f>IFERROR(__xludf.DUMMYFUNCTION("IMPORTRANGE(""https://docs.google.com/spreadsheets/d/1-y2KhTAo7d8kowgUuWUDfRQuRMUAFteRYEXorT3_wOs/edit"",""3!e28"")"),14.0)</f>
        <v>14</v>
      </c>
      <c r="L77" s="40">
        <f t="shared" si="195"/>
        <v>1069</v>
      </c>
      <c r="M77" s="40">
        <f t="shared" si="167"/>
        <v>1907</v>
      </c>
      <c r="N77" s="41">
        <f t="shared" si="168"/>
        <v>201.8017857</v>
      </c>
      <c r="O77" s="38">
        <v>2717.0</v>
      </c>
      <c r="P77" s="42">
        <f t="shared" si="169"/>
        <v>0.7018770703</v>
      </c>
      <c r="Q77" s="43">
        <v>1.5</v>
      </c>
      <c r="R77" s="42">
        <f t="shared" si="170"/>
        <v>0.4499936583</v>
      </c>
      <c r="S77" s="44">
        <f t="shared" si="171"/>
        <v>0.6749904875</v>
      </c>
      <c r="T77" s="43">
        <f>F77/43.465</f>
        <v>65</v>
      </c>
      <c r="U77" s="43">
        <f t="shared" si="172"/>
        <v>4.642857143</v>
      </c>
      <c r="V77" s="40">
        <f t="shared" si="173"/>
        <v>136.2142857</v>
      </c>
      <c r="X77" s="31">
        <v>3.0</v>
      </c>
      <c r="Y77" s="31" t="s">
        <v>36</v>
      </c>
      <c r="Z77" s="31">
        <f t="shared" ref="Z77:AI77" si="214">SUM(D68)</f>
        <v>30</v>
      </c>
      <c r="AA77" s="32">
        <f t="shared" si="214"/>
        <v>30</v>
      </c>
      <c r="AB77" s="33">
        <f t="shared" si="214"/>
        <v>5794.382</v>
      </c>
      <c r="AC77" s="32">
        <f t="shared" si="214"/>
        <v>1670</v>
      </c>
      <c r="AD77" s="32">
        <f t="shared" si="214"/>
        <v>0</v>
      </c>
      <c r="AE77" s="32">
        <f t="shared" si="214"/>
        <v>1670</v>
      </c>
      <c r="AF77" s="32">
        <f t="shared" si="214"/>
        <v>2442</v>
      </c>
      <c r="AG77" s="32">
        <f t="shared" si="214"/>
        <v>0</v>
      </c>
      <c r="AH77" s="32">
        <f t="shared" si="214"/>
        <v>2442</v>
      </c>
      <c r="AI77" s="32">
        <f t="shared" si="214"/>
        <v>4112</v>
      </c>
      <c r="AJ77" s="34">
        <f t="shared" si="208"/>
        <v>193.1460667</v>
      </c>
      <c r="AK77" s="31">
        <f t="shared" ref="AK77:AK80" si="218">SUM(O68)</f>
        <v>4796</v>
      </c>
      <c r="AL77" s="35">
        <f t="shared" si="209"/>
        <v>0.857381151</v>
      </c>
      <c r="AM77" s="36">
        <f t="shared" ref="AM77:AM80" si="219">SUM(Q68)</f>
        <v>1.5</v>
      </c>
      <c r="AN77" s="35">
        <f t="shared" si="210"/>
        <v>0.4731019345</v>
      </c>
      <c r="AO77" s="37">
        <f t="shared" si="211"/>
        <v>0.7096529017</v>
      </c>
      <c r="AP77" s="36">
        <f t="shared" ref="AP77:AQ77" si="215">SUM(T68)</f>
        <v>154.8720265</v>
      </c>
      <c r="AQ77" s="36">
        <f t="shared" si="215"/>
        <v>5.162400884</v>
      </c>
      <c r="AR77" s="32">
        <f t="shared" si="213"/>
        <v>137.0666667</v>
      </c>
    </row>
    <row r="78" ht="15.75" customHeight="1">
      <c r="A78" s="21"/>
      <c r="B78" s="60" t="s">
        <v>33</v>
      </c>
      <c r="C78" s="60">
        <v>18.0</v>
      </c>
      <c r="D78" s="60">
        <f t="shared" ref="D78:M78" si="216">SUM(D60:D77)</f>
        <v>586</v>
      </c>
      <c r="E78" s="61">
        <f t="shared" si="216"/>
        <v>580</v>
      </c>
      <c r="F78" s="62">
        <f t="shared" si="216"/>
        <v>112340.777</v>
      </c>
      <c r="G78" s="61">
        <f t="shared" si="216"/>
        <v>42376</v>
      </c>
      <c r="H78" s="61">
        <f t="shared" si="216"/>
        <v>796</v>
      </c>
      <c r="I78" s="61">
        <f t="shared" si="216"/>
        <v>43172</v>
      </c>
      <c r="J78" s="61">
        <f t="shared" si="216"/>
        <v>55404</v>
      </c>
      <c r="K78" s="61">
        <f t="shared" si="216"/>
        <v>1542</v>
      </c>
      <c r="L78" s="61">
        <f t="shared" si="216"/>
        <v>56946</v>
      </c>
      <c r="M78" s="61">
        <f t="shared" si="216"/>
        <v>100118</v>
      </c>
      <c r="N78" s="62">
        <f t="shared" si="168"/>
        <v>193.6909948</v>
      </c>
      <c r="O78" s="60">
        <f>SUM(O60:O77)</f>
        <v>126399</v>
      </c>
      <c r="P78" s="63">
        <f t="shared" si="169"/>
        <v>0.7920790513</v>
      </c>
      <c r="Q78" s="64">
        <v>1.5</v>
      </c>
      <c r="R78" s="63">
        <f t="shared" si="170"/>
        <v>0.5941327372</v>
      </c>
      <c r="S78" s="65">
        <f t="shared" si="171"/>
        <v>0.8911991057</v>
      </c>
      <c r="T78" s="64">
        <f>SUM(T60:T77)</f>
        <v>4143.851185</v>
      </c>
      <c r="U78" s="64">
        <f t="shared" si="172"/>
        <v>7.144571009</v>
      </c>
      <c r="V78" s="61">
        <f t="shared" si="173"/>
        <v>172.6172414</v>
      </c>
      <c r="X78" s="31">
        <v>4.0</v>
      </c>
      <c r="Y78" s="31" t="s">
        <v>37</v>
      </c>
      <c r="Z78" s="31">
        <f t="shared" ref="Z78:AI78" si="217">SUM(D69)</f>
        <v>30</v>
      </c>
      <c r="AA78" s="32">
        <f t="shared" si="217"/>
        <v>29</v>
      </c>
      <c r="AB78" s="33">
        <f t="shared" si="217"/>
        <v>5613.852</v>
      </c>
      <c r="AC78" s="32">
        <f t="shared" si="217"/>
        <v>2252</v>
      </c>
      <c r="AD78" s="32">
        <f t="shared" si="217"/>
        <v>0</v>
      </c>
      <c r="AE78" s="32">
        <f t="shared" si="217"/>
        <v>2252</v>
      </c>
      <c r="AF78" s="32">
        <f t="shared" si="217"/>
        <v>3036</v>
      </c>
      <c r="AG78" s="32">
        <f t="shared" si="217"/>
        <v>0</v>
      </c>
      <c r="AH78" s="32">
        <f t="shared" si="217"/>
        <v>3036</v>
      </c>
      <c r="AI78" s="32">
        <f t="shared" si="217"/>
        <v>5288</v>
      </c>
      <c r="AJ78" s="34">
        <f t="shared" si="208"/>
        <v>193.5811034</v>
      </c>
      <c r="AK78" s="31">
        <f t="shared" si="218"/>
        <v>5887</v>
      </c>
      <c r="AL78" s="35">
        <f t="shared" si="209"/>
        <v>0.8982503822</v>
      </c>
      <c r="AM78" s="36">
        <f t="shared" si="219"/>
        <v>1.5</v>
      </c>
      <c r="AN78" s="35">
        <f t="shared" si="210"/>
        <v>0.6279704797</v>
      </c>
      <c r="AO78" s="37">
        <f t="shared" si="211"/>
        <v>0.9419557195</v>
      </c>
      <c r="AP78" s="36">
        <f t="shared" ref="AP78:AQ78" si="220">SUM(T69)</f>
        <v>226.4380445</v>
      </c>
      <c r="AQ78" s="36">
        <f t="shared" si="220"/>
        <v>7.808208432</v>
      </c>
      <c r="AR78" s="32">
        <f t="shared" si="213"/>
        <v>182.3448276</v>
      </c>
    </row>
    <row r="79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X79" s="31">
        <v>5.0</v>
      </c>
      <c r="Y79" s="31" t="s">
        <v>39</v>
      </c>
      <c r="Z79" s="31">
        <f t="shared" ref="Z79:AI79" si="221">SUM(D70)</f>
        <v>28</v>
      </c>
      <c r="AA79" s="32">
        <f t="shared" si="221"/>
        <v>28</v>
      </c>
      <c r="AB79" s="33">
        <f t="shared" si="221"/>
        <v>5158.396</v>
      </c>
      <c r="AC79" s="32">
        <f t="shared" si="221"/>
        <v>1344</v>
      </c>
      <c r="AD79" s="32">
        <f t="shared" si="221"/>
        <v>0</v>
      </c>
      <c r="AE79" s="32">
        <f t="shared" si="221"/>
        <v>1344</v>
      </c>
      <c r="AF79" s="32">
        <f t="shared" si="221"/>
        <v>1623</v>
      </c>
      <c r="AG79" s="32">
        <f t="shared" si="221"/>
        <v>73</v>
      </c>
      <c r="AH79" s="32">
        <f t="shared" si="221"/>
        <v>1696</v>
      </c>
      <c r="AI79" s="32">
        <f t="shared" si="221"/>
        <v>3040</v>
      </c>
      <c r="AJ79" s="34">
        <f t="shared" si="208"/>
        <v>184.2284286</v>
      </c>
      <c r="AK79" s="31">
        <f t="shared" si="218"/>
        <v>3569</v>
      </c>
      <c r="AL79" s="35">
        <f t="shared" si="209"/>
        <v>0.8517792099</v>
      </c>
      <c r="AM79" s="36">
        <f t="shared" si="219"/>
        <v>1.5</v>
      </c>
      <c r="AN79" s="35">
        <f t="shared" si="210"/>
        <v>0.3928869879</v>
      </c>
      <c r="AO79" s="37">
        <f t="shared" si="211"/>
        <v>0.5893304818</v>
      </c>
      <c r="AP79" s="36">
        <f t="shared" ref="AP79:AQ79" si="222">SUM(T70)</f>
        <v>240.339002</v>
      </c>
      <c r="AQ79" s="36">
        <f t="shared" si="222"/>
        <v>8.583535786</v>
      </c>
      <c r="AR79" s="32">
        <f t="shared" si="213"/>
        <v>108.5714286</v>
      </c>
    </row>
    <row r="80" ht="15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X80" s="31">
        <v>6.0</v>
      </c>
      <c r="Y80" s="31" t="s">
        <v>41</v>
      </c>
      <c r="Z80" s="31">
        <f t="shared" ref="Z80:AI80" si="223">SUM(D71)</f>
        <v>24</v>
      </c>
      <c r="AA80" s="32">
        <f t="shared" si="223"/>
        <v>24</v>
      </c>
      <c r="AB80" s="33">
        <f t="shared" si="223"/>
        <v>4615.384</v>
      </c>
      <c r="AC80" s="32">
        <f t="shared" si="223"/>
        <v>1410</v>
      </c>
      <c r="AD80" s="32">
        <f t="shared" si="223"/>
        <v>0</v>
      </c>
      <c r="AE80" s="32">
        <f t="shared" si="223"/>
        <v>1410</v>
      </c>
      <c r="AF80" s="32">
        <f t="shared" si="223"/>
        <v>1622</v>
      </c>
      <c r="AG80" s="32">
        <f t="shared" si="223"/>
        <v>0</v>
      </c>
      <c r="AH80" s="32">
        <f t="shared" si="223"/>
        <v>1622</v>
      </c>
      <c r="AI80" s="32">
        <f t="shared" si="223"/>
        <v>3032</v>
      </c>
      <c r="AJ80" s="34">
        <f t="shared" si="208"/>
        <v>192.3076667</v>
      </c>
      <c r="AK80" s="31">
        <f t="shared" si="218"/>
        <v>3801</v>
      </c>
      <c r="AL80" s="35">
        <f t="shared" si="209"/>
        <v>0.7976848198</v>
      </c>
      <c r="AM80" s="36">
        <f t="shared" si="219"/>
        <v>1.5</v>
      </c>
      <c r="AN80" s="35">
        <f t="shared" si="210"/>
        <v>0.4379556139</v>
      </c>
      <c r="AO80" s="37">
        <f t="shared" si="211"/>
        <v>0.6569334209</v>
      </c>
      <c r="AP80" s="36">
        <f t="shared" ref="AP80:AQ80" si="224">SUM(T71)</f>
        <v>155.7777778</v>
      </c>
      <c r="AQ80" s="36">
        <f t="shared" si="224"/>
        <v>6.490740741</v>
      </c>
      <c r="AR80" s="32">
        <f t="shared" si="213"/>
        <v>126.3333333</v>
      </c>
    </row>
    <row r="81" ht="15.75" customHeight="1">
      <c r="A81" s="1" t="s">
        <v>45</v>
      </c>
      <c r="D81" s="2"/>
      <c r="X81" s="46" t="s">
        <v>33</v>
      </c>
      <c r="Y81" s="46">
        <v>6.0</v>
      </c>
      <c r="Z81" s="46">
        <f t="shared" ref="Z81:AI81" si="225">SUM(Z75:Z80)</f>
        <v>174</v>
      </c>
      <c r="AA81" s="47">
        <f t="shared" si="225"/>
        <v>173</v>
      </c>
      <c r="AB81" s="49">
        <f t="shared" si="225"/>
        <v>33379.684</v>
      </c>
      <c r="AC81" s="47">
        <f t="shared" si="225"/>
        <v>13712</v>
      </c>
      <c r="AD81" s="47">
        <f t="shared" si="225"/>
        <v>20</v>
      </c>
      <c r="AE81" s="47">
        <f t="shared" si="225"/>
        <v>13732</v>
      </c>
      <c r="AF81" s="47">
        <f t="shared" si="225"/>
        <v>16996</v>
      </c>
      <c r="AG81" s="47">
        <f t="shared" si="225"/>
        <v>403</v>
      </c>
      <c r="AH81" s="47">
        <f t="shared" si="225"/>
        <v>17399</v>
      </c>
      <c r="AI81" s="47">
        <f t="shared" si="225"/>
        <v>31131</v>
      </c>
      <c r="AJ81" s="49">
        <f t="shared" si="208"/>
        <v>192.9461503</v>
      </c>
      <c r="AK81" s="46">
        <f>SUM(AK75:AK80)</f>
        <v>37031</v>
      </c>
      <c r="AL81" s="50">
        <f t="shared" si="209"/>
        <v>0.8406740299</v>
      </c>
      <c r="AM81" s="51">
        <v>1.5</v>
      </c>
      <c r="AN81" s="50">
        <f t="shared" si="210"/>
        <v>0.6217554366</v>
      </c>
      <c r="AO81" s="52">
        <f t="shared" si="211"/>
        <v>0.9326331549</v>
      </c>
      <c r="AP81" s="51">
        <f>SUM(AP75:AP80)</f>
        <v>1381.469307</v>
      </c>
      <c r="AQ81" s="51">
        <f>AP81/AA81</f>
        <v>7.985371714</v>
      </c>
      <c r="AR81" s="47">
        <f t="shared" si="213"/>
        <v>179.9479769</v>
      </c>
    </row>
    <row r="82" ht="15.75" customHeight="1">
      <c r="A82" s="1" t="s">
        <v>45</v>
      </c>
      <c r="D82" s="2"/>
      <c r="X82" s="66" t="s">
        <v>1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6"/>
    </row>
    <row r="83" ht="15.75" customHeight="1">
      <c r="A83" s="7">
        <v>46269.0</v>
      </c>
      <c r="B83" s="8" t="s">
        <v>2</v>
      </c>
      <c r="C83" s="8" t="s">
        <v>3</v>
      </c>
      <c r="D83" s="8" t="s">
        <v>4</v>
      </c>
      <c r="E83" s="8" t="s">
        <v>5</v>
      </c>
      <c r="F83" s="9" t="s">
        <v>6</v>
      </c>
      <c r="G83" s="8" t="s">
        <v>7</v>
      </c>
      <c r="H83" s="8" t="s">
        <v>8</v>
      </c>
      <c r="I83" s="8" t="s">
        <v>9</v>
      </c>
      <c r="J83" s="8" t="s">
        <v>10</v>
      </c>
      <c r="K83" s="8" t="s">
        <v>11</v>
      </c>
      <c r="L83" s="8" t="s">
        <v>12</v>
      </c>
      <c r="M83" s="8" t="s">
        <v>13</v>
      </c>
      <c r="N83" s="9" t="s">
        <v>14</v>
      </c>
      <c r="O83" s="8" t="s">
        <v>15</v>
      </c>
      <c r="P83" s="8" t="s">
        <v>16</v>
      </c>
      <c r="Q83" s="8" t="s">
        <v>17</v>
      </c>
      <c r="R83" s="8" t="s">
        <v>18</v>
      </c>
      <c r="S83" s="11" t="s">
        <v>19</v>
      </c>
      <c r="T83" s="12" t="s">
        <v>20</v>
      </c>
      <c r="U83" s="12" t="s">
        <v>21</v>
      </c>
      <c r="V83" s="13" t="s">
        <v>22</v>
      </c>
      <c r="X83" s="14" t="s">
        <v>2</v>
      </c>
      <c r="Y83" s="14" t="s">
        <v>3</v>
      </c>
      <c r="Z83" s="14" t="s">
        <v>4</v>
      </c>
      <c r="AA83" s="14" t="s">
        <v>5</v>
      </c>
      <c r="AB83" s="15" t="s">
        <v>6</v>
      </c>
      <c r="AC83" s="14" t="s">
        <v>7</v>
      </c>
      <c r="AD83" s="14" t="s">
        <v>8</v>
      </c>
      <c r="AE83" s="14" t="s">
        <v>9</v>
      </c>
      <c r="AF83" s="14" t="s">
        <v>10</v>
      </c>
      <c r="AG83" s="14" t="s">
        <v>11</v>
      </c>
      <c r="AH83" s="14" t="s">
        <v>12</v>
      </c>
      <c r="AI83" s="14" t="s">
        <v>13</v>
      </c>
      <c r="AJ83" s="15" t="s">
        <v>14</v>
      </c>
      <c r="AK83" s="14" t="s">
        <v>15</v>
      </c>
      <c r="AL83" s="14" t="s">
        <v>16</v>
      </c>
      <c r="AM83" s="16" t="s">
        <v>17</v>
      </c>
      <c r="AN83" s="17" t="s">
        <v>18</v>
      </c>
      <c r="AO83" s="18" t="s">
        <v>19</v>
      </c>
      <c r="AP83" s="19" t="s">
        <v>20</v>
      </c>
      <c r="AQ83" s="19" t="s">
        <v>21</v>
      </c>
      <c r="AR83" s="20" t="s">
        <v>22</v>
      </c>
    </row>
    <row r="84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X84" s="22">
        <v>1.0</v>
      </c>
      <c r="Y84" s="22" t="s">
        <v>23</v>
      </c>
      <c r="Z84" s="22">
        <f t="shared" ref="Z84:AI84" si="226">SUM(D92)</f>
        <v>35</v>
      </c>
      <c r="AA84" s="23">
        <f t="shared" si="226"/>
        <v>35</v>
      </c>
      <c r="AB84" s="24">
        <f t="shared" si="226"/>
        <v>6781.74</v>
      </c>
      <c r="AC84" s="23">
        <f t="shared" si="226"/>
        <v>1541</v>
      </c>
      <c r="AD84" s="23">
        <f t="shared" si="226"/>
        <v>58</v>
      </c>
      <c r="AE84" s="23">
        <f t="shared" si="226"/>
        <v>1599</v>
      </c>
      <c r="AF84" s="23">
        <f t="shared" si="226"/>
        <v>2883</v>
      </c>
      <c r="AG84" s="23">
        <f t="shared" si="226"/>
        <v>77</v>
      </c>
      <c r="AH84" s="23">
        <f t="shared" si="226"/>
        <v>2960</v>
      </c>
      <c r="AI84" s="23">
        <f t="shared" si="226"/>
        <v>4559</v>
      </c>
      <c r="AJ84" s="25">
        <f t="shared" ref="AJ84:AJ86" si="229">AB84/AA84</f>
        <v>193.764</v>
      </c>
      <c r="AK84" s="22">
        <f>SUM(O92)</f>
        <v>6853</v>
      </c>
      <c r="AL84" s="26">
        <f t="shared" ref="AL84:AL90" si="230">AI84/AK84</f>
        <v>0.6652560922</v>
      </c>
      <c r="AM84" s="27">
        <f t="shared" ref="AM84:AM86" si="231">SUM(Q92)</f>
        <v>1.5</v>
      </c>
      <c r="AN84" s="26">
        <f t="shared" ref="AN84:AN90" si="232">AO84/AM84</f>
        <v>0.4481642371</v>
      </c>
      <c r="AO84" s="28">
        <f t="shared" ref="AO84:AO90" si="233">AI84/AB84</f>
        <v>0.6722463557</v>
      </c>
      <c r="AP84" s="27">
        <f t="shared" ref="AP84:AQ84" si="227">SUM(T92)</f>
        <v>201</v>
      </c>
      <c r="AQ84" s="27">
        <f t="shared" si="227"/>
        <v>5.742857143</v>
      </c>
      <c r="AR84" s="23">
        <f t="shared" ref="AR84:AR90" si="235">AI84/AA84</f>
        <v>130.2571429</v>
      </c>
    </row>
    <row r="85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X85" s="22">
        <v>2.0</v>
      </c>
      <c r="Y85" s="22" t="s">
        <v>24</v>
      </c>
      <c r="Z85" s="22">
        <f t="shared" ref="Z85:AI85" si="228">SUM(D93)</f>
        <v>44</v>
      </c>
      <c r="AA85" s="23">
        <f t="shared" si="228"/>
        <v>43</v>
      </c>
      <c r="AB85" s="24">
        <f t="shared" si="228"/>
        <v>8618.123</v>
      </c>
      <c r="AC85" s="23">
        <f t="shared" si="228"/>
        <v>1253</v>
      </c>
      <c r="AD85" s="23">
        <f t="shared" si="228"/>
        <v>0</v>
      </c>
      <c r="AE85" s="23">
        <f t="shared" si="228"/>
        <v>1253</v>
      </c>
      <c r="AF85" s="23">
        <f t="shared" si="228"/>
        <v>1254</v>
      </c>
      <c r="AG85" s="23">
        <f t="shared" si="228"/>
        <v>43</v>
      </c>
      <c r="AH85" s="23">
        <f t="shared" si="228"/>
        <v>1297</v>
      </c>
      <c r="AI85" s="23">
        <f t="shared" si="228"/>
        <v>2550</v>
      </c>
      <c r="AJ85" s="25">
        <f t="shared" si="229"/>
        <v>200.4214651</v>
      </c>
      <c r="AK85" s="22">
        <v>1580.0</v>
      </c>
      <c r="AL85" s="29">
        <f t="shared" si="230"/>
        <v>1.613924051</v>
      </c>
      <c r="AM85" s="27">
        <f t="shared" si="231"/>
        <v>1.5</v>
      </c>
      <c r="AN85" s="26">
        <f t="shared" si="232"/>
        <v>0.1972587302</v>
      </c>
      <c r="AO85" s="28">
        <f t="shared" si="233"/>
        <v>0.2958880954</v>
      </c>
      <c r="AP85" s="27">
        <f t="shared" ref="AP85:AQ85" si="234">SUM(T93)</f>
        <v>321.5117702</v>
      </c>
      <c r="AQ85" s="27">
        <f t="shared" si="234"/>
        <v>7.477017911</v>
      </c>
      <c r="AR85" s="23">
        <f t="shared" si="235"/>
        <v>59.30232558</v>
      </c>
    </row>
    <row r="86" ht="15.75" customHeight="1">
      <c r="A86" s="21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X86" s="31">
        <v>3.0</v>
      </c>
      <c r="Y86" s="31" t="s">
        <v>25</v>
      </c>
      <c r="Z86" s="31">
        <f t="shared" ref="Z86:AI86" si="236">SUM(D94)</f>
        <v>32</v>
      </c>
      <c r="AA86" s="32">
        <f t="shared" si="236"/>
        <v>28</v>
      </c>
      <c r="AB86" s="33">
        <f t="shared" si="236"/>
        <v>5077.92</v>
      </c>
      <c r="AC86" s="32">
        <f t="shared" si="236"/>
        <v>2083</v>
      </c>
      <c r="AD86" s="32">
        <f t="shared" si="236"/>
        <v>321</v>
      </c>
      <c r="AE86" s="32">
        <f t="shared" si="236"/>
        <v>2404</v>
      </c>
      <c r="AF86" s="32">
        <f t="shared" si="236"/>
        <v>2795</v>
      </c>
      <c r="AG86" s="32">
        <f t="shared" si="236"/>
        <v>275</v>
      </c>
      <c r="AH86" s="32">
        <f t="shared" si="236"/>
        <v>3070</v>
      </c>
      <c r="AI86" s="32">
        <f t="shared" si="236"/>
        <v>5474</v>
      </c>
      <c r="AJ86" s="34">
        <f t="shared" si="229"/>
        <v>181.3542857</v>
      </c>
      <c r="AK86" s="31">
        <f>SUM(O94)</f>
        <v>6622</v>
      </c>
      <c r="AL86" s="35">
        <f t="shared" si="230"/>
        <v>0.8266384778</v>
      </c>
      <c r="AM86" s="36">
        <f t="shared" si="231"/>
        <v>1.5</v>
      </c>
      <c r="AN86" s="35">
        <f t="shared" si="232"/>
        <v>0.7186669608</v>
      </c>
      <c r="AO86" s="37">
        <f t="shared" si="233"/>
        <v>1.078000441</v>
      </c>
      <c r="AP86" s="36">
        <f t="shared" ref="AP86:AQ86" si="237">SUM(T94)</f>
        <v>213</v>
      </c>
      <c r="AQ86" s="36">
        <f t="shared" si="237"/>
        <v>7.607142857</v>
      </c>
      <c r="AR86" s="32">
        <f t="shared" si="235"/>
        <v>195.5</v>
      </c>
    </row>
    <row r="87" ht="15.75" customHeight="1">
      <c r="A87" s="21"/>
      <c r="B87" s="38">
        <v>1.0</v>
      </c>
      <c r="C87" s="38" t="s">
        <v>26</v>
      </c>
      <c r="D87" s="39">
        <v>20.0</v>
      </c>
      <c r="E87" s="40">
        <f>IFERROR(__xludf.DUMMYFUNCTION("COUNT(IMPORTRANGE(""https://docs.google.com/spreadsheets/d/1F0NpMx7WhcgPgxTWpryY3Z1CGg56FL6aiL4mHs43w4E/edit"",""4!d2:d21""))"),19.0)</f>
        <v>19</v>
      </c>
      <c r="F87" s="41">
        <f>IFERROR(__xludf.DUMMYFUNCTION("SUM(IMPORTRANGE(""https://docs.google.com/spreadsheets/d/1F0NpMx7WhcgPgxTWpryY3Z1CGg56FL6aiL4mHs43w4E/edit"",""4!Q2:Q21""))"),3683.5679999999998)</f>
        <v>3683.568</v>
      </c>
      <c r="G87" s="40">
        <f>IFERROR(__xludf.DUMMYFUNCTION("IMPORTRANGE(""https://docs.google.com/spreadsheets/d/1F0NpMx7WhcgPgxTWpryY3Z1CGg56FL6aiL4mHs43w4E/edit"",""4!e28"")"),1808.0)</f>
        <v>1808</v>
      </c>
      <c r="H87" s="40">
        <f>IFERROR(__xludf.DUMMYFUNCTION("IMPORTRANGE(""https://docs.google.com/spreadsheets/d/1F0NpMx7WhcgPgxTWpryY3Z1CGg56FL6aiL4mHs43w4E/edit"",""4!e29"")"),0.0)</f>
        <v>0</v>
      </c>
      <c r="I87" s="40">
        <f t="shared" ref="I87:I104" si="240">SUM(G87:H87)</f>
        <v>1808</v>
      </c>
      <c r="J87" s="40">
        <f>IFERROR(__xludf.DUMMYFUNCTION("IMPORTRANGE(""https://docs.google.com/spreadsheets/d/1F0NpMx7WhcgPgxTWpryY3Z1CGg56FL6aiL4mHs43w4E/edit"",""4!e32"")"),3230.0)</f>
        <v>3230</v>
      </c>
      <c r="K87" s="40">
        <f>IFERROR(__xludf.DUMMYFUNCTION("IMPORTRANGE(""https://docs.google.com/spreadsheets/d/1F0NpMx7WhcgPgxTWpryY3Z1CGg56FL6aiL4mHs43w4E/edit"",""4!e33"")"),0.0)</f>
        <v>0</v>
      </c>
      <c r="L87" s="40">
        <f t="shared" ref="L87:L93" si="241">SUM(J87:K87)</f>
        <v>3230</v>
      </c>
      <c r="M87" s="40">
        <f t="shared" ref="M87:M104" si="242">SUM(I87+L87)</f>
        <v>5038</v>
      </c>
      <c r="N87" s="41">
        <f t="shared" ref="N87:N105" si="243">F87/E87</f>
        <v>193.872</v>
      </c>
      <c r="O87" s="38">
        <v>5161.0</v>
      </c>
      <c r="P87" s="42">
        <f t="shared" ref="P87:P105" si="244">M87/O87</f>
        <v>0.9761674094</v>
      </c>
      <c r="Q87" s="43">
        <v>1.5</v>
      </c>
      <c r="R87" s="42">
        <f t="shared" ref="R87:R105" si="245">S87/Q87</f>
        <v>0.9117971127</v>
      </c>
      <c r="S87" s="44">
        <f t="shared" ref="S87:S105" si="246">M87/F87</f>
        <v>1.367695669</v>
      </c>
      <c r="T87" s="43">
        <f>F87/14.415</f>
        <v>255.5371488</v>
      </c>
      <c r="U87" s="43">
        <f t="shared" ref="U87:U105" si="247">T87/E87</f>
        <v>13.44932362</v>
      </c>
      <c r="V87" s="40">
        <f t="shared" ref="V87:V105" si="248">M87/E87</f>
        <v>265.1578947</v>
      </c>
      <c r="X87" s="22">
        <v>4.0</v>
      </c>
      <c r="Y87" s="22" t="s">
        <v>27</v>
      </c>
      <c r="Z87" s="22">
        <f t="shared" ref="Z87:AK87" si="238">SUM(D100)</f>
        <v>30</v>
      </c>
      <c r="AA87" s="23">
        <f t="shared" si="238"/>
        <v>29</v>
      </c>
      <c r="AB87" s="24">
        <f t="shared" si="238"/>
        <v>5385.82</v>
      </c>
      <c r="AC87" s="23">
        <f t="shared" si="238"/>
        <v>2451</v>
      </c>
      <c r="AD87" s="23">
        <f t="shared" si="238"/>
        <v>90</v>
      </c>
      <c r="AE87" s="23">
        <f t="shared" si="238"/>
        <v>2541</v>
      </c>
      <c r="AF87" s="23">
        <f t="shared" si="238"/>
        <v>2614</v>
      </c>
      <c r="AG87" s="23">
        <f t="shared" si="238"/>
        <v>380</v>
      </c>
      <c r="AH87" s="23">
        <f t="shared" si="238"/>
        <v>2994</v>
      </c>
      <c r="AI87" s="23">
        <f t="shared" si="238"/>
        <v>5535</v>
      </c>
      <c r="AJ87" s="25">
        <f t="shared" si="238"/>
        <v>185.717931</v>
      </c>
      <c r="AK87" s="22">
        <f t="shared" si="238"/>
        <v>8101</v>
      </c>
      <c r="AL87" s="26">
        <f t="shared" si="230"/>
        <v>0.6832489816</v>
      </c>
      <c r="AM87" s="27">
        <f>SUM(Q100)</f>
        <v>1.5</v>
      </c>
      <c r="AN87" s="26">
        <f t="shared" si="232"/>
        <v>0.6851324404</v>
      </c>
      <c r="AO87" s="28">
        <f t="shared" si="233"/>
        <v>1.027698661</v>
      </c>
      <c r="AP87" s="27">
        <f t="shared" ref="AP87:AQ87" si="239">SUM(T100)</f>
        <v>269.4931198</v>
      </c>
      <c r="AQ87" s="27">
        <f t="shared" si="239"/>
        <v>9.292866201</v>
      </c>
      <c r="AR87" s="23">
        <f t="shared" si="235"/>
        <v>190.862069</v>
      </c>
    </row>
    <row r="88" ht="15.75" customHeight="1">
      <c r="A88" s="21"/>
      <c r="B88" s="38">
        <v>2.0</v>
      </c>
      <c r="C88" s="38" t="s">
        <v>28</v>
      </c>
      <c r="D88" s="39">
        <v>33.0</v>
      </c>
      <c r="E88" s="40">
        <f>IFERROR(__xludf.DUMMYFUNCTION("COUNT(IMPORTRANGE(""https://docs.google.com/spreadsheets/d/1H9vAqftAHb0OdeSGXHTnJFzoWUgpoH31sc0sHNN8y1o/edit"",""4!d2:d34""))"),33.0)</f>
        <v>33</v>
      </c>
      <c r="F88" s="41">
        <f>IFERROR(__xludf.DUMMYFUNCTION("SUM(IMPORTRANGE(""https://docs.google.com/spreadsheets/d/1H9vAqftAHb0OdeSGXHTnJFzoWUgpoH31sc0sHNN8y1o/edit"",""4!Q2:Q34""))"),6574.002000000002)</f>
        <v>6574.002</v>
      </c>
      <c r="G88" s="40">
        <f>IFERROR(__xludf.DUMMYFUNCTION("IMPORTRANGE(""https://docs.google.com/spreadsheets/d/1H9vAqftAHb0OdeSGXHTnJFzoWUgpoH31sc0sHNN8y1o/edit"",""4!e41"")"),3105.0)</f>
        <v>3105</v>
      </c>
      <c r="H88" s="40">
        <f>IFERROR(__xludf.DUMMYFUNCTION("IMPORTRANGE(""https://docs.google.com/spreadsheets/d/1H9vAqftAHb0OdeSGXHTnJFzoWUgpoH31sc0sHNN8y1o/edit"",""4!e42"")"),42.0)</f>
        <v>42</v>
      </c>
      <c r="I88" s="40">
        <f t="shared" si="240"/>
        <v>3147</v>
      </c>
      <c r="J88" s="40">
        <f>IFERROR(__xludf.DUMMYFUNCTION("IMPORTRANGE(""https://docs.google.com/spreadsheets/d/1H9vAqftAHb0OdeSGXHTnJFzoWUgpoH31sc0sHNN8y1o/edit"",""4!e45"")"),2663.0)</f>
        <v>2663</v>
      </c>
      <c r="K88" s="40">
        <f>IFERROR(__xludf.DUMMYFUNCTION("IMPORTRANGE(""https://docs.google.com/spreadsheets/d/1H9vAqftAHb0OdeSGXHTnJFzoWUgpoH31sc0sHNN8y1o/edit"",""4!e46"")"),300.0)</f>
        <v>300</v>
      </c>
      <c r="L88" s="40">
        <f t="shared" si="241"/>
        <v>2963</v>
      </c>
      <c r="M88" s="40">
        <f t="shared" si="242"/>
        <v>6110</v>
      </c>
      <c r="N88" s="41">
        <f t="shared" si="243"/>
        <v>199.2121818</v>
      </c>
      <c r="O88" s="38">
        <v>7315.0</v>
      </c>
      <c r="P88" s="42">
        <f t="shared" si="244"/>
        <v>0.8352699932</v>
      </c>
      <c r="Q88" s="43">
        <v>1.5</v>
      </c>
      <c r="R88" s="42">
        <f t="shared" si="245"/>
        <v>0.6196124268</v>
      </c>
      <c r="S88" s="44">
        <f t="shared" si="246"/>
        <v>0.9294186403</v>
      </c>
      <c r="T88" s="43">
        <f>F88/30.897</f>
        <v>212.7715312</v>
      </c>
      <c r="U88" s="43">
        <f t="shared" si="247"/>
        <v>6.447622158</v>
      </c>
      <c r="V88" s="40">
        <f t="shared" si="248"/>
        <v>185.1515152</v>
      </c>
      <c r="X88" s="22">
        <v>5.0</v>
      </c>
      <c r="Y88" s="22" t="s">
        <v>29</v>
      </c>
      <c r="Z88" s="22">
        <f t="shared" ref="Z88:AI88" si="249">SUM(D103)</f>
        <v>30</v>
      </c>
      <c r="AA88" s="23">
        <f t="shared" si="249"/>
        <v>29</v>
      </c>
      <c r="AB88" s="24">
        <f t="shared" si="249"/>
        <v>5960.475</v>
      </c>
      <c r="AC88" s="23">
        <f t="shared" si="249"/>
        <v>2825</v>
      </c>
      <c r="AD88" s="23">
        <f t="shared" si="249"/>
        <v>0</v>
      </c>
      <c r="AE88" s="23">
        <f t="shared" si="249"/>
        <v>2825</v>
      </c>
      <c r="AF88" s="23">
        <f t="shared" si="249"/>
        <v>3014</v>
      </c>
      <c r="AG88" s="23">
        <f t="shared" si="249"/>
        <v>0</v>
      </c>
      <c r="AH88" s="23">
        <f t="shared" si="249"/>
        <v>3014</v>
      </c>
      <c r="AI88" s="23">
        <f t="shared" si="249"/>
        <v>5839</v>
      </c>
      <c r="AJ88" s="25">
        <f t="shared" ref="AJ88:AJ90" si="252">AB88/AA88</f>
        <v>205.5336207</v>
      </c>
      <c r="AK88" s="22">
        <f t="shared" ref="AK88:AK89" si="253">SUM(O103)</f>
        <v>9201</v>
      </c>
      <c r="AL88" s="26">
        <f t="shared" si="230"/>
        <v>0.6346049342</v>
      </c>
      <c r="AM88" s="27">
        <f t="shared" ref="AM88:AM89" si="254">SUM(Q103)</f>
        <v>1.5</v>
      </c>
      <c r="AN88" s="26">
        <f t="shared" si="232"/>
        <v>0.6530799419</v>
      </c>
      <c r="AO88" s="28">
        <f t="shared" si="233"/>
        <v>0.9796199128</v>
      </c>
      <c r="AP88" s="27">
        <f t="shared" ref="AP88:AQ88" si="250">SUM(T103)</f>
        <v>225</v>
      </c>
      <c r="AQ88" s="27">
        <f t="shared" si="250"/>
        <v>7.75862069</v>
      </c>
      <c r="AR88" s="23">
        <f t="shared" si="235"/>
        <v>201.3448276</v>
      </c>
    </row>
    <row r="89" ht="15.75" customHeight="1">
      <c r="A89" s="21"/>
      <c r="B89" s="38">
        <v>3.0</v>
      </c>
      <c r="C89" s="38" t="s">
        <v>30</v>
      </c>
      <c r="D89" s="39">
        <v>60.0</v>
      </c>
      <c r="E89" s="40">
        <f>IFERROR(__xludf.DUMMYFUNCTION("COUNT(IMPORTRANGE(""https://docs.google.com/spreadsheets/d/1EWN6nfpuVxbUE_9opjYCWaI7MTm5xsF6ssjklSbMZnA/edit"",""4!d2:d61""))"),59.0)</f>
        <v>59</v>
      </c>
      <c r="F89" s="45">
        <f>IFERROR(__xludf.DUMMYFUNCTION("SUM(IMPORTRANGE(""https://docs.google.com/spreadsheets/d/1EWN6nfpuVxbUE_9opjYCWaI7MTm5xsF6ssjklSbMZnA/edit"",""4!Q2:Q61""))"),11650.88299999999)</f>
        <v>11650.883</v>
      </c>
      <c r="G89" s="40">
        <f>IFERROR(__xludf.DUMMYFUNCTION("IMPORTRANGE(""https://docs.google.com/spreadsheets/d/1EWN6nfpuVxbUE_9opjYCWaI7MTm5xsF6ssjklSbMZnA/edit"",""4!e68"")"),3449.0)</f>
        <v>3449</v>
      </c>
      <c r="H89" s="40">
        <f>IFERROR(__xludf.DUMMYFUNCTION("IMPORTRANGE(""https://docs.google.com/spreadsheets/d/1EWN6nfpuVxbUE_9opjYCWaI7MTm5xsF6ssjklSbMZnA/edit"",""4!e69"")"),0.0)</f>
        <v>0</v>
      </c>
      <c r="I89" s="40">
        <f t="shared" si="240"/>
        <v>3449</v>
      </c>
      <c r="J89" s="40">
        <f>IFERROR(__xludf.DUMMYFUNCTION("IMPORTRANGE(""https://docs.google.com/spreadsheets/d/1EWN6nfpuVxbUE_9opjYCWaI7MTm5xsF6ssjklSbMZnA/edit"",""4!e72"")"),5760.0)</f>
        <v>5760</v>
      </c>
      <c r="K89" s="40">
        <f>IFERROR(__xludf.DUMMYFUNCTION("IMPORTRANGE(""https://docs.google.com/spreadsheets/d/1EWN6nfpuVxbUE_9opjYCWaI7MTm5xsF6ssjklSbMZnA/edit"",""4!e73"")"),0.0)</f>
        <v>0</v>
      </c>
      <c r="L89" s="40">
        <f t="shared" si="241"/>
        <v>5760</v>
      </c>
      <c r="M89" s="40">
        <f t="shared" si="242"/>
        <v>9209</v>
      </c>
      <c r="N89" s="41">
        <f t="shared" si="243"/>
        <v>197.4725932</v>
      </c>
      <c r="O89" s="38">
        <v>11164.0</v>
      </c>
      <c r="P89" s="42">
        <f t="shared" si="244"/>
        <v>0.8248835543</v>
      </c>
      <c r="Q89" s="43">
        <v>1.5</v>
      </c>
      <c r="R89" s="42">
        <f t="shared" si="245"/>
        <v>0.526941463</v>
      </c>
      <c r="S89" s="44">
        <f t="shared" si="246"/>
        <v>0.7904121945</v>
      </c>
      <c r="T89" s="43">
        <f>F89/29.603</f>
        <v>393.5710232</v>
      </c>
      <c r="U89" s="43">
        <f t="shared" si="247"/>
        <v>6.670695309</v>
      </c>
      <c r="V89" s="40">
        <f t="shared" si="248"/>
        <v>156.0847458</v>
      </c>
      <c r="X89" s="22">
        <v>6.0</v>
      </c>
      <c r="Y89" s="22" t="s">
        <v>31</v>
      </c>
      <c r="Z89" s="22">
        <f t="shared" ref="Z89:AI89" si="251">SUM(D104)</f>
        <v>15</v>
      </c>
      <c r="AA89" s="23">
        <f t="shared" si="251"/>
        <v>14</v>
      </c>
      <c r="AB89" s="25">
        <f t="shared" si="251"/>
        <v>2367.121</v>
      </c>
      <c r="AC89" s="23">
        <f t="shared" si="251"/>
        <v>729</v>
      </c>
      <c r="AD89" s="23">
        <f t="shared" si="251"/>
        <v>0</v>
      </c>
      <c r="AE89" s="23">
        <f t="shared" si="251"/>
        <v>729</v>
      </c>
      <c r="AF89" s="23">
        <f t="shared" si="251"/>
        <v>1064</v>
      </c>
      <c r="AG89" s="23">
        <f t="shared" si="251"/>
        <v>14</v>
      </c>
      <c r="AH89" s="23">
        <f t="shared" si="251"/>
        <v>1078</v>
      </c>
      <c r="AI89" s="23">
        <f t="shared" si="251"/>
        <v>1807</v>
      </c>
      <c r="AJ89" s="25">
        <f t="shared" si="252"/>
        <v>169.0800714</v>
      </c>
      <c r="AK89" s="22">
        <f t="shared" si="253"/>
        <v>2717</v>
      </c>
      <c r="AL89" s="26">
        <f t="shared" si="230"/>
        <v>0.6650717703</v>
      </c>
      <c r="AM89" s="27">
        <f t="shared" si="254"/>
        <v>1.5</v>
      </c>
      <c r="AN89" s="26">
        <f t="shared" si="232"/>
        <v>0.5089163869</v>
      </c>
      <c r="AO89" s="28">
        <f t="shared" si="233"/>
        <v>0.7633745803</v>
      </c>
      <c r="AP89" s="27">
        <f t="shared" ref="AP89:AQ89" si="255">SUM(T104)</f>
        <v>54.46039342</v>
      </c>
      <c r="AQ89" s="27">
        <f t="shared" si="255"/>
        <v>3.890028101</v>
      </c>
      <c r="AR89" s="23">
        <f t="shared" si="235"/>
        <v>129.0714286</v>
      </c>
    </row>
    <row r="90" ht="15.75" customHeight="1">
      <c r="A90" s="21"/>
      <c r="B90" s="38">
        <v>4.0</v>
      </c>
      <c r="C90" s="38" t="s">
        <v>32</v>
      </c>
      <c r="D90" s="39">
        <v>42.0</v>
      </c>
      <c r="E90" s="40">
        <f>IFERROR(__xludf.DUMMYFUNCTION("COUNT(IMPORTRANGE(""https://docs.google.com/spreadsheets/d/1Rmar8QqWK4XOJ-eY6xMzkAfDSw0srEXcAw89ilArun8/edit"",""4!d2:d43""))"),42.0)</f>
        <v>42</v>
      </c>
      <c r="F90" s="45">
        <f>IFERROR(__xludf.DUMMYFUNCTION("SUM(IMPORTRANGE(""https://docs.google.com/spreadsheets/d/1Rmar8QqWK4XOJ-eY6xMzkAfDSw0srEXcAw89ilArun8/edit"",""4!Q2:Q43""))"),7804.827999999992)</f>
        <v>7804.828</v>
      </c>
      <c r="G90" s="38">
        <f>IFERROR(__xludf.DUMMYFUNCTION("IMPORTRANGE(""https://docs.google.com/spreadsheets/d/1Rmar8QqWK4XOJ-eY6xMzkAfDSw0srEXcAw89ilArun8/edit"",""4!e50"")"),4858.0)</f>
        <v>4858</v>
      </c>
      <c r="H90" s="38">
        <f>IFERROR(__xludf.DUMMYFUNCTION("IMPORTRANGE(""https://docs.google.com/spreadsheets/d/1Rmar8QqWK4XOJ-eY6xMzkAfDSw0srEXcAw89ilArun8/edit"",""4!e51"")"),0.0)</f>
        <v>0</v>
      </c>
      <c r="I90" s="40">
        <f t="shared" si="240"/>
        <v>4858</v>
      </c>
      <c r="J90" s="38">
        <f>IFERROR(__xludf.DUMMYFUNCTION("IMPORTRANGE(""https://docs.google.com/spreadsheets/d/1Rmar8QqWK4XOJ-eY6xMzkAfDSw0srEXcAw89ilArun8/edit"",""4!e54"")"),5059.0)</f>
        <v>5059</v>
      </c>
      <c r="K90" s="38">
        <f>IFERROR(__xludf.DUMMYFUNCTION("IMPORTRANGE(""https://docs.google.com/spreadsheets/d/1Rmar8QqWK4XOJ-eY6xMzkAfDSw0srEXcAw89ilArun8/edit"",""4!e55"")"),155.0)</f>
        <v>155</v>
      </c>
      <c r="L90" s="40">
        <f t="shared" si="241"/>
        <v>5214</v>
      </c>
      <c r="M90" s="40">
        <f t="shared" si="242"/>
        <v>10072</v>
      </c>
      <c r="N90" s="41">
        <f t="shared" si="243"/>
        <v>185.8292381</v>
      </c>
      <c r="O90" s="38">
        <v>13817.0</v>
      </c>
      <c r="P90" s="42">
        <f t="shared" si="244"/>
        <v>0.7289570819</v>
      </c>
      <c r="Q90" s="43">
        <v>1.5</v>
      </c>
      <c r="R90" s="42">
        <f t="shared" si="245"/>
        <v>0.8603221835</v>
      </c>
      <c r="S90" s="44">
        <f t="shared" si="246"/>
        <v>1.290483275</v>
      </c>
      <c r="T90" s="43">
        <f>F90/25.089</f>
        <v>311.0856551</v>
      </c>
      <c r="U90" s="43">
        <f t="shared" si="247"/>
        <v>7.406801311</v>
      </c>
      <c r="V90" s="40">
        <f t="shared" si="248"/>
        <v>239.8095238</v>
      </c>
      <c r="X90" s="46" t="s">
        <v>33</v>
      </c>
      <c r="Y90" s="46">
        <v>6.0</v>
      </c>
      <c r="Z90" s="46">
        <f t="shared" ref="Z90:AI90" si="256">SUM(Z84:Z89)</f>
        <v>186</v>
      </c>
      <c r="AA90" s="47">
        <f t="shared" si="256"/>
        <v>178</v>
      </c>
      <c r="AB90" s="48">
        <f t="shared" si="256"/>
        <v>34191.199</v>
      </c>
      <c r="AC90" s="47">
        <f t="shared" si="256"/>
        <v>10882</v>
      </c>
      <c r="AD90" s="47">
        <f t="shared" si="256"/>
        <v>469</v>
      </c>
      <c r="AE90" s="47">
        <f t="shared" si="256"/>
        <v>11351</v>
      </c>
      <c r="AF90" s="47">
        <f t="shared" si="256"/>
        <v>13624</v>
      </c>
      <c r="AG90" s="47">
        <f t="shared" si="256"/>
        <v>789</v>
      </c>
      <c r="AH90" s="47">
        <f t="shared" si="256"/>
        <v>14413</v>
      </c>
      <c r="AI90" s="47">
        <f t="shared" si="256"/>
        <v>25764</v>
      </c>
      <c r="AJ90" s="49">
        <f t="shared" si="252"/>
        <v>192.0853876</v>
      </c>
      <c r="AK90" s="46">
        <f>SUM(AK84:AK89)</f>
        <v>35074</v>
      </c>
      <c r="AL90" s="50">
        <f t="shared" si="230"/>
        <v>0.7345612134</v>
      </c>
      <c r="AM90" s="51">
        <v>1.5</v>
      </c>
      <c r="AN90" s="50">
        <f t="shared" si="232"/>
        <v>0.5023514969</v>
      </c>
      <c r="AO90" s="52">
        <f t="shared" si="233"/>
        <v>0.7535272454</v>
      </c>
      <c r="AP90" s="51">
        <f>SUM(AP84:AP89)</f>
        <v>1284.465283</v>
      </c>
      <c r="AQ90" s="51">
        <f>AP90/AA90</f>
        <v>7.216097098</v>
      </c>
      <c r="AR90" s="47">
        <f t="shared" si="235"/>
        <v>144.741573</v>
      </c>
    </row>
    <row r="91" ht="15.75" customHeight="1">
      <c r="A91" s="21"/>
      <c r="B91" s="38">
        <v>5.0</v>
      </c>
      <c r="C91" s="38" t="s">
        <v>34</v>
      </c>
      <c r="D91" s="39">
        <v>40.0</v>
      </c>
      <c r="E91" s="40">
        <f>IFERROR(__xludf.DUMMYFUNCTION("COUNT(IMPORTRANGE(""https://docs.google.com/spreadsheets/d/1u99JxAoytGQQ8GcjxXl38CGdyEWy5uIbuJJHnsotyvk/edit"",""4!d2:d41""))"),38.0)</f>
        <v>38</v>
      </c>
      <c r="F91" s="45">
        <f>IFERROR(__xludf.DUMMYFUNCTION("SUM(IMPORTRANGE(""https://docs.google.com/spreadsheets/d/1u99JxAoytGQQ8GcjxXl38CGdyEWy5uIbuJJHnsotyvk/edit"",""4!Q2:Q41""))"),7453.854000000001)</f>
        <v>7453.854</v>
      </c>
      <c r="G91" s="40">
        <f>IFERROR(__xludf.DUMMYFUNCTION("IMPORTRANGE(""https://docs.google.com/spreadsheets/d/1u99JxAoytGQQ8GcjxXl38CGdyEWy5uIbuJJHnsotyvk/edit"",""4!e48"")"),2927.0)</f>
        <v>2927</v>
      </c>
      <c r="H91" s="40">
        <f>IFERROR(__xludf.DUMMYFUNCTION("IMPORTRANGE(""https://docs.google.com/spreadsheets/d/1u99JxAoytGQQ8GcjxXl38CGdyEWy5uIbuJJHnsotyvk/edit"",""4!e49"")"),0.0)</f>
        <v>0</v>
      </c>
      <c r="I91" s="40">
        <f t="shared" si="240"/>
        <v>2927</v>
      </c>
      <c r="J91" s="40">
        <f>IFERROR(__xludf.DUMMYFUNCTION("IMPORTRANGE(""https://docs.google.com/spreadsheets/d/1u99JxAoytGQQ8GcjxXl38CGdyEWy5uIbuJJHnsotyvk/edit"",""4!e52"")"),3090.0)</f>
        <v>3090</v>
      </c>
      <c r="K91" s="40">
        <f>IFERROR(__xludf.DUMMYFUNCTION("IMPORTRANGE(""https://docs.google.com/spreadsheets/d/1u99JxAoytGQQ8GcjxXl38CGdyEWy5uIbuJJHnsotyvk/edit"",""4!e53"")"),20.0)</f>
        <v>20</v>
      </c>
      <c r="L91" s="40">
        <f t="shared" si="241"/>
        <v>3110</v>
      </c>
      <c r="M91" s="40">
        <f t="shared" si="242"/>
        <v>6037</v>
      </c>
      <c r="N91" s="41">
        <f t="shared" si="243"/>
        <v>196.1540526</v>
      </c>
      <c r="O91" s="38">
        <v>9354.0</v>
      </c>
      <c r="P91" s="42">
        <f t="shared" si="244"/>
        <v>0.6453923455</v>
      </c>
      <c r="Q91" s="43">
        <v>1.5</v>
      </c>
      <c r="R91" s="42">
        <f t="shared" si="245"/>
        <v>0.5399443921</v>
      </c>
      <c r="S91" s="44">
        <f t="shared" si="246"/>
        <v>0.8099165881</v>
      </c>
      <c r="T91" s="43">
        <f>F91/30.713</f>
        <v>242.6937779</v>
      </c>
      <c r="U91" s="43">
        <f t="shared" si="247"/>
        <v>6.386678365</v>
      </c>
      <c r="V91" s="40">
        <f t="shared" si="248"/>
        <v>158.8684211</v>
      </c>
      <c r="X91" s="53" t="s">
        <v>35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6"/>
    </row>
    <row r="92" ht="15.75" customHeight="1">
      <c r="A92" s="21"/>
      <c r="B92" s="38">
        <v>6.0</v>
      </c>
      <c r="C92" s="38" t="s">
        <v>23</v>
      </c>
      <c r="D92" s="39">
        <v>35.0</v>
      </c>
      <c r="E92" s="40">
        <f>IFERROR(__xludf.DUMMYFUNCTION("COUNT(IMPORTRANGE(""https://docs.google.com/spreadsheets/d/1uVc-vnTn57HE53lwrUYNZP4sGKTXisrqOoZ-6EyvLzY/edit"",""4!d2:d36""))"),35.0)</f>
        <v>35</v>
      </c>
      <c r="F92" s="45">
        <f>IFERROR(__xludf.DUMMYFUNCTION("SUM(IMPORTRANGE(""https://docs.google.com/spreadsheets/d/1uVc-vnTn57HE53lwrUYNZP4sGKTXisrqOoZ-6EyvLzY/edit"",""4!Q2:Q36""))"),6781.739999999996)</f>
        <v>6781.74</v>
      </c>
      <c r="G92" s="40">
        <f>IFERROR(__xludf.DUMMYFUNCTION("IMPORTRANGE(""https://docs.google.com/spreadsheets/d/1uVc-vnTn57HE53lwrUYNZP4sGKTXisrqOoZ-6EyvLzY/edit"",""4!e43"")"),1541.0)</f>
        <v>1541</v>
      </c>
      <c r="H92" s="40">
        <f>IFERROR(__xludf.DUMMYFUNCTION("IMPORTRANGE(""https://docs.google.com/spreadsheets/d/1uVc-vnTn57HE53lwrUYNZP4sGKTXisrqOoZ-6EyvLzY/edit"",""4!e44"")"),58.0)</f>
        <v>58</v>
      </c>
      <c r="I92" s="40">
        <f t="shared" si="240"/>
        <v>1599</v>
      </c>
      <c r="J92" s="40">
        <f>IFERROR(__xludf.DUMMYFUNCTION("IMPORTRANGE(""https://docs.google.com/spreadsheets/d/1uVc-vnTn57HE53lwrUYNZP4sGKTXisrqOoZ-6EyvLzY/edit"",""4!e47"")"),2883.0)</f>
        <v>2883</v>
      </c>
      <c r="K92" s="40">
        <f>IFERROR(__xludf.DUMMYFUNCTION("IMPORTRANGE(""https://docs.google.com/spreadsheets/d/1uVc-vnTn57HE53lwrUYNZP4sGKTXisrqOoZ-6EyvLzY/edit"",""4!e48"")"),77.0)</f>
        <v>77</v>
      </c>
      <c r="L92" s="40">
        <f t="shared" si="241"/>
        <v>2960</v>
      </c>
      <c r="M92" s="40">
        <f t="shared" si="242"/>
        <v>4559</v>
      </c>
      <c r="N92" s="41">
        <f t="shared" si="243"/>
        <v>193.764</v>
      </c>
      <c r="O92" s="38">
        <v>6853.0</v>
      </c>
      <c r="P92" s="42">
        <f t="shared" si="244"/>
        <v>0.6652560922</v>
      </c>
      <c r="Q92" s="43">
        <v>1.5</v>
      </c>
      <c r="R92" s="42">
        <f t="shared" si="245"/>
        <v>0.4481642371</v>
      </c>
      <c r="S92" s="44">
        <f t="shared" si="246"/>
        <v>0.6722463557</v>
      </c>
      <c r="T92" s="43">
        <f>F92/33.74</f>
        <v>201</v>
      </c>
      <c r="U92" s="43">
        <f t="shared" si="247"/>
        <v>5.742857143</v>
      </c>
      <c r="V92" s="40">
        <f t="shared" si="248"/>
        <v>130.2571429</v>
      </c>
      <c r="X92" s="14" t="s">
        <v>2</v>
      </c>
      <c r="Y92" s="14" t="s">
        <v>3</v>
      </c>
      <c r="Z92" s="14" t="s">
        <v>4</v>
      </c>
      <c r="AA92" s="14" t="s">
        <v>5</v>
      </c>
      <c r="AB92" s="15" t="s">
        <v>6</v>
      </c>
      <c r="AC92" s="14" t="s">
        <v>7</v>
      </c>
      <c r="AD92" s="14" t="s">
        <v>8</v>
      </c>
      <c r="AE92" s="14" t="s">
        <v>9</v>
      </c>
      <c r="AF92" s="14" t="s">
        <v>10</v>
      </c>
      <c r="AG92" s="14" t="s">
        <v>11</v>
      </c>
      <c r="AH92" s="14" t="s">
        <v>12</v>
      </c>
      <c r="AI92" s="14" t="s">
        <v>13</v>
      </c>
      <c r="AJ92" s="15" t="s">
        <v>14</v>
      </c>
      <c r="AK92" s="14" t="s">
        <v>15</v>
      </c>
      <c r="AL92" s="14" t="s">
        <v>16</v>
      </c>
      <c r="AM92" s="16" t="s">
        <v>17</v>
      </c>
      <c r="AN92" s="17" t="s">
        <v>18</v>
      </c>
      <c r="AO92" s="18" t="s">
        <v>19</v>
      </c>
      <c r="AP92" s="19" t="s">
        <v>20</v>
      </c>
      <c r="AQ92" s="19" t="s">
        <v>21</v>
      </c>
      <c r="AR92" s="20" t="s">
        <v>22</v>
      </c>
    </row>
    <row r="93" ht="15.75" customHeight="1">
      <c r="A93" s="21"/>
      <c r="B93" s="38">
        <v>7.0</v>
      </c>
      <c r="C93" s="38" t="s">
        <v>24</v>
      </c>
      <c r="D93" s="39">
        <v>44.0</v>
      </c>
      <c r="E93" s="54">
        <f>IFERROR(__xludf.DUMMYFUNCTION("COUNT(IMPORTRANGE(""https://docs.google.com/spreadsheets/d/1iuPvivSypupo44l6GtmR-2qZ3za7cTk7KzsOVp_kv2c/edit"",""4!d2:d45""))"),43.0)</f>
        <v>43</v>
      </c>
      <c r="F93" s="55">
        <f>IFERROR(__xludf.DUMMYFUNCTION("SUM(IMPORTRANGE(""https://docs.google.com/spreadsheets/d/1iuPvivSypupo44l6GtmR-2qZ3za7cTk7KzsOVp_kv2c/edit"",""4!Q2:Q45""))"),8618.122999999994)</f>
        <v>8618.123</v>
      </c>
      <c r="G93" s="54">
        <f>IFERROR(__xludf.DUMMYFUNCTION("IMPORTRANGE(""https://docs.google.com/spreadsheets/d/1iuPvivSypupo44l6GtmR-2qZ3za7cTk7KzsOVp_kv2c/edit"",""4!e53"")"),1253.0)</f>
        <v>1253</v>
      </c>
      <c r="H93" s="54">
        <f>IFERROR(__xludf.DUMMYFUNCTION("IMPORTRANGE(""https://docs.google.com/spreadsheets/d/1iuPvivSypupo44l6GtmR-2qZ3za7cTk7KzsOVp_kv2c/edit"",""4!e54"")"),0.0)</f>
        <v>0</v>
      </c>
      <c r="I93" s="54">
        <f t="shared" si="240"/>
        <v>1253</v>
      </c>
      <c r="J93" s="54">
        <f>IFERROR(__xludf.DUMMYFUNCTION("IMPORTRANGE(""https://docs.google.com/spreadsheets/d/1iuPvivSypupo44l6GtmR-2qZ3za7cTk7KzsOVp_kv2c/edit"",""4!e57"")"),1254.0)</f>
        <v>1254</v>
      </c>
      <c r="K93" s="54">
        <f>IFERROR(__xludf.DUMMYFUNCTION("IMPORTRANGE(""https://docs.google.com/spreadsheets/d/1iuPvivSypupo44l6GtmR-2qZ3za7cTk7KzsOVp_kv2c/edit"",""4!e58"")"),43.0)</f>
        <v>43</v>
      </c>
      <c r="L93" s="40">
        <f t="shared" si="241"/>
        <v>1297</v>
      </c>
      <c r="M93" s="40">
        <f t="shared" si="242"/>
        <v>2550</v>
      </c>
      <c r="N93" s="41">
        <f t="shared" si="243"/>
        <v>200.4214651</v>
      </c>
      <c r="O93" s="38">
        <v>1580.0</v>
      </c>
      <c r="P93" s="56">
        <f t="shared" si="244"/>
        <v>1.613924051</v>
      </c>
      <c r="Q93" s="43">
        <v>1.5</v>
      </c>
      <c r="R93" s="42">
        <f t="shared" si="245"/>
        <v>0.1972587302</v>
      </c>
      <c r="S93" s="44">
        <f t="shared" si="246"/>
        <v>0.2958880954</v>
      </c>
      <c r="T93" s="43">
        <f>F93/26.805</f>
        <v>321.5117702</v>
      </c>
      <c r="U93" s="43">
        <f t="shared" si="247"/>
        <v>7.477017911</v>
      </c>
      <c r="V93" s="40">
        <f t="shared" si="248"/>
        <v>59.30232558</v>
      </c>
      <c r="X93" s="22">
        <v>1.0</v>
      </c>
      <c r="Y93" s="22" t="s">
        <v>28</v>
      </c>
      <c r="Z93" s="22">
        <f t="shared" ref="Z93:AI93" si="257">SUM(D88)</f>
        <v>33</v>
      </c>
      <c r="AA93" s="23">
        <f t="shared" si="257"/>
        <v>33</v>
      </c>
      <c r="AB93" s="25">
        <f t="shared" si="257"/>
        <v>6574.002</v>
      </c>
      <c r="AC93" s="23">
        <f t="shared" si="257"/>
        <v>3105</v>
      </c>
      <c r="AD93" s="23">
        <f t="shared" si="257"/>
        <v>42</v>
      </c>
      <c r="AE93" s="23">
        <f t="shared" si="257"/>
        <v>3147</v>
      </c>
      <c r="AF93" s="23">
        <f t="shared" si="257"/>
        <v>2663</v>
      </c>
      <c r="AG93" s="23">
        <f t="shared" si="257"/>
        <v>300</v>
      </c>
      <c r="AH93" s="23">
        <f t="shared" si="257"/>
        <v>2963</v>
      </c>
      <c r="AI93" s="23">
        <f t="shared" si="257"/>
        <v>6110</v>
      </c>
      <c r="AJ93" s="25">
        <f t="shared" ref="AJ93:AJ99" si="260">AB93/AA93</f>
        <v>199.2121818</v>
      </c>
      <c r="AK93" s="22">
        <f t="shared" ref="AK93:AK94" si="261">SUM(O88)</f>
        <v>7315</v>
      </c>
      <c r="AL93" s="26">
        <f t="shared" ref="AL93:AL99" si="262">AI93/AK93</f>
        <v>0.8352699932</v>
      </c>
      <c r="AM93" s="27">
        <f t="shared" ref="AM93:AM94" si="263">SUM(Q88)</f>
        <v>1.5</v>
      </c>
      <c r="AN93" s="26">
        <f t="shared" ref="AN93:AN99" si="264">AO93/AM93</f>
        <v>0.6196124268</v>
      </c>
      <c r="AO93" s="28">
        <f t="shared" ref="AO93:AO99" si="265">AI93/AB93</f>
        <v>0.9294186403</v>
      </c>
      <c r="AP93" s="27">
        <f t="shared" ref="AP93:AQ93" si="258">SUM(T88)</f>
        <v>212.7715312</v>
      </c>
      <c r="AQ93" s="27">
        <f t="shared" si="258"/>
        <v>6.447622158</v>
      </c>
      <c r="AR93" s="23">
        <f t="shared" ref="AR93:AR99" si="267">AI93/AA93</f>
        <v>185.1515152</v>
      </c>
    </row>
    <row r="94" ht="15.75" customHeight="1">
      <c r="A94" s="21"/>
      <c r="B94" s="38">
        <v>8.0</v>
      </c>
      <c r="C94" s="38" t="s">
        <v>25</v>
      </c>
      <c r="D94" s="57">
        <v>32.0</v>
      </c>
      <c r="E94" s="40">
        <f>IFERROR(__xludf.DUMMYFUNCTION("COUNT(IMPORTRANGE(""https://docs.google.com/spreadsheets/d/1sqWX7UerdR9KR_duBzDNfjwbPG-3hLgV1LiN2ZVZ6Js/edit"",""4!d2:D33""))"),28.0)</f>
        <v>28</v>
      </c>
      <c r="F94" s="45">
        <f>IFERROR(__xludf.DUMMYFUNCTION("SUM(IMPORTRANGE(""https://docs.google.com/spreadsheets/d/1sqWX7UerdR9KR_duBzDNfjwbPG-3hLgV1LiN2ZVZ6Js/edit"",""4!Q2:Q33""))"),5077.919999999999)</f>
        <v>5077.92</v>
      </c>
      <c r="G94" s="40">
        <f>IFERROR(__xludf.DUMMYFUNCTION("IMPORTRANGE(""https://docs.google.com/spreadsheets/d/1sqWX7UerdR9KR_duBzDNfjwbPG-3hLgV1LiN2ZVZ6Js/edit"",""4!e40"")"),2083.0)</f>
        <v>2083</v>
      </c>
      <c r="H94" s="40">
        <f>IFERROR(__xludf.DUMMYFUNCTION("IMPORTRANGE(""https://docs.google.com/spreadsheets/d/1sqWX7UerdR9KR_duBzDNfjwbPG-3hLgV1LiN2ZVZ6Js/edit"",""4!e41"")"),321.0)</f>
        <v>321</v>
      </c>
      <c r="I94" s="40">
        <f t="shared" si="240"/>
        <v>2404</v>
      </c>
      <c r="J94" s="40">
        <f>IFERROR(__xludf.DUMMYFUNCTION("IMPORTRANGE(""https://docs.google.com/spreadsheets/d/1sqWX7UerdR9KR_duBzDNfjwbPG-3hLgV1LiN2ZVZ6Js/edit"",""4!e44"")"),2795.0)</f>
        <v>2795</v>
      </c>
      <c r="K94" s="40">
        <f>IFERROR(__xludf.DUMMYFUNCTION("IMPORTRANGE(""https://docs.google.com/spreadsheets/d/1sqWX7UerdR9KR_duBzDNfjwbPG-3hLgV1LiN2ZVZ6Js/edit"",""4!e45"")"),275.0)</f>
        <v>275</v>
      </c>
      <c r="L94" s="40">
        <f>J94+K94</f>
        <v>3070</v>
      </c>
      <c r="M94" s="40">
        <f t="shared" si="242"/>
        <v>5474</v>
      </c>
      <c r="N94" s="41">
        <f t="shared" si="243"/>
        <v>181.3542857</v>
      </c>
      <c r="O94" s="38">
        <v>6622.0</v>
      </c>
      <c r="P94" s="42">
        <f t="shared" si="244"/>
        <v>0.8266384778</v>
      </c>
      <c r="Q94" s="43">
        <v>1.5</v>
      </c>
      <c r="R94" s="42">
        <f t="shared" si="245"/>
        <v>0.7186669608</v>
      </c>
      <c r="S94" s="44">
        <f t="shared" si="246"/>
        <v>1.078000441</v>
      </c>
      <c r="T94" s="43">
        <f>F94/23.84</f>
        <v>213</v>
      </c>
      <c r="U94" s="43">
        <f t="shared" si="247"/>
        <v>7.607142857</v>
      </c>
      <c r="V94" s="40">
        <f t="shared" si="248"/>
        <v>195.5</v>
      </c>
      <c r="X94" s="31">
        <v>2.0</v>
      </c>
      <c r="Y94" s="31" t="s">
        <v>30</v>
      </c>
      <c r="Z94" s="31">
        <f t="shared" ref="Z94:AI94" si="259">SUM(D89)</f>
        <v>60</v>
      </c>
      <c r="AA94" s="32">
        <f t="shared" si="259"/>
        <v>59</v>
      </c>
      <c r="AB94" s="33">
        <f t="shared" si="259"/>
        <v>11650.883</v>
      </c>
      <c r="AC94" s="32">
        <f t="shared" si="259"/>
        <v>3449</v>
      </c>
      <c r="AD94" s="32">
        <f t="shared" si="259"/>
        <v>0</v>
      </c>
      <c r="AE94" s="32">
        <f t="shared" si="259"/>
        <v>3449</v>
      </c>
      <c r="AF94" s="32">
        <f t="shared" si="259"/>
        <v>5760</v>
      </c>
      <c r="AG94" s="32">
        <f t="shared" si="259"/>
        <v>0</v>
      </c>
      <c r="AH94" s="32">
        <f t="shared" si="259"/>
        <v>5760</v>
      </c>
      <c r="AI94" s="32">
        <f t="shared" si="259"/>
        <v>9209</v>
      </c>
      <c r="AJ94" s="34">
        <f t="shared" si="260"/>
        <v>197.4725932</v>
      </c>
      <c r="AK94" s="31">
        <f t="shared" si="261"/>
        <v>11164</v>
      </c>
      <c r="AL94" s="35">
        <f t="shared" si="262"/>
        <v>0.8248835543</v>
      </c>
      <c r="AM94" s="36">
        <f t="shared" si="263"/>
        <v>1.5</v>
      </c>
      <c r="AN94" s="35">
        <f t="shared" si="264"/>
        <v>0.526941463</v>
      </c>
      <c r="AO94" s="37">
        <f t="shared" si="265"/>
        <v>0.7904121945</v>
      </c>
      <c r="AP94" s="36">
        <f t="shared" ref="AP94:AQ94" si="266">SUM(T89)</f>
        <v>393.5710232</v>
      </c>
      <c r="AQ94" s="36">
        <f t="shared" si="266"/>
        <v>6.670695309</v>
      </c>
      <c r="AR94" s="32">
        <f t="shared" si="267"/>
        <v>156.0847458</v>
      </c>
    </row>
    <row r="95" ht="15.75" customHeight="1">
      <c r="A95" s="21"/>
      <c r="B95" s="38">
        <v>9.0</v>
      </c>
      <c r="C95" s="38" t="s">
        <v>36</v>
      </c>
      <c r="D95" s="58">
        <v>30.0</v>
      </c>
      <c r="E95" s="40">
        <f>IFERROR(__xludf.DUMMYFUNCTION("COUNT(IMPORTRANGE(""https://docs.google.com/spreadsheets/d/1YNna43iTSqnwwbMJgTIPHSJEoDO8RGPRFg5pJCoQR_Y/edit"",""4!d2:d31""))"),30.0)</f>
        <v>30</v>
      </c>
      <c r="F95" s="45">
        <f>IFERROR(__xludf.DUMMYFUNCTION("SUM(IMPORTRANGE(""https://docs.google.com/spreadsheets/d/1YNna43iTSqnwwbMJgTIPHSJEoDO8RGPRFg5pJCoQR_Y/edit"",""4!Q2:Q31""))"),5756.968000000001)</f>
        <v>5756.968</v>
      </c>
      <c r="G95" s="40">
        <f>IFERROR(__xludf.DUMMYFUNCTION("IMPORTRANGE(""https://docs.google.com/spreadsheets/d/1YNna43iTSqnwwbMJgTIPHSJEoDO8RGPRFg5pJCoQR_Y/edit"",""4!e38"")"),1567.0)</f>
        <v>1567</v>
      </c>
      <c r="H95" s="40">
        <f>IFERROR(__xludf.DUMMYFUNCTION("IMPORTRANGE(""https://docs.google.com/spreadsheets/d/1YNna43iTSqnwwbMJgTIPHSJEoDO8RGPRFg5pJCoQR_Y/edit"",""4!e39"")"),0.0)</f>
        <v>0</v>
      </c>
      <c r="I95" s="40">
        <f t="shared" si="240"/>
        <v>1567</v>
      </c>
      <c r="J95" s="40">
        <f>IFERROR(__xludf.DUMMYFUNCTION("IMPORTRANGE(""https://docs.google.com/spreadsheets/d/1YNna43iTSqnwwbMJgTIPHSJEoDO8RGPRFg5pJCoQR_Y/edit"",""4!e42"")"),2533.0)</f>
        <v>2533</v>
      </c>
      <c r="K95" s="40">
        <f>IFERROR(__xludf.DUMMYFUNCTION("IMPORTRANGE(""https://docs.google.com/spreadsheets/d/1YNna43iTSqnwwbMJgTIPHSJEoDO8RGPRFg5pJCoQR_Y/edit"",""4!e43"")"),0.0)</f>
        <v>0</v>
      </c>
      <c r="L95" s="40">
        <f t="shared" ref="L95:L104" si="270">SUM(J95:K95)</f>
        <v>2533</v>
      </c>
      <c r="M95" s="40">
        <f t="shared" si="242"/>
        <v>4100</v>
      </c>
      <c r="N95" s="41">
        <f t="shared" si="243"/>
        <v>191.8989333</v>
      </c>
      <c r="O95" s="38">
        <v>4796.0</v>
      </c>
      <c r="P95" s="42">
        <f t="shared" si="244"/>
        <v>0.8548790659</v>
      </c>
      <c r="Q95" s="43">
        <v>1.5</v>
      </c>
      <c r="R95" s="42">
        <f t="shared" si="245"/>
        <v>0.4747869596</v>
      </c>
      <c r="S95" s="44">
        <f t="shared" si="246"/>
        <v>0.7121804394</v>
      </c>
      <c r="T95" s="43">
        <f>F95/37.414</f>
        <v>153.8720265</v>
      </c>
      <c r="U95" s="43">
        <f t="shared" si="247"/>
        <v>5.12906755</v>
      </c>
      <c r="V95" s="40">
        <f t="shared" si="248"/>
        <v>136.6666667</v>
      </c>
      <c r="X95" s="22">
        <v>3.0</v>
      </c>
      <c r="Y95" s="22" t="s">
        <v>34</v>
      </c>
      <c r="Z95" s="22">
        <f t="shared" ref="Z95:AI95" si="268">SUM(D91)</f>
        <v>40</v>
      </c>
      <c r="AA95" s="23">
        <f t="shared" si="268"/>
        <v>38</v>
      </c>
      <c r="AB95" s="24">
        <f t="shared" si="268"/>
        <v>7453.854</v>
      </c>
      <c r="AC95" s="23">
        <f t="shared" si="268"/>
        <v>2927</v>
      </c>
      <c r="AD95" s="23">
        <f t="shared" si="268"/>
        <v>0</v>
      </c>
      <c r="AE95" s="23">
        <f t="shared" si="268"/>
        <v>2927</v>
      </c>
      <c r="AF95" s="23">
        <f t="shared" si="268"/>
        <v>3090</v>
      </c>
      <c r="AG95" s="23">
        <f t="shared" si="268"/>
        <v>20</v>
      </c>
      <c r="AH95" s="23">
        <f t="shared" si="268"/>
        <v>3110</v>
      </c>
      <c r="AI95" s="23">
        <f t="shared" si="268"/>
        <v>6037</v>
      </c>
      <c r="AJ95" s="25">
        <f t="shared" si="260"/>
        <v>196.1540526</v>
      </c>
      <c r="AK95" s="22">
        <f>SUM(O91)</f>
        <v>9354</v>
      </c>
      <c r="AL95" s="26">
        <f t="shared" si="262"/>
        <v>0.6453923455</v>
      </c>
      <c r="AM95" s="27">
        <f>SUM(Q91)</f>
        <v>1.5</v>
      </c>
      <c r="AN95" s="26">
        <f t="shared" si="264"/>
        <v>0.5399443921</v>
      </c>
      <c r="AO95" s="28">
        <f t="shared" si="265"/>
        <v>0.8099165881</v>
      </c>
      <c r="AP95" s="27">
        <f t="shared" ref="AP95:AQ95" si="269">SUM(T91)</f>
        <v>242.6937779</v>
      </c>
      <c r="AQ95" s="27">
        <f t="shared" si="269"/>
        <v>6.386678365</v>
      </c>
      <c r="AR95" s="23">
        <f t="shared" si="267"/>
        <v>158.8684211</v>
      </c>
    </row>
    <row r="96" ht="15.75" customHeight="1">
      <c r="A96" s="21"/>
      <c r="B96" s="38">
        <v>10.0</v>
      </c>
      <c r="C96" s="38" t="s">
        <v>37</v>
      </c>
      <c r="D96" s="39">
        <v>30.0</v>
      </c>
      <c r="E96" s="40">
        <f>IFERROR(__xludf.DUMMYFUNCTION("COUNT(IMPORTRANGE(""https://docs.google.com/spreadsheets/d/1913Df5BsXS_b-nClL8LOK5w0engQYTl1mPOiyngRtO0/edit"",""4!d2:d31""))"),28.0)</f>
        <v>28</v>
      </c>
      <c r="F96" s="45">
        <f>IFERROR(__xludf.DUMMYFUNCTION("SUM(IMPORTRANGE(""https://docs.google.com/spreadsheets/d/1913Df5BsXS_b-nClL8LOK5w0engQYTl1mPOiyngRtO0/edit"",""4!Q2:Q31""))"),5399.861999999999)</f>
        <v>5399.862</v>
      </c>
      <c r="G96" s="40">
        <f>IFERROR(__xludf.DUMMYFUNCTION("(IMPORTRANGE(""https://docs.google.com/spreadsheets/d/1913Df5BsXS_b-nClL8LOK5w0engQYTl1mPOiyngRtO0/edit"",""4!e38""))"),1991.0)</f>
        <v>1991</v>
      </c>
      <c r="H96" s="40">
        <f>IFERROR(__xludf.DUMMYFUNCTION("(IMPORTRANGE(""https://docs.google.com/spreadsheets/d/1913Df5BsXS_b-nClL8LOK5w0engQYTl1mPOiyngRtO0/edit"",""4!e39""))"),0.0)</f>
        <v>0</v>
      </c>
      <c r="I96" s="40">
        <f t="shared" si="240"/>
        <v>1991</v>
      </c>
      <c r="J96" s="40">
        <f>IFERROR(__xludf.DUMMYFUNCTION("(IMPORTRANGE(""https://docs.google.com/spreadsheets/d/1913Df5BsXS_b-nClL8LOK5w0engQYTl1mPOiyngRtO0/edit"",""4!e42""))"),3237.0)</f>
        <v>3237</v>
      </c>
      <c r="K96" s="40">
        <f>IFERROR(__xludf.DUMMYFUNCTION("(IMPORTRANGE(""https://docs.google.com/spreadsheets/d/1913Df5BsXS_b-nClL8LOK5w0engQYTl1mPOiyngRtO0/edit"",""4!e43""))"),0.0)</f>
        <v>0</v>
      </c>
      <c r="L96" s="40">
        <f t="shared" si="270"/>
        <v>3237</v>
      </c>
      <c r="M96" s="40">
        <f t="shared" si="242"/>
        <v>5228</v>
      </c>
      <c r="N96" s="41">
        <f t="shared" si="243"/>
        <v>192.8522143</v>
      </c>
      <c r="O96" s="38">
        <v>5887.0</v>
      </c>
      <c r="P96" s="42">
        <f t="shared" si="244"/>
        <v>0.8880584338</v>
      </c>
      <c r="Q96" s="43">
        <v>1.5</v>
      </c>
      <c r="R96" s="42">
        <f t="shared" si="245"/>
        <v>0.6454485936</v>
      </c>
      <c r="S96" s="44">
        <f t="shared" si="246"/>
        <v>0.9681728903</v>
      </c>
      <c r="T96" s="43">
        <f>F96/24.792</f>
        <v>217.8066312</v>
      </c>
      <c r="U96" s="43">
        <f t="shared" si="247"/>
        <v>7.778808256</v>
      </c>
      <c r="V96" s="40">
        <f t="shared" si="248"/>
        <v>186.7142857</v>
      </c>
      <c r="X96" s="31">
        <v>4.0</v>
      </c>
      <c r="Y96" s="31" t="s">
        <v>38</v>
      </c>
      <c r="Z96" s="31">
        <f t="shared" ref="Z96:AI96" si="271">SUM(D99)</f>
        <v>30</v>
      </c>
      <c r="AA96" s="32">
        <f t="shared" si="271"/>
        <v>30</v>
      </c>
      <c r="AB96" s="33">
        <f t="shared" si="271"/>
        <v>5913.433</v>
      </c>
      <c r="AC96" s="32">
        <f t="shared" si="271"/>
        <v>2151</v>
      </c>
      <c r="AD96" s="32">
        <f t="shared" si="271"/>
        <v>0</v>
      </c>
      <c r="AE96" s="32">
        <f t="shared" si="271"/>
        <v>2151</v>
      </c>
      <c r="AF96" s="32">
        <f t="shared" si="271"/>
        <v>3081</v>
      </c>
      <c r="AG96" s="32">
        <f t="shared" si="271"/>
        <v>237</v>
      </c>
      <c r="AH96" s="32">
        <f t="shared" si="271"/>
        <v>3318</v>
      </c>
      <c r="AI96" s="32">
        <f t="shared" si="271"/>
        <v>5469</v>
      </c>
      <c r="AJ96" s="34">
        <f t="shared" si="260"/>
        <v>197.1144333</v>
      </c>
      <c r="AK96" s="31">
        <v>7324.0</v>
      </c>
      <c r="AL96" s="35">
        <f t="shared" si="262"/>
        <v>0.7467231021</v>
      </c>
      <c r="AM96" s="36">
        <f>SUM(Q99)</f>
        <v>1.5</v>
      </c>
      <c r="AN96" s="35">
        <f t="shared" si="264"/>
        <v>0.6165623251</v>
      </c>
      <c r="AO96" s="37">
        <f t="shared" si="265"/>
        <v>0.9248434877</v>
      </c>
      <c r="AP96" s="36">
        <f t="shared" ref="AP96:AQ96" si="272">SUM(T99)</f>
        <v>143.5125106</v>
      </c>
      <c r="AQ96" s="36">
        <f t="shared" si="272"/>
        <v>4.783750354</v>
      </c>
      <c r="AR96" s="32">
        <f t="shared" si="267"/>
        <v>182.3</v>
      </c>
    </row>
    <row r="97" ht="15.75" customHeight="1">
      <c r="A97" s="21"/>
      <c r="B97" s="38">
        <v>12.0</v>
      </c>
      <c r="C97" s="38" t="s">
        <v>39</v>
      </c>
      <c r="D97" s="39">
        <v>28.0</v>
      </c>
      <c r="E97" s="40">
        <f>IFERROR(__xludf.DUMMYFUNCTION("COUNT(IMPORTRANGE(""https://docs.google.com/spreadsheets/d/1wMeol_MpSIcocGxt3WZGl46mJ2tc80mANPvP_YzaP18/edit"",""4!d2:d29""))"),27.0)</f>
        <v>27</v>
      </c>
      <c r="F97" s="45">
        <f>IFERROR(__xludf.DUMMYFUNCTION("SUM(IMPORTRANGE(""https://docs.google.com/spreadsheets/d/1wMeol_MpSIcocGxt3WZGl46mJ2tc80mANPvP_YzaP18/edit"",""4!Q2:Q29""))"),5201.321999999999)</f>
        <v>5201.322</v>
      </c>
      <c r="G97" s="40">
        <f>IFERROR(__xludf.DUMMYFUNCTION("IMPORTRANGE(""https://docs.google.com/spreadsheets/d/1wMeol_MpSIcocGxt3WZGl46mJ2tc80mANPvP_YzaP18/edit"",""4!e36"")"),1031.0)</f>
        <v>1031</v>
      </c>
      <c r="H97" s="40">
        <f>IFERROR(__xludf.DUMMYFUNCTION("(IMPORTRANGE(""https://docs.google.com/spreadsheets/d/1wMeol_MpSIcocGxt3WZGl46mJ2tc80mANPvP_YzaP18/edit"",""4!e37""))"),120.0)</f>
        <v>120</v>
      </c>
      <c r="I97" s="40">
        <f t="shared" si="240"/>
        <v>1151</v>
      </c>
      <c r="J97" s="40">
        <f>IFERROR(__xludf.DUMMYFUNCTION("IMPORTRANGE(""https://docs.google.com/spreadsheets/d/1wMeol_MpSIcocGxt3WZGl46mJ2tc80mANPvP_YzaP18/edit"",""4!e40"")"),1774.0)</f>
        <v>1774</v>
      </c>
      <c r="K97" s="40">
        <f>IFERROR(__xludf.DUMMYFUNCTION("IMPORTRANGE(""https://docs.google.com/spreadsheets/d/1wMeol_MpSIcocGxt3WZGl46mJ2tc80mANPvP_YzaP18/edit"",""4!e41"")"),138.0)</f>
        <v>138</v>
      </c>
      <c r="L97" s="40">
        <f t="shared" si="270"/>
        <v>1912</v>
      </c>
      <c r="M97" s="40">
        <f t="shared" si="242"/>
        <v>3063</v>
      </c>
      <c r="N97" s="41">
        <f t="shared" si="243"/>
        <v>192.6415556</v>
      </c>
      <c r="O97" s="38">
        <v>3569.0</v>
      </c>
      <c r="P97" s="42">
        <f t="shared" si="244"/>
        <v>0.858223592</v>
      </c>
      <c r="Q97" s="43">
        <v>1.5</v>
      </c>
      <c r="R97" s="42">
        <f t="shared" si="245"/>
        <v>0.3925924986</v>
      </c>
      <c r="S97" s="44">
        <f t="shared" si="246"/>
        <v>0.5888887479</v>
      </c>
      <c r="T97" s="43">
        <f>F97/21.463</f>
        <v>242.339002</v>
      </c>
      <c r="U97" s="43">
        <f t="shared" si="247"/>
        <v>8.975518593</v>
      </c>
      <c r="V97" s="40">
        <f t="shared" si="248"/>
        <v>113.4444444</v>
      </c>
      <c r="X97" s="31">
        <v>5.0</v>
      </c>
      <c r="Y97" s="31" t="s">
        <v>40</v>
      </c>
      <c r="Z97" s="31">
        <f t="shared" ref="Z97:AI97" si="273">SUM(D101)</f>
        <v>30</v>
      </c>
      <c r="AA97" s="32">
        <f t="shared" si="273"/>
        <v>30</v>
      </c>
      <c r="AB97" s="33">
        <f t="shared" si="273"/>
        <v>5446.168</v>
      </c>
      <c r="AC97" s="32">
        <f t="shared" si="273"/>
        <v>3554</v>
      </c>
      <c r="AD97" s="32">
        <f t="shared" si="273"/>
        <v>0</v>
      </c>
      <c r="AE97" s="32">
        <f t="shared" si="273"/>
        <v>3554</v>
      </c>
      <c r="AF97" s="32">
        <f t="shared" si="273"/>
        <v>3718</v>
      </c>
      <c r="AG97" s="32">
        <f t="shared" si="273"/>
        <v>0</v>
      </c>
      <c r="AH97" s="32">
        <f t="shared" si="273"/>
        <v>3718</v>
      </c>
      <c r="AI97" s="32">
        <f t="shared" si="273"/>
        <v>7272</v>
      </c>
      <c r="AJ97" s="34">
        <f t="shared" si="260"/>
        <v>181.5389333</v>
      </c>
      <c r="AK97" s="31">
        <f t="shared" ref="AK97:AK98" si="276">SUM(O101)</f>
        <v>8239</v>
      </c>
      <c r="AL97" s="35">
        <f t="shared" si="262"/>
        <v>0.8826313873</v>
      </c>
      <c r="AM97" s="36">
        <f t="shared" ref="AM97:AM98" si="277">SUM(Q101)</f>
        <v>1.5</v>
      </c>
      <c r="AN97" s="35">
        <f t="shared" si="264"/>
        <v>0.8901671781</v>
      </c>
      <c r="AO97" s="37">
        <f t="shared" si="265"/>
        <v>1.335250767</v>
      </c>
      <c r="AP97" s="36">
        <f t="shared" ref="AP97:AQ97" si="274">SUM(T101)</f>
        <v>191.4765672</v>
      </c>
      <c r="AQ97" s="36">
        <f t="shared" si="274"/>
        <v>6.382552239</v>
      </c>
      <c r="AR97" s="32">
        <f t="shared" si="267"/>
        <v>242.4</v>
      </c>
    </row>
    <row r="98" ht="15.75" customHeight="1">
      <c r="A98" s="21"/>
      <c r="B98" s="38">
        <v>12.0</v>
      </c>
      <c r="C98" s="38" t="s">
        <v>41</v>
      </c>
      <c r="D98" s="39">
        <v>24.0</v>
      </c>
      <c r="E98" s="40">
        <f>IFERROR(__xludf.DUMMYFUNCTION("COUNT(IMPORTRANGE(""https://docs.google.com/spreadsheets/d/1sHk6_yuc4kORC_xnhEeazoemV_hVUQVqRpfoNae-PLk/edit"",""4!d2:d25""))"),24.0)</f>
        <v>24</v>
      </c>
      <c r="F98" s="45">
        <f>IFERROR(__xludf.DUMMYFUNCTION("SUM(IMPORTRANGE(""https://docs.google.com/spreadsheets/d/1sHk6_yuc4kORC_xnhEeazoemV_hVUQVqRpfoNae-PLk/edit"",""4!Q2:Q25""))"),4704.268000000001)</f>
        <v>4704.268</v>
      </c>
      <c r="G98" s="40">
        <f>IFERROR(__xludf.DUMMYFUNCTION("IMPORTRANGE(""https://docs.google.com/spreadsheets/d/1sHk6_yuc4kORC_xnhEeazoemV_hVUQVqRpfoNae-PLk/edit"",""4!e32"")"),1316.0)</f>
        <v>1316</v>
      </c>
      <c r="H98" s="40">
        <f>IFERROR(__xludf.DUMMYFUNCTION("IMPORTRANGE(""https://docs.google.com/spreadsheets/d/1sHk6_yuc4kORC_xnhEeazoemV_hVUQVqRpfoNae-PLk/edit"",""4!e33"")"),103.0)</f>
        <v>103</v>
      </c>
      <c r="I98" s="40">
        <f t="shared" si="240"/>
        <v>1419</v>
      </c>
      <c r="J98" s="40">
        <f>IFERROR(__xludf.DUMMYFUNCTION("IMPORTRANGE(""https://docs.google.com/spreadsheets/d/1sHk6_yuc4kORC_xnhEeazoemV_hVUQVqRpfoNae-PLk/edit"",""4!e36"")"),1735.0)</f>
        <v>1735</v>
      </c>
      <c r="K98" s="40">
        <f>IFERROR(__xludf.DUMMYFUNCTION("IMPORTRANGE(""https://docs.google.com/spreadsheets/d/1sHk6_yuc4kORC_xnhEeazoemV_hVUQVqRpfoNae-PLk/edit"",""4!e37"")"),0.0)</f>
        <v>0</v>
      </c>
      <c r="L98" s="40">
        <f t="shared" si="270"/>
        <v>1735</v>
      </c>
      <c r="M98" s="40">
        <f t="shared" si="242"/>
        <v>3154</v>
      </c>
      <c r="N98" s="41">
        <f t="shared" si="243"/>
        <v>196.0111667</v>
      </c>
      <c r="O98" s="38">
        <v>3801.0</v>
      </c>
      <c r="P98" s="42">
        <f t="shared" si="244"/>
        <v>0.8297816364</v>
      </c>
      <c r="Q98" s="43">
        <v>1.5</v>
      </c>
      <c r="R98" s="42">
        <f t="shared" si="245"/>
        <v>0.4469699997</v>
      </c>
      <c r="S98" s="44">
        <f t="shared" si="246"/>
        <v>0.6704549996</v>
      </c>
      <c r="T98" s="43">
        <f>F98/29.628</f>
        <v>158.7777778</v>
      </c>
      <c r="U98" s="43">
        <f t="shared" si="247"/>
        <v>6.615740741</v>
      </c>
      <c r="V98" s="40">
        <f t="shared" si="248"/>
        <v>131.4166667</v>
      </c>
      <c r="X98" s="22">
        <v>6.0</v>
      </c>
      <c r="Y98" s="22" t="s">
        <v>42</v>
      </c>
      <c r="Z98" s="22">
        <f t="shared" ref="Z98:AI98" si="275">SUM(D102)</f>
        <v>33</v>
      </c>
      <c r="AA98" s="23">
        <f t="shared" si="275"/>
        <v>33</v>
      </c>
      <c r="AB98" s="24">
        <f t="shared" si="275"/>
        <v>6344.896</v>
      </c>
      <c r="AC98" s="23">
        <f t="shared" si="275"/>
        <v>3109</v>
      </c>
      <c r="AD98" s="23">
        <f t="shared" si="275"/>
        <v>140</v>
      </c>
      <c r="AE98" s="23">
        <f t="shared" si="275"/>
        <v>3249</v>
      </c>
      <c r="AF98" s="23">
        <f t="shared" si="275"/>
        <v>4076</v>
      </c>
      <c r="AG98" s="23">
        <f t="shared" si="275"/>
        <v>179</v>
      </c>
      <c r="AH98" s="23">
        <f t="shared" si="275"/>
        <v>4255</v>
      </c>
      <c r="AI98" s="23">
        <f t="shared" si="275"/>
        <v>7504</v>
      </c>
      <c r="AJ98" s="25">
        <f t="shared" si="260"/>
        <v>192.2695758</v>
      </c>
      <c r="AK98" s="22">
        <f t="shared" si="276"/>
        <v>9877</v>
      </c>
      <c r="AL98" s="26">
        <f t="shared" si="262"/>
        <v>0.7597448618</v>
      </c>
      <c r="AM98" s="27">
        <f t="shared" si="277"/>
        <v>1.5</v>
      </c>
      <c r="AN98" s="26">
        <f t="shared" si="264"/>
        <v>0.7884552665</v>
      </c>
      <c r="AO98" s="28">
        <f t="shared" si="265"/>
        <v>1.1826829</v>
      </c>
      <c r="AP98" s="27">
        <f t="shared" ref="AP98:AQ98" si="278">SUM(T102)</f>
        <v>242.5882623</v>
      </c>
      <c r="AQ98" s="27">
        <f t="shared" si="278"/>
        <v>7.351159463</v>
      </c>
      <c r="AR98" s="23">
        <f t="shared" si="267"/>
        <v>227.3939394</v>
      </c>
    </row>
    <row r="99" ht="15.75" customHeight="1">
      <c r="A99" s="21"/>
      <c r="B99" s="38">
        <v>13.0</v>
      </c>
      <c r="C99" s="38" t="s">
        <v>43</v>
      </c>
      <c r="D99" s="39">
        <v>30.0</v>
      </c>
      <c r="E99" s="40">
        <f>IFERROR(__xludf.DUMMYFUNCTION("COUNT(IMPORTRANGE(""https://docs.google.com/spreadsheets/d/1uGXvAN2jA6kmcEHUY4KqOHHewllZsujDdA6KVDfBCoA/edit"",""4!d2:d31""))"),30.0)</f>
        <v>30</v>
      </c>
      <c r="F99" s="45">
        <f>IFERROR(__xludf.DUMMYFUNCTION("SUM(IMPORTRANGE(""https://docs.google.com/spreadsheets/d/1uGXvAN2jA6kmcEHUY4KqOHHewllZsujDdA6KVDfBCoA/edit"",""4!Q2:Q31""))"),5913.432999999999)</f>
        <v>5913.433</v>
      </c>
      <c r="G99" s="40">
        <f>IFERROR(__xludf.DUMMYFUNCTION("IMPORTRANGE(""https://docs.google.com/spreadsheets/d/1uGXvAN2jA6kmcEHUY4KqOHHewllZsujDdA6KVDfBCoA/edit"",""4!e38"")"),2151.0)</f>
        <v>2151</v>
      </c>
      <c r="H99" s="40">
        <f>IFERROR(__xludf.DUMMYFUNCTION("IMPORTRANGE(""https://docs.google.com/spreadsheets/d/1uGXvAN2jA6kmcEHUY4KqOHHewllZsujDdA6KVDfBCoA/edit"",""4!e39"")"),0.0)</f>
        <v>0</v>
      </c>
      <c r="I99" s="40">
        <f t="shared" si="240"/>
        <v>2151</v>
      </c>
      <c r="J99" s="40">
        <f>IFERROR(__xludf.DUMMYFUNCTION("IMPORTRANGE(""https://docs.google.com/spreadsheets/d/1uGXvAN2jA6kmcEHUY4KqOHHewllZsujDdA6KVDfBCoA/edit"",""4!e42"")"),3081.0)</f>
        <v>3081</v>
      </c>
      <c r="K99" s="40">
        <f>IFERROR(__xludf.DUMMYFUNCTION("IMPORTRANGE(""https://docs.google.com/spreadsheets/d/1uGXvAN2jA6kmcEHUY4KqOHHewllZsujDdA6KVDfBCoA/edit"",""4!e43"")"),237.0)</f>
        <v>237</v>
      </c>
      <c r="L99" s="40">
        <f t="shared" si="270"/>
        <v>3318</v>
      </c>
      <c r="M99" s="40">
        <f t="shared" si="242"/>
        <v>5469</v>
      </c>
      <c r="N99" s="41">
        <f t="shared" si="243"/>
        <v>197.1144333</v>
      </c>
      <c r="O99" s="38">
        <v>8345.0</v>
      </c>
      <c r="P99" s="42">
        <f t="shared" si="244"/>
        <v>0.6553624925</v>
      </c>
      <c r="Q99" s="43">
        <v>1.5</v>
      </c>
      <c r="R99" s="42">
        <f t="shared" si="245"/>
        <v>0.6165623251</v>
      </c>
      <c r="S99" s="44">
        <f t="shared" si="246"/>
        <v>0.9248434877</v>
      </c>
      <c r="T99" s="43">
        <f>F99/41.205</f>
        <v>143.5125106</v>
      </c>
      <c r="U99" s="43">
        <f t="shared" si="247"/>
        <v>4.783750354</v>
      </c>
      <c r="V99" s="40">
        <f t="shared" si="248"/>
        <v>182.3</v>
      </c>
      <c r="X99" s="46" t="s">
        <v>33</v>
      </c>
      <c r="Y99" s="46">
        <v>6.0</v>
      </c>
      <c r="Z99" s="46">
        <f t="shared" ref="Z99:AI99" si="279">SUM(Z93:Z98)</f>
        <v>226</v>
      </c>
      <c r="AA99" s="47">
        <f t="shared" si="279"/>
        <v>223</v>
      </c>
      <c r="AB99" s="49">
        <f t="shared" si="279"/>
        <v>43383.236</v>
      </c>
      <c r="AC99" s="47">
        <f t="shared" si="279"/>
        <v>18295</v>
      </c>
      <c r="AD99" s="47">
        <f t="shared" si="279"/>
        <v>182</v>
      </c>
      <c r="AE99" s="47">
        <f t="shared" si="279"/>
        <v>18477</v>
      </c>
      <c r="AF99" s="47">
        <f t="shared" si="279"/>
        <v>22388</v>
      </c>
      <c r="AG99" s="47">
        <f t="shared" si="279"/>
        <v>736</v>
      </c>
      <c r="AH99" s="47">
        <f t="shared" si="279"/>
        <v>23124</v>
      </c>
      <c r="AI99" s="47">
        <f t="shared" si="279"/>
        <v>41601</v>
      </c>
      <c r="AJ99" s="49">
        <f t="shared" si="260"/>
        <v>194.5436592</v>
      </c>
      <c r="AK99" s="46">
        <f>SUM(AK93:AK98)</f>
        <v>53273</v>
      </c>
      <c r="AL99" s="50">
        <f t="shared" si="262"/>
        <v>0.7809021456</v>
      </c>
      <c r="AM99" s="51">
        <v>1.5</v>
      </c>
      <c r="AN99" s="50">
        <f t="shared" si="264"/>
        <v>0.6392791907</v>
      </c>
      <c r="AO99" s="52">
        <f t="shared" si="265"/>
        <v>0.958918786</v>
      </c>
      <c r="AP99" s="51">
        <f>SUM(AP93:AP98)</f>
        <v>1426.613672</v>
      </c>
      <c r="AQ99" s="51">
        <f>AP99/AA99</f>
        <v>6.397370728</v>
      </c>
      <c r="AR99" s="47">
        <f t="shared" si="267"/>
        <v>186.5515695</v>
      </c>
    </row>
    <row r="100" ht="15.75" customHeight="1">
      <c r="A100" s="21"/>
      <c r="B100" s="38">
        <v>14.0</v>
      </c>
      <c r="C100" s="38" t="s">
        <v>27</v>
      </c>
      <c r="D100" s="39">
        <v>30.0</v>
      </c>
      <c r="E100" s="40">
        <f>IFERROR(__xludf.DUMMYFUNCTION("COUNT(IMPORTRANGE(""https://docs.google.com/spreadsheets/d/1iYtf3wkjJIgOL8ej0-L89wY8FLXKi6EiRbi9UqA1Bzw/edit"",""4!d2:d31""))"),29.0)</f>
        <v>29</v>
      </c>
      <c r="F100" s="45">
        <f>IFERROR(__xludf.DUMMYFUNCTION("SUM(IMPORTRANGE(""https://docs.google.com/spreadsheets/d/1iYtf3wkjJIgOL8ej0-L89wY8FLXKi6EiRbi9UqA1Bzw/edit"",""4!Q2:Q31""))"),5385.8200000000015)</f>
        <v>5385.82</v>
      </c>
      <c r="G100" s="40">
        <f>IFERROR(__xludf.DUMMYFUNCTION("IMPORTRANGE(""https://docs.google.com/spreadsheets/d/1iYtf3wkjJIgOL8ej0-L89wY8FLXKi6EiRbi9UqA1Bzw/edit"",""4!e38"")"),2451.0)</f>
        <v>2451</v>
      </c>
      <c r="H100" s="40">
        <f>IFERROR(__xludf.DUMMYFUNCTION("IMPORTRANGE(""https://docs.google.com/spreadsheets/d/1iYtf3wkjJIgOL8ej0-L89wY8FLXKi6EiRbi9UqA1Bzw/edit"",""4!e39"")"),90.0)</f>
        <v>90</v>
      </c>
      <c r="I100" s="40">
        <f t="shared" si="240"/>
        <v>2541</v>
      </c>
      <c r="J100" s="40">
        <f>IFERROR(__xludf.DUMMYFUNCTION("IMPORTRANGE(""https://docs.google.com/spreadsheets/d/1iYtf3wkjJIgOL8ej0-L89wY8FLXKi6EiRbi9UqA1Bzw/edit"",""4!e42"")"),2614.0)</f>
        <v>2614</v>
      </c>
      <c r="K100" s="40">
        <f>IFERROR(__xludf.DUMMYFUNCTION("IMPORTRANGE(""https://docs.google.com/spreadsheets/d/1iYtf3wkjJIgOL8ej0-L89wY8FLXKi6EiRbi9UqA1Bzw/edit"",""4!e43"")"),380.0)</f>
        <v>380</v>
      </c>
      <c r="L100" s="40">
        <f t="shared" si="270"/>
        <v>2994</v>
      </c>
      <c r="M100" s="40">
        <f t="shared" si="242"/>
        <v>5535</v>
      </c>
      <c r="N100" s="41">
        <f t="shared" si="243"/>
        <v>185.717931</v>
      </c>
      <c r="O100" s="38">
        <v>8101.0</v>
      </c>
      <c r="P100" s="42">
        <f t="shared" si="244"/>
        <v>0.6832489816</v>
      </c>
      <c r="Q100" s="43">
        <v>1.5</v>
      </c>
      <c r="R100" s="42">
        <f t="shared" si="245"/>
        <v>0.6851324404</v>
      </c>
      <c r="S100" s="44">
        <f t="shared" si="246"/>
        <v>1.027698661</v>
      </c>
      <c r="T100" s="43">
        <f>F100/19.985</f>
        <v>269.4931198</v>
      </c>
      <c r="U100" s="43">
        <f t="shared" si="247"/>
        <v>9.292866201</v>
      </c>
      <c r="V100" s="40">
        <f t="shared" si="248"/>
        <v>190.862069</v>
      </c>
      <c r="X100" s="59" t="s">
        <v>44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6"/>
    </row>
    <row r="101" ht="15.75" customHeight="1">
      <c r="A101" s="21"/>
      <c r="B101" s="38">
        <v>15.0</v>
      </c>
      <c r="C101" s="38" t="s">
        <v>40</v>
      </c>
      <c r="D101" s="39">
        <v>30.0</v>
      </c>
      <c r="E101" s="40">
        <f>IFERROR(__xludf.DUMMYFUNCTION("COUNT(IMPORTRANGE(""https://docs.google.com/spreadsheets/d/1Wdf8MsoDBzMSsrzOXwaGQzbVjVqOWfKSqYmbncevZgA/edit"",""4!d2:d31""))"),30.0)</f>
        <v>30</v>
      </c>
      <c r="F101" s="45">
        <f>IFERROR(__xludf.DUMMYFUNCTION("SUM(IMPORTRANGE(""https://docs.google.com/spreadsheets/d/1Wdf8MsoDBzMSsrzOXwaGQzbVjVqOWfKSqYmbncevZgA/edit"",""4!Q2:Q31""))"),5446.168)</f>
        <v>5446.168</v>
      </c>
      <c r="G101" s="40">
        <f>IFERROR(__xludf.DUMMYFUNCTION("IMPORTRANGE(""https://docs.google.com/spreadsheets/d/1Wdf8MsoDBzMSsrzOXwaGQzbVjVqOWfKSqYmbncevZgA/edit"",""4!e38"")"),3554.0)</f>
        <v>3554</v>
      </c>
      <c r="H101" s="40">
        <f>IFERROR(__xludf.DUMMYFUNCTION("IMPORTRANGE(""https://docs.google.com/spreadsheets/d/1Wdf8MsoDBzMSsrzOXwaGQzbVjVqOWfKSqYmbncevZgA/edit"",""4!e39"")"),0.0)</f>
        <v>0</v>
      </c>
      <c r="I101" s="40">
        <f t="shared" si="240"/>
        <v>3554</v>
      </c>
      <c r="J101" s="40">
        <f>IFERROR(__xludf.DUMMYFUNCTION("IMPORTRANGE(""https://docs.google.com/spreadsheets/d/1Wdf8MsoDBzMSsrzOXwaGQzbVjVqOWfKSqYmbncevZgA/edit"",""4!e42"")"),3718.0)</f>
        <v>3718</v>
      </c>
      <c r="K101" s="40">
        <f>IFERROR(__xludf.DUMMYFUNCTION("IMPORTRANGE(""https://docs.google.com/spreadsheets/d/1Wdf8MsoDBzMSsrzOXwaGQzbVjVqOWfKSqYmbncevZgA/edit"",""4!e43"")"),0.0)</f>
        <v>0</v>
      </c>
      <c r="L101" s="40">
        <f t="shared" si="270"/>
        <v>3718</v>
      </c>
      <c r="M101" s="40">
        <f t="shared" si="242"/>
        <v>7272</v>
      </c>
      <c r="N101" s="41">
        <f t="shared" si="243"/>
        <v>181.5389333</v>
      </c>
      <c r="O101" s="38">
        <v>8239.0</v>
      </c>
      <c r="P101" s="42">
        <f t="shared" si="244"/>
        <v>0.8826313873</v>
      </c>
      <c r="Q101" s="43">
        <v>1.5</v>
      </c>
      <c r="R101" s="42">
        <f t="shared" si="245"/>
        <v>0.8901671781</v>
      </c>
      <c r="S101" s="44">
        <f t="shared" si="246"/>
        <v>1.335250767</v>
      </c>
      <c r="T101" s="43">
        <f>F101/28.443</f>
        <v>191.4765672</v>
      </c>
      <c r="U101" s="43">
        <f t="shared" si="247"/>
        <v>6.382552239</v>
      </c>
      <c r="V101" s="40">
        <f t="shared" si="248"/>
        <v>242.4</v>
      </c>
      <c r="X101" s="14" t="s">
        <v>2</v>
      </c>
      <c r="Y101" s="14" t="s">
        <v>3</v>
      </c>
      <c r="Z101" s="14" t="s">
        <v>4</v>
      </c>
      <c r="AA101" s="14" t="s">
        <v>5</v>
      </c>
      <c r="AB101" s="15" t="s">
        <v>6</v>
      </c>
      <c r="AC101" s="14" t="s">
        <v>7</v>
      </c>
      <c r="AD101" s="14" t="s">
        <v>8</v>
      </c>
      <c r="AE101" s="14" t="s">
        <v>9</v>
      </c>
      <c r="AF101" s="14" t="s">
        <v>10</v>
      </c>
      <c r="AG101" s="14" t="s">
        <v>11</v>
      </c>
      <c r="AH101" s="14" t="s">
        <v>12</v>
      </c>
      <c r="AI101" s="14" t="s">
        <v>13</v>
      </c>
      <c r="AJ101" s="15" t="s">
        <v>14</v>
      </c>
      <c r="AK101" s="14" t="s">
        <v>15</v>
      </c>
      <c r="AL101" s="14" t="s">
        <v>16</v>
      </c>
      <c r="AM101" s="16" t="s">
        <v>17</v>
      </c>
      <c r="AN101" s="17" t="s">
        <v>18</v>
      </c>
      <c r="AO101" s="18" t="s">
        <v>19</v>
      </c>
      <c r="AP101" s="19" t="s">
        <v>20</v>
      </c>
      <c r="AQ101" s="19" t="s">
        <v>21</v>
      </c>
      <c r="AR101" s="20" t="s">
        <v>22</v>
      </c>
    </row>
    <row r="102" ht="15.75" customHeight="1">
      <c r="A102" s="21"/>
      <c r="B102" s="38">
        <v>16.0</v>
      </c>
      <c r="C102" s="38" t="s">
        <v>42</v>
      </c>
      <c r="D102" s="39">
        <v>33.0</v>
      </c>
      <c r="E102" s="40">
        <f>IFERROR(__xludf.DUMMYFUNCTION("COUNT(IMPORTRANGE(""https://docs.google.com/spreadsheets/d/1Z5uB5HbeAKcHmG4EOw3rf2J8NpyvDiha6RReERAMvA0/edit"",""4!d2:d34""))"),33.0)</f>
        <v>33</v>
      </c>
      <c r="F102" s="45">
        <f>IFERROR(__xludf.DUMMYFUNCTION("SUM(IMPORTRANGE(""https://docs.google.com/spreadsheets/d/1Z5uB5HbeAKcHmG4EOw3rf2J8NpyvDiha6RReERAMvA0/edit"",""4!Q2:Q34""))"),6344.895999999997)</f>
        <v>6344.896</v>
      </c>
      <c r="G102" s="40">
        <f>IFERROR(__xludf.DUMMYFUNCTION("IMPORTRANGE(""https://docs.google.com/spreadsheets/d/1Z5uB5HbeAKcHmG4EOw3rf2J8NpyvDiha6RReERAMvA0/edit"",""4!e41"")"),3109.0)</f>
        <v>3109</v>
      </c>
      <c r="H102" s="40">
        <f>IFERROR(__xludf.DUMMYFUNCTION("IMPORTRANGE(""https://docs.google.com/spreadsheets/d/1Z5uB5HbeAKcHmG4EOw3rf2J8NpyvDiha6RReERAMvA0/edit"",""4!e42"")"),140.0)</f>
        <v>140</v>
      </c>
      <c r="I102" s="40">
        <f t="shared" si="240"/>
        <v>3249</v>
      </c>
      <c r="J102" s="40">
        <f>IFERROR(__xludf.DUMMYFUNCTION("IMPORTRANGE(""https://docs.google.com/spreadsheets/d/1Z5uB5HbeAKcHmG4EOw3rf2J8NpyvDiha6RReERAMvA0/edit"",""4!e45"")"),4076.0)</f>
        <v>4076</v>
      </c>
      <c r="K102" s="40">
        <f>IFERROR(__xludf.DUMMYFUNCTION("IMPORTRANGE(""https://docs.google.com/spreadsheets/d/1Z5uB5HbeAKcHmG4EOw3rf2J8NpyvDiha6RReERAMvA0/edit"",""4!e46"")"),179.0)</f>
        <v>179</v>
      </c>
      <c r="L102" s="40">
        <f t="shared" si="270"/>
        <v>4255</v>
      </c>
      <c r="M102" s="40">
        <f t="shared" si="242"/>
        <v>7504</v>
      </c>
      <c r="N102" s="41">
        <f t="shared" si="243"/>
        <v>192.2695758</v>
      </c>
      <c r="O102" s="38">
        <v>9877.0</v>
      </c>
      <c r="P102" s="42">
        <f t="shared" si="244"/>
        <v>0.7597448618</v>
      </c>
      <c r="Q102" s="43">
        <v>1.5</v>
      </c>
      <c r="R102" s="42">
        <f t="shared" si="245"/>
        <v>0.7884552665</v>
      </c>
      <c r="S102" s="44">
        <f t="shared" si="246"/>
        <v>1.1826829</v>
      </c>
      <c r="T102" s="43">
        <f>F102/26.155</f>
        <v>242.5882623</v>
      </c>
      <c r="U102" s="43">
        <f t="shared" si="247"/>
        <v>7.351159463</v>
      </c>
      <c r="V102" s="40">
        <f t="shared" si="248"/>
        <v>227.3939394</v>
      </c>
      <c r="X102" s="31">
        <v>1.0</v>
      </c>
      <c r="Y102" s="31" t="s">
        <v>26</v>
      </c>
      <c r="Z102" s="31">
        <f t="shared" ref="Z102:AI102" si="280">SUM(D87)</f>
        <v>20</v>
      </c>
      <c r="AA102" s="32">
        <f t="shared" si="280"/>
        <v>19</v>
      </c>
      <c r="AB102" s="34">
        <f t="shared" si="280"/>
        <v>3683.568</v>
      </c>
      <c r="AC102" s="32">
        <f t="shared" si="280"/>
        <v>1808</v>
      </c>
      <c r="AD102" s="32">
        <f t="shared" si="280"/>
        <v>0</v>
      </c>
      <c r="AE102" s="32">
        <f t="shared" si="280"/>
        <v>1808</v>
      </c>
      <c r="AF102" s="32">
        <f t="shared" si="280"/>
        <v>3230</v>
      </c>
      <c r="AG102" s="32">
        <f t="shared" si="280"/>
        <v>0</v>
      </c>
      <c r="AH102" s="32">
        <f t="shared" si="280"/>
        <v>3230</v>
      </c>
      <c r="AI102" s="32">
        <f t="shared" si="280"/>
        <v>5038</v>
      </c>
      <c r="AJ102" s="34">
        <f t="shared" ref="AJ102:AJ108" si="283">AB102/AA102</f>
        <v>193.872</v>
      </c>
      <c r="AK102" s="31">
        <f>SUM(O87)</f>
        <v>5161</v>
      </c>
      <c r="AL102" s="35">
        <f t="shared" ref="AL102:AL108" si="284">AI102/AK102</f>
        <v>0.9761674094</v>
      </c>
      <c r="AM102" s="36">
        <f>SUM(Q87)</f>
        <v>1.5</v>
      </c>
      <c r="AN102" s="35">
        <f t="shared" ref="AN102:AN108" si="285">AO102/AM102</f>
        <v>0.9117971127</v>
      </c>
      <c r="AO102" s="37">
        <f t="shared" ref="AO102:AO108" si="286">AI102/AB102</f>
        <v>1.367695669</v>
      </c>
      <c r="AP102" s="36">
        <f t="shared" ref="AP102:AQ102" si="281">SUM(T87)</f>
        <v>255.5371488</v>
      </c>
      <c r="AQ102" s="36">
        <f t="shared" si="281"/>
        <v>13.44932362</v>
      </c>
      <c r="AR102" s="32">
        <f t="shared" ref="AR102:AR108" si="288">AI102/AA102</f>
        <v>265.1578947</v>
      </c>
    </row>
    <row r="103" ht="15.75" customHeight="1">
      <c r="A103" s="21"/>
      <c r="B103" s="38">
        <v>17.0</v>
      </c>
      <c r="C103" s="38" t="s">
        <v>29</v>
      </c>
      <c r="D103" s="39">
        <v>30.0</v>
      </c>
      <c r="E103" s="40">
        <f>IFERROR(__xludf.DUMMYFUNCTION("COUNT(IMPORTRANGE(""https://docs.google.com/spreadsheets/d/1wfJqI0e9wVPqEQv3N6b8KgINjqI0OBECEyIFeY9j3i8/edit"",""4!d2:d31""))"),29.0)</f>
        <v>29</v>
      </c>
      <c r="F103" s="45">
        <f>IFERROR(__xludf.DUMMYFUNCTION("SUM(IMPORTRANGE(""https://docs.google.com/spreadsheets/d/1wfJqI0e9wVPqEQv3N6b8KgINjqI0OBECEyIFeY9j3i8/edit"",""4!Q2:Q31""))"),5960.474999999998)</f>
        <v>5960.475</v>
      </c>
      <c r="G103" s="40">
        <f>IFERROR(__xludf.DUMMYFUNCTION("IMPORTRANGE(""https://docs.google.com/spreadsheets/d/1wfJqI0e9wVPqEQv3N6b8KgINjqI0OBECEyIFeY9j3i8/edit"",""4!e38"")"),2825.0)</f>
        <v>2825</v>
      </c>
      <c r="H103" s="40">
        <f>IFERROR(__xludf.DUMMYFUNCTION("IMPORTRANGE(""https://docs.google.com/spreadsheets/d/1wfJqI0e9wVPqEQv3N6b8KgINjqI0OBECEyIFeY9j3i8/edit"",""4!e39"")"),0.0)</f>
        <v>0</v>
      </c>
      <c r="I103" s="40">
        <f t="shared" si="240"/>
        <v>2825</v>
      </c>
      <c r="J103" s="40">
        <f>IFERROR(__xludf.DUMMYFUNCTION("IMPORTRANGE(""https://docs.google.com/spreadsheets/d/1wfJqI0e9wVPqEQv3N6b8KgINjqI0OBECEyIFeY9j3i8/edit"",""4!e42"")"),3014.0)</f>
        <v>3014</v>
      </c>
      <c r="K103" s="40">
        <f>IFERROR(__xludf.DUMMYFUNCTION("IMPORTRANGE(""https://docs.google.com/spreadsheets/d/1wfJqI0e9wVPqEQv3N6b8KgINjqI0OBECEyIFeY9j3i8/edit"",""4!e43"")"),0.0)</f>
        <v>0</v>
      </c>
      <c r="L103" s="40">
        <f t="shared" si="270"/>
        <v>3014</v>
      </c>
      <c r="M103" s="40">
        <f t="shared" si="242"/>
        <v>5839</v>
      </c>
      <c r="N103" s="41">
        <f t="shared" si="243"/>
        <v>205.5336207</v>
      </c>
      <c r="O103" s="38">
        <v>9201.0</v>
      </c>
      <c r="P103" s="42">
        <f t="shared" si="244"/>
        <v>0.6346049342</v>
      </c>
      <c r="Q103" s="43">
        <v>1.5</v>
      </c>
      <c r="R103" s="42">
        <f t="shared" si="245"/>
        <v>0.6530799419</v>
      </c>
      <c r="S103" s="44">
        <f t="shared" si="246"/>
        <v>0.9796199128</v>
      </c>
      <c r="T103" s="43">
        <f>F103/26.491</f>
        <v>225</v>
      </c>
      <c r="U103" s="43">
        <f t="shared" si="247"/>
        <v>7.75862069</v>
      </c>
      <c r="V103" s="40">
        <f t="shared" si="248"/>
        <v>201.3448276</v>
      </c>
      <c r="X103" s="31">
        <v>2.0</v>
      </c>
      <c r="Y103" s="31" t="s">
        <v>32</v>
      </c>
      <c r="Z103" s="31">
        <f t="shared" ref="Z103:AI103" si="282">SUM(D90)</f>
        <v>42</v>
      </c>
      <c r="AA103" s="32">
        <f t="shared" si="282"/>
        <v>42</v>
      </c>
      <c r="AB103" s="33">
        <f t="shared" si="282"/>
        <v>7804.828</v>
      </c>
      <c r="AC103" s="31">
        <f t="shared" si="282"/>
        <v>4858</v>
      </c>
      <c r="AD103" s="31">
        <f t="shared" si="282"/>
        <v>0</v>
      </c>
      <c r="AE103" s="32">
        <f t="shared" si="282"/>
        <v>4858</v>
      </c>
      <c r="AF103" s="31">
        <f t="shared" si="282"/>
        <v>5059</v>
      </c>
      <c r="AG103" s="31">
        <f t="shared" si="282"/>
        <v>155</v>
      </c>
      <c r="AH103" s="32">
        <f t="shared" si="282"/>
        <v>5214</v>
      </c>
      <c r="AI103" s="32">
        <f t="shared" si="282"/>
        <v>10072</v>
      </c>
      <c r="AJ103" s="34">
        <f t="shared" si="283"/>
        <v>185.8292381</v>
      </c>
      <c r="AK103" s="31">
        <f>SUM(O90)</f>
        <v>13817</v>
      </c>
      <c r="AL103" s="35">
        <f t="shared" si="284"/>
        <v>0.7289570819</v>
      </c>
      <c r="AM103" s="36">
        <f>SUM(Q90)</f>
        <v>1.5</v>
      </c>
      <c r="AN103" s="35">
        <f t="shared" si="285"/>
        <v>0.8603221835</v>
      </c>
      <c r="AO103" s="37">
        <f t="shared" si="286"/>
        <v>1.290483275</v>
      </c>
      <c r="AP103" s="36">
        <f t="shared" ref="AP103:AQ103" si="287">SUM(T90)</f>
        <v>311.0856551</v>
      </c>
      <c r="AQ103" s="36">
        <f t="shared" si="287"/>
        <v>7.406801311</v>
      </c>
      <c r="AR103" s="32">
        <f t="shared" si="288"/>
        <v>239.8095238</v>
      </c>
    </row>
    <row r="104" ht="15.75" customHeight="1">
      <c r="A104" s="21"/>
      <c r="B104" s="38">
        <v>18.0</v>
      </c>
      <c r="C104" s="38" t="s">
        <v>31</v>
      </c>
      <c r="D104" s="39">
        <v>15.0</v>
      </c>
      <c r="E104" s="40">
        <f>IFERROR(__xludf.DUMMYFUNCTION("COUNT(IMPORTRANGE(""https://docs.google.com/spreadsheets/d/1-y2KhTAo7d8kowgUuWUDfRQuRMUAFteRYEXorT3_wOs/edit"",""4!d2:d16""))"),14.0)</f>
        <v>14</v>
      </c>
      <c r="F104" s="41">
        <f>IFERROR(__xludf.DUMMYFUNCTION("SUM(IMPORTRANGE(""https://docs.google.com/spreadsheets/d/1-y2KhTAo7d8kowgUuWUDfRQuRMUAFteRYEXorT3_wOs/edit"",""4!Q2:Q16""))"),2367.1209999999996)</f>
        <v>2367.121</v>
      </c>
      <c r="G104" s="40">
        <f>IFERROR(__xludf.DUMMYFUNCTION("IMPORTRANGE(""https://docs.google.com/spreadsheets/d/1-y2KhTAo7d8kowgUuWUDfRQuRMUAFteRYEXorT3_wOs/edit"",""4!e23"")"),729.0)</f>
        <v>729</v>
      </c>
      <c r="H104" s="40">
        <f>IFERROR(__xludf.DUMMYFUNCTION("IMPORTRANGE(""https://docs.google.com/spreadsheets/d/1-y2KhTAo7d8kowgUuWUDfRQuRMUAFteRYEXorT3_wOs/edit"",""4!e24"")"),0.0)</f>
        <v>0</v>
      </c>
      <c r="I104" s="40">
        <f t="shared" si="240"/>
        <v>729</v>
      </c>
      <c r="J104" s="40">
        <f>IFERROR(__xludf.DUMMYFUNCTION("IMPORTRANGE(""https://docs.google.com/spreadsheets/d/1-y2KhTAo7d8kowgUuWUDfRQuRMUAFteRYEXorT3_wOs/edit"",""4!e27"")"),1064.0)</f>
        <v>1064</v>
      </c>
      <c r="K104" s="40">
        <f>IFERROR(__xludf.DUMMYFUNCTION("IMPORTRANGE(""https://docs.google.com/spreadsheets/d/1-y2KhTAo7d8kowgUuWUDfRQuRMUAFteRYEXorT3_wOs/edit"",""4!e28"")"),14.0)</f>
        <v>14</v>
      </c>
      <c r="L104" s="40">
        <f t="shared" si="270"/>
        <v>1078</v>
      </c>
      <c r="M104" s="40">
        <f t="shared" si="242"/>
        <v>1807</v>
      </c>
      <c r="N104" s="41">
        <f t="shared" si="243"/>
        <v>169.0800714</v>
      </c>
      <c r="O104" s="38">
        <v>2717.0</v>
      </c>
      <c r="P104" s="42">
        <f t="shared" si="244"/>
        <v>0.6650717703</v>
      </c>
      <c r="Q104" s="43">
        <v>1.5</v>
      </c>
      <c r="R104" s="42">
        <f t="shared" si="245"/>
        <v>0.5089163869</v>
      </c>
      <c r="S104" s="44">
        <f t="shared" si="246"/>
        <v>0.7633745803</v>
      </c>
      <c r="T104" s="43">
        <f>F104/43.465</f>
        <v>54.46039342</v>
      </c>
      <c r="U104" s="43">
        <f t="shared" si="247"/>
        <v>3.890028101</v>
      </c>
      <c r="V104" s="40">
        <f t="shared" si="248"/>
        <v>129.0714286</v>
      </c>
      <c r="X104" s="31">
        <v>3.0</v>
      </c>
      <c r="Y104" s="31" t="s">
        <v>36</v>
      </c>
      <c r="Z104" s="31">
        <f t="shared" ref="Z104:AI104" si="289">SUM(D95)</f>
        <v>30</v>
      </c>
      <c r="AA104" s="32">
        <f t="shared" si="289"/>
        <v>30</v>
      </c>
      <c r="AB104" s="33">
        <f t="shared" si="289"/>
        <v>5756.968</v>
      </c>
      <c r="AC104" s="32">
        <f t="shared" si="289"/>
        <v>1567</v>
      </c>
      <c r="AD104" s="32">
        <f t="shared" si="289"/>
        <v>0</v>
      </c>
      <c r="AE104" s="32">
        <f t="shared" si="289"/>
        <v>1567</v>
      </c>
      <c r="AF104" s="32">
        <f t="shared" si="289"/>
        <v>2533</v>
      </c>
      <c r="AG104" s="32">
        <f t="shared" si="289"/>
        <v>0</v>
      </c>
      <c r="AH104" s="32">
        <f t="shared" si="289"/>
        <v>2533</v>
      </c>
      <c r="AI104" s="32">
        <f t="shared" si="289"/>
        <v>4100</v>
      </c>
      <c r="AJ104" s="34">
        <f t="shared" si="283"/>
        <v>191.8989333</v>
      </c>
      <c r="AK104" s="31">
        <f t="shared" ref="AK104:AK107" si="293">SUM(O95)</f>
        <v>4796</v>
      </c>
      <c r="AL104" s="35">
        <f t="shared" si="284"/>
        <v>0.8548790659</v>
      </c>
      <c r="AM104" s="36">
        <f t="shared" ref="AM104:AM107" si="294">SUM(Q95)</f>
        <v>1.5</v>
      </c>
      <c r="AN104" s="35">
        <f t="shared" si="285"/>
        <v>0.4747869596</v>
      </c>
      <c r="AO104" s="37">
        <f t="shared" si="286"/>
        <v>0.7121804394</v>
      </c>
      <c r="AP104" s="36">
        <f t="shared" ref="AP104:AQ104" si="290">SUM(T95)</f>
        <v>153.8720265</v>
      </c>
      <c r="AQ104" s="36">
        <f t="shared" si="290"/>
        <v>5.12906755</v>
      </c>
      <c r="AR104" s="32">
        <f t="shared" si="288"/>
        <v>136.6666667</v>
      </c>
    </row>
    <row r="105" ht="15.75" customHeight="1">
      <c r="A105" s="21"/>
      <c r="B105" s="60" t="s">
        <v>33</v>
      </c>
      <c r="C105" s="60">
        <v>18.0</v>
      </c>
      <c r="D105" s="60">
        <f t="shared" ref="D105:M105" si="291">SUM(D87:D104)</f>
        <v>586</v>
      </c>
      <c r="E105" s="61">
        <f t="shared" si="291"/>
        <v>571</v>
      </c>
      <c r="F105" s="62">
        <f t="shared" si="291"/>
        <v>110125.251</v>
      </c>
      <c r="G105" s="61">
        <f t="shared" si="291"/>
        <v>41748</v>
      </c>
      <c r="H105" s="61">
        <f t="shared" si="291"/>
        <v>874</v>
      </c>
      <c r="I105" s="61">
        <f t="shared" si="291"/>
        <v>42622</v>
      </c>
      <c r="J105" s="61">
        <f t="shared" si="291"/>
        <v>53580</v>
      </c>
      <c r="K105" s="61">
        <f t="shared" si="291"/>
        <v>1818</v>
      </c>
      <c r="L105" s="61">
        <f t="shared" si="291"/>
        <v>55398</v>
      </c>
      <c r="M105" s="61">
        <f t="shared" si="291"/>
        <v>98020</v>
      </c>
      <c r="N105" s="62">
        <f t="shared" si="243"/>
        <v>192.8638371</v>
      </c>
      <c r="O105" s="60">
        <f>SUM(O87:O104)</f>
        <v>126399</v>
      </c>
      <c r="P105" s="63">
        <f t="shared" si="244"/>
        <v>0.7754808187</v>
      </c>
      <c r="Q105" s="64">
        <v>1.5</v>
      </c>
      <c r="R105" s="63">
        <f t="shared" si="245"/>
        <v>0.593384951</v>
      </c>
      <c r="S105" s="65">
        <f t="shared" si="246"/>
        <v>0.8900774265</v>
      </c>
      <c r="T105" s="64">
        <f>SUM(T87:T104)</f>
        <v>4050.497197</v>
      </c>
      <c r="U105" s="64">
        <f t="shared" si="247"/>
        <v>7.093690363</v>
      </c>
      <c r="V105" s="61">
        <f t="shared" si="248"/>
        <v>171.6637478</v>
      </c>
      <c r="X105" s="31">
        <v>4.0</v>
      </c>
      <c r="Y105" s="31" t="s">
        <v>37</v>
      </c>
      <c r="Z105" s="31">
        <f t="shared" ref="Z105:AI105" si="292">SUM(D96)</f>
        <v>30</v>
      </c>
      <c r="AA105" s="32">
        <f t="shared" si="292"/>
        <v>28</v>
      </c>
      <c r="AB105" s="33">
        <f t="shared" si="292"/>
        <v>5399.862</v>
      </c>
      <c r="AC105" s="32">
        <f t="shared" si="292"/>
        <v>1991</v>
      </c>
      <c r="AD105" s="32">
        <f t="shared" si="292"/>
        <v>0</v>
      </c>
      <c r="AE105" s="32">
        <f t="shared" si="292"/>
        <v>1991</v>
      </c>
      <c r="AF105" s="32">
        <f t="shared" si="292"/>
        <v>3237</v>
      </c>
      <c r="AG105" s="32">
        <f t="shared" si="292"/>
        <v>0</v>
      </c>
      <c r="AH105" s="32">
        <f t="shared" si="292"/>
        <v>3237</v>
      </c>
      <c r="AI105" s="32">
        <f t="shared" si="292"/>
        <v>5228</v>
      </c>
      <c r="AJ105" s="34">
        <f t="shared" si="283"/>
        <v>192.8522143</v>
      </c>
      <c r="AK105" s="31">
        <f t="shared" si="293"/>
        <v>5887</v>
      </c>
      <c r="AL105" s="35">
        <f t="shared" si="284"/>
        <v>0.8880584338</v>
      </c>
      <c r="AM105" s="36">
        <f t="shared" si="294"/>
        <v>1.5</v>
      </c>
      <c r="AN105" s="35">
        <f t="shared" si="285"/>
        <v>0.6454485936</v>
      </c>
      <c r="AO105" s="37">
        <f t="shared" si="286"/>
        <v>0.9681728903</v>
      </c>
      <c r="AP105" s="36">
        <f t="shared" ref="AP105:AQ105" si="295">SUM(T96)</f>
        <v>217.8066312</v>
      </c>
      <c r="AQ105" s="36">
        <f t="shared" si="295"/>
        <v>7.778808256</v>
      </c>
      <c r="AR105" s="32">
        <f t="shared" si="288"/>
        <v>186.7142857</v>
      </c>
    </row>
    <row r="106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X106" s="31">
        <v>5.0</v>
      </c>
      <c r="Y106" s="31" t="s">
        <v>39</v>
      </c>
      <c r="Z106" s="31">
        <f t="shared" ref="Z106:AI106" si="296">SUM(D97)</f>
        <v>28</v>
      </c>
      <c r="AA106" s="32">
        <f t="shared" si="296"/>
        <v>27</v>
      </c>
      <c r="AB106" s="33">
        <f t="shared" si="296"/>
        <v>5201.322</v>
      </c>
      <c r="AC106" s="32">
        <f t="shared" si="296"/>
        <v>1031</v>
      </c>
      <c r="AD106" s="32">
        <f t="shared" si="296"/>
        <v>120</v>
      </c>
      <c r="AE106" s="32">
        <f t="shared" si="296"/>
        <v>1151</v>
      </c>
      <c r="AF106" s="32">
        <f t="shared" si="296"/>
        <v>1774</v>
      </c>
      <c r="AG106" s="32">
        <f t="shared" si="296"/>
        <v>138</v>
      </c>
      <c r="AH106" s="32">
        <f t="shared" si="296"/>
        <v>1912</v>
      </c>
      <c r="AI106" s="32">
        <f t="shared" si="296"/>
        <v>3063</v>
      </c>
      <c r="AJ106" s="34">
        <f t="shared" si="283"/>
        <v>192.6415556</v>
      </c>
      <c r="AK106" s="31">
        <f t="shared" si="293"/>
        <v>3569</v>
      </c>
      <c r="AL106" s="35">
        <f t="shared" si="284"/>
        <v>0.858223592</v>
      </c>
      <c r="AM106" s="36">
        <f t="shared" si="294"/>
        <v>1.5</v>
      </c>
      <c r="AN106" s="35">
        <f t="shared" si="285"/>
        <v>0.3925924986</v>
      </c>
      <c r="AO106" s="37">
        <f t="shared" si="286"/>
        <v>0.5888887479</v>
      </c>
      <c r="AP106" s="36">
        <f t="shared" ref="AP106:AQ106" si="297">SUM(T97)</f>
        <v>242.339002</v>
      </c>
      <c r="AQ106" s="36">
        <f t="shared" si="297"/>
        <v>8.975518593</v>
      </c>
      <c r="AR106" s="32">
        <f t="shared" si="288"/>
        <v>113.4444444</v>
      </c>
    </row>
    <row r="107" ht="15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X107" s="31">
        <v>6.0</v>
      </c>
      <c r="Y107" s="31" t="s">
        <v>41</v>
      </c>
      <c r="Z107" s="31">
        <f t="shared" ref="Z107:AI107" si="298">SUM(D98)</f>
        <v>24</v>
      </c>
      <c r="AA107" s="32">
        <f t="shared" si="298"/>
        <v>24</v>
      </c>
      <c r="AB107" s="33">
        <f t="shared" si="298"/>
        <v>4704.268</v>
      </c>
      <c r="AC107" s="32">
        <f t="shared" si="298"/>
        <v>1316</v>
      </c>
      <c r="AD107" s="32">
        <f t="shared" si="298"/>
        <v>103</v>
      </c>
      <c r="AE107" s="32">
        <f t="shared" si="298"/>
        <v>1419</v>
      </c>
      <c r="AF107" s="32">
        <f t="shared" si="298"/>
        <v>1735</v>
      </c>
      <c r="AG107" s="32">
        <f t="shared" si="298"/>
        <v>0</v>
      </c>
      <c r="AH107" s="32">
        <f t="shared" si="298"/>
        <v>1735</v>
      </c>
      <c r="AI107" s="32">
        <f t="shared" si="298"/>
        <v>3154</v>
      </c>
      <c r="AJ107" s="34">
        <f t="shared" si="283"/>
        <v>196.0111667</v>
      </c>
      <c r="AK107" s="31">
        <f t="shared" si="293"/>
        <v>3801</v>
      </c>
      <c r="AL107" s="35">
        <f t="shared" si="284"/>
        <v>0.8297816364</v>
      </c>
      <c r="AM107" s="36">
        <f t="shared" si="294"/>
        <v>1.5</v>
      </c>
      <c r="AN107" s="35">
        <f t="shared" si="285"/>
        <v>0.4469699997</v>
      </c>
      <c r="AO107" s="37">
        <f t="shared" si="286"/>
        <v>0.6704549996</v>
      </c>
      <c r="AP107" s="36">
        <f t="shared" ref="AP107:AQ107" si="299">SUM(T98)</f>
        <v>158.7777778</v>
      </c>
      <c r="AQ107" s="36">
        <f t="shared" si="299"/>
        <v>6.615740741</v>
      </c>
      <c r="AR107" s="32">
        <f t="shared" si="288"/>
        <v>131.4166667</v>
      </c>
    </row>
    <row r="108" ht="15.75" customHeight="1">
      <c r="A108" s="1" t="s">
        <v>45</v>
      </c>
      <c r="D108" s="2"/>
      <c r="X108" s="46" t="s">
        <v>33</v>
      </c>
      <c r="Y108" s="46">
        <v>6.0</v>
      </c>
      <c r="Z108" s="46">
        <f t="shared" ref="Z108:AI108" si="300">SUM(Z102:Z107)</f>
        <v>174</v>
      </c>
      <c r="AA108" s="47">
        <f t="shared" si="300"/>
        <v>170</v>
      </c>
      <c r="AB108" s="49">
        <f t="shared" si="300"/>
        <v>32550.816</v>
      </c>
      <c r="AC108" s="47">
        <f t="shared" si="300"/>
        <v>12571</v>
      </c>
      <c r="AD108" s="47">
        <f t="shared" si="300"/>
        <v>223</v>
      </c>
      <c r="AE108" s="47">
        <f t="shared" si="300"/>
        <v>12794</v>
      </c>
      <c r="AF108" s="47">
        <f t="shared" si="300"/>
        <v>17568</v>
      </c>
      <c r="AG108" s="47">
        <f t="shared" si="300"/>
        <v>293</v>
      </c>
      <c r="AH108" s="47">
        <f t="shared" si="300"/>
        <v>17861</v>
      </c>
      <c r="AI108" s="47">
        <f t="shared" si="300"/>
        <v>30655</v>
      </c>
      <c r="AJ108" s="49">
        <f t="shared" si="283"/>
        <v>191.4753882</v>
      </c>
      <c r="AK108" s="46">
        <f>SUM(AK102:AK107)</f>
        <v>37031</v>
      </c>
      <c r="AL108" s="50">
        <f t="shared" si="284"/>
        <v>0.8278199346</v>
      </c>
      <c r="AM108" s="51">
        <v>1.5</v>
      </c>
      <c r="AN108" s="50">
        <f t="shared" si="285"/>
        <v>0.6278388433</v>
      </c>
      <c r="AO108" s="52">
        <f t="shared" si="286"/>
        <v>0.941758265</v>
      </c>
      <c r="AP108" s="51">
        <f>SUM(AP102:AP107)</f>
        <v>1339.418241</v>
      </c>
      <c r="AQ108" s="51">
        <f>AP108/AA108</f>
        <v>7.878930831</v>
      </c>
      <c r="AR108" s="47">
        <f t="shared" si="288"/>
        <v>180.3235294</v>
      </c>
    </row>
    <row r="109" ht="15.75" customHeight="1">
      <c r="A109" s="1" t="s">
        <v>45</v>
      </c>
      <c r="D109" s="2"/>
      <c r="X109" s="66" t="s">
        <v>1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6"/>
    </row>
    <row r="110" ht="15.75" customHeight="1">
      <c r="A110" s="10">
        <v>46270.0</v>
      </c>
      <c r="B110" s="8" t="s">
        <v>2</v>
      </c>
      <c r="C110" s="8" t="s">
        <v>3</v>
      </c>
      <c r="D110" s="8" t="s">
        <v>4</v>
      </c>
      <c r="E110" s="8" t="s">
        <v>5</v>
      </c>
      <c r="F110" s="9" t="s">
        <v>6</v>
      </c>
      <c r="G110" s="8" t="s">
        <v>7</v>
      </c>
      <c r="H110" s="8" t="s">
        <v>8</v>
      </c>
      <c r="I110" s="8" t="s">
        <v>9</v>
      </c>
      <c r="J110" s="8" t="s">
        <v>10</v>
      </c>
      <c r="K110" s="8" t="s">
        <v>11</v>
      </c>
      <c r="L110" s="8" t="s">
        <v>12</v>
      </c>
      <c r="M110" s="8" t="s">
        <v>13</v>
      </c>
      <c r="N110" s="9" t="s">
        <v>14</v>
      </c>
      <c r="O110" s="8" t="s">
        <v>15</v>
      </c>
      <c r="P110" s="8" t="s">
        <v>16</v>
      </c>
      <c r="Q110" s="8" t="s">
        <v>17</v>
      </c>
      <c r="R110" s="8" t="s">
        <v>18</v>
      </c>
      <c r="S110" s="11" t="s">
        <v>19</v>
      </c>
      <c r="T110" s="12" t="s">
        <v>20</v>
      </c>
      <c r="U110" s="12" t="s">
        <v>21</v>
      </c>
      <c r="V110" s="13" t="s">
        <v>22</v>
      </c>
      <c r="X110" s="14" t="s">
        <v>2</v>
      </c>
      <c r="Y110" s="14" t="s">
        <v>3</v>
      </c>
      <c r="Z110" s="14" t="s">
        <v>4</v>
      </c>
      <c r="AA110" s="14" t="s">
        <v>5</v>
      </c>
      <c r="AB110" s="15" t="s">
        <v>6</v>
      </c>
      <c r="AC110" s="14" t="s">
        <v>7</v>
      </c>
      <c r="AD110" s="14" t="s">
        <v>8</v>
      </c>
      <c r="AE110" s="14" t="s">
        <v>9</v>
      </c>
      <c r="AF110" s="14" t="s">
        <v>10</v>
      </c>
      <c r="AG110" s="14" t="s">
        <v>11</v>
      </c>
      <c r="AH110" s="14" t="s">
        <v>12</v>
      </c>
      <c r="AI110" s="14" t="s">
        <v>13</v>
      </c>
      <c r="AJ110" s="15" t="s">
        <v>14</v>
      </c>
      <c r="AK110" s="14" t="s">
        <v>15</v>
      </c>
      <c r="AL110" s="14" t="s">
        <v>16</v>
      </c>
      <c r="AM110" s="16" t="s">
        <v>17</v>
      </c>
      <c r="AN110" s="17" t="s">
        <v>18</v>
      </c>
      <c r="AO110" s="18" t="s">
        <v>19</v>
      </c>
      <c r="AP110" s="19" t="s">
        <v>20</v>
      </c>
      <c r="AQ110" s="19" t="s">
        <v>21</v>
      </c>
      <c r="AR110" s="20" t="s">
        <v>22</v>
      </c>
    </row>
    <row r="111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X111" s="22">
        <v>1.0</v>
      </c>
      <c r="Y111" s="22" t="s">
        <v>23</v>
      </c>
      <c r="Z111" s="22">
        <f t="shared" ref="Z111:AI111" si="301">SUM(D119)</f>
        <v>28</v>
      </c>
      <c r="AA111" s="23">
        <f t="shared" si="301"/>
        <v>28</v>
      </c>
      <c r="AB111" s="24">
        <f t="shared" si="301"/>
        <v>5567.1</v>
      </c>
      <c r="AC111" s="23">
        <f t="shared" si="301"/>
        <v>1138</v>
      </c>
      <c r="AD111" s="23">
        <f t="shared" si="301"/>
        <v>0</v>
      </c>
      <c r="AE111" s="23">
        <f t="shared" si="301"/>
        <v>1138</v>
      </c>
      <c r="AF111" s="23">
        <f t="shared" si="301"/>
        <v>2824</v>
      </c>
      <c r="AG111" s="23">
        <f t="shared" si="301"/>
        <v>0</v>
      </c>
      <c r="AH111" s="23">
        <f t="shared" si="301"/>
        <v>2824</v>
      </c>
      <c r="AI111" s="23">
        <f t="shared" si="301"/>
        <v>3962</v>
      </c>
      <c r="AJ111" s="25">
        <f t="shared" ref="AJ111:AJ113" si="304">AB111/AA111</f>
        <v>198.825</v>
      </c>
      <c r="AK111" s="22">
        <f>SUM(O119)</f>
        <v>6853</v>
      </c>
      <c r="AL111" s="26">
        <f t="shared" ref="AL111:AL117" si="305">AI111/AK111</f>
        <v>0.5781409602</v>
      </c>
      <c r="AM111" s="27">
        <f t="shared" ref="AM111:AM113" si="306">SUM(Q119)</f>
        <v>1.5</v>
      </c>
      <c r="AN111" s="26">
        <f t="shared" ref="AN111:AN117" si="307">AO111/AM111</f>
        <v>0.4744540844</v>
      </c>
      <c r="AO111" s="28">
        <f t="shared" ref="AO111:AO117" si="308">AI111/AB111</f>
        <v>0.7116811266</v>
      </c>
      <c r="AP111" s="27">
        <f t="shared" ref="AP111:AQ111" si="302">SUM(T119)</f>
        <v>165</v>
      </c>
      <c r="AQ111" s="27">
        <f t="shared" si="302"/>
        <v>5.892857143</v>
      </c>
      <c r="AR111" s="23">
        <f t="shared" ref="AR111:AR117" si="310">AI111/AA111</f>
        <v>141.5</v>
      </c>
    </row>
    <row r="11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X112" s="22">
        <v>2.0</v>
      </c>
      <c r="Y112" s="22" t="s">
        <v>24</v>
      </c>
      <c r="Z112" s="22">
        <f t="shared" ref="Z112:AI112" si="303">SUM(D120)</f>
        <v>37</v>
      </c>
      <c r="AA112" s="23">
        <f t="shared" si="303"/>
        <v>36</v>
      </c>
      <c r="AB112" s="24">
        <f t="shared" si="303"/>
        <v>7025.717</v>
      </c>
      <c r="AC112" s="23">
        <f t="shared" si="303"/>
        <v>821</v>
      </c>
      <c r="AD112" s="23">
        <f t="shared" si="303"/>
        <v>0</v>
      </c>
      <c r="AE112" s="23">
        <f t="shared" si="303"/>
        <v>821</v>
      </c>
      <c r="AF112" s="23">
        <f t="shared" si="303"/>
        <v>944</v>
      </c>
      <c r="AG112" s="23">
        <f t="shared" si="303"/>
        <v>0</v>
      </c>
      <c r="AH112" s="23">
        <f t="shared" si="303"/>
        <v>944</v>
      </c>
      <c r="AI112" s="23">
        <f t="shared" si="303"/>
        <v>1765</v>
      </c>
      <c r="AJ112" s="25">
        <f t="shared" si="304"/>
        <v>195.1588056</v>
      </c>
      <c r="AK112" s="22">
        <v>1580.0</v>
      </c>
      <c r="AL112" s="29">
        <f t="shared" si="305"/>
        <v>1.117088608</v>
      </c>
      <c r="AM112" s="27">
        <f t="shared" si="306"/>
        <v>1.5</v>
      </c>
      <c r="AN112" s="26">
        <f t="shared" si="307"/>
        <v>0.1674799407</v>
      </c>
      <c r="AO112" s="28">
        <f t="shared" si="308"/>
        <v>0.2512199111</v>
      </c>
      <c r="AP112" s="27">
        <f t="shared" ref="AP112:AQ112" si="309">SUM(T120)</f>
        <v>262.1047193</v>
      </c>
      <c r="AQ112" s="27">
        <f t="shared" si="309"/>
        <v>7.280686646</v>
      </c>
      <c r="AR112" s="23">
        <f t="shared" si="310"/>
        <v>49.02777778</v>
      </c>
    </row>
    <row r="113" ht="15.75" customHeight="1">
      <c r="A113" s="21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X113" s="31">
        <v>3.0</v>
      </c>
      <c r="Y113" s="31" t="s">
        <v>25</v>
      </c>
      <c r="Z113" s="31">
        <f t="shared" ref="Z113:AI113" si="311">SUM(D121)</f>
        <v>27</v>
      </c>
      <c r="AA113" s="32">
        <f t="shared" si="311"/>
        <v>27</v>
      </c>
      <c r="AB113" s="33">
        <f t="shared" si="311"/>
        <v>5157.852</v>
      </c>
      <c r="AC113" s="32">
        <f t="shared" si="311"/>
        <v>1910</v>
      </c>
      <c r="AD113" s="32">
        <f t="shared" si="311"/>
        <v>282</v>
      </c>
      <c r="AE113" s="32">
        <f t="shared" si="311"/>
        <v>2192</v>
      </c>
      <c r="AF113" s="32">
        <f t="shared" si="311"/>
        <v>2482</v>
      </c>
      <c r="AG113" s="32">
        <f t="shared" si="311"/>
        <v>213</v>
      </c>
      <c r="AH113" s="32">
        <f t="shared" si="311"/>
        <v>2695</v>
      </c>
      <c r="AI113" s="32">
        <f t="shared" si="311"/>
        <v>4887</v>
      </c>
      <c r="AJ113" s="34">
        <f t="shared" si="304"/>
        <v>191.0315556</v>
      </c>
      <c r="AK113" s="31">
        <f>SUM(O121)</f>
        <v>6622</v>
      </c>
      <c r="AL113" s="35">
        <f t="shared" si="305"/>
        <v>0.7379945636</v>
      </c>
      <c r="AM113" s="36">
        <f t="shared" si="306"/>
        <v>1.5</v>
      </c>
      <c r="AN113" s="35">
        <f t="shared" si="307"/>
        <v>0.631658295</v>
      </c>
      <c r="AO113" s="37">
        <f t="shared" si="308"/>
        <v>0.9474874424</v>
      </c>
      <c r="AP113" s="36">
        <f t="shared" ref="AP113:AQ113" si="312">SUM(T121)</f>
        <v>216.3528523</v>
      </c>
      <c r="AQ113" s="36">
        <f t="shared" si="312"/>
        <v>8.013068606</v>
      </c>
      <c r="AR113" s="32">
        <f t="shared" si="310"/>
        <v>181</v>
      </c>
    </row>
    <row r="114" ht="15.75" customHeight="1">
      <c r="A114" s="21"/>
      <c r="B114" s="38">
        <v>1.0</v>
      </c>
      <c r="C114" s="38" t="s">
        <v>26</v>
      </c>
      <c r="D114" s="39">
        <v>16.0</v>
      </c>
      <c r="E114" s="40">
        <f>IFERROR(__xludf.DUMMYFUNCTION("COUNT(IMPORTRANGE(""https://docs.google.com/spreadsheets/d/1F0NpMx7WhcgPgxTWpryY3Z1CGg56FL6aiL4mHs43w4E/edit"",""5!d2:d21""))"),16.0)</f>
        <v>16</v>
      </c>
      <c r="F114" s="41">
        <f>IFERROR(__xludf.DUMMYFUNCTION("SUM(IMPORTRANGE(""https://docs.google.com/spreadsheets/d/1F0NpMx7WhcgPgxTWpryY3Z1CGg56FL6aiL4mHs43w4E/edit"",""5!Q2:Q21""))"),3078.1379999999995)</f>
        <v>3078.138</v>
      </c>
      <c r="G114" s="40">
        <f>IFERROR(__xludf.DUMMYFUNCTION("IMPORTRANGE(""https://docs.google.com/spreadsheets/d/1F0NpMx7WhcgPgxTWpryY3Z1CGg56FL6aiL4mHs43w4E/edit"",""5!e28"")"),1745.0)</f>
        <v>1745</v>
      </c>
      <c r="H114" s="40">
        <f>IFERROR(__xludf.DUMMYFUNCTION("IMPORTRANGE(""https://docs.google.com/spreadsheets/d/1F0NpMx7WhcgPgxTWpryY3Z1CGg56FL6aiL4mHs43w4E/edit"",""5!e29"")"),0.0)</f>
        <v>0</v>
      </c>
      <c r="I114" s="40">
        <f t="shared" ref="I114:I131" si="315">SUM(G114:H114)</f>
        <v>1745</v>
      </c>
      <c r="J114" s="40">
        <f>IFERROR(__xludf.DUMMYFUNCTION("IMPORTRANGE(""https://docs.google.com/spreadsheets/d/1F0NpMx7WhcgPgxTWpryY3Z1CGg56FL6aiL4mHs43w4E/edit"",""5!e32"")"),1782.0)</f>
        <v>1782</v>
      </c>
      <c r="K114" s="40">
        <f>IFERROR(__xludf.DUMMYFUNCTION("IMPORTRANGE(""https://docs.google.com/spreadsheets/d/1F0NpMx7WhcgPgxTWpryY3Z1CGg56FL6aiL4mHs43w4E/edit"",""5!e33"")"),205.0)</f>
        <v>205</v>
      </c>
      <c r="L114" s="40">
        <f t="shared" ref="L114:L120" si="316">SUM(J114:K114)</f>
        <v>1987</v>
      </c>
      <c r="M114" s="40">
        <f t="shared" ref="M114:M131" si="317">SUM(I114+L114)</f>
        <v>3732</v>
      </c>
      <c r="N114" s="41">
        <f t="shared" ref="N114:N132" si="318">F114/E114</f>
        <v>192.383625</v>
      </c>
      <c r="O114" s="38">
        <v>5161.0</v>
      </c>
      <c r="P114" s="42">
        <f t="shared" ref="P114:P132" si="319">M114/O114</f>
        <v>0.7231156753</v>
      </c>
      <c r="Q114" s="43">
        <v>1.5</v>
      </c>
      <c r="R114" s="42">
        <f t="shared" ref="R114:R132" si="320">S114/Q114</f>
        <v>0.8082808503</v>
      </c>
      <c r="S114" s="44">
        <f t="shared" ref="S114:S132" si="321">M114/F114</f>
        <v>1.212421275</v>
      </c>
      <c r="T114" s="43">
        <f>F114/14.415</f>
        <v>213.5371488</v>
      </c>
      <c r="U114" s="43">
        <f t="shared" ref="U114:U132" si="322">T114/E114</f>
        <v>13.3460718</v>
      </c>
      <c r="V114" s="40">
        <f t="shared" ref="V114:V132" si="323">M114/E114</f>
        <v>233.25</v>
      </c>
      <c r="X114" s="22">
        <v>4.0</v>
      </c>
      <c r="Y114" s="22" t="s">
        <v>27</v>
      </c>
      <c r="Z114" s="22">
        <f t="shared" ref="Z114:AK114" si="313">SUM(D127)</f>
        <v>24</v>
      </c>
      <c r="AA114" s="23">
        <f t="shared" si="313"/>
        <v>24</v>
      </c>
      <c r="AB114" s="24">
        <f t="shared" si="313"/>
        <v>4766.285</v>
      </c>
      <c r="AC114" s="23">
        <f t="shared" si="313"/>
        <v>1649</v>
      </c>
      <c r="AD114" s="23">
        <f t="shared" si="313"/>
        <v>150</v>
      </c>
      <c r="AE114" s="23">
        <f t="shared" si="313"/>
        <v>1799</v>
      </c>
      <c r="AF114" s="23">
        <f t="shared" si="313"/>
        <v>2264</v>
      </c>
      <c r="AG114" s="23">
        <f t="shared" si="313"/>
        <v>170</v>
      </c>
      <c r="AH114" s="23">
        <f t="shared" si="313"/>
        <v>2434</v>
      </c>
      <c r="AI114" s="23">
        <f t="shared" si="313"/>
        <v>4233</v>
      </c>
      <c r="AJ114" s="25">
        <f t="shared" si="313"/>
        <v>198.5952083</v>
      </c>
      <c r="AK114" s="22">
        <f t="shared" si="313"/>
        <v>8101</v>
      </c>
      <c r="AL114" s="26">
        <f t="shared" si="305"/>
        <v>0.522528083</v>
      </c>
      <c r="AM114" s="27">
        <f>SUM(Q127)</f>
        <v>1.5</v>
      </c>
      <c r="AN114" s="26">
        <f t="shared" si="307"/>
        <v>0.5920753795</v>
      </c>
      <c r="AO114" s="28">
        <f t="shared" si="308"/>
        <v>0.8881130692</v>
      </c>
      <c r="AP114" s="27">
        <f t="shared" ref="AP114:AQ114" si="314">SUM(T127)</f>
        <v>238.4931198</v>
      </c>
      <c r="AQ114" s="27">
        <f t="shared" si="314"/>
        <v>9.937213327</v>
      </c>
      <c r="AR114" s="23">
        <f t="shared" si="310"/>
        <v>176.375</v>
      </c>
    </row>
    <row r="115" ht="15.75" customHeight="1">
      <c r="A115" s="21"/>
      <c r="B115" s="38">
        <v>2.0</v>
      </c>
      <c r="C115" s="38" t="s">
        <v>28</v>
      </c>
      <c r="D115" s="39">
        <v>26.0</v>
      </c>
      <c r="E115" s="40">
        <f>IFERROR(__xludf.DUMMYFUNCTION("COUNT(IMPORTRANGE(""https://docs.google.com/spreadsheets/d/1H9vAqftAHb0OdeSGXHTnJFzoWUgpoH31sc0sHNN8y1o/edit"",""5!d2:d34""))"),26.0)</f>
        <v>26</v>
      </c>
      <c r="F115" s="41">
        <f>IFERROR(__xludf.DUMMYFUNCTION("SUM(IMPORTRANGE(""https://docs.google.com/spreadsheets/d/1H9vAqftAHb0OdeSGXHTnJFzoWUgpoH31sc0sHNN8y1o/edit"",""5!Q2:Q34""))"),5185.99)</f>
        <v>5185.99</v>
      </c>
      <c r="G115" s="40">
        <f>IFERROR(__xludf.DUMMYFUNCTION("IMPORTRANGE(""https://docs.google.com/spreadsheets/d/1H9vAqftAHb0OdeSGXHTnJFzoWUgpoH31sc0sHNN8y1o/edit"",""5!e41"")"),1916.0)</f>
        <v>1916</v>
      </c>
      <c r="H115" s="40">
        <f>IFERROR(__xludf.DUMMYFUNCTION("IMPORTRANGE(""https://docs.google.com/spreadsheets/d/1H9vAqftAHb0OdeSGXHTnJFzoWUgpoH31sc0sHNN8y1o/edit"",""5!e42"")"),125.0)</f>
        <v>125</v>
      </c>
      <c r="I115" s="40">
        <f t="shared" si="315"/>
        <v>2041</v>
      </c>
      <c r="J115" s="40">
        <f>IFERROR(__xludf.DUMMYFUNCTION("IMPORTRANGE(""https://docs.google.com/spreadsheets/d/1H9vAqftAHb0OdeSGXHTnJFzoWUgpoH31sc0sHNN8y1o/edit"",""5!e45"")"),2117.0)</f>
        <v>2117</v>
      </c>
      <c r="K115" s="40">
        <f>IFERROR(__xludf.DUMMYFUNCTION("IMPORTRANGE(""https://docs.google.com/spreadsheets/d/1H9vAqftAHb0OdeSGXHTnJFzoWUgpoH31sc0sHNN8y1o/edit"",""5!e46"")"),95.0)</f>
        <v>95</v>
      </c>
      <c r="L115" s="40">
        <f t="shared" si="316"/>
        <v>2212</v>
      </c>
      <c r="M115" s="40">
        <f t="shared" si="317"/>
        <v>4253</v>
      </c>
      <c r="N115" s="41">
        <f t="shared" si="318"/>
        <v>199.4611538</v>
      </c>
      <c r="O115" s="38">
        <v>7315.0</v>
      </c>
      <c r="P115" s="42">
        <f t="shared" si="319"/>
        <v>0.5814080656</v>
      </c>
      <c r="Q115" s="43">
        <v>1.5</v>
      </c>
      <c r="R115" s="42">
        <f t="shared" si="320"/>
        <v>0.5467294255</v>
      </c>
      <c r="S115" s="44">
        <f t="shared" si="321"/>
        <v>0.8200941382</v>
      </c>
      <c r="T115" s="43">
        <f>F115/30.897</f>
        <v>167.8476875</v>
      </c>
      <c r="U115" s="43">
        <f t="shared" si="322"/>
        <v>6.455680288</v>
      </c>
      <c r="V115" s="40">
        <f t="shared" si="323"/>
        <v>163.5769231</v>
      </c>
      <c r="X115" s="22">
        <v>5.0</v>
      </c>
      <c r="Y115" s="22" t="s">
        <v>29</v>
      </c>
      <c r="Z115" s="22">
        <f t="shared" ref="Z115:AI115" si="324">SUM(D130)</f>
        <v>24</v>
      </c>
      <c r="AA115" s="23">
        <f t="shared" si="324"/>
        <v>22</v>
      </c>
      <c r="AB115" s="24">
        <f t="shared" si="324"/>
        <v>4291.542</v>
      </c>
      <c r="AC115" s="23">
        <f t="shared" si="324"/>
        <v>2030</v>
      </c>
      <c r="AD115" s="23">
        <f t="shared" si="324"/>
        <v>0</v>
      </c>
      <c r="AE115" s="23">
        <f t="shared" si="324"/>
        <v>2030</v>
      </c>
      <c r="AF115" s="23">
        <f t="shared" si="324"/>
        <v>3226</v>
      </c>
      <c r="AG115" s="23">
        <f t="shared" si="324"/>
        <v>0</v>
      </c>
      <c r="AH115" s="23">
        <f t="shared" si="324"/>
        <v>3226</v>
      </c>
      <c r="AI115" s="23">
        <f t="shared" si="324"/>
        <v>5256</v>
      </c>
      <c r="AJ115" s="25">
        <f t="shared" ref="AJ115:AJ117" si="327">AB115/AA115</f>
        <v>195.0700909</v>
      </c>
      <c r="AK115" s="22">
        <f t="shared" ref="AK115:AK116" si="328">SUM(O130)</f>
        <v>9201</v>
      </c>
      <c r="AL115" s="26">
        <f t="shared" si="305"/>
        <v>0.5712422563</v>
      </c>
      <c r="AM115" s="27">
        <f t="shared" ref="AM115:AM116" si="329">SUM(Q130)</f>
        <v>1.5</v>
      </c>
      <c r="AN115" s="26">
        <f t="shared" si="307"/>
        <v>0.8164897373</v>
      </c>
      <c r="AO115" s="28">
        <f t="shared" si="308"/>
        <v>1.224734606</v>
      </c>
      <c r="AP115" s="27">
        <f t="shared" ref="AP115:AQ115" si="325">SUM(T130)</f>
        <v>162</v>
      </c>
      <c r="AQ115" s="27">
        <f t="shared" si="325"/>
        <v>7.363636364</v>
      </c>
      <c r="AR115" s="23">
        <f t="shared" si="310"/>
        <v>238.9090909</v>
      </c>
    </row>
    <row r="116" ht="15.75" customHeight="1">
      <c r="A116" s="21"/>
      <c r="B116" s="38">
        <v>3.0</v>
      </c>
      <c r="C116" s="38" t="s">
        <v>30</v>
      </c>
      <c r="D116" s="39">
        <v>48.0</v>
      </c>
      <c r="E116" s="40">
        <f>IFERROR(__xludf.DUMMYFUNCTION("COUNT(IMPORTRANGE(""https://docs.google.com/spreadsheets/d/1EWN6nfpuVxbUE_9opjYCWaI7MTm5xsF6ssjklSbMZnA/edit"",""5!d2:d61""))"),46.0)</f>
        <v>46</v>
      </c>
      <c r="F116" s="45">
        <f>IFERROR(__xludf.DUMMYFUNCTION("SUM(IMPORTRANGE(""https://docs.google.com/spreadsheets/d/1EWN6nfpuVxbUE_9opjYCWaI7MTm5xsF6ssjklSbMZnA/edit"",""5!Q2:Q61""))"),9185.339999999995)</f>
        <v>9185.34</v>
      </c>
      <c r="G116" s="40">
        <f>IFERROR(__xludf.DUMMYFUNCTION("IMPORTRANGE(""https://docs.google.com/spreadsheets/d/1EWN6nfpuVxbUE_9opjYCWaI7MTm5xsF6ssjklSbMZnA/edit"",""5!e68"")"),2875.0)</f>
        <v>2875</v>
      </c>
      <c r="H116" s="40">
        <f>IFERROR(__xludf.DUMMYFUNCTION("IMPORTRANGE(""https://docs.google.com/spreadsheets/d/1EWN6nfpuVxbUE_9opjYCWaI7MTm5xsF6ssjklSbMZnA/edit"",""5!e69"")"),0.0)</f>
        <v>0</v>
      </c>
      <c r="I116" s="40">
        <f t="shared" si="315"/>
        <v>2875</v>
      </c>
      <c r="J116" s="40">
        <f>IFERROR(__xludf.DUMMYFUNCTION("IMPORTRANGE(""https://docs.google.com/spreadsheets/d/1EWN6nfpuVxbUE_9opjYCWaI7MTm5xsF6ssjklSbMZnA/edit"",""5!e72"")"),4170.0)</f>
        <v>4170</v>
      </c>
      <c r="K116" s="40">
        <f>IFERROR(__xludf.DUMMYFUNCTION("IMPORTRANGE(""https://docs.google.com/spreadsheets/d/1EWN6nfpuVxbUE_9opjYCWaI7MTm5xsF6ssjklSbMZnA/edit"",""5!e73"")"),0.0)</f>
        <v>0</v>
      </c>
      <c r="L116" s="40">
        <f t="shared" si="316"/>
        <v>4170</v>
      </c>
      <c r="M116" s="40">
        <f t="shared" si="317"/>
        <v>7045</v>
      </c>
      <c r="N116" s="41">
        <f t="shared" si="318"/>
        <v>199.6813043</v>
      </c>
      <c r="O116" s="38">
        <v>11164.0</v>
      </c>
      <c r="P116" s="42">
        <f t="shared" si="319"/>
        <v>0.63104622</v>
      </c>
      <c r="Q116" s="43">
        <v>1.5</v>
      </c>
      <c r="R116" s="42">
        <f t="shared" si="320"/>
        <v>0.5113220269</v>
      </c>
      <c r="S116" s="44">
        <f t="shared" si="321"/>
        <v>0.7669830404</v>
      </c>
      <c r="T116" s="43">
        <f>F116/29.603</f>
        <v>310.2840928</v>
      </c>
      <c r="U116" s="43">
        <f t="shared" si="322"/>
        <v>6.745306366</v>
      </c>
      <c r="V116" s="40">
        <f t="shared" si="323"/>
        <v>153.1521739</v>
      </c>
      <c r="X116" s="22">
        <v>6.0</v>
      </c>
      <c r="Y116" s="22" t="s">
        <v>31</v>
      </c>
      <c r="Z116" s="22">
        <f t="shared" ref="Z116:AI116" si="326">SUM(D131)</f>
        <v>12</v>
      </c>
      <c r="AA116" s="23">
        <f t="shared" si="326"/>
        <v>12</v>
      </c>
      <c r="AB116" s="25">
        <f t="shared" si="326"/>
        <v>2390.575</v>
      </c>
      <c r="AC116" s="23">
        <f t="shared" si="326"/>
        <v>625</v>
      </c>
      <c r="AD116" s="23">
        <f t="shared" si="326"/>
        <v>25</v>
      </c>
      <c r="AE116" s="23">
        <f t="shared" si="326"/>
        <v>650</v>
      </c>
      <c r="AF116" s="23">
        <f t="shared" si="326"/>
        <v>832</v>
      </c>
      <c r="AG116" s="23">
        <f t="shared" si="326"/>
        <v>0</v>
      </c>
      <c r="AH116" s="23">
        <f t="shared" si="326"/>
        <v>832</v>
      </c>
      <c r="AI116" s="23">
        <f t="shared" si="326"/>
        <v>1482</v>
      </c>
      <c r="AJ116" s="25">
        <f t="shared" si="327"/>
        <v>199.2145833</v>
      </c>
      <c r="AK116" s="22">
        <f t="shared" si="328"/>
        <v>2717</v>
      </c>
      <c r="AL116" s="26">
        <f t="shared" si="305"/>
        <v>0.5454545455</v>
      </c>
      <c r="AM116" s="27">
        <f t="shared" si="329"/>
        <v>1.5</v>
      </c>
      <c r="AN116" s="26">
        <f t="shared" si="307"/>
        <v>0.4132896897</v>
      </c>
      <c r="AO116" s="28">
        <f t="shared" si="308"/>
        <v>0.6199345346</v>
      </c>
      <c r="AP116" s="27">
        <f t="shared" ref="AP116:AQ116" si="330">SUM(T131)</f>
        <v>55</v>
      </c>
      <c r="AQ116" s="27">
        <f t="shared" si="330"/>
        <v>4.583333333</v>
      </c>
      <c r="AR116" s="23">
        <f t="shared" si="310"/>
        <v>123.5</v>
      </c>
    </row>
    <row r="117" ht="15.75" customHeight="1">
      <c r="A117" s="21"/>
      <c r="B117" s="38">
        <v>4.0</v>
      </c>
      <c r="C117" s="38" t="s">
        <v>32</v>
      </c>
      <c r="D117" s="39">
        <v>33.0</v>
      </c>
      <c r="E117" s="40">
        <f>IFERROR(__xludf.DUMMYFUNCTION("COUNT(IMPORTRANGE(""https://docs.google.com/spreadsheets/d/1Rmar8QqWK4XOJ-eY6xMzkAfDSw0srEXcAw89ilArun8/edit"",""5!d2:d43""))"),33.0)</f>
        <v>33</v>
      </c>
      <c r="F117" s="45">
        <f>IFERROR(__xludf.DUMMYFUNCTION("SUM(IMPORTRANGE(""https://docs.google.com/spreadsheets/d/1Rmar8QqWK4XOJ-eY6xMzkAfDSw0srEXcAw89ilArun8/edit"",""5!Q2:Q43""))"),6274.398999999996)</f>
        <v>6274.399</v>
      </c>
      <c r="G117" s="38">
        <f>IFERROR(__xludf.DUMMYFUNCTION("IMPORTRANGE(""https://docs.google.com/spreadsheets/d/1Rmar8QqWK4XOJ-eY6xMzkAfDSw0srEXcAw89ilArun8/edit"",""5!e50"")"),3614.0)</f>
        <v>3614</v>
      </c>
      <c r="H117" s="38">
        <f>IFERROR(__xludf.DUMMYFUNCTION("IMPORTRANGE(""https://docs.google.com/spreadsheets/d/1Rmar8QqWK4XOJ-eY6xMzkAfDSw0srEXcAw89ilArun8/edit"",""5!e51"")"),28.0)</f>
        <v>28</v>
      </c>
      <c r="I117" s="40">
        <f t="shared" si="315"/>
        <v>3642</v>
      </c>
      <c r="J117" s="38">
        <f>IFERROR(__xludf.DUMMYFUNCTION("IMPORTRANGE(""https://docs.google.com/spreadsheets/d/1Rmar8QqWK4XOJ-eY6xMzkAfDSw0srEXcAw89ilArun8/edit"",""5!e54"")"),4401.0)</f>
        <v>4401</v>
      </c>
      <c r="K117" s="38">
        <f>IFERROR(__xludf.DUMMYFUNCTION("IMPORTRANGE(""https://docs.google.com/spreadsheets/d/1Rmar8QqWK4XOJ-eY6xMzkAfDSw0srEXcAw89ilArun8/edit"",""5!e55"")"),0.0)</f>
        <v>0</v>
      </c>
      <c r="L117" s="40">
        <f t="shared" si="316"/>
        <v>4401</v>
      </c>
      <c r="M117" s="40">
        <f t="shared" si="317"/>
        <v>8043</v>
      </c>
      <c r="N117" s="41">
        <f t="shared" si="318"/>
        <v>190.133303</v>
      </c>
      <c r="O117" s="38">
        <v>13817.0</v>
      </c>
      <c r="P117" s="42">
        <f t="shared" si="319"/>
        <v>0.5821089962</v>
      </c>
      <c r="Q117" s="43">
        <v>1.5</v>
      </c>
      <c r="R117" s="42">
        <f t="shared" si="320"/>
        <v>0.8545838414</v>
      </c>
      <c r="S117" s="44">
        <f t="shared" si="321"/>
        <v>1.281875762</v>
      </c>
      <c r="T117" s="43">
        <f>F117/25.089</f>
        <v>250.0856551</v>
      </c>
      <c r="U117" s="43">
        <f t="shared" si="322"/>
        <v>7.578353184</v>
      </c>
      <c r="V117" s="40">
        <f t="shared" si="323"/>
        <v>243.7272727</v>
      </c>
      <c r="X117" s="46" t="s">
        <v>33</v>
      </c>
      <c r="Y117" s="46">
        <v>6.0</v>
      </c>
      <c r="Z117" s="46">
        <f t="shared" ref="Z117:AI117" si="331">SUM(Z111:Z116)</f>
        <v>152</v>
      </c>
      <c r="AA117" s="47">
        <f t="shared" si="331"/>
        <v>149</v>
      </c>
      <c r="AB117" s="48">
        <f t="shared" si="331"/>
        <v>29199.071</v>
      </c>
      <c r="AC117" s="47">
        <f t="shared" si="331"/>
        <v>8173</v>
      </c>
      <c r="AD117" s="47">
        <f t="shared" si="331"/>
        <v>457</v>
      </c>
      <c r="AE117" s="47">
        <f t="shared" si="331"/>
        <v>8630</v>
      </c>
      <c r="AF117" s="47">
        <f t="shared" si="331"/>
        <v>12572</v>
      </c>
      <c r="AG117" s="47">
        <f t="shared" si="331"/>
        <v>383</v>
      </c>
      <c r="AH117" s="47">
        <f t="shared" si="331"/>
        <v>12955</v>
      </c>
      <c r="AI117" s="47">
        <f t="shared" si="331"/>
        <v>21585</v>
      </c>
      <c r="AJ117" s="49">
        <f t="shared" si="327"/>
        <v>195.9669195</v>
      </c>
      <c r="AK117" s="46">
        <f>SUM(AK111:AK116)</f>
        <v>35074</v>
      </c>
      <c r="AL117" s="50">
        <f t="shared" si="305"/>
        <v>0.6154131265</v>
      </c>
      <c r="AM117" s="51">
        <v>1.5</v>
      </c>
      <c r="AN117" s="50">
        <f t="shared" si="307"/>
        <v>0.4928238984</v>
      </c>
      <c r="AO117" s="52">
        <f t="shared" si="308"/>
        <v>0.7392358476</v>
      </c>
      <c r="AP117" s="51">
        <f>SUM(AP111:AP116)</f>
        <v>1098.950691</v>
      </c>
      <c r="AQ117" s="51">
        <f>AP117/AA117</f>
        <v>7.375507996</v>
      </c>
      <c r="AR117" s="47">
        <f t="shared" si="310"/>
        <v>144.8657718</v>
      </c>
    </row>
    <row r="118" ht="15.75" customHeight="1">
      <c r="A118" s="21"/>
      <c r="B118" s="38">
        <v>5.0</v>
      </c>
      <c r="C118" s="38" t="s">
        <v>34</v>
      </c>
      <c r="D118" s="39">
        <v>32.0</v>
      </c>
      <c r="E118" s="40">
        <f>IFERROR(__xludf.DUMMYFUNCTION("COUNT(IMPORTRANGE(""https://docs.google.com/spreadsheets/d/1u99JxAoytGQQ8GcjxXl38CGdyEWy5uIbuJJHnsotyvk/edit"",""5!d2:d41""))"),31.0)</f>
        <v>31</v>
      </c>
      <c r="F118" s="45">
        <f>IFERROR(__xludf.DUMMYFUNCTION("SUM(IMPORTRANGE(""https://docs.google.com/spreadsheets/d/1u99JxAoytGQQ8GcjxXl38CGdyEWy5uIbuJJHnsotyvk/edit"",""5!Q2:Q41""))"),6093.198000000001)</f>
        <v>6093.198</v>
      </c>
      <c r="G118" s="40">
        <f>IFERROR(__xludf.DUMMYFUNCTION("IMPORTRANGE(""https://docs.google.com/spreadsheets/d/1u99JxAoytGQQ8GcjxXl38CGdyEWy5uIbuJJHnsotyvk/edit"",""5!e48"")"),2113.0)</f>
        <v>2113</v>
      </c>
      <c r="H118" s="40">
        <f>IFERROR(__xludf.DUMMYFUNCTION("IMPORTRANGE(""https://docs.google.com/spreadsheets/d/1u99JxAoytGQQ8GcjxXl38CGdyEWy5uIbuJJHnsotyvk/edit"",""5!e49"")"),90.0)</f>
        <v>90</v>
      </c>
      <c r="I118" s="40">
        <f t="shared" si="315"/>
        <v>2203</v>
      </c>
      <c r="J118" s="40">
        <f>IFERROR(__xludf.DUMMYFUNCTION("IMPORTRANGE(""https://docs.google.com/spreadsheets/d/1u99JxAoytGQQ8GcjxXl38CGdyEWy5uIbuJJHnsotyvk/edit"",""5!e52"")"),2916.0)</f>
        <v>2916</v>
      </c>
      <c r="K118" s="40">
        <f>IFERROR(__xludf.DUMMYFUNCTION("IMPORTRANGE(""https://docs.google.com/spreadsheets/d/1u99JxAoytGQQ8GcjxXl38CGdyEWy5uIbuJJHnsotyvk/edit"",""5!e53"")"),100.0)</f>
        <v>100</v>
      </c>
      <c r="L118" s="40">
        <f t="shared" si="316"/>
        <v>3016</v>
      </c>
      <c r="M118" s="40">
        <f t="shared" si="317"/>
        <v>5219</v>
      </c>
      <c r="N118" s="41">
        <f t="shared" si="318"/>
        <v>196.5547742</v>
      </c>
      <c r="O118" s="38">
        <v>9354.0</v>
      </c>
      <c r="P118" s="42">
        <f t="shared" si="319"/>
        <v>0.5579431259</v>
      </c>
      <c r="Q118" s="43">
        <v>1.5</v>
      </c>
      <c r="R118" s="42">
        <f t="shared" si="320"/>
        <v>0.5710192469</v>
      </c>
      <c r="S118" s="44">
        <f t="shared" si="321"/>
        <v>0.8565288704</v>
      </c>
      <c r="T118" s="43">
        <f>F118/30.713</f>
        <v>198.3914955</v>
      </c>
      <c r="U118" s="43">
        <f t="shared" si="322"/>
        <v>6.39972566</v>
      </c>
      <c r="V118" s="40">
        <f t="shared" si="323"/>
        <v>168.3548387</v>
      </c>
      <c r="X118" s="53" t="s">
        <v>35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6"/>
    </row>
    <row r="119" ht="15.75" customHeight="1">
      <c r="A119" s="21"/>
      <c r="B119" s="38">
        <v>6.0</v>
      </c>
      <c r="C119" s="38" t="s">
        <v>23</v>
      </c>
      <c r="D119" s="39">
        <v>28.0</v>
      </c>
      <c r="E119" s="40">
        <f>IFERROR(__xludf.DUMMYFUNCTION("COUNT(IMPORTRANGE(""https://docs.google.com/spreadsheets/d/1uVc-vnTn57HE53lwrUYNZP4sGKTXisrqOoZ-6EyvLzY/edit"",""5!d2:d36""))"),28.0)</f>
        <v>28</v>
      </c>
      <c r="F119" s="45">
        <f>IFERROR(__xludf.DUMMYFUNCTION("SUM(IMPORTRANGE(""https://docs.google.com/spreadsheets/d/1uVc-vnTn57HE53lwrUYNZP4sGKTXisrqOoZ-6EyvLzY/edit"",""5!Q2:Q36""))"),5567.0999999999985)</f>
        <v>5567.1</v>
      </c>
      <c r="G119" s="40">
        <f>IFERROR(__xludf.DUMMYFUNCTION("IMPORTRANGE(""https://docs.google.com/spreadsheets/d/1uVc-vnTn57HE53lwrUYNZP4sGKTXisrqOoZ-6EyvLzY/edit"",""5!e43"")"),1138.0)</f>
        <v>1138</v>
      </c>
      <c r="H119" s="40">
        <f>IFERROR(__xludf.DUMMYFUNCTION("IMPORTRANGE(""https://docs.google.com/spreadsheets/d/1uVc-vnTn57HE53lwrUYNZP4sGKTXisrqOoZ-6EyvLzY/edit"",""5!e44"")"),0.0)</f>
        <v>0</v>
      </c>
      <c r="I119" s="40">
        <f t="shared" si="315"/>
        <v>1138</v>
      </c>
      <c r="J119" s="40">
        <f>IFERROR(__xludf.DUMMYFUNCTION("IMPORTRANGE(""https://docs.google.com/spreadsheets/d/1uVc-vnTn57HE53lwrUYNZP4sGKTXisrqOoZ-6EyvLzY/edit"",""5!e47"")"),2824.0)</f>
        <v>2824</v>
      </c>
      <c r="K119" s="40">
        <f>IFERROR(__xludf.DUMMYFUNCTION("IMPORTRANGE(""https://docs.google.com/spreadsheets/d/1uVc-vnTn57HE53lwrUYNZP4sGKTXisrqOoZ-6EyvLzY/edit"",""5!e48"")"),0.0)</f>
        <v>0</v>
      </c>
      <c r="L119" s="40">
        <f t="shared" si="316"/>
        <v>2824</v>
      </c>
      <c r="M119" s="40">
        <f t="shared" si="317"/>
        <v>3962</v>
      </c>
      <c r="N119" s="41">
        <f t="shared" si="318"/>
        <v>198.825</v>
      </c>
      <c r="O119" s="38">
        <v>6853.0</v>
      </c>
      <c r="P119" s="42">
        <f t="shared" si="319"/>
        <v>0.5781409602</v>
      </c>
      <c r="Q119" s="43">
        <v>1.5</v>
      </c>
      <c r="R119" s="42">
        <f t="shared" si="320"/>
        <v>0.4744540844</v>
      </c>
      <c r="S119" s="44">
        <f t="shared" si="321"/>
        <v>0.7116811266</v>
      </c>
      <c r="T119" s="43">
        <f>F119/33.74</f>
        <v>165</v>
      </c>
      <c r="U119" s="43">
        <f t="shared" si="322"/>
        <v>5.892857143</v>
      </c>
      <c r="V119" s="40">
        <f t="shared" si="323"/>
        <v>141.5</v>
      </c>
      <c r="X119" s="14" t="s">
        <v>2</v>
      </c>
      <c r="Y119" s="14" t="s">
        <v>3</v>
      </c>
      <c r="Z119" s="14" t="s">
        <v>4</v>
      </c>
      <c r="AA119" s="14" t="s">
        <v>5</v>
      </c>
      <c r="AB119" s="15" t="s">
        <v>6</v>
      </c>
      <c r="AC119" s="14" t="s">
        <v>7</v>
      </c>
      <c r="AD119" s="14" t="s">
        <v>8</v>
      </c>
      <c r="AE119" s="14" t="s">
        <v>9</v>
      </c>
      <c r="AF119" s="14" t="s">
        <v>10</v>
      </c>
      <c r="AG119" s="14" t="s">
        <v>11</v>
      </c>
      <c r="AH119" s="14" t="s">
        <v>12</v>
      </c>
      <c r="AI119" s="14" t="s">
        <v>13</v>
      </c>
      <c r="AJ119" s="15" t="s">
        <v>14</v>
      </c>
      <c r="AK119" s="14" t="s">
        <v>15</v>
      </c>
      <c r="AL119" s="14" t="s">
        <v>16</v>
      </c>
      <c r="AM119" s="16" t="s">
        <v>17</v>
      </c>
      <c r="AN119" s="17" t="s">
        <v>18</v>
      </c>
      <c r="AO119" s="18" t="s">
        <v>19</v>
      </c>
      <c r="AP119" s="19" t="s">
        <v>20</v>
      </c>
      <c r="AQ119" s="19" t="s">
        <v>21</v>
      </c>
      <c r="AR119" s="20" t="s">
        <v>22</v>
      </c>
    </row>
    <row r="120" ht="15.75" customHeight="1">
      <c r="A120" s="21"/>
      <c r="B120" s="38">
        <v>7.0</v>
      </c>
      <c r="C120" s="38" t="s">
        <v>24</v>
      </c>
      <c r="D120" s="39">
        <v>37.0</v>
      </c>
      <c r="E120" s="54">
        <f>IFERROR(__xludf.DUMMYFUNCTION("COUNT(IMPORTRANGE(""https://docs.google.com/spreadsheets/d/1iuPvivSypupo44l6GtmR-2qZ3za7cTk7KzsOVp_kv2c/edit"",""5!d2:d45""))"),36.0)</f>
        <v>36</v>
      </c>
      <c r="F120" s="55">
        <f>IFERROR(__xludf.DUMMYFUNCTION("SUM(IMPORTRANGE(""https://docs.google.com/spreadsheets/d/1iuPvivSypupo44l6GtmR-2qZ3za7cTk7KzsOVp_kv2c/edit"",""5!Q2:Q45""))"),7025.716999999995)</f>
        <v>7025.717</v>
      </c>
      <c r="G120" s="54">
        <f>IFERROR(__xludf.DUMMYFUNCTION("IMPORTRANGE(""https://docs.google.com/spreadsheets/d/1iuPvivSypupo44l6GtmR-2qZ3za7cTk7KzsOVp_kv2c/edit"",""5!e53"")"),821.0)</f>
        <v>821</v>
      </c>
      <c r="H120" s="54">
        <f>IFERROR(__xludf.DUMMYFUNCTION("IMPORTRANGE(""https://docs.google.com/spreadsheets/d/1iuPvivSypupo44l6GtmR-2qZ3za7cTk7KzsOVp_kv2c/edit"",""5!e54"")"),0.0)</f>
        <v>0</v>
      </c>
      <c r="I120" s="54">
        <f t="shared" si="315"/>
        <v>821</v>
      </c>
      <c r="J120" s="54">
        <f>IFERROR(__xludf.DUMMYFUNCTION("IMPORTRANGE(""https://docs.google.com/spreadsheets/d/1iuPvivSypupo44l6GtmR-2qZ3za7cTk7KzsOVp_kv2c/edit"",""5!e57"")"),944.0)</f>
        <v>944</v>
      </c>
      <c r="K120" s="54">
        <f>IFERROR(__xludf.DUMMYFUNCTION("IMPORTRANGE(""https://docs.google.com/spreadsheets/d/1iuPvivSypupo44l6GtmR-2qZ3za7cTk7KzsOVp_kv2c/edit"",""5!e58"")"),0.0)</f>
        <v>0</v>
      </c>
      <c r="L120" s="40">
        <f t="shared" si="316"/>
        <v>944</v>
      </c>
      <c r="M120" s="40">
        <f t="shared" si="317"/>
        <v>1765</v>
      </c>
      <c r="N120" s="41">
        <f t="shared" si="318"/>
        <v>195.1588056</v>
      </c>
      <c r="O120" s="38">
        <v>1580.0</v>
      </c>
      <c r="P120" s="56">
        <f t="shared" si="319"/>
        <v>1.117088608</v>
      </c>
      <c r="Q120" s="43">
        <v>1.5</v>
      </c>
      <c r="R120" s="42">
        <f t="shared" si="320"/>
        <v>0.1674799407</v>
      </c>
      <c r="S120" s="44">
        <f t="shared" si="321"/>
        <v>0.2512199111</v>
      </c>
      <c r="T120" s="43">
        <f>F120/26.805</f>
        <v>262.1047193</v>
      </c>
      <c r="U120" s="43">
        <f t="shared" si="322"/>
        <v>7.280686646</v>
      </c>
      <c r="V120" s="40">
        <f t="shared" si="323"/>
        <v>49.02777778</v>
      </c>
      <c r="X120" s="22">
        <v>1.0</v>
      </c>
      <c r="Y120" s="22" t="s">
        <v>28</v>
      </c>
      <c r="Z120" s="22">
        <f t="shared" ref="Z120:AI120" si="332">SUM(D115)</f>
        <v>26</v>
      </c>
      <c r="AA120" s="23">
        <f t="shared" si="332"/>
        <v>26</v>
      </c>
      <c r="AB120" s="25">
        <f t="shared" si="332"/>
        <v>5185.99</v>
      </c>
      <c r="AC120" s="23">
        <f t="shared" si="332"/>
        <v>1916</v>
      </c>
      <c r="AD120" s="23">
        <f t="shared" si="332"/>
        <v>125</v>
      </c>
      <c r="AE120" s="23">
        <f t="shared" si="332"/>
        <v>2041</v>
      </c>
      <c r="AF120" s="23">
        <f t="shared" si="332"/>
        <v>2117</v>
      </c>
      <c r="AG120" s="23">
        <f t="shared" si="332"/>
        <v>95</v>
      </c>
      <c r="AH120" s="23">
        <f t="shared" si="332"/>
        <v>2212</v>
      </c>
      <c r="AI120" s="23">
        <f t="shared" si="332"/>
        <v>4253</v>
      </c>
      <c r="AJ120" s="25">
        <f t="shared" ref="AJ120:AJ126" si="335">AB120/AA120</f>
        <v>199.4611538</v>
      </c>
      <c r="AK120" s="22">
        <f t="shared" ref="AK120:AK121" si="336">SUM(O115)</f>
        <v>7315</v>
      </c>
      <c r="AL120" s="26">
        <f t="shared" ref="AL120:AL126" si="337">AI120/AK120</f>
        <v>0.5814080656</v>
      </c>
      <c r="AM120" s="27">
        <f t="shared" ref="AM120:AM121" si="338">SUM(Q115)</f>
        <v>1.5</v>
      </c>
      <c r="AN120" s="26">
        <f t="shared" ref="AN120:AN126" si="339">AO120/AM120</f>
        <v>0.5467294255</v>
      </c>
      <c r="AO120" s="28">
        <f t="shared" ref="AO120:AO126" si="340">AI120/AB120</f>
        <v>0.8200941382</v>
      </c>
      <c r="AP120" s="27">
        <f t="shared" ref="AP120:AQ120" si="333">SUM(T115)</f>
        <v>167.8476875</v>
      </c>
      <c r="AQ120" s="27">
        <f t="shared" si="333"/>
        <v>6.455680288</v>
      </c>
      <c r="AR120" s="23">
        <f t="shared" ref="AR120:AR126" si="342">AI120/AA120</f>
        <v>163.5769231</v>
      </c>
    </row>
    <row r="121" ht="15.75" customHeight="1">
      <c r="A121" s="21"/>
      <c r="B121" s="38">
        <v>8.0</v>
      </c>
      <c r="C121" s="38" t="s">
        <v>25</v>
      </c>
      <c r="D121" s="57">
        <v>27.0</v>
      </c>
      <c r="E121" s="40">
        <f>IFERROR(__xludf.DUMMYFUNCTION("COUNT(IMPORTRANGE(""https://docs.google.com/spreadsheets/d/1sqWX7UerdR9KR_duBzDNfjwbPG-3hLgV1LiN2ZVZ6Js/edit"",""5!d2:D33""))"),27.0)</f>
        <v>27</v>
      </c>
      <c r="F121" s="45">
        <f>IFERROR(__xludf.DUMMYFUNCTION("SUM(IMPORTRANGE(""https://docs.google.com/spreadsheets/d/1sqWX7UerdR9KR_duBzDNfjwbPG-3hLgV1LiN2ZVZ6Js/edit"",""5!Q2:Q33""))"),5157.852000000001)</f>
        <v>5157.852</v>
      </c>
      <c r="G121" s="40">
        <f>IFERROR(__xludf.DUMMYFUNCTION("IMPORTRANGE(""https://docs.google.com/spreadsheets/d/1sqWX7UerdR9KR_duBzDNfjwbPG-3hLgV1LiN2ZVZ6Js/edit"",""5!e40"")"),1910.0)</f>
        <v>1910</v>
      </c>
      <c r="H121" s="40">
        <f>IFERROR(__xludf.DUMMYFUNCTION("IMPORTRANGE(""https://docs.google.com/spreadsheets/d/1sqWX7UerdR9KR_duBzDNfjwbPG-3hLgV1LiN2ZVZ6Js/edit"",""5!e41"")"),282.0)</f>
        <v>282</v>
      </c>
      <c r="I121" s="40">
        <f t="shared" si="315"/>
        <v>2192</v>
      </c>
      <c r="J121" s="40">
        <f>IFERROR(__xludf.DUMMYFUNCTION("IMPORTRANGE(""https://docs.google.com/spreadsheets/d/1sqWX7UerdR9KR_duBzDNfjwbPG-3hLgV1LiN2ZVZ6Js/edit"",""5!e44"")"),2482.0)</f>
        <v>2482</v>
      </c>
      <c r="K121" s="40">
        <f>IFERROR(__xludf.DUMMYFUNCTION("IMPORTRANGE(""https://docs.google.com/spreadsheets/d/1sqWX7UerdR9KR_duBzDNfjwbPG-3hLgV1LiN2ZVZ6Js/edit"",""5!e45"")"),213.0)</f>
        <v>213</v>
      </c>
      <c r="L121" s="40">
        <f>J121+K121</f>
        <v>2695</v>
      </c>
      <c r="M121" s="40">
        <f t="shared" si="317"/>
        <v>4887</v>
      </c>
      <c r="N121" s="41">
        <f t="shared" si="318"/>
        <v>191.0315556</v>
      </c>
      <c r="O121" s="38">
        <v>6622.0</v>
      </c>
      <c r="P121" s="42">
        <f t="shared" si="319"/>
        <v>0.7379945636</v>
      </c>
      <c r="Q121" s="43">
        <v>1.5</v>
      </c>
      <c r="R121" s="42">
        <f t="shared" si="320"/>
        <v>0.631658295</v>
      </c>
      <c r="S121" s="44">
        <f t="shared" si="321"/>
        <v>0.9474874424</v>
      </c>
      <c r="T121" s="43">
        <f>F121/23.84</f>
        <v>216.3528523</v>
      </c>
      <c r="U121" s="43">
        <f t="shared" si="322"/>
        <v>8.013068606</v>
      </c>
      <c r="V121" s="40">
        <f t="shared" si="323"/>
        <v>181</v>
      </c>
      <c r="X121" s="31">
        <v>2.0</v>
      </c>
      <c r="Y121" s="31" t="s">
        <v>30</v>
      </c>
      <c r="Z121" s="31">
        <f t="shared" ref="Z121:AI121" si="334">SUM(D116)</f>
        <v>48</v>
      </c>
      <c r="AA121" s="32">
        <f t="shared" si="334"/>
        <v>46</v>
      </c>
      <c r="AB121" s="33">
        <f t="shared" si="334"/>
        <v>9185.34</v>
      </c>
      <c r="AC121" s="32">
        <f t="shared" si="334"/>
        <v>2875</v>
      </c>
      <c r="AD121" s="32">
        <f t="shared" si="334"/>
        <v>0</v>
      </c>
      <c r="AE121" s="32">
        <f t="shared" si="334"/>
        <v>2875</v>
      </c>
      <c r="AF121" s="32">
        <f t="shared" si="334"/>
        <v>4170</v>
      </c>
      <c r="AG121" s="32">
        <f t="shared" si="334"/>
        <v>0</v>
      </c>
      <c r="AH121" s="32">
        <f t="shared" si="334"/>
        <v>4170</v>
      </c>
      <c r="AI121" s="32">
        <f t="shared" si="334"/>
        <v>7045</v>
      </c>
      <c r="AJ121" s="34">
        <f t="shared" si="335"/>
        <v>199.6813043</v>
      </c>
      <c r="AK121" s="31">
        <f t="shared" si="336"/>
        <v>11164</v>
      </c>
      <c r="AL121" s="35">
        <f t="shared" si="337"/>
        <v>0.63104622</v>
      </c>
      <c r="AM121" s="36">
        <f t="shared" si="338"/>
        <v>1.5</v>
      </c>
      <c r="AN121" s="35">
        <f t="shared" si="339"/>
        <v>0.5113220269</v>
      </c>
      <c r="AO121" s="37">
        <f t="shared" si="340"/>
        <v>0.7669830404</v>
      </c>
      <c r="AP121" s="36">
        <f t="shared" ref="AP121:AQ121" si="341">SUM(T116)</f>
        <v>310.2840928</v>
      </c>
      <c r="AQ121" s="36">
        <f t="shared" si="341"/>
        <v>6.745306366</v>
      </c>
      <c r="AR121" s="32">
        <f t="shared" si="342"/>
        <v>153.1521739</v>
      </c>
    </row>
    <row r="122" ht="15.75" customHeight="1">
      <c r="A122" s="21"/>
      <c r="B122" s="38">
        <v>9.0</v>
      </c>
      <c r="C122" s="38" t="s">
        <v>36</v>
      </c>
      <c r="D122" s="58">
        <v>24.0</v>
      </c>
      <c r="E122" s="40">
        <f>IFERROR(__xludf.DUMMYFUNCTION("COUNT(IMPORTRANGE(""https://docs.google.com/spreadsheets/d/1YNna43iTSqnwwbMJgTIPHSJEoDO8RGPRFg5pJCoQR_Y/edit"",""5!d2:d31""))"),24.0)</f>
        <v>24</v>
      </c>
      <c r="F122" s="45">
        <f>IFERROR(__xludf.DUMMYFUNCTION("SUM(IMPORTRANGE(""https://docs.google.com/spreadsheets/d/1YNna43iTSqnwwbMJgTIPHSJEoDO8RGPRFg5pJCoQR_Y/edit"",""5!Q2:Q31""))"),4727.284999999999)</f>
        <v>4727.285</v>
      </c>
      <c r="G122" s="40">
        <f>IFERROR(__xludf.DUMMYFUNCTION("IMPORTRANGE(""https://docs.google.com/spreadsheets/d/1YNna43iTSqnwwbMJgTIPHSJEoDO8RGPRFg5pJCoQR_Y/edit"",""5!e38"")"),1293.0)</f>
        <v>1293</v>
      </c>
      <c r="H122" s="40">
        <f>IFERROR(__xludf.DUMMYFUNCTION("IMPORTRANGE(""https://docs.google.com/spreadsheets/d/1YNna43iTSqnwwbMJgTIPHSJEoDO8RGPRFg5pJCoQR_Y/edit"",""5!e39"")"),0.0)</f>
        <v>0</v>
      </c>
      <c r="I122" s="40">
        <f t="shared" si="315"/>
        <v>1293</v>
      </c>
      <c r="J122" s="40">
        <f>IFERROR(__xludf.DUMMYFUNCTION("IMPORTRANGE(""https://docs.google.com/spreadsheets/d/1YNna43iTSqnwwbMJgTIPHSJEoDO8RGPRFg5pJCoQR_Y/edit"",""5!e42"")"),1614.0)</f>
        <v>1614</v>
      </c>
      <c r="K122" s="40">
        <f>IFERROR(__xludf.DUMMYFUNCTION("IMPORTRANGE(""https://docs.google.com/spreadsheets/d/1YNna43iTSqnwwbMJgTIPHSJEoDO8RGPRFg5pJCoQR_Y/edit"",""5!e43"")"),0.0)</f>
        <v>0</v>
      </c>
      <c r="L122" s="40">
        <f t="shared" ref="L122:L131" si="345">SUM(J122:K122)</f>
        <v>1614</v>
      </c>
      <c r="M122" s="40">
        <f t="shared" si="317"/>
        <v>2907</v>
      </c>
      <c r="N122" s="41">
        <f t="shared" si="318"/>
        <v>196.9702083</v>
      </c>
      <c r="O122" s="38">
        <v>4796.0</v>
      </c>
      <c r="P122" s="42">
        <f t="shared" si="319"/>
        <v>0.6061301084</v>
      </c>
      <c r="Q122" s="43">
        <v>1.5</v>
      </c>
      <c r="R122" s="42">
        <f t="shared" si="320"/>
        <v>0.4099604741</v>
      </c>
      <c r="S122" s="44">
        <f t="shared" si="321"/>
        <v>0.6149407112</v>
      </c>
      <c r="T122" s="43">
        <f>F122/37.414</f>
        <v>126.3506976</v>
      </c>
      <c r="U122" s="43">
        <f t="shared" si="322"/>
        <v>5.2646124</v>
      </c>
      <c r="V122" s="40">
        <f t="shared" si="323"/>
        <v>121.125</v>
      </c>
      <c r="X122" s="22">
        <v>3.0</v>
      </c>
      <c r="Y122" s="22" t="s">
        <v>34</v>
      </c>
      <c r="Z122" s="22">
        <f t="shared" ref="Z122:AI122" si="343">SUM(D118)</f>
        <v>32</v>
      </c>
      <c r="AA122" s="23">
        <f t="shared" si="343"/>
        <v>31</v>
      </c>
      <c r="AB122" s="24">
        <f t="shared" si="343"/>
        <v>6093.198</v>
      </c>
      <c r="AC122" s="23">
        <f t="shared" si="343"/>
        <v>2113</v>
      </c>
      <c r="AD122" s="23">
        <f t="shared" si="343"/>
        <v>90</v>
      </c>
      <c r="AE122" s="23">
        <f t="shared" si="343"/>
        <v>2203</v>
      </c>
      <c r="AF122" s="23">
        <f t="shared" si="343"/>
        <v>2916</v>
      </c>
      <c r="AG122" s="23">
        <f t="shared" si="343"/>
        <v>100</v>
      </c>
      <c r="AH122" s="23">
        <f t="shared" si="343"/>
        <v>3016</v>
      </c>
      <c r="AI122" s="23">
        <f t="shared" si="343"/>
        <v>5219</v>
      </c>
      <c r="AJ122" s="25">
        <f t="shared" si="335"/>
        <v>196.5547742</v>
      </c>
      <c r="AK122" s="22">
        <f>SUM(O118)</f>
        <v>9354</v>
      </c>
      <c r="AL122" s="26">
        <f t="shared" si="337"/>
        <v>0.5579431259</v>
      </c>
      <c r="AM122" s="27">
        <f>SUM(Q118)</f>
        <v>1.5</v>
      </c>
      <c r="AN122" s="26">
        <f t="shared" si="339"/>
        <v>0.5710192469</v>
      </c>
      <c r="AO122" s="28">
        <f t="shared" si="340"/>
        <v>0.8565288704</v>
      </c>
      <c r="AP122" s="27">
        <f t="shared" ref="AP122:AQ122" si="344">SUM(T118)</f>
        <v>198.3914955</v>
      </c>
      <c r="AQ122" s="27">
        <f t="shared" si="344"/>
        <v>6.39972566</v>
      </c>
      <c r="AR122" s="23">
        <f t="shared" si="342"/>
        <v>168.3548387</v>
      </c>
    </row>
    <row r="123" ht="15.75" customHeight="1">
      <c r="A123" s="21"/>
      <c r="B123" s="38">
        <v>10.0</v>
      </c>
      <c r="C123" s="38" t="s">
        <v>37</v>
      </c>
      <c r="D123" s="39">
        <v>24.0</v>
      </c>
      <c r="E123" s="40">
        <f>IFERROR(__xludf.DUMMYFUNCTION("COUNT(IMPORTRANGE(""https://docs.google.com/spreadsheets/d/1913Df5BsXS_b-nClL8LOK5w0engQYTl1mPOiyngRtO0/edit"",""5!d2:d31""))"),23.0)</f>
        <v>23</v>
      </c>
      <c r="F123" s="45">
        <f>IFERROR(__xludf.DUMMYFUNCTION("SUM(IMPORTRANGE(""https://docs.google.com/spreadsheets/d/1913Df5BsXS_b-nClL8LOK5w0engQYTl1mPOiyngRtO0/edit"",""5!Q2:Q31""))"),4435.146)</f>
        <v>4435.146</v>
      </c>
      <c r="G123" s="40">
        <f>IFERROR(__xludf.DUMMYFUNCTION("(IMPORTRANGE(""https://docs.google.com/spreadsheets/d/1913Df5BsXS_b-nClL8LOK5w0engQYTl1mPOiyngRtO0/edit"",""5!e38""))"),1403.0)</f>
        <v>1403</v>
      </c>
      <c r="H123" s="40">
        <f>IFERROR(__xludf.DUMMYFUNCTION("(IMPORTRANGE(""https://docs.google.com/spreadsheets/d/1913Df5BsXS_b-nClL8LOK5w0engQYTl1mPOiyngRtO0/edit"",""5!e39""))"),0.0)</f>
        <v>0</v>
      </c>
      <c r="I123" s="40">
        <f t="shared" si="315"/>
        <v>1403</v>
      </c>
      <c r="J123" s="40">
        <f>IFERROR(__xludf.DUMMYFUNCTION("(IMPORTRANGE(""https://docs.google.com/spreadsheets/d/1913Df5BsXS_b-nClL8LOK5w0engQYTl1mPOiyngRtO0/edit"",""5!e42""))"),2367.0)</f>
        <v>2367</v>
      </c>
      <c r="K123" s="40">
        <f>IFERROR(__xludf.DUMMYFUNCTION("(IMPORTRANGE(""https://docs.google.com/spreadsheets/d/1913Df5BsXS_b-nClL8LOK5w0engQYTl1mPOiyngRtO0/edit"",""5!e43""))"),0.0)</f>
        <v>0</v>
      </c>
      <c r="L123" s="40">
        <f t="shared" si="345"/>
        <v>2367</v>
      </c>
      <c r="M123" s="40">
        <f t="shared" si="317"/>
        <v>3770</v>
      </c>
      <c r="N123" s="41">
        <f t="shared" si="318"/>
        <v>192.8324348</v>
      </c>
      <c r="O123" s="38">
        <v>5887.0</v>
      </c>
      <c r="P123" s="42">
        <f t="shared" si="319"/>
        <v>0.6403940887</v>
      </c>
      <c r="Q123" s="43">
        <v>1.5</v>
      </c>
      <c r="R123" s="42">
        <f t="shared" si="320"/>
        <v>0.5666855913</v>
      </c>
      <c r="S123" s="44">
        <f t="shared" si="321"/>
        <v>0.8500283869</v>
      </c>
      <c r="T123" s="43">
        <f>F123/24.792</f>
        <v>178.8942401</v>
      </c>
      <c r="U123" s="43">
        <f t="shared" si="322"/>
        <v>7.778010438</v>
      </c>
      <c r="V123" s="40">
        <f t="shared" si="323"/>
        <v>163.9130435</v>
      </c>
      <c r="X123" s="31">
        <v>4.0</v>
      </c>
      <c r="Y123" s="31" t="s">
        <v>38</v>
      </c>
      <c r="Z123" s="31">
        <f t="shared" ref="Z123:AI123" si="346">SUM(D126)</f>
        <v>24</v>
      </c>
      <c r="AA123" s="32">
        <f t="shared" si="346"/>
        <v>24</v>
      </c>
      <c r="AB123" s="33">
        <f t="shared" si="346"/>
        <v>4471.258</v>
      </c>
      <c r="AC123" s="32">
        <f t="shared" si="346"/>
        <v>1489</v>
      </c>
      <c r="AD123" s="32">
        <f t="shared" si="346"/>
        <v>0</v>
      </c>
      <c r="AE123" s="32">
        <f t="shared" si="346"/>
        <v>1489</v>
      </c>
      <c r="AF123" s="32">
        <f t="shared" si="346"/>
        <v>2493</v>
      </c>
      <c r="AG123" s="32">
        <f t="shared" si="346"/>
        <v>176</v>
      </c>
      <c r="AH123" s="32">
        <f t="shared" si="346"/>
        <v>2669</v>
      </c>
      <c r="AI123" s="32">
        <f t="shared" si="346"/>
        <v>4158</v>
      </c>
      <c r="AJ123" s="34">
        <f t="shared" si="335"/>
        <v>186.3024167</v>
      </c>
      <c r="AK123" s="31">
        <v>7324.0</v>
      </c>
      <c r="AL123" s="35">
        <f t="shared" si="337"/>
        <v>0.567722556</v>
      </c>
      <c r="AM123" s="36">
        <f>SUM(Q126)</f>
        <v>1.5</v>
      </c>
      <c r="AN123" s="35">
        <f t="shared" si="339"/>
        <v>0.6199597518</v>
      </c>
      <c r="AO123" s="37">
        <f t="shared" si="340"/>
        <v>0.9299396277</v>
      </c>
      <c r="AP123" s="36">
        <f t="shared" ref="AP123:AQ123" si="347">SUM(T126)</f>
        <v>108.5125106</v>
      </c>
      <c r="AQ123" s="36">
        <f t="shared" si="347"/>
        <v>4.521354609</v>
      </c>
      <c r="AR123" s="32">
        <f t="shared" si="342"/>
        <v>173.25</v>
      </c>
    </row>
    <row r="124" ht="15.75" customHeight="1">
      <c r="A124" s="21"/>
      <c r="B124" s="38">
        <v>12.0</v>
      </c>
      <c r="C124" s="38" t="s">
        <v>39</v>
      </c>
      <c r="D124" s="39">
        <v>22.0</v>
      </c>
      <c r="E124" s="40">
        <f>IFERROR(__xludf.DUMMYFUNCTION("COUNT(IMPORTRANGE(""https://docs.google.com/spreadsheets/d/1wMeol_MpSIcocGxt3WZGl46mJ2tc80mANPvP_YzaP18/edit"",""5!d2:d29""))"),22.0)</f>
        <v>22</v>
      </c>
      <c r="F124" s="45">
        <f>IFERROR(__xludf.DUMMYFUNCTION("SUM(IMPORTRANGE(""https://docs.google.com/spreadsheets/d/1wMeol_MpSIcocGxt3WZGl46mJ2tc80mANPvP_YzaP18/edit"",""5!Q2:Q29""))"),4340.982999999999)</f>
        <v>4340.983</v>
      </c>
      <c r="G124" s="40">
        <f>IFERROR(__xludf.DUMMYFUNCTION("IMPORTRANGE(""https://docs.google.com/spreadsheets/d/1wMeol_MpSIcocGxt3WZGl46mJ2tc80mANPvP_YzaP18/edit"",""5!e36"")"),1018.0)</f>
        <v>1018</v>
      </c>
      <c r="H124" s="40">
        <f>IFERROR(__xludf.DUMMYFUNCTION("(IMPORTRANGE(""https://docs.google.com/spreadsheets/d/1wMeol_MpSIcocGxt3WZGl46mJ2tc80mANPvP_YzaP18/edit"",""5!e37""))"),0.0)</f>
        <v>0</v>
      </c>
      <c r="I124" s="40">
        <f t="shared" si="315"/>
        <v>1018</v>
      </c>
      <c r="J124" s="40">
        <f>IFERROR(__xludf.DUMMYFUNCTION("IMPORTRANGE(""https://docs.google.com/spreadsheets/d/1wMeol_MpSIcocGxt3WZGl46mJ2tc80mANPvP_YzaP18/edit"",""5!e40"")"),1817.0)</f>
        <v>1817</v>
      </c>
      <c r="K124" s="40">
        <f>IFERROR(__xludf.DUMMYFUNCTION("IMPORTRANGE(""https://docs.google.com/spreadsheets/d/1wMeol_MpSIcocGxt3WZGl46mJ2tc80mANPvP_YzaP18/edit"",""5!e41"")"),0.0)</f>
        <v>0</v>
      </c>
      <c r="L124" s="40">
        <f t="shared" si="345"/>
        <v>1817</v>
      </c>
      <c r="M124" s="40">
        <f t="shared" si="317"/>
        <v>2835</v>
      </c>
      <c r="N124" s="41">
        <f t="shared" si="318"/>
        <v>197.3174091</v>
      </c>
      <c r="O124" s="38">
        <v>3569.0</v>
      </c>
      <c r="P124" s="42">
        <f t="shared" si="319"/>
        <v>0.7943401513</v>
      </c>
      <c r="Q124" s="43">
        <v>1.5</v>
      </c>
      <c r="R124" s="42">
        <f t="shared" si="320"/>
        <v>0.4353852572</v>
      </c>
      <c r="S124" s="44">
        <f t="shared" si="321"/>
        <v>0.6530778858</v>
      </c>
      <c r="T124" s="43">
        <f>F124/21.463</f>
        <v>202.2542515</v>
      </c>
      <c r="U124" s="43">
        <f t="shared" si="322"/>
        <v>9.193375068</v>
      </c>
      <c r="V124" s="40">
        <f t="shared" si="323"/>
        <v>128.8636364</v>
      </c>
      <c r="X124" s="31">
        <v>5.0</v>
      </c>
      <c r="Y124" s="31" t="s">
        <v>40</v>
      </c>
      <c r="Z124" s="31">
        <f t="shared" ref="Z124:AI124" si="348">SUM(D128)</f>
        <v>24</v>
      </c>
      <c r="AA124" s="32">
        <f t="shared" si="348"/>
        <v>24</v>
      </c>
      <c r="AB124" s="33">
        <f t="shared" si="348"/>
        <v>4365.334</v>
      </c>
      <c r="AC124" s="32">
        <f t="shared" si="348"/>
        <v>2551</v>
      </c>
      <c r="AD124" s="32">
        <f t="shared" si="348"/>
        <v>0</v>
      </c>
      <c r="AE124" s="32">
        <f t="shared" si="348"/>
        <v>2551</v>
      </c>
      <c r="AF124" s="32">
        <f t="shared" si="348"/>
        <v>2808</v>
      </c>
      <c r="AG124" s="32">
        <f t="shared" si="348"/>
        <v>0</v>
      </c>
      <c r="AH124" s="32">
        <f t="shared" si="348"/>
        <v>2808</v>
      </c>
      <c r="AI124" s="32">
        <f t="shared" si="348"/>
        <v>5359</v>
      </c>
      <c r="AJ124" s="34">
        <f t="shared" si="335"/>
        <v>181.8889167</v>
      </c>
      <c r="AK124" s="31">
        <f t="shared" ref="AK124:AK125" si="351">SUM(O128)</f>
        <v>8239</v>
      </c>
      <c r="AL124" s="35">
        <f t="shared" si="337"/>
        <v>0.6504430149</v>
      </c>
      <c r="AM124" s="36">
        <f t="shared" ref="AM124:AM125" si="352">SUM(Q128)</f>
        <v>1.5</v>
      </c>
      <c r="AN124" s="35">
        <f t="shared" si="339"/>
        <v>0.8184177125</v>
      </c>
      <c r="AO124" s="37">
        <f t="shared" si="340"/>
        <v>1.227626569</v>
      </c>
      <c r="AP124" s="36">
        <f t="shared" ref="AP124:AQ124" si="349">SUM(T128)</f>
        <v>153.4765672</v>
      </c>
      <c r="AQ124" s="36">
        <f t="shared" si="349"/>
        <v>6.394856965</v>
      </c>
      <c r="AR124" s="32">
        <f t="shared" si="342"/>
        <v>223.2916667</v>
      </c>
    </row>
    <row r="125" ht="15.75" customHeight="1">
      <c r="A125" s="21"/>
      <c r="B125" s="38">
        <v>12.0</v>
      </c>
      <c r="C125" s="38" t="s">
        <v>41</v>
      </c>
      <c r="D125" s="39">
        <v>20.0</v>
      </c>
      <c r="E125" s="40">
        <f>IFERROR(__xludf.DUMMYFUNCTION("COUNT(IMPORTRANGE(""https://docs.google.com/spreadsheets/d/1sHk6_yuc4kORC_xnhEeazoemV_hVUQVqRpfoNae-PLk/edit"",""5!d2:d25""))"),20.0)</f>
        <v>20</v>
      </c>
      <c r="F125" s="45">
        <f>IFERROR(__xludf.DUMMYFUNCTION("SUM(IMPORTRANGE(""https://docs.google.com/spreadsheets/d/1sHk6_yuc4kORC_xnhEeazoemV_hVUQVqRpfoNae-PLk/edit"",""5!Q2:Q25""))"),3891.144000000001)</f>
        <v>3891.144</v>
      </c>
      <c r="G125" s="40">
        <f>IFERROR(__xludf.DUMMYFUNCTION("IMPORTRANGE(""https://docs.google.com/spreadsheets/d/1sHk6_yuc4kORC_xnhEeazoemV_hVUQVqRpfoNae-PLk/edit"",""5!e32"")"),935.0)</f>
        <v>935</v>
      </c>
      <c r="H125" s="40">
        <f>IFERROR(__xludf.DUMMYFUNCTION("IMPORTRANGE(""https://docs.google.com/spreadsheets/d/1sHk6_yuc4kORC_xnhEeazoemV_hVUQVqRpfoNae-PLk/edit"",""5!e33"")"),0.0)</f>
        <v>0</v>
      </c>
      <c r="I125" s="40">
        <f t="shared" si="315"/>
        <v>935</v>
      </c>
      <c r="J125" s="40">
        <f>IFERROR(__xludf.DUMMYFUNCTION("IMPORTRANGE(""https://docs.google.com/spreadsheets/d/1sHk6_yuc4kORC_xnhEeazoemV_hVUQVqRpfoNae-PLk/edit"",""5!e36"")"),1309.0)</f>
        <v>1309</v>
      </c>
      <c r="K125" s="40">
        <f>IFERROR(__xludf.DUMMYFUNCTION("IMPORTRANGE(""https://docs.google.com/spreadsheets/d/1sHk6_yuc4kORC_xnhEeazoemV_hVUQVqRpfoNae-PLk/edit"",""5!e37"")"),0.0)</f>
        <v>0</v>
      </c>
      <c r="L125" s="40">
        <f t="shared" si="345"/>
        <v>1309</v>
      </c>
      <c r="M125" s="40">
        <f t="shared" si="317"/>
        <v>2244</v>
      </c>
      <c r="N125" s="41">
        <f t="shared" si="318"/>
        <v>194.5572</v>
      </c>
      <c r="O125" s="38">
        <v>3801.0</v>
      </c>
      <c r="P125" s="42">
        <f t="shared" si="319"/>
        <v>0.590370955</v>
      </c>
      <c r="Q125" s="43">
        <v>1.5</v>
      </c>
      <c r="R125" s="42">
        <f t="shared" si="320"/>
        <v>0.3844627698</v>
      </c>
      <c r="S125" s="44">
        <f t="shared" si="321"/>
        <v>0.5766941547</v>
      </c>
      <c r="T125" s="43">
        <f>F125/29.628</f>
        <v>131.3333333</v>
      </c>
      <c r="U125" s="43">
        <f t="shared" si="322"/>
        <v>6.566666667</v>
      </c>
      <c r="V125" s="40">
        <f t="shared" si="323"/>
        <v>112.2</v>
      </c>
      <c r="X125" s="22">
        <v>6.0</v>
      </c>
      <c r="Y125" s="22" t="s">
        <v>42</v>
      </c>
      <c r="Z125" s="22">
        <f t="shared" ref="Z125:AI125" si="350">SUM(D129)</f>
        <v>26</v>
      </c>
      <c r="AA125" s="23">
        <f t="shared" si="350"/>
        <v>26</v>
      </c>
      <c r="AB125" s="24">
        <f t="shared" si="350"/>
        <v>5021.76</v>
      </c>
      <c r="AC125" s="23">
        <f t="shared" si="350"/>
        <v>2255</v>
      </c>
      <c r="AD125" s="23">
        <f t="shared" si="350"/>
        <v>0</v>
      </c>
      <c r="AE125" s="23">
        <f t="shared" si="350"/>
        <v>2255</v>
      </c>
      <c r="AF125" s="23">
        <f t="shared" si="350"/>
        <v>2990</v>
      </c>
      <c r="AG125" s="23">
        <f t="shared" si="350"/>
        <v>32</v>
      </c>
      <c r="AH125" s="23">
        <f t="shared" si="350"/>
        <v>3022</v>
      </c>
      <c r="AI125" s="23">
        <f t="shared" si="350"/>
        <v>5277</v>
      </c>
      <c r="AJ125" s="25">
        <f t="shared" si="335"/>
        <v>193.1446154</v>
      </c>
      <c r="AK125" s="22">
        <f t="shared" si="351"/>
        <v>9877</v>
      </c>
      <c r="AL125" s="26">
        <f t="shared" si="337"/>
        <v>0.5342715399</v>
      </c>
      <c r="AM125" s="27">
        <f t="shared" si="352"/>
        <v>1.5</v>
      </c>
      <c r="AN125" s="26">
        <f t="shared" si="339"/>
        <v>0.7005512012</v>
      </c>
      <c r="AO125" s="28">
        <f t="shared" si="340"/>
        <v>1.050826802</v>
      </c>
      <c r="AP125" s="27">
        <f t="shared" ref="AP125:AQ125" si="353">SUM(T129)</f>
        <v>192</v>
      </c>
      <c r="AQ125" s="27">
        <f t="shared" si="353"/>
        <v>7.384615385</v>
      </c>
      <c r="AR125" s="23">
        <f t="shared" si="342"/>
        <v>202.9615385</v>
      </c>
    </row>
    <row r="126" ht="15.75" customHeight="1">
      <c r="A126" s="21"/>
      <c r="B126" s="38">
        <v>13.0</v>
      </c>
      <c r="C126" s="38" t="s">
        <v>43</v>
      </c>
      <c r="D126" s="39">
        <v>24.0</v>
      </c>
      <c r="E126" s="40">
        <f>IFERROR(__xludf.DUMMYFUNCTION("COUNT(IMPORTRANGE(""https://docs.google.com/spreadsheets/d/1uGXvAN2jA6kmcEHUY4KqOHHewllZsujDdA6KVDfBCoA/edit"",""5!d2:d31""))"),24.0)</f>
        <v>24</v>
      </c>
      <c r="F126" s="45">
        <f>IFERROR(__xludf.DUMMYFUNCTION("SUM(IMPORTRANGE(""https://docs.google.com/spreadsheets/d/1uGXvAN2jA6kmcEHUY4KqOHHewllZsujDdA6KVDfBCoA/edit"",""5!Q2:Q31""))"),4471.258)</f>
        <v>4471.258</v>
      </c>
      <c r="G126" s="40">
        <f>IFERROR(__xludf.DUMMYFUNCTION("IMPORTRANGE(""https://docs.google.com/spreadsheets/d/1uGXvAN2jA6kmcEHUY4KqOHHewllZsujDdA6KVDfBCoA/edit"",""5!e38"")"),1489.0)</f>
        <v>1489</v>
      </c>
      <c r="H126" s="40">
        <f>IFERROR(__xludf.DUMMYFUNCTION("IMPORTRANGE(""https://docs.google.com/spreadsheets/d/1uGXvAN2jA6kmcEHUY4KqOHHewllZsujDdA6KVDfBCoA/edit"",""5!e39"")"),0.0)</f>
        <v>0</v>
      </c>
      <c r="I126" s="40">
        <f t="shared" si="315"/>
        <v>1489</v>
      </c>
      <c r="J126" s="40">
        <f>IFERROR(__xludf.DUMMYFUNCTION("IMPORTRANGE(""https://docs.google.com/spreadsheets/d/1uGXvAN2jA6kmcEHUY4KqOHHewllZsujDdA6KVDfBCoA/edit"",""5!e42"")"),2493.0)</f>
        <v>2493</v>
      </c>
      <c r="K126" s="40">
        <f>IFERROR(__xludf.DUMMYFUNCTION("IMPORTRANGE(""https://docs.google.com/spreadsheets/d/1uGXvAN2jA6kmcEHUY4KqOHHewllZsujDdA6KVDfBCoA/edit"",""5!e43"")"),176.0)</f>
        <v>176</v>
      </c>
      <c r="L126" s="40">
        <f t="shared" si="345"/>
        <v>2669</v>
      </c>
      <c r="M126" s="40">
        <f t="shared" si="317"/>
        <v>4158</v>
      </c>
      <c r="N126" s="41">
        <f t="shared" si="318"/>
        <v>186.3024167</v>
      </c>
      <c r="O126" s="38">
        <v>8345.0</v>
      </c>
      <c r="P126" s="42">
        <f t="shared" si="319"/>
        <v>0.4982624326</v>
      </c>
      <c r="Q126" s="43">
        <v>1.5</v>
      </c>
      <c r="R126" s="42">
        <f t="shared" si="320"/>
        <v>0.6199597518</v>
      </c>
      <c r="S126" s="44">
        <f t="shared" si="321"/>
        <v>0.9299396277</v>
      </c>
      <c r="T126" s="43">
        <f>F126/41.205</f>
        <v>108.5125106</v>
      </c>
      <c r="U126" s="43">
        <f t="shared" si="322"/>
        <v>4.521354609</v>
      </c>
      <c r="V126" s="40">
        <f t="shared" si="323"/>
        <v>173.25</v>
      </c>
      <c r="X126" s="46" t="s">
        <v>33</v>
      </c>
      <c r="Y126" s="46">
        <v>6.0</v>
      </c>
      <c r="Z126" s="46">
        <f t="shared" ref="Z126:AI126" si="354">SUM(Z120:Z125)</f>
        <v>180</v>
      </c>
      <c r="AA126" s="47">
        <f t="shared" si="354"/>
        <v>177</v>
      </c>
      <c r="AB126" s="49">
        <f t="shared" si="354"/>
        <v>34322.88</v>
      </c>
      <c r="AC126" s="47">
        <f t="shared" si="354"/>
        <v>13199</v>
      </c>
      <c r="AD126" s="47">
        <f t="shared" si="354"/>
        <v>215</v>
      </c>
      <c r="AE126" s="47">
        <f t="shared" si="354"/>
        <v>13414</v>
      </c>
      <c r="AF126" s="47">
        <f t="shared" si="354"/>
        <v>17494</v>
      </c>
      <c r="AG126" s="47">
        <f t="shared" si="354"/>
        <v>403</v>
      </c>
      <c r="AH126" s="47">
        <f t="shared" si="354"/>
        <v>17897</v>
      </c>
      <c r="AI126" s="47">
        <f t="shared" si="354"/>
        <v>31311</v>
      </c>
      <c r="AJ126" s="49">
        <f t="shared" si="335"/>
        <v>193.9145763</v>
      </c>
      <c r="AK126" s="46">
        <f>SUM(AK120:AK125)</f>
        <v>53273</v>
      </c>
      <c r="AL126" s="50">
        <f t="shared" si="337"/>
        <v>0.5877461378</v>
      </c>
      <c r="AM126" s="51">
        <v>1.5</v>
      </c>
      <c r="AN126" s="50">
        <f t="shared" si="339"/>
        <v>0.6081657483</v>
      </c>
      <c r="AO126" s="52">
        <f t="shared" si="340"/>
        <v>0.9122486225</v>
      </c>
      <c r="AP126" s="51">
        <f>SUM(AP120:AP125)</f>
        <v>1130.512354</v>
      </c>
      <c r="AQ126" s="51">
        <f>AP126/AA126</f>
        <v>6.387075444</v>
      </c>
      <c r="AR126" s="47">
        <f t="shared" si="342"/>
        <v>176.8983051</v>
      </c>
    </row>
    <row r="127" ht="15.75" customHeight="1">
      <c r="A127" s="21"/>
      <c r="B127" s="38">
        <v>14.0</v>
      </c>
      <c r="C127" s="38" t="s">
        <v>27</v>
      </c>
      <c r="D127" s="39">
        <v>24.0</v>
      </c>
      <c r="E127" s="40">
        <f>IFERROR(__xludf.DUMMYFUNCTION("COUNT(IMPORTRANGE(""https://docs.google.com/spreadsheets/d/1iYtf3wkjJIgOL8ej0-L89wY8FLXKi6EiRbi9UqA1Bzw/edit"",""5!d2:d31""))"),24.0)</f>
        <v>24</v>
      </c>
      <c r="F127" s="45">
        <f>IFERROR(__xludf.DUMMYFUNCTION("SUM(IMPORTRANGE(""https://docs.google.com/spreadsheets/d/1iYtf3wkjJIgOL8ej0-L89wY8FLXKi6EiRbi9UqA1Bzw/edit"",""5!Q2:Q31""))"),4766.284999999999)</f>
        <v>4766.285</v>
      </c>
      <c r="G127" s="40">
        <f>IFERROR(__xludf.DUMMYFUNCTION("IMPORTRANGE(""https://docs.google.com/spreadsheets/d/1iYtf3wkjJIgOL8ej0-L89wY8FLXKi6EiRbi9UqA1Bzw/edit"",""5!e38"")"),1649.0)</f>
        <v>1649</v>
      </c>
      <c r="H127" s="40">
        <f>IFERROR(__xludf.DUMMYFUNCTION("IMPORTRANGE(""https://docs.google.com/spreadsheets/d/1iYtf3wkjJIgOL8ej0-L89wY8FLXKi6EiRbi9UqA1Bzw/edit"",""5!e39"")"),150.0)</f>
        <v>150</v>
      </c>
      <c r="I127" s="40">
        <f t="shared" si="315"/>
        <v>1799</v>
      </c>
      <c r="J127" s="40">
        <f>IFERROR(__xludf.DUMMYFUNCTION("IMPORTRANGE(""https://docs.google.com/spreadsheets/d/1iYtf3wkjJIgOL8ej0-L89wY8FLXKi6EiRbi9UqA1Bzw/edit"",""5!e42"")"),2264.0)</f>
        <v>2264</v>
      </c>
      <c r="K127" s="40">
        <f>IFERROR(__xludf.DUMMYFUNCTION("IMPORTRANGE(""https://docs.google.com/spreadsheets/d/1iYtf3wkjJIgOL8ej0-L89wY8FLXKi6EiRbi9UqA1Bzw/edit"",""5!e43"")"),170.0)</f>
        <v>170</v>
      </c>
      <c r="L127" s="40">
        <f t="shared" si="345"/>
        <v>2434</v>
      </c>
      <c r="M127" s="40">
        <f t="shared" si="317"/>
        <v>4233</v>
      </c>
      <c r="N127" s="41">
        <f t="shared" si="318"/>
        <v>198.5952083</v>
      </c>
      <c r="O127" s="38">
        <v>8101.0</v>
      </c>
      <c r="P127" s="42">
        <f t="shared" si="319"/>
        <v>0.522528083</v>
      </c>
      <c r="Q127" s="43">
        <v>1.5</v>
      </c>
      <c r="R127" s="42">
        <f t="shared" si="320"/>
        <v>0.5920753795</v>
      </c>
      <c r="S127" s="44">
        <f t="shared" si="321"/>
        <v>0.8881130692</v>
      </c>
      <c r="T127" s="43">
        <f>F127/19.985</f>
        <v>238.4931198</v>
      </c>
      <c r="U127" s="43">
        <f t="shared" si="322"/>
        <v>9.937213327</v>
      </c>
      <c r="V127" s="40">
        <f t="shared" si="323"/>
        <v>176.375</v>
      </c>
      <c r="X127" s="59" t="s">
        <v>44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6"/>
    </row>
    <row r="128" ht="15.75" customHeight="1">
      <c r="A128" s="21"/>
      <c r="B128" s="38">
        <v>15.0</v>
      </c>
      <c r="C128" s="38" t="s">
        <v>40</v>
      </c>
      <c r="D128" s="39">
        <v>24.0</v>
      </c>
      <c r="E128" s="40">
        <f>IFERROR(__xludf.DUMMYFUNCTION("COUNT(IMPORTRANGE(""https://docs.google.com/spreadsheets/d/1Wdf8MsoDBzMSsrzOXwaGQzbVjVqOWfKSqYmbncevZgA/edit"",""5!d2:d31""))"),24.0)</f>
        <v>24</v>
      </c>
      <c r="F128" s="45">
        <f>IFERROR(__xludf.DUMMYFUNCTION("SUM(IMPORTRANGE(""https://docs.google.com/spreadsheets/d/1Wdf8MsoDBzMSsrzOXwaGQzbVjVqOWfKSqYmbncevZgA/edit"",""5!Q2:Q31""))"),4365.334000000002)</f>
        <v>4365.334</v>
      </c>
      <c r="G128" s="40">
        <f>IFERROR(__xludf.DUMMYFUNCTION("IMPORTRANGE(""https://docs.google.com/spreadsheets/d/1Wdf8MsoDBzMSsrzOXwaGQzbVjVqOWfKSqYmbncevZgA/edit"",""5!e38"")"),2551.0)</f>
        <v>2551</v>
      </c>
      <c r="H128" s="40">
        <f>IFERROR(__xludf.DUMMYFUNCTION("IMPORTRANGE(""https://docs.google.com/spreadsheets/d/1Wdf8MsoDBzMSsrzOXwaGQzbVjVqOWfKSqYmbncevZgA/edit"",""5!e39"")"),0.0)</f>
        <v>0</v>
      </c>
      <c r="I128" s="40">
        <f t="shared" si="315"/>
        <v>2551</v>
      </c>
      <c r="J128" s="40">
        <f>IFERROR(__xludf.DUMMYFUNCTION("IMPORTRANGE(""https://docs.google.com/spreadsheets/d/1Wdf8MsoDBzMSsrzOXwaGQzbVjVqOWfKSqYmbncevZgA/edit"",""5!e42"")"),2808.0)</f>
        <v>2808</v>
      </c>
      <c r="K128" s="40">
        <f>IFERROR(__xludf.DUMMYFUNCTION("IMPORTRANGE(""https://docs.google.com/spreadsheets/d/1Wdf8MsoDBzMSsrzOXwaGQzbVjVqOWfKSqYmbncevZgA/edit"",""5!e43"")"),0.0)</f>
        <v>0</v>
      </c>
      <c r="L128" s="40">
        <f t="shared" si="345"/>
        <v>2808</v>
      </c>
      <c r="M128" s="40">
        <f t="shared" si="317"/>
        <v>5359</v>
      </c>
      <c r="N128" s="41">
        <f t="shared" si="318"/>
        <v>181.8889167</v>
      </c>
      <c r="O128" s="38">
        <v>8239.0</v>
      </c>
      <c r="P128" s="42">
        <f t="shared" si="319"/>
        <v>0.6504430149</v>
      </c>
      <c r="Q128" s="43">
        <v>1.5</v>
      </c>
      <c r="R128" s="42">
        <f t="shared" si="320"/>
        <v>0.8184177125</v>
      </c>
      <c r="S128" s="44">
        <f t="shared" si="321"/>
        <v>1.227626569</v>
      </c>
      <c r="T128" s="43">
        <f>F128/28.443</f>
        <v>153.4765672</v>
      </c>
      <c r="U128" s="43">
        <f t="shared" si="322"/>
        <v>6.394856965</v>
      </c>
      <c r="V128" s="40">
        <f t="shared" si="323"/>
        <v>223.2916667</v>
      </c>
      <c r="X128" s="14" t="s">
        <v>2</v>
      </c>
      <c r="Y128" s="14" t="s">
        <v>3</v>
      </c>
      <c r="Z128" s="14" t="s">
        <v>4</v>
      </c>
      <c r="AA128" s="14" t="s">
        <v>5</v>
      </c>
      <c r="AB128" s="15" t="s">
        <v>6</v>
      </c>
      <c r="AC128" s="14" t="s">
        <v>7</v>
      </c>
      <c r="AD128" s="14" t="s">
        <v>8</v>
      </c>
      <c r="AE128" s="14" t="s">
        <v>9</v>
      </c>
      <c r="AF128" s="14" t="s">
        <v>10</v>
      </c>
      <c r="AG128" s="14" t="s">
        <v>11</v>
      </c>
      <c r="AH128" s="14" t="s">
        <v>12</v>
      </c>
      <c r="AI128" s="14" t="s">
        <v>13</v>
      </c>
      <c r="AJ128" s="15" t="s">
        <v>14</v>
      </c>
      <c r="AK128" s="14" t="s">
        <v>15</v>
      </c>
      <c r="AL128" s="14" t="s">
        <v>16</v>
      </c>
      <c r="AM128" s="16" t="s">
        <v>17</v>
      </c>
      <c r="AN128" s="17" t="s">
        <v>18</v>
      </c>
      <c r="AO128" s="18" t="s">
        <v>19</v>
      </c>
      <c r="AP128" s="19" t="s">
        <v>20</v>
      </c>
      <c r="AQ128" s="19" t="s">
        <v>21</v>
      </c>
      <c r="AR128" s="20" t="s">
        <v>22</v>
      </c>
    </row>
    <row r="129" ht="15.75" customHeight="1">
      <c r="A129" s="21"/>
      <c r="B129" s="38">
        <v>16.0</v>
      </c>
      <c r="C129" s="38" t="s">
        <v>42</v>
      </c>
      <c r="D129" s="39">
        <v>26.0</v>
      </c>
      <c r="E129" s="40">
        <f>IFERROR(__xludf.DUMMYFUNCTION("COUNT(IMPORTRANGE(""https://docs.google.com/spreadsheets/d/1Z5uB5HbeAKcHmG4EOw3rf2J8NpyvDiha6RReERAMvA0/edit"",""5!d2:d34""))"),26.0)</f>
        <v>26</v>
      </c>
      <c r="F129" s="45">
        <f>IFERROR(__xludf.DUMMYFUNCTION("SUM(IMPORTRANGE(""https://docs.google.com/spreadsheets/d/1Z5uB5HbeAKcHmG4EOw3rf2J8NpyvDiha6RReERAMvA0/edit"",""5!Q2:Q34""))"),5021.759999999998)</f>
        <v>5021.76</v>
      </c>
      <c r="G129" s="40">
        <f>IFERROR(__xludf.DUMMYFUNCTION("IMPORTRANGE(""https://docs.google.com/spreadsheets/d/1Z5uB5HbeAKcHmG4EOw3rf2J8NpyvDiha6RReERAMvA0/edit"",""5!e41"")"),2255.0)</f>
        <v>2255</v>
      </c>
      <c r="H129" s="40">
        <f>IFERROR(__xludf.DUMMYFUNCTION("IMPORTRANGE(""https://docs.google.com/spreadsheets/d/1Z5uB5HbeAKcHmG4EOw3rf2J8NpyvDiha6RReERAMvA0/edit"",""5!e42"")"),0.0)</f>
        <v>0</v>
      </c>
      <c r="I129" s="40">
        <f t="shared" si="315"/>
        <v>2255</v>
      </c>
      <c r="J129" s="40">
        <f>IFERROR(__xludf.DUMMYFUNCTION("IMPORTRANGE(""https://docs.google.com/spreadsheets/d/1Z5uB5HbeAKcHmG4EOw3rf2J8NpyvDiha6RReERAMvA0/edit"",""5!e45"")"),2990.0)</f>
        <v>2990</v>
      </c>
      <c r="K129" s="40">
        <f>IFERROR(__xludf.DUMMYFUNCTION("IMPORTRANGE(""https://docs.google.com/spreadsheets/d/1Z5uB5HbeAKcHmG4EOw3rf2J8NpyvDiha6RReERAMvA0/edit"",""5!e46"")"),32.0)</f>
        <v>32</v>
      </c>
      <c r="L129" s="40">
        <f t="shared" si="345"/>
        <v>3022</v>
      </c>
      <c r="M129" s="40">
        <f t="shared" si="317"/>
        <v>5277</v>
      </c>
      <c r="N129" s="41">
        <f t="shared" si="318"/>
        <v>193.1446154</v>
      </c>
      <c r="O129" s="38">
        <v>9877.0</v>
      </c>
      <c r="P129" s="42">
        <f t="shared" si="319"/>
        <v>0.5342715399</v>
      </c>
      <c r="Q129" s="43">
        <v>1.5</v>
      </c>
      <c r="R129" s="42">
        <f t="shared" si="320"/>
        <v>0.7005512012</v>
      </c>
      <c r="S129" s="44">
        <f t="shared" si="321"/>
        <v>1.050826802</v>
      </c>
      <c r="T129" s="43">
        <f>F129/26.155</f>
        <v>192</v>
      </c>
      <c r="U129" s="43">
        <f t="shared" si="322"/>
        <v>7.384615385</v>
      </c>
      <c r="V129" s="40">
        <f t="shared" si="323"/>
        <v>202.9615385</v>
      </c>
      <c r="X129" s="31">
        <v>1.0</v>
      </c>
      <c r="Y129" s="31" t="s">
        <v>26</v>
      </c>
      <c r="Z129" s="31">
        <f t="shared" ref="Z129:AI129" si="355">SUM(D114)</f>
        <v>16</v>
      </c>
      <c r="AA129" s="32">
        <f t="shared" si="355"/>
        <v>16</v>
      </c>
      <c r="AB129" s="34">
        <f t="shared" si="355"/>
        <v>3078.138</v>
      </c>
      <c r="AC129" s="32">
        <f t="shared" si="355"/>
        <v>1745</v>
      </c>
      <c r="AD129" s="32">
        <f t="shared" si="355"/>
        <v>0</v>
      </c>
      <c r="AE129" s="32">
        <f t="shared" si="355"/>
        <v>1745</v>
      </c>
      <c r="AF129" s="32">
        <f t="shared" si="355"/>
        <v>1782</v>
      </c>
      <c r="AG129" s="32">
        <f t="shared" si="355"/>
        <v>205</v>
      </c>
      <c r="AH129" s="32">
        <f t="shared" si="355"/>
        <v>1987</v>
      </c>
      <c r="AI129" s="32">
        <f t="shared" si="355"/>
        <v>3732</v>
      </c>
      <c r="AJ129" s="34">
        <f t="shared" ref="AJ129:AJ135" si="358">AB129/AA129</f>
        <v>192.383625</v>
      </c>
      <c r="AK129" s="31">
        <f>SUM(O114)</f>
        <v>5161</v>
      </c>
      <c r="AL129" s="35">
        <f t="shared" ref="AL129:AL135" si="359">AI129/AK129</f>
        <v>0.7231156753</v>
      </c>
      <c r="AM129" s="36">
        <f>SUM(Q114)</f>
        <v>1.5</v>
      </c>
      <c r="AN129" s="35">
        <f t="shared" ref="AN129:AN135" si="360">AO129/AM129</f>
        <v>0.8082808503</v>
      </c>
      <c r="AO129" s="37">
        <f t="shared" ref="AO129:AO135" si="361">AI129/AB129</f>
        <v>1.212421275</v>
      </c>
      <c r="AP129" s="36">
        <f t="shared" ref="AP129:AQ129" si="356">SUM(T114)</f>
        <v>213.5371488</v>
      </c>
      <c r="AQ129" s="36">
        <f t="shared" si="356"/>
        <v>13.3460718</v>
      </c>
      <c r="AR129" s="32">
        <f t="shared" ref="AR129:AR135" si="363">AI129/AA129</f>
        <v>233.25</v>
      </c>
    </row>
    <row r="130" ht="15.75" customHeight="1">
      <c r="A130" s="21"/>
      <c r="B130" s="38">
        <v>17.0</v>
      </c>
      <c r="C130" s="38" t="s">
        <v>29</v>
      </c>
      <c r="D130" s="39">
        <v>24.0</v>
      </c>
      <c r="E130" s="40">
        <f>IFERROR(__xludf.DUMMYFUNCTION("COUNT(IMPORTRANGE(""https://docs.google.com/spreadsheets/d/1wfJqI0e9wVPqEQv3N6b8KgINjqI0OBECEyIFeY9j3i8/edit"",""5!d2:d31""))"),22.0)</f>
        <v>22</v>
      </c>
      <c r="F130" s="45">
        <f>IFERROR(__xludf.DUMMYFUNCTION("SUM(IMPORTRANGE(""https://docs.google.com/spreadsheets/d/1wfJqI0e9wVPqEQv3N6b8KgINjqI0OBECEyIFeY9j3i8/edit"",""5!Q2:Q31""))"),4291.541999999999)</f>
        <v>4291.542</v>
      </c>
      <c r="G130" s="40">
        <f>IFERROR(__xludf.DUMMYFUNCTION("IMPORTRANGE(""https://docs.google.com/spreadsheets/d/1wfJqI0e9wVPqEQv3N6b8KgINjqI0OBECEyIFeY9j3i8/edit"",""5!e38"")"),2030.0)</f>
        <v>2030</v>
      </c>
      <c r="H130" s="40">
        <f>IFERROR(__xludf.DUMMYFUNCTION("IMPORTRANGE(""https://docs.google.com/spreadsheets/d/1wfJqI0e9wVPqEQv3N6b8KgINjqI0OBECEyIFeY9j3i8/edit"",""5!e39"")"),0.0)</f>
        <v>0</v>
      </c>
      <c r="I130" s="40">
        <f t="shared" si="315"/>
        <v>2030</v>
      </c>
      <c r="J130" s="40">
        <f>IFERROR(__xludf.DUMMYFUNCTION("IMPORTRANGE(""https://docs.google.com/spreadsheets/d/1wfJqI0e9wVPqEQv3N6b8KgINjqI0OBECEyIFeY9j3i8/edit"",""5!e42"")"),3226.0)</f>
        <v>3226</v>
      </c>
      <c r="K130" s="40">
        <f>IFERROR(__xludf.DUMMYFUNCTION("IMPORTRANGE(""https://docs.google.com/spreadsheets/d/1wfJqI0e9wVPqEQv3N6b8KgINjqI0OBECEyIFeY9j3i8/edit"",""5!e43"")"),0.0)</f>
        <v>0</v>
      </c>
      <c r="L130" s="40">
        <f t="shared" si="345"/>
        <v>3226</v>
      </c>
      <c r="M130" s="40">
        <f t="shared" si="317"/>
        <v>5256</v>
      </c>
      <c r="N130" s="41">
        <f t="shared" si="318"/>
        <v>195.0700909</v>
      </c>
      <c r="O130" s="38">
        <v>9201.0</v>
      </c>
      <c r="P130" s="42">
        <f t="shared" si="319"/>
        <v>0.5712422563</v>
      </c>
      <c r="Q130" s="43">
        <v>1.5</v>
      </c>
      <c r="R130" s="42">
        <f t="shared" si="320"/>
        <v>0.8164897373</v>
      </c>
      <c r="S130" s="44">
        <f t="shared" si="321"/>
        <v>1.224734606</v>
      </c>
      <c r="T130" s="43">
        <f>F130/26.491</f>
        <v>162</v>
      </c>
      <c r="U130" s="43">
        <f t="shared" si="322"/>
        <v>7.363636364</v>
      </c>
      <c r="V130" s="40">
        <f t="shared" si="323"/>
        <v>238.9090909</v>
      </c>
      <c r="X130" s="31">
        <v>2.0</v>
      </c>
      <c r="Y130" s="31" t="s">
        <v>32</v>
      </c>
      <c r="Z130" s="31">
        <f t="shared" ref="Z130:AI130" si="357">SUM(D117)</f>
        <v>33</v>
      </c>
      <c r="AA130" s="32">
        <f t="shared" si="357"/>
        <v>33</v>
      </c>
      <c r="AB130" s="33">
        <f t="shared" si="357"/>
        <v>6274.399</v>
      </c>
      <c r="AC130" s="31">
        <f t="shared" si="357"/>
        <v>3614</v>
      </c>
      <c r="AD130" s="31">
        <f t="shared" si="357"/>
        <v>28</v>
      </c>
      <c r="AE130" s="32">
        <f t="shared" si="357"/>
        <v>3642</v>
      </c>
      <c r="AF130" s="31">
        <f t="shared" si="357"/>
        <v>4401</v>
      </c>
      <c r="AG130" s="31">
        <f t="shared" si="357"/>
        <v>0</v>
      </c>
      <c r="AH130" s="32">
        <f t="shared" si="357"/>
        <v>4401</v>
      </c>
      <c r="AI130" s="32">
        <f t="shared" si="357"/>
        <v>8043</v>
      </c>
      <c r="AJ130" s="34">
        <f t="shared" si="358"/>
        <v>190.133303</v>
      </c>
      <c r="AK130" s="31">
        <f>SUM(O117)</f>
        <v>13817</v>
      </c>
      <c r="AL130" s="35">
        <f t="shared" si="359"/>
        <v>0.5821089962</v>
      </c>
      <c r="AM130" s="36">
        <f>SUM(Q117)</f>
        <v>1.5</v>
      </c>
      <c r="AN130" s="35">
        <f t="shared" si="360"/>
        <v>0.8545838414</v>
      </c>
      <c r="AO130" s="37">
        <f t="shared" si="361"/>
        <v>1.281875762</v>
      </c>
      <c r="AP130" s="36">
        <f t="shared" ref="AP130:AQ130" si="362">SUM(T117)</f>
        <v>250.0856551</v>
      </c>
      <c r="AQ130" s="36">
        <f t="shared" si="362"/>
        <v>7.578353184</v>
      </c>
      <c r="AR130" s="32">
        <f t="shared" si="363"/>
        <v>243.7272727</v>
      </c>
    </row>
    <row r="131" ht="15.75" customHeight="1">
      <c r="A131" s="21"/>
      <c r="B131" s="38">
        <v>18.0</v>
      </c>
      <c r="C131" s="38" t="s">
        <v>31</v>
      </c>
      <c r="D131" s="39">
        <v>12.0</v>
      </c>
      <c r="E131" s="40">
        <f>IFERROR(__xludf.DUMMYFUNCTION("COUNT(IMPORTRANGE(""https://docs.google.com/spreadsheets/d/1-y2KhTAo7d8kowgUuWUDfRQuRMUAFteRYEXorT3_wOs/edit"",""5!d2:d16""))"),12.0)</f>
        <v>12</v>
      </c>
      <c r="F131" s="41">
        <f>IFERROR(__xludf.DUMMYFUNCTION("SUM(IMPORTRANGE(""https://docs.google.com/spreadsheets/d/1-y2KhTAo7d8kowgUuWUDfRQuRMUAFteRYEXorT3_wOs/edit"",""5!Q2:Q16""))"),2390.575)</f>
        <v>2390.575</v>
      </c>
      <c r="G131" s="40">
        <f>IFERROR(__xludf.DUMMYFUNCTION("IMPORTRANGE(""https://docs.google.com/spreadsheets/d/1-y2KhTAo7d8kowgUuWUDfRQuRMUAFteRYEXorT3_wOs/edit"",""5!e23"")"),625.0)</f>
        <v>625</v>
      </c>
      <c r="H131" s="40">
        <f>IFERROR(__xludf.DUMMYFUNCTION("IMPORTRANGE(""https://docs.google.com/spreadsheets/d/1-y2KhTAo7d8kowgUuWUDfRQuRMUAFteRYEXorT3_wOs/edit"",""5!e24"")"),25.0)</f>
        <v>25</v>
      </c>
      <c r="I131" s="40">
        <f t="shared" si="315"/>
        <v>650</v>
      </c>
      <c r="J131" s="40">
        <f>IFERROR(__xludf.DUMMYFUNCTION("IMPORTRANGE(""https://docs.google.com/spreadsheets/d/1-y2KhTAo7d8kowgUuWUDfRQuRMUAFteRYEXorT3_wOs/edit"",""5!e27"")"),832.0)</f>
        <v>832</v>
      </c>
      <c r="K131" s="40">
        <f>IFERROR(__xludf.DUMMYFUNCTION("IMPORTRANGE(""https://docs.google.com/spreadsheets/d/1-y2KhTAo7d8kowgUuWUDfRQuRMUAFteRYEXorT3_wOs/edit"",""5!e28"")"),0.0)</f>
        <v>0</v>
      </c>
      <c r="L131" s="40">
        <f t="shared" si="345"/>
        <v>832</v>
      </c>
      <c r="M131" s="40">
        <f t="shared" si="317"/>
        <v>1482</v>
      </c>
      <c r="N131" s="41">
        <f t="shared" si="318"/>
        <v>199.2145833</v>
      </c>
      <c r="O131" s="38">
        <v>2717.0</v>
      </c>
      <c r="P131" s="42">
        <f t="shared" si="319"/>
        <v>0.5454545455</v>
      </c>
      <c r="Q131" s="43">
        <v>1.5</v>
      </c>
      <c r="R131" s="42">
        <f t="shared" si="320"/>
        <v>0.4132896897</v>
      </c>
      <c r="S131" s="44">
        <f t="shared" si="321"/>
        <v>0.6199345346</v>
      </c>
      <c r="T131" s="43">
        <f>F131/43.465</f>
        <v>55</v>
      </c>
      <c r="U131" s="43">
        <f t="shared" si="322"/>
        <v>4.583333333</v>
      </c>
      <c r="V131" s="40">
        <f t="shared" si="323"/>
        <v>123.5</v>
      </c>
      <c r="X131" s="31">
        <v>3.0</v>
      </c>
      <c r="Y131" s="31" t="s">
        <v>36</v>
      </c>
      <c r="Z131" s="31">
        <f t="shared" ref="Z131:AI131" si="364">SUM(D122)</f>
        <v>24</v>
      </c>
      <c r="AA131" s="32">
        <f t="shared" si="364"/>
        <v>24</v>
      </c>
      <c r="AB131" s="33">
        <f t="shared" si="364"/>
        <v>4727.285</v>
      </c>
      <c r="AC131" s="32">
        <f t="shared" si="364"/>
        <v>1293</v>
      </c>
      <c r="AD131" s="32">
        <f t="shared" si="364"/>
        <v>0</v>
      </c>
      <c r="AE131" s="32">
        <f t="shared" si="364"/>
        <v>1293</v>
      </c>
      <c r="AF131" s="32">
        <f t="shared" si="364"/>
        <v>1614</v>
      </c>
      <c r="AG131" s="32">
        <f t="shared" si="364"/>
        <v>0</v>
      </c>
      <c r="AH131" s="32">
        <f t="shared" si="364"/>
        <v>1614</v>
      </c>
      <c r="AI131" s="32">
        <f t="shared" si="364"/>
        <v>2907</v>
      </c>
      <c r="AJ131" s="34">
        <f t="shared" si="358"/>
        <v>196.9702083</v>
      </c>
      <c r="AK131" s="31">
        <f t="shared" ref="AK131:AK134" si="368">SUM(O122)</f>
        <v>4796</v>
      </c>
      <c r="AL131" s="35">
        <f t="shared" si="359"/>
        <v>0.6061301084</v>
      </c>
      <c r="AM131" s="36">
        <f t="shared" ref="AM131:AM134" si="369">SUM(Q122)</f>
        <v>1.5</v>
      </c>
      <c r="AN131" s="35">
        <f t="shared" si="360"/>
        <v>0.4099604741</v>
      </c>
      <c r="AO131" s="37">
        <f t="shared" si="361"/>
        <v>0.6149407112</v>
      </c>
      <c r="AP131" s="36">
        <f t="shared" ref="AP131:AQ131" si="365">SUM(T122)</f>
        <v>126.3506976</v>
      </c>
      <c r="AQ131" s="36">
        <f t="shared" si="365"/>
        <v>5.2646124</v>
      </c>
      <c r="AR131" s="32">
        <f t="shared" si="363"/>
        <v>121.125</v>
      </c>
    </row>
    <row r="132" ht="15.75" customHeight="1">
      <c r="A132" s="21"/>
      <c r="B132" s="60" t="s">
        <v>33</v>
      </c>
      <c r="C132" s="60">
        <v>18.0</v>
      </c>
      <c r="D132" s="60">
        <f t="shared" ref="D132:M132" si="366">SUM(D114:D131)</f>
        <v>471</v>
      </c>
      <c r="E132" s="61">
        <f t="shared" si="366"/>
        <v>464</v>
      </c>
      <c r="F132" s="62">
        <f t="shared" si="366"/>
        <v>90269.046</v>
      </c>
      <c r="G132" s="61">
        <f t="shared" si="366"/>
        <v>31380</v>
      </c>
      <c r="H132" s="61">
        <f t="shared" si="366"/>
        <v>700</v>
      </c>
      <c r="I132" s="61">
        <f t="shared" si="366"/>
        <v>32080</v>
      </c>
      <c r="J132" s="61">
        <f t="shared" si="366"/>
        <v>43356</v>
      </c>
      <c r="K132" s="61">
        <f t="shared" si="366"/>
        <v>991</v>
      </c>
      <c r="L132" s="61">
        <f t="shared" si="366"/>
        <v>44347</v>
      </c>
      <c r="M132" s="61">
        <f t="shared" si="366"/>
        <v>76427</v>
      </c>
      <c r="N132" s="62">
        <f t="shared" si="318"/>
        <v>194.5453578</v>
      </c>
      <c r="O132" s="60">
        <f>SUM(O114:O131)</f>
        <v>126399</v>
      </c>
      <c r="P132" s="63">
        <f t="shared" si="319"/>
        <v>0.604648771</v>
      </c>
      <c r="Q132" s="64">
        <v>1.5</v>
      </c>
      <c r="R132" s="63">
        <f t="shared" si="320"/>
        <v>0.5644385932</v>
      </c>
      <c r="S132" s="65">
        <f t="shared" si="321"/>
        <v>0.8466578898</v>
      </c>
      <c r="T132" s="64">
        <f>SUM(T114:T131)</f>
        <v>3331.918371</v>
      </c>
      <c r="U132" s="64">
        <f t="shared" si="322"/>
        <v>7.180858559</v>
      </c>
      <c r="V132" s="61">
        <f t="shared" si="323"/>
        <v>164.7133621</v>
      </c>
      <c r="X132" s="31">
        <v>4.0</v>
      </c>
      <c r="Y132" s="31" t="s">
        <v>37</v>
      </c>
      <c r="Z132" s="31">
        <f t="shared" ref="Z132:AI132" si="367">SUM(D123)</f>
        <v>24</v>
      </c>
      <c r="AA132" s="32">
        <f t="shared" si="367"/>
        <v>23</v>
      </c>
      <c r="AB132" s="33">
        <f t="shared" si="367"/>
        <v>4435.146</v>
      </c>
      <c r="AC132" s="32">
        <f t="shared" si="367"/>
        <v>1403</v>
      </c>
      <c r="AD132" s="32">
        <f t="shared" si="367"/>
        <v>0</v>
      </c>
      <c r="AE132" s="32">
        <f t="shared" si="367"/>
        <v>1403</v>
      </c>
      <c r="AF132" s="32">
        <f t="shared" si="367"/>
        <v>2367</v>
      </c>
      <c r="AG132" s="32">
        <f t="shared" si="367"/>
        <v>0</v>
      </c>
      <c r="AH132" s="32">
        <f t="shared" si="367"/>
        <v>2367</v>
      </c>
      <c r="AI132" s="32">
        <f t="shared" si="367"/>
        <v>3770</v>
      </c>
      <c r="AJ132" s="34">
        <f t="shared" si="358"/>
        <v>192.8324348</v>
      </c>
      <c r="AK132" s="31">
        <f t="shared" si="368"/>
        <v>5887</v>
      </c>
      <c r="AL132" s="35">
        <f t="shared" si="359"/>
        <v>0.6403940887</v>
      </c>
      <c r="AM132" s="36">
        <f t="shared" si="369"/>
        <v>1.5</v>
      </c>
      <c r="AN132" s="35">
        <f t="shared" si="360"/>
        <v>0.5666855913</v>
      </c>
      <c r="AO132" s="37">
        <f t="shared" si="361"/>
        <v>0.8500283869</v>
      </c>
      <c r="AP132" s="36">
        <f t="shared" ref="AP132:AQ132" si="370">SUM(T123)</f>
        <v>178.8942401</v>
      </c>
      <c r="AQ132" s="36">
        <f t="shared" si="370"/>
        <v>7.778010438</v>
      </c>
      <c r="AR132" s="32">
        <f t="shared" si="363"/>
        <v>163.9130435</v>
      </c>
    </row>
    <row r="133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X133" s="31">
        <v>5.0</v>
      </c>
      <c r="Y133" s="31" t="s">
        <v>39</v>
      </c>
      <c r="Z133" s="31">
        <f t="shared" ref="Z133:AI133" si="371">SUM(D124)</f>
        <v>22</v>
      </c>
      <c r="AA133" s="32">
        <f t="shared" si="371"/>
        <v>22</v>
      </c>
      <c r="AB133" s="33">
        <f t="shared" si="371"/>
        <v>4340.983</v>
      </c>
      <c r="AC133" s="32">
        <f t="shared" si="371"/>
        <v>1018</v>
      </c>
      <c r="AD133" s="32">
        <f t="shared" si="371"/>
        <v>0</v>
      </c>
      <c r="AE133" s="32">
        <f t="shared" si="371"/>
        <v>1018</v>
      </c>
      <c r="AF133" s="32">
        <f t="shared" si="371"/>
        <v>1817</v>
      </c>
      <c r="AG133" s="32">
        <f t="shared" si="371"/>
        <v>0</v>
      </c>
      <c r="AH133" s="32">
        <f t="shared" si="371"/>
        <v>1817</v>
      </c>
      <c r="AI133" s="32">
        <f t="shared" si="371"/>
        <v>2835</v>
      </c>
      <c r="AJ133" s="34">
        <f t="shared" si="358"/>
        <v>197.3174091</v>
      </c>
      <c r="AK133" s="31">
        <f t="shared" si="368"/>
        <v>3569</v>
      </c>
      <c r="AL133" s="35">
        <f t="shared" si="359"/>
        <v>0.7943401513</v>
      </c>
      <c r="AM133" s="36">
        <f t="shared" si="369"/>
        <v>1.5</v>
      </c>
      <c r="AN133" s="35">
        <f t="shared" si="360"/>
        <v>0.4353852572</v>
      </c>
      <c r="AO133" s="37">
        <f t="shared" si="361"/>
        <v>0.6530778858</v>
      </c>
      <c r="AP133" s="36">
        <f t="shared" ref="AP133:AQ133" si="372">SUM(T124)</f>
        <v>202.2542515</v>
      </c>
      <c r="AQ133" s="36">
        <f t="shared" si="372"/>
        <v>9.193375068</v>
      </c>
      <c r="AR133" s="32">
        <f t="shared" si="363"/>
        <v>128.8636364</v>
      </c>
    </row>
    <row r="134" ht="15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X134" s="31">
        <v>6.0</v>
      </c>
      <c r="Y134" s="31" t="s">
        <v>41</v>
      </c>
      <c r="Z134" s="31">
        <f t="shared" ref="Z134:AI134" si="373">SUM(D125)</f>
        <v>20</v>
      </c>
      <c r="AA134" s="32">
        <f t="shared" si="373"/>
        <v>20</v>
      </c>
      <c r="AB134" s="33">
        <f t="shared" si="373"/>
        <v>3891.144</v>
      </c>
      <c r="AC134" s="32">
        <f t="shared" si="373"/>
        <v>935</v>
      </c>
      <c r="AD134" s="32">
        <f t="shared" si="373"/>
        <v>0</v>
      </c>
      <c r="AE134" s="32">
        <f t="shared" si="373"/>
        <v>935</v>
      </c>
      <c r="AF134" s="32">
        <f t="shared" si="373"/>
        <v>1309</v>
      </c>
      <c r="AG134" s="32">
        <f t="shared" si="373"/>
        <v>0</v>
      </c>
      <c r="AH134" s="32">
        <f t="shared" si="373"/>
        <v>1309</v>
      </c>
      <c r="AI134" s="32">
        <f t="shared" si="373"/>
        <v>2244</v>
      </c>
      <c r="AJ134" s="34">
        <f t="shared" si="358"/>
        <v>194.5572</v>
      </c>
      <c r="AK134" s="31">
        <f t="shared" si="368"/>
        <v>3801</v>
      </c>
      <c r="AL134" s="35">
        <f t="shared" si="359"/>
        <v>0.590370955</v>
      </c>
      <c r="AM134" s="36">
        <f t="shared" si="369"/>
        <v>1.5</v>
      </c>
      <c r="AN134" s="35">
        <f t="shared" si="360"/>
        <v>0.3844627698</v>
      </c>
      <c r="AO134" s="37">
        <f t="shared" si="361"/>
        <v>0.5766941547</v>
      </c>
      <c r="AP134" s="36">
        <f t="shared" ref="AP134:AQ134" si="374">SUM(T125)</f>
        <v>131.3333333</v>
      </c>
      <c r="AQ134" s="36">
        <f t="shared" si="374"/>
        <v>6.566666667</v>
      </c>
      <c r="AR134" s="32">
        <f t="shared" si="363"/>
        <v>112.2</v>
      </c>
    </row>
    <row r="135" ht="15.75" customHeight="1">
      <c r="A135" s="1" t="s">
        <v>45</v>
      </c>
      <c r="D135" s="2"/>
      <c r="X135" s="46" t="s">
        <v>33</v>
      </c>
      <c r="Y135" s="46">
        <v>6.0</v>
      </c>
      <c r="Z135" s="46">
        <f t="shared" ref="Z135:AI135" si="375">SUM(Z129:Z134)</f>
        <v>139</v>
      </c>
      <c r="AA135" s="47">
        <f t="shared" si="375"/>
        <v>138</v>
      </c>
      <c r="AB135" s="49">
        <f t="shared" si="375"/>
        <v>26747.095</v>
      </c>
      <c r="AC135" s="47">
        <f t="shared" si="375"/>
        <v>10008</v>
      </c>
      <c r="AD135" s="47">
        <f t="shared" si="375"/>
        <v>28</v>
      </c>
      <c r="AE135" s="47">
        <f t="shared" si="375"/>
        <v>10036</v>
      </c>
      <c r="AF135" s="47">
        <f t="shared" si="375"/>
        <v>13290</v>
      </c>
      <c r="AG135" s="47">
        <f t="shared" si="375"/>
        <v>205</v>
      </c>
      <c r="AH135" s="47">
        <f t="shared" si="375"/>
        <v>13495</v>
      </c>
      <c r="AI135" s="47">
        <f t="shared" si="375"/>
        <v>23531</v>
      </c>
      <c r="AJ135" s="49">
        <f t="shared" si="358"/>
        <v>193.819529</v>
      </c>
      <c r="AK135" s="46">
        <f>SUM(AK129:AK134)</f>
        <v>37031</v>
      </c>
      <c r="AL135" s="50">
        <f t="shared" si="359"/>
        <v>0.6354405768</v>
      </c>
      <c r="AM135" s="51">
        <v>1.5</v>
      </c>
      <c r="AN135" s="50">
        <f t="shared" si="360"/>
        <v>0.5865060611</v>
      </c>
      <c r="AO135" s="52">
        <f t="shared" si="361"/>
        <v>0.8797590916</v>
      </c>
      <c r="AP135" s="51">
        <f>SUM(AP129:AP134)</f>
        <v>1102.455326</v>
      </c>
      <c r="AQ135" s="51">
        <f>AP135/AA135</f>
        <v>7.988806713</v>
      </c>
      <c r="AR135" s="47">
        <f t="shared" si="363"/>
        <v>170.5144928</v>
      </c>
    </row>
    <row r="136" ht="15.75" customHeight="1">
      <c r="A136" s="1" t="s">
        <v>45</v>
      </c>
      <c r="D136" s="2"/>
      <c r="X136" s="66" t="s">
        <v>1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6"/>
    </row>
    <row r="137" ht="15.75" customHeight="1">
      <c r="A137" s="10">
        <v>46271.0</v>
      </c>
      <c r="B137" s="8" t="s">
        <v>2</v>
      </c>
      <c r="C137" s="8" t="s">
        <v>3</v>
      </c>
      <c r="D137" s="8" t="s">
        <v>4</v>
      </c>
      <c r="E137" s="8" t="s">
        <v>5</v>
      </c>
      <c r="F137" s="9" t="s">
        <v>6</v>
      </c>
      <c r="G137" s="8" t="s">
        <v>7</v>
      </c>
      <c r="H137" s="8" t="s">
        <v>8</v>
      </c>
      <c r="I137" s="8" t="s">
        <v>9</v>
      </c>
      <c r="J137" s="8" t="s">
        <v>10</v>
      </c>
      <c r="K137" s="8" t="s">
        <v>11</v>
      </c>
      <c r="L137" s="8" t="s">
        <v>12</v>
      </c>
      <c r="M137" s="8" t="s">
        <v>13</v>
      </c>
      <c r="N137" s="9" t="s">
        <v>14</v>
      </c>
      <c r="O137" s="8" t="s">
        <v>15</v>
      </c>
      <c r="P137" s="8" t="s">
        <v>16</v>
      </c>
      <c r="Q137" s="8" t="s">
        <v>17</v>
      </c>
      <c r="R137" s="8" t="s">
        <v>18</v>
      </c>
      <c r="S137" s="11" t="s">
        <v>19</v>
      </c>
      <c r="T137" s="12" t="s">
        <v>20</v>
      </c>
      <c r="U137" s="12" t="s">
        <v>21</v>
      </c>
      <c r="V137" s="13" t="s">
        <v>22</v>
      </c>
      <c r="X137" s="14" t="s">
        <v>2</v>
      </c>
      <c r="Y137" s="14" t="s">
        <v>3</v>
      </c>
      <c r="Z137" s="14" t="s">
        <v>4</v>
      </c>
      <c r="AA137" s="14" t="s">
        <v>5</v>
      </c>
      <c r="AB137" s="15" t="s">
        <v>6</v>
      </c>
      <c r="AC137" s="14" t="s">
        <v>7</v>
      </c>
      <c r="AD137" s="14" t="s">
        <v>8</v>
      </c>
      <c r="AE137" s="14" t="s">
        <v>9</v>
      </c>
      <c r="AF137" s="14" t="s">
        <v>10</v>
      </c>
      <c r="AG137" s="14" t="s">
        <v>11</v>
      </c>
      <c r="AH137" s="14" t="s">
        <v>12</v>
      </c>
      <c r="AI137" s="14" t="s">
        <v>13</v>
      </c>
      <c r="AJ137" s="15" t="s">
        <v>14</v>
      </c>
      <c r="AK137" s="14" t="s">
        <v>15</v>
      </c>
      <c r="AL137" s="14" t="s">
        <v>16</v>
      </c>
      <c r="AM137" s="16" t="s">
        <v>17</v>
      </c>
      <c r="AN137" s="17" t="s">
        <v>18</v>
      </c>
      <c r="AO137" s="18" t="s">
        <v>19</v>
      </c>
      <c r="AP137" s="19" t="s">
        <v>20</v>
      </c>
      <c r="AQ137" s="19" t="s">
        <v>21</v>
      </c>
      <c r="AR137" s="20" t="s">
        <v>22</v>
      </c>
    </row>
    <row r="138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X138" s="22">
        <v>1.0</v>
      </c>
      <c r="Y138" s="22" t="s">
        <v>23</v>
      </c>
      <c r="Z138" s="22">
        <f t="shared" ref="Z138:AI138" si="376">SUM(D146)</f>
        <v>26</v>
      </c>
      <c r="AA138" s="23">
        <f t="shared" si="376"/>
        <v>26</v>
      </c>
      <c r="AB138" s="24">
        <f t="shared" si="376"/>
        <v>5195.96</v>
      </c>
      <c r="AC138" s="23">
        <f t="shared" si="376"/>
        <v>921</v>
      </c>
      <c r="AD138" s="23">
        <f t="shared" si="376"/>
        <v>0</v>
      </c>
      <c r="AE138" s="23">
        <f t="shared" si="376"/>
        <v>921</v>
      </c>
      <c r="AF138" s="23">
        <f t="shared" si="376"/>
        <v>2283</v>
      </c>
      <c r="AG138" s="23">
        <f t="shared" si="376"/>
        <v>73</v>
      </c>
      <c r="AH138" s="23">
        <f t="shared" si="376"/>
        <v>2356</v>
      </c>
      <c r="AI138" s="23">
        <f t="shared" si="376"/>
        <v>3277</v>
      </c>
      <c r="AJ138" s="25">
        <f t="shared" ref="AJ138:AJ140" si="379">AB138/AA138</f>
        <v>199.8446154</v>
      </c>
      <c r="AK138" s="22">
        <f>SUM(O146)</f>
        <v>6853</v>
      </c>
      <c r="AL138" s="26">
        <f t="shared" ref="AL138:AL144" si="380">AI138/AK138</f>
        <v>0.4781847366</v>
      </c>
      <c r="AM138" s="27">
        <f t="shared" ref="AM138:AM140" si="381">SUM(Q146)</f>
        <v>1.5</v>
      </c>
      <c r="AN138" s="26">
        <f t="shared" ref="AN138:AN144" si="382">AO138/AM138</f>
        <v>0.4204548662</v>
      </c>
      <c r="AO138" s="28">
        <f t="shared" ref="AO138:AO144" si="383">AI138/AB138</f>
        <v>0.6306822993</v>
      </c>
      <c r="AP138" s="27">
        <f t="shared" ref="AP138:AQ138" si="377">SUM(T146)</f>
        <v>154</v>
      </c>
      <c r="AQ138" s="27">
        <f t="shared" si="377"/>
        <v>5.923076923</v>
      </c>
      <c r="AR138" s="23">
        <f t="shared" ref="AR138:AR144" si="385">AI138/AA138</f>
        <v>126.0384615</v>
      </c>
    </row>
    <row r="139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X139" s="22">
        <v>2.0</v>
      </c>
      <c r="Y139" s="22" t="s">
        <v>24</v>
      </c>
      <c r="Z139" s="22">
        <f t="shared" ref="Z139:AI139" si="378">SUM(D147)</f>
        <v>35</v>
      </c>
      <c r="AA139" s="23">
        <f t="shared" si="378"/>
        <v>35</v>
      </c>
      <c r="AB139" s="24">
        <f t="shared" si="378"/>
        <v>6722.933</v>
      </c>
      <c r="AC139" s="23">
        <f t="shared" si="378"/>
        <v>569</v>
      </c>
      <c r="AD139" s="23">
        <f t="shared" si="378"/>
        <v>0</v>
      </c>
      <c r="AE139" s="23">
        <f t="shared" si="378"/>
        <v>569</v>
      </c>
      <c r="AF139" s="23">
        <f t="shared" si="378"/>
        <v>863</v>
      </c>
      <c r="AG139" s="23">
        <f t="shared" si="378"/>
        <v>0</v>
      </c>
      <c r="AH139" s="23">
        <f t="shared" si="378"/>
        <v>863</v>
      </c>
      <c r="AI139" s="23">
        <f t="shared" si="378"/>
        <v>1432</v>
      </c>
      <c r="AJ139" s="25">
        <f t="shared" si="379"/>
        <v>192.0838</v>
      </c>
      <c r="AK139" s="22">
        <v>1580.0</v>
      </c>
      <c r="AL139" s="26">
        <f t="shared" si="380"/>
        <v>0.9063291139</v>
      </c>
      <c r="AM139" s="27">
        <f t="shared" si="381"/>
        <v>1.5</v>
      </c>
      <c r="AN139" s="26">
        <f t="shared" si="382"/>
        <v>0.1420015143</v>
      </c>
      <c r="AO139" s="28">
        <f t="shared" si="383"/>
        <v>0.2130022715</v>
      </c>
      <c r="AP139" s="27">
        <f t="shared" ref="AP139:AQ139" si="384">SUM(T147)</f>
        <v>250.8089162</v>
      </c>
      <c r="AQ139" s="27">
        <f t="shared" si="384"/>
        <v>7.165969036</v>
      </c>
      <c r="AR139" s="23">
        <f t="shared" si="385"/>
        <v>40.91428571</v>
      </c>
    </row>
    <row r="140" ht="15.75" customHeight="1">
      <c r="A140" s="21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X140" s="31">
        <v>3.0</v>
      </c>
      <c r="Y140" s="31" t="s">
        <v>25</v>
      </c>
      <c r="Z140" s="31">
        <f t="shared" ref="Z140:AI140" si="386">SUM(D148)</f>
        <v>26</v>
      </c>
      <c r="AA140" s="32">
        <f t="shared" si="386"/>
        <v>26</v>
      </c>
      <c r="AB140" s="33">
        <f t="shared" si="386"/>
        <v>4800.252</v>
      </c>
      <c r="AC140" s="32">
        <f t="shared" si="386"/>
        <v>1358</v>
      </c>
      <c r="AD140" s="32">
        <f t="shared" si="386"/>
        <v>311</v>
      </c>
      <c r="AE140" s="32">
        <f t="shared" si="386"/>
        <v>1669</v>
      </c>
      <c r="AF140" s="32">
        <f t="shared" si="386"/>
        <v>1798</v>
      </c>
      <c r="AG140" s="32">
        <f t="shared" si="386"/>
        <v>324</v>
      </c>
      <c r="AH140" s="32">
        <f t="shared" si="386"/>
        <v>2122</v>
      </c>
      <c r="AI140" s="32">
        <f t="shared" si="386"/>
        <v>3791</v>
      </c>
      <c r="AJ140" s="34">
        <f t="shared" si="379"/>
        <v>184.6250769</v>
      </c>
      <c r="AK140" s="31">
        <f>SUM(O148)</f>
        <v>6622</v>
      </c>
      <c r="AL140" s="35">
        <f t="shared" si="380"/>
        <v>0.5724856539</v>
      </c>
      <c r="AM140" s="36">
        <f t="shared" si="381"/>
        <v>1.5</v>
      </c>
      <c r="AN140" s="35">
        <f t="shared" si="382"/>
        <v>0.5265001365</v>
      </c>
      <c r="AO140" s="37">
        <f t="shared" si="383"/>
        <v>0.7897502048</v>
      </c>
      <c r="AP140" s="36">
        <f t="shared" ref="AP140:AQ140" si="387">SUM(T148)</f>
        <v>201.3528523</v>
      </c>
      <c r="AQ140" s="36">
        <f t="shared" si="387"/>
        <v>7.744340475</v>
      </c>
      <c r="AR140" s="32">
        <f t="shared" si="385"/>
        <v>145.8076923</v>
      </c>
    </row>
    <row r="141" ht="15.75" customHeight="1">
      <c r="A141" s="21"/>
      <c r="B141" s="38">
        <v>1.0</v>
      </c>
      <c r="C141" s="38" t="s">
        <v>26</v>
      </c>
      <c r="D141" s="39">
        <v>15.0</v>
      </c>
      <c r="E141" s="40">
        <f>IFERROR(__xludf.DUMMYFUNCTION("COUNT(IMPORTRANGE(""https://docs.google.com/spreadsheets/d/1F0NpMx7WhcgPgxTWpryY3Z1CGg56FL6aiL4mHs43w4E/edit"",""6!d2:d21""))"),15.0)</f>
        <v>15</v>
      </c>
      <c r="F141" s="41">
        <f>IFERROR(__xludf.DUMMYFUNCTION("SUM(IMPORTRANGE(""https://docs.google.com/spreadsheets/d/1F0NpMx7WhcgPgxTWpryY3Z1CGg56FL6aiL4mHs43w4E/edit"",""6!Q2:Q21""))"),2984.364)</f>
        <v>2984.364</v>
      </c>
      <c r="G141" s="40">
        <f>IFERROR(__xludf.DUMMYFUNCTION("IMPORTRANGE(""https://docs.google.com/spreadsheets/d/1F0NpMx7WhcgPgxTWpryY3Z1CGg56FL6aiL4mHs43w4E/edit"",""6!e28"")"),1358.0)</f>
        <v>1358</v>
      </c>
      <c r="H141" s="40">
        <f>IFERROR(__xludf.DUMMYFUNCTION("IMPORTRANGE(""https://docs.google.com/spreadsheets/d/1F0NpMx7WhcgPgxTWpryY3Z1CGg56FL6aiL4mHs43w4E/edit"",""6!e29"")"),0.0)</f>
        <v>0</v>
      </c>
      <c r="I141" s="40">
        <f t="shared" ref="I141:I158" si="390">SUM(G141:H141)</f>
        <v>1358</v>
      </c>
      <c r="J141" s="40">
        <f>IFERROR(__xludf.DUMMYFUNCTION("IMPORTRANGE(""https://docs.google.com/spreadsheets/d/1F0NpMx7WhcgPgxTWpryY3Z1CGg56FL6aiL4mHs43w4E/edit"",""6!e32"")"),2019.0)</f>
        <v>2019</v>
      </c>
      <c r="K141" s="40">
        <f>IFERROR(__xludf.DUMMYFUNCTION("IMPORTRANGE(""https://docs.google.com/spreadsheets/d/1F0NpMx7WhcgPgxTWpryY3Z1CGg56FL6aiL4mHs43w4E/edit"",""6!e33"")"),0.0)</f>
        <v>0</v>
      </c>
      <c r="L141" s="40">
        <f t="shared" ref="L141:L147" si="391">SUM(J141:K141)</f>
        <v>2019</v>
      </c>
      <c r="M141" s="40">
        <f t="shared" ref="M141:M158" si="392">SUM(I141+L141)</f>
        <v>3377</v>
      </c>
      <c r="N141" s="41">
        <f t="shared" ref="N141:N159" si="393">F141/E141</f>
        <v>198.9576</v>
      </c>
      <c r="O141" s="38">
        <v>5161.0</v>
      </c>
      <c r="P141" s="42">
        <f t="shared" ref="P141:P159" si="394">M141/O141</f>
        <v>0.6543305561</v>
      </c>
      <c r="Q141" s="43">
        <v>1.5</v>
      </c>
      <c r="R141" s="42">
        <f t="shared" ref="R141:R159" si="395">S141/Q141</f>
        <v>0.7543762535</v>
      </c>
      <c r="S141" s="44">
        <f t="shared" ref="S141:S159" si="396">M141/F141</f>
        <v>1.13156438</v>
      </c>
      <c r="T141" s="43">
        <f>F141/14.415</f>
        <v>207.0318418</v>
      </c>
      <c r="U141" s="43">
        <f t="shared" ref="U141:U159" si="397">T141/E141</f>
        <v>13.80212279</v>
      </c>
      <c r="V141" s="40">
        <f t="shared" ref="V141:V159" si="398">M141/E141</f>
        <v>225.1333333</v>
      </c>
      <c r="X141" s="22">
        <v>4.0</v>
      </c>
      <c r="Y141" s="22" t="s">
        <v>27</v>
      </c>
      <c r="Z141" s="22">
        <f t="shared" ref="Z141:AK141" si="388">SUM(D154)</f>
        <v>23</v>
      </c>
      <c r="AA141" s="23">
        <f t="shared" si="388"/>
        <v>22</v>
      </c>
      <c r="AB141" s="24">
        <f t="shared" si="388"/>
        <v>4226.69</v>
      </c>
      <c r="AC141" s="23">
        <f t="shared" si="388"/>
        <v>1353</v>
      </c>
      <c r="AD141" s="23">
        <f t="shared" si="388"/>
        <v>151</v>
      </c>
      <c r="AE141" s="23">
        <f t="shared" si="388"/>
        <v>1504</v>
      </c>
      <c r="AF141" s="23">
        <f t="shared" si="388"/>
        <v>1912</v>
      </c>
      <c r="AG141" s="23">
        <f t="shared" si="388"/>
        <v>191</v>
      </c>
      <c r="AH141" s="23">
        <f t="shared" si="388"/>
        <v>2103</v>
      </c>
      <c r="AI141" s="23">
        <f t="shared" si="388"/>
        <v>3607</v>
      </c>
      <c r="AJ141" s="25">
        <f t="shared" si="388"/>
        <v>192.1222727</v>
      </c>
      <c r="AK141" s="22">
        <f t="shared" si="388"/>
        <v>8101</v>
      </c>
      <c r="AL141" s="26">
        <f t="shared" si="380"/>
        <v>0.4452536724</v>
      </c>
      <c r="AM141" s="27">
        <f>SUM(Q154)</f>
        <v>1.5</v>
      </c>
      <c r="AN141" s="26">
        <f t="shared" si="382"/>
        <v>0.568924304</v>
      </c>
      <c r="AO141" s="28">
        <f t="shared" si="383"/>
        <v>0.8533864561</v>
      </c>
      <c r="AP141" s="27">
        <f t="shared" ref="AP141:AQ141" si="389">SUM(T154)</f>
        <v>211.4931198</v>
      </c>
      <c r="AQ141" s="27">
        <f t="shared" si="389"/>
        <v>9.613323629</v>
      </c>
      <c r="AR141" s="23">
        <f t="shared" si="385"/>
        <v>163.9545455</v>
      </c>
    </row>
    <row r="142" ht="15.75" customHeight="1">
      <c r="A142" s="21"/>
      <c r="B142" s="38">
        <v>2.0</v>
      </c>
      <c r="C142" s="38" t="s">
        <v>28</v>
      </c>
      <c r="D142" s="39">
        <v>24.0</v>
      </c>
      <c r="E142" s="40">
        <f>IFERROR(__xludf.DUMMYFUNCTION("COUNT(IMPORTRANGE(""https://docs.google.com/spreadsheets/d/1H9vAqftAHb0OdeSGXHTnJFzoWUgpoH31sc0sHNN8y1o/edit"",""6!d2:d34""))"),24.0)</f>
        <v>24</v>
      </c>
      <c r="F142" s="41">
        <f>IFERROR(__xludf.DUMMYFUNCTION("SUM(IMPORTRANGE(""https://docs.google.com/spreadsheets/d/1H9vAqftAHb0OdeSGXHTnJFzoWUgpoH31sc0sHNN8y1o/edit"",""6!Q2:Q34""))"),4767.704)</f>
        <v>4767.704</v>
      </c>
      <c r="G142" s="40">
        <f>IFERROR(__xludf.DUMMYFUNCTION("IMPORTRANGE(""https://docs.google.com/spreadsheets/d/1H9vAqftAHb0OdeSGXHTnJFzoWUgpoH31sc0sHNN8y1o/edit"",""6!e41"")"),1674.0)</f>
        <v>1674</v>
      </c>
      <c r="H142" s="40">
        <f>IFERROR(__xludf.DUMMYFUNCTION("IMPORTRANGE(""https://docs.google.com/spreadsheets/d/1H9vAqftAHb0OdeSGXHTnJFzoWUgpoH31sc0sHNN8y1o/edit"",""6!e42"")"),122.0)</f>
        <v>122</v>
      </c>
      <c r="I142" s="40">
        <f t="shared" si="390"/>
        <v>1796</v>
      </c>
      <c r="J142" s="40">
        <f>IFERROR(__xludf.DUMMYFUNCTION("IMPORTRANGE(""https://docs.google.com/spreadsheets/d/1H9vAqftAHb0OdeSGXHTnJFzoWUgpoH31sc0sHNN8y1o/edit"",""6!e45"")"),1645.0)</f>
        <v>1645</v>
      </c>
      <c r="K142" s="40">
        <f>IFERROR(__xludf.DUMMYFUNCTION("IMPORTRANGE(""https://docs.google.com/spreadsheets/d/1H9vAqftAHb0OdeSGXHTnJFzoWUgpoH31sc0sHNN8y1o/edit"",""6!e46"")"),180.0)</f>
        <v>180</v>
      </c>
      <c r="L142" s="40">
        <f t="shared" si="391"/>
        <v>1825</v>
      </c>
      <c r="M142" s="40">
        <f t="shared" si="392"/>
        <v>3621</v>
      </c>
      <c r="N142" s="41">
        <f t="shared" si="393"/>
        <v>198.6543333</v>
      </c>
      <c r="O142" s="38">
        <v>7315.0</v>
      </c>
      <c r="P142" s="42">
        <f t="shared" si="394"/>
        <v>0.4950102529</v>
      </c>
      <c r="Q142" s="43">
        <v>1.5</v>
      </c>
      <c r="R142" s="42">
        <f t="shared" si="395"/>
        <v>0.5063233791</v>
      </c>
      <c r="S142" s="44">
        <f t="shared" si="396"/>
        <v>0.7594850687</v>
      </c>
      <c r="T142" s="43">
        <f>F142/30.897</f>
        <v>154.3096093</v>
      </c>
      <c r="U142" s="43">
        <f t="shared" si="397"/>
        <v>6.429567056</v>
      </c>
      <c r="V142" s="40">
        <f t="shared" si="398"/>
        <v>150.875</v>
      </c>
      <c r="X142" s="22">
        <v>5.0</v>
      </c>
      <c r="Y142" s="22" t="s">
        <v>29</v>
      </c>
      <c r="Z142" s="22">
        <f t="shared" ref="Z142:AI142" si="399">SUM(D157)</f>
        <v>23</v>
      </c>
      <c r="AA142" s="23">
        <f t="shared" si="399"/>
        <v>23</v>
      </c>
      <c r="AB142" s="24">
        <f t="shared" si="399"/>
        <v>5722.056</v>
      </c>
      <c r="AC142" s="23">
        <f t="shared" si="399"/>
        <v>1687</v>
      </c>
      <c r="AD142" s="23">
        <f t="shared" si="399"/>
        <v>0</v>
      </c>
      <c r="AE142" s="23">
        <f t="shared" si="399"/>
        <v>1687</v>
      </c>
      <c r="AF142" s="23">
        <f t="shared" si="399"/>
        <v>2557</v>
      </c>
      <c r="AG142" s="23">
        <f t="shared" si="399"/>
        <v>0</v>
      </c>
      <c r="AH142" s="23">
        <f t="shared" si="399"/>
        <v>2557</v>
      </c>
      <c r="AI142" s="23">
        <f t="shared" si="399"/>
        <v>4244</v>
      </c>
      <c r="AJ142" s="25">
        <f t="shared" ref="AJ142:AJ144" si="402">AB142/AA142</f>
        <v>248.7850435</v>
      </c>
      <c r="AK142" s="22">
        <f t="shared" ref="AK142:AK143" si="403">SUM(O157)</f>
        <v>9201</v>
      </c>
      <c r="AL142" s="26">
        <f t="shared" si="380"/>
        <v>0.4612542115</v>
      </c>
      <c r="AM142" s="27">
        <f t="shared" ref="AM142:AM143" si="404">SUM(Q157)</f>
        <v>1.5</v>
      </c>
      <c r="AN142" s="26">
        <f t="shared" si="382"/>
        <v>0.4944609653</v>
      </c>
      <c r="AO142" s="28">
        <f t="shared" si="383"/>
        <v>0.741691448</v>
      </c>
      <c r="AP142" s="27">
        <f t="shared" ref="AP142:AQ142" si="400">SUM(T157)</f>
        <v>216</v>
      </c>
      <c r="AQ142" s="27">
        <f t="shared" si="400"/>
        <v>9.391304348</v>
      </c>
      <c r="AR142" s="23">
        <f t="shared" si="385"/>
        <v>184.5217391</v>
      </c>
    </row>
    <row r="143" ht="15.75" customHeight="1">
      <c r="A143" s="21"/>
      <c r="B143" s="38">
        <v>3.0</v>
      </c>
      <c r="C143" s="38" t="s">
        <v>30</v>
      </c>
      <c r="D143" s="39">
        <v>45.0</v>
      </c>
      <c r="E143" s="40">
        <f>IFERROR(__xludf.DUMMYFUNCTION("COUNT(IMPORTRANGE(""https://docs.google.com/spreadsheets/d/1EWN6nfpuVxbUE_9opjYCWaI7MTm5xsF6ssjklSbMZnA/edit"",""6!d2:d61""))"),45.0)</f>
        <v>45</v>
      </c>
      <c r="F143" s="45">
        <f>IFERROR(__xludf.DUMMYFUNCTION("SUM(IMPORTRANGE(""https://docs.google.com/spreadsheets/d/1EWN6nfpuVxbUE_9opjYCWaI7MTm5xsF6ssjklSbMZnA/edit"",""6!Q2:Q61""))"),8889.309999999994)</f>
        <v>8889.31</v>
      </c>
      <c r="G143" s="40">
        <f>IFERROR(__xludf.DUMMYFUNCTION("IMPORTRANGE(""https://docs.google.com/spreadsheets/d/1EWN6nfpuVxbUE_9opjYCWaI7MTm5xsF6ssjklSbMZnA/edit"",""6!e68"")"),2101.0)</f>
        <v>2101</v>
      </c>
      <c r="H143" s="40">
        <f>IFERROR(__xludf.DUMMYFUNCTION("IMPORTRANGE(""https://docs.google.com/spreadsheets/d/1EWN6nfpuVxbUE_9opjYCWaI7MTm5xsF6ssjklSbMZnA/edit"",""6!e69"")"),0.0)</f>
        <v>0</v>
      </c>
      <c r="I143" s="40">
        <f t="shared" si="390"/>
        <v>2101</v>
      </c>
      <c r="J143" s="40">
        <f>IFERROR(__xludf.DUMMYFUNCTION("IMPORTRANGE(""https://docs.google.com/spreadsheets/d/1EWN6nfpuVxbUE_9opjYCWaI7MTm5xsF6ssjklSbMZnA/edit"",""6!e72"")"),3723.0)</f>
        <v>3723</v>
      </c>
      <c r="K143" s="40">
        <f>IFERROR(__xludf.DUMMYFUNCTION("IMPORTRANGE(""https://docs.google.com/spreadsheets/d/1EWN6nfpuVxbUE_9opjYCWaI7MTm5xsF6ssjklSbMZnA/edit"",""6!e73"")"),0.0)</f>
        <v>0</v>
      </c>
      <c r="L143" s="40">
        <f t="shared" si="391"/>
        <v>3723</v>
      </c>
      <c r="M143" s="40">
        <f t="shared" si="392"/>
        <v>5824</v>
      </c>
      <c r="N143" s="41">
        <f t="shared" si="393"/>
        <v>197.5402222</v>
      </c>
      <c r="O143" s="38">
        <v>11164.0</v>
      </c>
      <c r="P143" s="42">
        <f t="shared" si="394"/>
        <v>0.5216768183</v>
      </c>
      <c r="Q143" s="43">
        <v>1.5</v>
      </c>
      <c r="R143" s="42">
        <f t="shared" si="395"/>
        <v>0.4367793076</v>
      </c>
      <c r="S143" s="44">
        <f t="shared" si="396"/>
        <v>0.6551689614</v>
      </c>
      <c r="T143" s="43">
        <f>F143/29.603</f>
        <v>300.2840928</v>
      </c>
      <c r="U143" s="43">
        <f t="shared" si="397"/>
        <v>6.672979841</v>
      </c>
      <c r="V143" s="40">
        <f t="shared" si="398"/>
        <v>129.4222222</v>
      </c>
      <c r="X143" s="22">
        <v>6.0</v>
      </c>
      <c r="Y143" s="22" t="s">
        <v>31</v>
      </c>
      <c r="Z143" s="22">
        <f t="shared" ref="Z143:AI143" si="401">SUM(D158)</f>
        <v>11</v>
      </c>
      <c r="AA143" s="23">
        <f t="shared" si="401"/>
        <v>11</v>
      </c>
      <c r="AB143" s="25">
        <f t="shared" si="401"/>
        <v>2042.855</v>
      </c>
      <c r="AC143" s="23">
        <f t="shared" si="401"/>
        <v>414</v>
      </c>
      <c r="AD143" s="23">
        <f t="shared" si="401"/>
        <v>14</v>
      </c>
      <c r="AE143" s="23">
        <f t="shared" si="401"/>
        <v>428</v>
      </c>
      <c r="AF143" s="23">
        <f t="shared" si="401"/>
        <v>649</v>
      </c>
      <c r="AG143" s="23">
        <f t="shared" si="401"/>
        <v>0</v>
      </c>
      <c r="AH143" s="23">
        <f t="shared" si="401"/>
        <v>649</v>
      </c>
      <c r="AI143" s="23">
        <f t="shared" si="401"/>
        <v>1077</v>
      </c>
      <c r="AJ143" s="25">
        <f t="shared" si="402"/>
        <v>185.7140909</v>
      </c>
      <c r="AK143" s="22">
        <f t="shared" si="403"/>
        <v>2717</v>
      </c>
      <c r="AL143" s="26">
        <f t="shared" si="380"/>
        <v>0.3963930806</v>
      </c>
      <c r="AM143" s="27">
        <f t="shared" si="404"/>
        <v>1.5</v>
      </c>
      <c r="AN143" s="26">
        <f t="shared" si="382"/>
        <v>0.3514689001</v>
      </c>
      <c r="AO143" s="28">
        <f t="shared" si="383"/>
        <v>0.5272033502</v>
      </c>
      <c r="AP143" s="27">
        <f t="shared" ref="AP143:AQ143" si="405">SUM(T158)</f>
        <v>47</v>
      </c>
      <c r="AQ143" s="27">
        <f t="shared" si="405"/>
        <v>4.272727273</v>
      </c>
      <c r="AR143" s="23">
        <f t="shared" si="385"/>
        <v>97.90909091</v>
      </c>
    </row>
    <row r="144" ht="15.75" customHeight="1">
      <c r="A144" s="21"/>
      <c r="B144" s="38">
        <v>4.0</v>
      </c>
      <c r="C144" s="38" t="s">
        <v>32</v>
      </c>
      <c r="D144" s="39">
        <v>32.0</v>
      </c>
      <c r="E144" s="40">
        <f>IFERROR(__xludf.DUMMYFUNCTION("COUNT(IMPORTRANGE(""https://docs.google.com/spreadsheets/d/1Rmar8QqWK4XOJ-eY6xMzkAfDSw0srEXcAw89ilArun8/edit"",""6!d2:d43""))"),31.0)</f>
        <v>31</v>
      </c>
      <c r="F144" s="45">
        <f>IFERROR(__xludf.DUMMYFUNCTION("SUM(IMPORTRANGE(""https://docs.google.com/spreadsheets/d/1Rmar8QqWK4XOJ-eY6xMzkAfDSw0srEXcAw89ilArun8/edit"",""6!Q2:Q43""))"),6096.626999999995)</f>
        <v>6096.627</v>
      </c>
      <c r="G144" s="38">
        <f>IFERROR(__xludf.DUMMYFUNCTION("IMPORTRANGE(""https://docs.google.com/spreadsheets/d/1Rmar8QqWK4XOJ-eY6xMzkAfDSw0srEXcAw89ilArun8/edit"",""6!e50"")"),2862.0)</f>
        <v>2862</v>
      </c>
      <c r="H144" s="38">
        <f>IFERROR(__xludf.DUMMYFUNCTION("IMPORTRANGE(""https://docs.google.com/spreadsheets/d/1Rmar8QqWK4XOJ-eY6xMzkAfDSw0srEXcAw89ilArun8/edit"",""6!e51"")"),0.0)</f>
        <v>0</v>
      </c>
      <c r="I144" s="40">
        <f t="shared" si="390"/>
        <v>2862</v>
      </c>
      <c r="J144" s="38">
        <f>IFERROR(__xludf.DUMMYFUNCTION("IMPORTRANGE(""https://docs.google.com/spreadsheets/d/1Rmar8QqWK4XOJ-eY6xMzkAfDSw0srEXcAw89ilArun8/edit"",""6!e54"")"),4080.0)</f>
        <v>4080</v>
      </c>
      <c r="K144" s="38">
        <f>IFERROR(__xludf.DUMMYFUNCTION("IMPORTRANGE(""https://docs.google.com/spreadsheets/d/1Rmar8QqWK4XOJ-eY6xMzkAfDSw0srEXcAw89ilArun8/edit"",""6!e55"")"),0.0)</f>
        <v>0</v>
      </c>
      <c r="L144" s="40">
        <f t="shared" si="391"/>
        <v>4080</v>
      </c>
      <c r="M144" s="40">
        <f t="shared" si="392"/>
        <v>6942</v>
      </c>
      <c r="N144" s="41">
        <f t="shared" si="393"/>
        <v>196.6653871</v>
      </c>
      <c r="O144" s="38">
        <v>13817.0</v>
      </c>
      <c r="P144" s="42">
        <f t="shared" si="394"/>
        <v>0.5024245495</v>
      </c>
      <c r="Q144" s="43">
        <v>1.5</v>
      </c>
      <c r="R144" s="42">
        <f t="shared" si="395"/>
        <v>0.7591082741</v>
      </c>
      <c r="S144" s="44">
        <f t="shared" si="396"/>
        <v>1.138662411</v>
      </c>
      <c r="T144" s="43">
        <f>F144/25.089</f>
        <v>243</v>
      </c>
      <c r="U144" s="43">
        <f t="shared" si="397"/>
        <v>7.838709677</v>
      </c>
      <c r="V144" s="40">
        <f t="shared" si="398"/>
        <v>223.9354839</v>
      </c>
      <c r="X144" s="46" t="s">
        <v>33</v>
      </c>
      <c r="Y144" s="46">
        <v>6.0</v>
      </c>
      <c r="Z144" s="46">
        <f t="shared" ref="Z144:AI144" si="406">SUM(Z138:Z143)</f>
        <v>144</v>
      </c>
      <c r="AA144" s="47">
        <f t="shared" si="406"/>
        <v>143</v>
      </c>
      <c r="AB144" s="48">
        <f t="shared" si="406"/>
        <v>28710.746</v>
      </c>
      <c r="AC144" s="47">
        <f t="shared" si="406"/>
        <v>6302</v>
      </c>
      <c r="AD144" s="47">
        <f t="shared" si="406"/>
        <v>476</v>
      </c>
      <c r="AE144" s="47">
        <f t="shared" si="406"/>
        <v>6778</v>
      </c>
      <c r="AF144" s="47">
        <f t="shared" si="406"/>
        <v>10062</v>
      </c>
      <c r="AG144" s="47">
        <f t="shared" si="406"/>
        <v>588</v>
      </c>
      <c r="AH144" s="47">
        <f t="shared" si="406"/>
        <v>10650</v>
      </c>
      <c r="AI144" s="47">
        <f t="shared" si="406"/>
        <v>17428</v>
      </c>
      <c r="AJ144" s="49">
        <f t="shared" si="402"/>
        <v>200.7744476</v>
      </c>
      <c r="AK144" s="46">
        <f>SUM(AK138:AK143)</f>
        <v>35074</v>
      </c>
      <c r="AL144" s="50">
        <f t="shared" si="380"/>
        <v>0.4968922849</v>
      </c>
      <c r="AM144" s="51">
        <v>1.5</v>
      </c>
      <c r="AN144" s="50">
        <f t="shared" si="382"/>
        <v>0.4046800688</v>
      </c>
      <c r="AO144" s="52">
        <f t="shared" si="383"/>
        <v>0.6070201032</v>
      </c>
      <c r="AP144" s="51">
        <f>SUM(AP138:AP143)</f>
        <v>1080.654888</v>
      </c>
      <c r="AQ144" s="51">
        <f>AP144/AA144</f>
        <v>7.557027192</v>
      </c>
      <c r="AR144" s="47">
        <f t="shared" si="385"/>
        <v>121.8741259</v>
      </c>
    </row>
    <row r="145" ht="15.75" customHeight="1">
      <c r="A145" s="21"/>
      <c r="B145" s="38">
        <v>5.0</v>
      </c>
      <c r="C145" s="38" t="s">
        <v>34</v>
      </c>
      <c r="D145" s="39">
        <v>30.0</v>
      </c>
      <c r="E145" s="40">
        <f>IFERROR(__xludf.DUMMYFUNCTION("COUNT(IMPORTRANGE(""https://docs.google.com/spreadsheets/d/1u99JxAoytGQQ8GcjxXl38CGdyEWy5uIbuJJHnsotyvk/edit"",""6!d2:d41""))"),30.0)</f>
        <v>30</v>
      </c>
      <c r="F145" s="45">
        <f>IFERROR(__xludf.DUMMYFUNCTION("SUM(IMPORTRANGE(""https://docs.google.com/spreadsheets/d/1u99JxAoytGQQ8GcjxXl38CGdyEWy5uIbuJJHnsotyvk/edit"",""6!Q2:Q41""))"),5882.706000000002)</f>
        <v>5882.706</v>
      </c>
      <c r="G145" s="40">
        <f>IFERROR(__xludf.DUMMYFUNCTION("IMPORTRANGE(""https://docs.google.com/spreadsheets/d/1u99JxAoytGQQ8GcjxXl38CGdyEWy5uIbuJJHnsotyvk/edit"",""6!e48"")"),2007.0)</f>
        <v>2007</v>
      </c>
      <c r="H145" s="40">
        <f>IFERROR(__xludf.DUMMYFUNCTION("IMPORTRANGE(""https://docs.google.com/spreadsheets/d/1u99JxAoytGQQ8GcjxXl38CGdyEWy5uIbuJJHnsotyvk/edit"",""6!e49"")"),0.0)</f>
        <v>0</v>
      </c>
      <c r="I145" s="40">
        <f t="shared" si="390"/>
        <v>2007</v>
      </c>
      <c r="J145" s="40">
        <f>IFERROR(__xludf.DUMMYFUNCTION("IMPORTRANGE(""https://docs.google.com/spreadsheets/d/1u99JxAoytGQQ8GcjxXl38CGdyEWy5uIbuJJHnsotyvk/edit"",""6!e52"")"),2362.0)</f>
        <v>2362</v>
      </c>
      <c r="K145" s="40">
        <f>IFERROR(__xludf.DUMMYFUNCTION("IMPORTRANGE(""https://docs.google.com/spreadsheets/d/1u99JxAoytGQQ8GcjxXl38CGdyEWy5uIbuJJHnsotyvk/edit"",""6!e53"")"),82.0)</f>
        <v>82</v>
      </c>
      <c r="L145" s="40">
        <f t="shared" si="391"/>
        <v>2444</v>
      </c>
      <c r="M145" s="40">
        <f t="shared" si="392"/>
        <v>4451</v>
      </c>
      <c r="N145" s="41">
        <f t="shared" si="393"/>
        <v>196.0902</v>
      </c>
      <c r="O145" s="38">
        <v>9354.0</v>
      </c>
      <c r="P145" s="42">
        <f t="shared" si="394"/>
        <v>0.4758392132</v>
      </c>
      <c r="Q145" s="43">
        <v>1.5</v>
      </c>
      <c r="R145" s="42">
        <f t="shared" si="395"/>
        <v>0.5044163916</v>
      </c>
      <c r="S145" s="44">
        <f t="shared" si="396"/>
        <v>0.7566245874</v>
      </c>
      <c r="T145" s="43">
        <f>F145/30.713</f>
        <v>191.5379807</v>
      </c>
      <c r="U145" s="43">
        <f t="shared" si="397"/>
        <v>6.384599355</v>
      </c>
      <c r="V145" s="40">
        <f t="shared" si="398"/>
        <v>148.3666667</v>
      </c>
      <c r="X145" s="53" t="s">
        <v>35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6"/>
    </row>
    <row r="146" ht="15.75" customHeight="1">
      <c r="A146" s="21"/>
      <c r="B146" s="38">
        <v>6.0</v>
      </c>
      <c r="C146" s="38" t="s">
        <v>23</v>
      </c>
      <c r="D146" s="39">
        <v>26.0</v>
      </c>
      <c r="E146" s="40">
        <f>IFERROR(__xludf.DUMMYFUNCTION("COUNT(IMPORTRANGE(""https://docs.google.com/spreadsheets/d/1uVc-vnTn57HE53lwrUYNZP4sGKTXisrqOoZ-6EyvLzY/edit"",""6!d2:d36""))"),26.0)</f>
        <v>26</v>
      </c>
      <c r="F146" s="45">
        <f>IFERROR(__xludf.DUMMYFUNCTION("SUM(IMPORTRANGE(""https://docs.google.com/spreadsheets/d/1uVc-vnTn57HE53lwrUYNZP4sGKTXisrqOoZ-6EyvLzY/edit"",""6!Q2:Q36""))"),5195.959999999999)</f>
        <v>5195.96</v>
      </c>
      <c r="G146" s="40">
        <f>IFERROR(__xludf.DUMMYFUNCTION("IMPORTRANGE(""https://docs.google.com/spreadsheets/d/1uVc-vnTn57HE53lwrUYNZP4sGKTXisrqOoZ-6EyvLzY/edit"",""6!e43"")"),921.0)</f>
        <v>921</v>
      </c>
      <c r="H146" s="40">
        <f>IFERROR(__xludf.DUMMYFUNCTION("IMPORTRANGE(""https://docs.google.com/spreadsheets/d/1uVc-vnTn57HE53lwrUYNZP4sGKTXisrqOoZ-6EyvLzY/edit"",""6!e44"")"),0.0)</f>
        <v>0</v>
      </c>
      <c r="I146" s="40">
        <f t="shared" si="390"/>
        <v>921</v>
      </c>
      <c r="J146" s="40">
        <f>IFERROR(__xludf.DUMMYFUNCTION("IMPORTRANGE(""https://docs.google.com/spreadsheets/d/1uVc-vnTn57HE53lwrUYNZP4sGKTXisrqOoZ-6EyvLzY/edit"",""6!e47"")"),2283.0)</f>
        <v>2283</v>
      </c>
      <c r="K146" s="40">
        <f>IFERROR(__xludf.DUMMYFUNCTION("IMPORTRANGE(""https://docs.google.com/spreadsheets/d/1uVc-vnTn57HE53lwrUYNZP4sGKTXisrqOoZ-6EyvLzY/edit"",""6!e48"")"),73.0)</f>
        <v>73</v>
      </c>
      <c r="L146" s="40">
        <f t="shared" si="391"/>
        <v>2356</v>
      </c>
      <c r="M146" s="40">
        <f t="shared" si="392"/>
        <v>3277</v>
      </c>
      <c r="N146" s="41">
        <f t="shared" si="393"/>
        <v>199.8446154</v>
      </c>
      <c r="O146" s="38">
        <v>6853.0</v>
      </c>
      <c r="P146" s="42">
        <f t="shared" si="394"/>
        <v>0.4781847366</v>
      </c>
      <c r="Q146" s="43">
        <v>1.5</v>
      </c>
      <c r="R146" s="42">
        <f t="shared" si="395"/>
        <v>0.4204548662</v>
      </c>
      <c r="S146" s="44">
        <f t="shared" si="396"/>
        <v>0.6306822993</v>
      </c>
      <c r="T146" s="43">
        <f>F146/33.74</f>
        <v>154</v>
      </c>
      <c r="U146" s="43">
        <f t="shared" si="397"/>
        <v>5.923076923</v>
      </c>
      <c r="V146" s="40">
        <f t="shared" si="398"/>
        <v>126.0384615</v>
      </c>
      <c r="X146" s="14" t="s">
        <v>2</v>
      </c>
      <c r="Y146" s="14" t="s">
        <v>3</v>
      </c>
      <c r="Z146" s="14" t="s">
        <v>4</v>
      </c>
      <c r="AA146" s="14" t="s">
        <v>5</v>
      </c>
      <c r="AB146" s="15" t="s">
        <v>6</v>
      </c>
      <c r="AC146" s="14" t="s">
        <v>7</v>
      </c>
      <c r="AD146" s="14" t="s">
        <v>8</v>
      </c>
      <c r="AE146" s="14" t="s">
        <v>9</v>
      </c>
      <c r="AF146" s="14" t="s">
        <v>10</v>
      </c>
      <c r="AG146" s="14" t="s">
        <v>11</v>
      </c>
      <c r="AH146" s="14" t="s">
        <v>12</v>
      </c>
      <c r="AI146" s="14" t="s">
        <v>13</v>
      </c>
      <c r="AJ146" s="15" t="s">
        <v>14</v>
      </c>
      <c r="AK146" s="14" t="s">
        <v>15</v>
      </c>
      <c r="AL146" s="14" t="s">
        <v>16</v>
      </c>
      <c r="AM146" s="16" t="s">
        <v>17</v>
      </c>
      <c r="AN146" s="17" t="s">
        <v>18</v>
      </c>
      <c r="AO146" s="18" t="s">
        <v>19</v>
      </c>
      <c r="AP146" s="19" t="s">
        <v>20</v>
      </c>
      <c r="AQ146" s="19" t="s">
        <v>21</v>
      </c>
      <c r="AR146" s="20" t="s">
        <v>22</v>
      </c>
    </row>
    <row r="147" ht="15.75" customHeight="1">
      <c r="A147" s="21"/>
      <c r="B147" s="38">
        <v>7.0</v>
      </c>
      <c r="C147" s="38" t="s">
        <v>24</v>
      </c>
      <c r="D147" s="39">
        <v>35.0</v>
      </c>
      <c r="E147" s="54">
        <f>IFERROR(__xludf.DUMMYFUNCTION("COUNT(IMPORTRANGE(""https://docs.google.com/spreadsheets/d/1iuPvivSypupo44l6GtmR-2qZ3za7cTk7KzsOVp_kv2c/edit"",""6!d2:d45""))"),35.0)</f>
        <v>35</v>
      </c>
      <c r="F147" s="55">
        <f>IFERROR(__xludf.DUMMYFUNCTION("SUM(IMPORTRANGE(""https://docs.google.com/spreadsheets/d/1iuPvivSypupo44l6GtmR-2qZ3za7cTk7KzsOVp_kv2c/edit"",""6!Q2:Q45""))"),6722.932999999995)</f>
        <v>6722.933</v>
      </c>
      <c r="G147" s="54">
        <f>IFERROR(__xludf.DUMMYFUNCTION("IMPORTRANGE(""https://docs.google.com/spreadsheets/d/1iuPvivSypupo44l6GtmR-2qZ3za7cTk7KzsOVp_kv2c/edit"",""6!e53"")"),569.0)</f>
        <v>569</v>
      </c>
      <c r="H147" s="54">
        <f>IFERROR(__xludf.DUMMYFUNCTION("IMPORTRANGE(""https://docs.google.com/spreadsheets/d/1iuPvivSypupo44l6GtmR-2qZ3za7cTk7KzsOVp_kv2c/edit"",""6!e54"")"),0.0)</f>
        <v>0</v>
      </c>
      <c r="I147" s="54">
        <f t="shared" si="390"/>
        <v>569</v>
      </c>
      <c r="J147" s="54">
        <f>IFERROR(__xludf.DUMMYFUNCTION("IMPORTRANGE(""https://docs.google.com/spreadsheets/d/1iuPvivSypupo44l6GtmR-2qZ3za7cTk7KzsOVp_kv2c/edit"",""6!e57"")"),863.0)</f>
        <v>863</v>
      </c>
      <c r="K147" s="54">
        <f>IFERROR(__xludf.DUMMYFUNCTION("IMPORTRANGE(""https://docs.google.com/spreadsheets/d/1iuPvivSypupo44l6GtmR-2qZ3za7cTk7KzsOVp_kv2c/edit"",""6!e58"")"),0.0)</f>
        <v>0</v>
      </c>
      <c r="L147" s="40">
        <f t="shared" si="391"/>
        <v>863</v>
      </c>
      <c r="M147" s="40">
        <f t="shared" si="392"/>
        <v>1432</v>
      </c>
      <c r="N147" s="41">
        <f t="shared" si="393"/>
        <v>192.0838</v>
      </c>
      <c r="O147" s="38">
        <v>1580.0</v>
      </c>
      <c r="P147" s="42">
        <f t="shared" si="394"/>
        <v>0.9063291139</v>
      </c>
      <c r="Q147" s="43">
        <v>1.5</v>
      </c>
      <c r="R147" s="42">
        <f t="shared" si="395"/>
        <v>0.1420015143</v>
      </c>
      <c r="S147" s="44">
        <f t="shared" si="396"/>
        <v>0.2130022715</v>
      </c>
      <c r="T147" s="43">
        <f>F147/26.805</f>
        <v>250.8089162</v>
      </c>
      <c r="U147" s="43">
        <f t="shared" si="397"/>
        <v>7.165969036</v>
      </c>
      <c r="V147" s="40">
        <f t="shared" si="398"/>
        <v>40.91428571</v>
      </c>
      <c r="X147" s="22">
        <v>1.0</v>
      </c>
      <c r="Y147" s="22" t="s">
        <v>28</v>
      </c>
      <c r="Z147" s="22">
        <f t="shared" ref="Z147:AI147" si="407">SUM(D142)</f>
        <v>24</v>
      </c>
      <c r="AA147" s="23">
        <f t="shared" si="407"/>
        <v>24</v>
      </c>
      <c r="AB147" s="25">
        <f t="shared" si="407"/>
        <v>4767.704</v>
      </c>
      <c r="AC147" s="23">
        <f t="shared" si="407"/>
        <v>1674</v>
      </c>
      <c r="AD147" s="23">
        <f t="shared" si="407"/>
        <v>122</v>
      </c>
      <c r="AE147" s="23">
        <f t="shared" si="407"/>
        <v>1796</v>
      </c>
      <c r="AF147" s="23">
        <f t="shared" si="407"/>
        <v>1645</v>
      </c>
      <c r="AG147" s="23">
        <f t="shared" si="407"/>
        <v>180</v>
      </c>
      <c r="AH147" s="23">
        <f t="shared" si="407"/>
        <v>1825</v>
      </c>
      <c r="AI147" s="23">
        <f t="shared" si="407"/>
        <v>3621</v>
      </c>
      <c r="AJ147" s="25">
        <f t="shared" ref="AJ147:AJ153" si="410">AB147/AA147</f>
        <v>198.6543333</v>
      </c>
      <c r="AK147" s="22">
        <f t="shared" ref="AK147:AK148" si="411">SUM(O142)</f>
        <v>7315</v>
      </c>
      <c r="AL147" s="26">
        <f t="shared" ref="AL147:AL153" si="412">AI147/AK147</f>
        <v>0.4950102529</v>
      </c>
      <c r="AM147" s="27">
        <f t="shared" ref="AM147:AM148" si="413">SUM(Q142)</f>
        <v>1.5</v>
      </c>
      <c r="AN147" s="26">
        <f t="shared" ref="AN147:AN153" si="414">AO147/AM147</f>
        <v>0.5063233791</v>
      </c>
      <c r="AO147" s="28">
        <f t="shared" ref="AO147:AO153" si="415">AI147/AB147</f>
        <v>0.7594850687</v>
      </c>
      <c r="AP147" s="27">
        <f t="shared" ref="AP147:AQ147" si="408">SUM(T142)</f>
        <v>154.3096093</v>
      </c>
      <c r="AQ147" s="27">
        <f t="shared" si="408"/>
        <v>6.429567056</v>
      </c>
      <c r="AR147" s="23">
        <f t="shared" ref="AR147:AR153" si="417">AI147/AA147</f>
        <v>150.875</v>
      </c>
    </row>
    <row r="148" ht="15.75" customHeight="1">
      <c r="A148" s="21"/>
      <c r="B148" s="38">
        <v>8.0</v>
      </c>
      <c r="C148" s="38" t="s">
        <v>25</v>
      </c>
      <c r="D148" s="57">
        <v>26.0</v>
      </c>
      <c r="E148" s="40">
        <f>IFERROR(__xludf.DUMMYFUNCTION("COUNT(IMPORTRANGE(""https://docs.google.com/spreadsheets/d/1sqWX7UerdR9KR_duBzDNfjwbPG-3hLgV1LiN2ZVZ6Js/edit"",""6!d2:D33""))"),26.0)</f>
        <v>26</v>
      </c>
      <c r="F148" s="45">
        <f>IFERROR(__xludf.DUMMYFUNCTION("SUM(IMPORTRANGE(""https://docs.google.com/spreadsheets/d/1sqWX7UerdR9KR_duBzDNfjwbPG-3hLgV1LiN2ZVZ6Js/edit"",""6!Q2:Q33""))"),4800.252)</f>
        <v>4800.252</v>
      </c>
      <c r="G148" s="40">
        <f>IFERROR(__xludf.DUMMYFUNCTION("IMPORTRANGE(""https://docs.google.com/spreadsheets/d/1sqWX7UerdR9KR_duBzDNfjwbPG-3hLgV1LiN2ZVZ6Js/edit"",""6!e40"")"),1358.0)</f>
        <v>1358</v>
      </c>
      <c r="H148" s="40">
        <f>IFERROR(__xludf.DUMMYFUNCTION("IMPORTRANGE(""https://docs.google.com/spreadsheets/d/1sqWX7UerdR9KR_duBzDNfjwbPG-3hLgV1LiN2ZVZ6Js/edit"",""6!e41"")"),311.0)</f>
        <v>311</v>
      </c>
      <c r="I148" s="40">
        <f t="shared" si="390"/>
        <v>1669</v>
      </c>
      <c r="J148" s="40">
        <f>IFERROR(__xludf.DUMMYFUNCTION("IMPORTRANGE(""https://docs.google.com/spreadsheets/d/1sqWX7UerdR9KR_duBzDNfjwbPG-3hLgV1LiN2ZVZ6Js/edit"",""6!e44"")"),1798.0)</f>
        <v>1798</v>
      </c>
      <c r="K148" s="40">
        <f>IFERROR(__xludf.DUMMYFUNCTION("IMPORTRANGE(""https://docs.google.com/spreadsheets/d/1sqWX7UerdR9KR_duBzDNfjwbPG-3hLgV1LiN2ZVZ6Js/edit"",""6!e45"")"),324.0)</f>
        <v>324</v>
      </c>
      <c r="L148" s="40">
        <f>J148+K148</f>
        <v>2122</v>
      </c>
      <c r="M148" s="40">
        <f t="shared" si="392"/>
        <v>3791</v>
      </c>
      <c r="N148" s="41">
        <f t="shared" si="393"/>
        <v>184.6250769</v>
      </c>
      <c r="O148" s="38">
        <v>6622.0</v>
      </c>
      <c r="P148" s="42">
        <f t="shared" si="394"/>
        <v>0.5724856539</v>
      </c>
      <c r="Q148" s="43">
        <v>1.5</v>
      </c>
      <c r="R148" s="42">
        <f t="shared" si="395"/>
        <v>0.5265001365</v>
      </c>
      <c r="S148" s="44">
        <f t="shared" si="396"/>
        <v>0.7897502048</v>
      </c>
      <c r="T148" s="43">
        <f>F148/23.84</f>
        <v>201.3528523</v>
      </c>
      <c r="U148" s="43">
        <f t="shared" si="397"/>
        <v>7.744340475</v>
      </c>
      <c r="V148" s="40">
        <f t="shared" si="398"/>
        <v>145.8076923</v>
      </c>
      <c r="X148" s="31">
        <v>2.0</v>
      </c>
      <c r="Y148" s="31" t="s">
        <v>30</v>
      </c>
      <c r="Z148" s="31">
        <f t="shared" ref="Z148:AI148" si="409">SUM(D143)</f>
        <v>45</v>
      </c>
      <c r="AA148" s="32">
        <f t="shared" si="409"/>
        <v>45</v>
      </c>
      <c r="AB148" s="33">
        <f t="shared" si="409"/>
        <v>8889.31</v>
      </c>
      <c r="AC148" s="32">
        <f t="shared" si="409"/>
        <v>2101</v>
      </c>
      <c r="AD148" s="32">
        <f t="shared" si="409"/>
        <v>0</v>
      </c>
      <c r="AE148" s="32">
        <f t="shared" si="409"/>
        <v>2101</v>
      </c>
      <c r="AF148" s="32">
        <f t="shared" si="409"/>
        <v>3723</v>
      </c>
      <c r="AG148" s="32">
        <f t="shared" si="409"/>
        <v>0</v>
      </c>
      <c r="AH148" s="32">
        <f t="shared" si="409"/>
        <v>3723</v>
      </c>
      <c r="AI148" s="32">
        <f t="shared" si="409"/>
        <v>5824</v>
      </c>
      <c r="AJ148" s="34">
        <f t="shared" si="410"/>
        <v>197.5402222</v>
      </c>
      <c r="AK148" s="31">
        <f t="shared" si="411"/>
        <v>11164</v>
      </c>
      <c r="AL148" s="35">
        <f t="shared" si="412"/>
        <v>0.5216768183</v>
      </c>
      <c r="AM148" s="36">
        <f t="shared" si="413"/>
        <v>1.5</v>
      </c>
      <c r="AN148" s="35">
        <f t="shared" si="414"/>
        <v>0.4367793076</v>
      </c>
      <c r="AO148" s="37">
        <f t="shared" si="415"/>
        <v>0.6551689614</v>
      </c>
      <c r="AP148" s="36">
        <f t="shared" ref="AP148:AQ148" si="416">SUM(T143)</f>
        <v>300.2840928</v>
      </c>
      <c r="AQ148" s="36">
        <f t="shared" si="416"/>
        <v>6.672979841</v>
      </c>
      <c r="AR148" s="32">
        <f t="shared" si="417"/>
        <v>129.4222222</v>
      </c>
    </row>
    <row r="149" ht="15.75" customHeight="1">
      <c r="A149" s="21"/>
      <c r="B149" s="38">
        <v>9.0</v>
      </c>
      <c r="C149" s="38" t="s">
        <v>36</v>
      </c>
      <c r="D149" s="58">
        <v>23.0</v>
      </c>
      <c r="E149" s="40">
        <f>IFERROR(__xludf.DUMMYFUNCTION("COUNT(IMPORTRANGE(""https://docs.google.com/spreadsheets/d/1YNna43iTSqnwwbMJgTIPHSJEoDO8RGPRFg5pJCoQR_Y/edit"",""6!d2:d31""))"),23.0)</f>
        <v>23</v>
      </c>
      <c r="F149" s="45">
        <f>IFERROR(__xludf.DUMMYFUNCTION("SUM(IMPORTRANGE(""https://docs.google.com/spreadsheets/d/1YNna43iTSqnwwbMJgTIPHSJEoDO8RGPRFg5pJCoQR_Y/edit"",""6!Q2:Q31""))"),4540.214999999997)</f>
        <v>4540.215</v>
      </c>
      <c r="G149" s="40">
        <f>IFERROR(__xludf.DUMMYFUNCTION("IMPORTRANGE(""https://docs.google.com/spreadsheets/d/1YNna43iTSqnwwbMJgTIPHSJEoDO8RGPRFg5pJCoQR_Y/edit"",""6!e38"")"),895.0)</f>
        <v>895</v>
      </c>
      <c r="H149" s="40">
        <f>IFERROR(__xludf.DUMMYFUNCTION("IMPORTRANGE(""https://docs.google.com/spreadsheets/d/1YNna43iTSqnwwbMJgTIPHSJEoDO8RGPRFg5pJCoQR_Y/edit"",""6!e39"")"),0.0)</f>
        <v>0</v>
      </c>
      <c r="I149" s="40">
        <f t="shared" si="390"/>
        <v>895</v>
      </c>
      <c r="J149" s="40">
        <f>IFERROR(__xludf.DUMMYFUNCTION("IMPORTRANGE(""https://docs.google.com/spreadsheets/d/1YNna43iTSqnwwbMJgTIPHSJEoDO8RGPRFg5pJCoQR_Y/edit"",""6!e42"")"),1499.0)</f>
        <v>1499</v>
      </c>
      <c r="K149" s="40">
        <f>IFERROR(__xludf.DUMMYFUNCTION("IMPORTRANGE(""https://docs.google.com/spreadsheets/d/1YNna43iTSqnwwbMJgTIPHSJEoDO8RGPRFg5pJCoQR_Y/edit"",""6!e43"")"),0.0)</f>
        <v>0</v>
      </c>
      <c r="L149" s="40">
        <f t="shared" ref="L149:L158" si="420">SUM(J149:K149)</f>
        <v>1499</v>
      </c>
      <c r="M149" s="40">
        <f t="shared" si="392"/>
        <v>2394</v>
      </c>
      <c r="N149" s="41">
        <f t="shared" si="393"/>
        <v>197.4006522</v>
      </c>
      <c r="O149" s="38">
        <v>4796.0</v>
      </c>
      <c r="P149" s="42">
        <f t="shared" si="394"/>
        <v>0.4991659716</v>
      </c>
      <c r="Q149" s="43">
        <v>1.5</v>
      </c>
      <c r="R149" s="42">
        <f t="shared" si="395"/>
        <v>0.3515252031</v>
      </c>
      <c r="S149" s="44">
        <f t="shared" si="396"/>
        <v>0.5272878047</v>
      </c>
      <c r="T149" s="43">
        <f>F149/37.414</f>
        <v>121.3506976</v>
      </c>
      <c r="U149" s="43">
        <f t="shared" si="397"/>
        <v>5.276117287</v>
      </c>
      <c r="V149" s="40">
        <f t="shared" si="398"/>
        <v>104.0869565</v>
      </c>
      <c r="X149" s="22">
        <v>3.0</v>
      </c>
      <c r="Y149" s="22" t="s">
        <v>34</v>
      </c>
      <c r="Z149" s="22">
        <f t="shared" ref="Z149:AI149" si="418">SUM(D145)</f>
        <v>30</v>
      </c>
      <c r="AA149" s="23">
        <f t="shared" si="418"/>
        <v>30</v>
      </c>
      <c r="AB149" s="24">
        <f t="shared" si="418"/>
        <v>5882.706</v>
      </c>
      <c r="AC149" s="23">
        <f t="shared" si="418"/>
        <v>2007</v>
      </c>
      <c r="AD149" s="23">
        <f t="shared" si="418"/>
        <v>0</v>
      </c>
      <c r="AE149" s="23">
        <f t="shared" si="418"/>
        <v>2007</v>
      </c>
      <c r="AF149" s="23">
        <f t="shared" si="418"/>
        <v>2362</v>
      </c>
      <c r="AG149" s="23">
        <f t="shared" si="418"/>
        <v>82</v>
      </c>
      <c r="AH149" s="23">
        <f t="shared" si="418"/>
        <v>2444</v>
      </c>
      <c r="AI149" s="23">
        <f t="shared" si="418"/>
        <v>4451</v>
      </c>
      <c r="AJ149" s="25">
        <f t="shared" si="410"/>
        <v>196.0902</v>
      </c>
      <c r="AK149" s="22">
        <f>SUM(O145)</f>
        <v>9354</v>
      </c>
      <c r="AL149" s="26">
        <f t="shared" si="412"/>
        <v>0.4758392132</v>
      </c>
      <c r="AM149" s="27">
        <f>SUM(Q145)</f>
        <v>1.5</v>
      </c>
      <c r="AN149" s="26">
        <f t="shared" si="414"/>
        <v>0.5044163916</v>
      </c>
      <c r="AO149" s="28">
        <f t="shared" si="415"/>
        <v>0.7566245874</v>
      </c>
      <c r="AP149" s="27">
        <f t="shared" ref="AP149:AQ149" si="419">SUM(T145)</f>
        <v>191.5379807</v>
      </c>
      <c r="AQ149" s="27">
        <f t="shared" si="419"/>
        <v>6.384599355</v>
      </c>
      <c r="AR149" s="23">
        <f t="shared" si="417"/>
        <v>148.3666667</v>
      </c>
    </row>
    <row r="150" ht="15.75" customHeight="1">
      <c r="A150" s="21"/>
      <c r="B150" s="38">
        <v>10.0</v>
      </c>
      <c r="C150" s="38" t="s">
        <v>37</v>
      </c>
      <c r="D150" s="39">
        <v>23.0</v>
      </c>
      <c r="E150" s="40">
        <f>IFERROR(__xludf.DUMMYFUNCTION("COUNT(IMPORTRANGE(""https://docs.google.com/spreadsheets/d/1913Df5BsXS_b-nClL8LOK5w0engQYTl1mPOiyngRtO0/edit"",""6!d2:d31""))"),22.0)</f>
        <v>22</v>
      </c>
      <c r="F150" s="45">
        <f>IFERROR(__xludf.DUMMYFUNCTION("SUM(IMPORTRANGE(""https://docs.google.com/spreadsheets/d/1913Df5BsXS_b-nClL8LOK5w0engQYTl1mPOiyngRtO0/edit"",""6!Q2:Q31""))"),4410.354000000001)</f>
        <v>4410.354</v>
      </c>
      <c r="G150" s="40">
        <f>IFERROR(__xludf.DUMMYFUNCTION("(IMPORTRANGE(""https://docs.google.com/spreadsheets/d/1913Df5BsXS_b-nClL8LOK5w0engQYTl1mPOiyngRtO0/edit"",""6!e38""))"),1097.0)</f>
        <v>1097</v>
      </c>
      <c r="H150" s="40">
        <f>IFERROR(__xludf.DUMMYFUNCTION("(IMPORTRANGE(""https://docs.google.com/spreadsheets/d/1913Df5BsXS_b-nClL8LOK5w0engQYTl1mPOiyngRtO0/edit"",""6!e39""))"),0.0)</f>
        <v>0</v>
      </c>
      <c r="I150" s="40">
        <f t="shared" si="390"/>
        <v>1097</v>
      </c>
      <c r="J150" s="40">
        <f>IFERROR(__xludf.DUMMYFUNCTION("(IMPORTRANGE(""https://docs.google.com/spreadsheets/d/1913Df5BsXS_b-nClL8LOK5w0engQYTl1mPOiyngRtO0/edit"",""6!e42""))"),1779.0)</f>
        <v>1779</v>
      </c>
      <c r="K150" s="40">
        <f>IFERROR(__xludf.DUMMYFUNCTION("(IMPORTRANGE(""https://docs.google.com/spreadsheets/d/1913Df5BsXS_b-nClL8LOK5w0engQYTl1mPOiyngRtO0/edit"",""6!e43""))"),0.0)</f>
        <v>0</v>
      </c>
      <c r="L150" s="40">
        <f t="shared" si="420"/>
        <v>1779</v>
      </c>
      <c r="M150" s="40">
        <f t="shared" si="392"/>
        <v>2876</v>
      </c>
      <c r="N150" s="41">
        <f t="shared" si="393"/>
        <v>200.4706364</v>
      </c>
      <c r="O150" s="38">
        <v>5887.0</v>
      </c>
      <c r="P150" s="42">
        <f t="shared" si="394"/>
        <v>0.4885340581</v>
      </c>
      <c r="Q150" s="43">
        <v>1.5</v>
      </c>
      <c r="R150" s="42">
        <f t="shared" si="395"/>
        <v>0.4347345663</v>
      </c>
      <c r="S150" s="44">
        <f t="shared" si="396"/>
        <v>0.6521018494</v>
      </c>
      <c r="T150" s="43">
        <f>F150/24.792</f>
        <v>177.8942401</v>
      </c>
      <c r="U150" s="43">
        <f t="shared" si="397"/>
        <v>8.086101822</v>
      </c>
      <c r="V150" s="40">
        <f t="shared" si="398"/>
        <v>130.7272727</v>
      </c>
      <c r="X150" s="31">
        <v>4.0</v>
      </c>
      <c r="Y150" s="31" t="s">
        <v>38</v>
      </c>
      <c r="Z150" s="31">
        <f t="shared" ref="Z150:AI150" si="421">SUM(D153)</f>
        <v>23</v>
      </c>
      <c r="AA150" s="32">
        <f t="shared" si="421"/>
        <v>23</v>
      </c>
      <c r="AB150" s="33">
        <f t="shared" si="421"/>
        <v>4573.755</v>
      </c>
      <c r="AC150" s="32">
        <f t="shared" si="421"/>
        <v>1092</v>
      </c>
      <c r="AD150" s="32">
        <f t="shared" si="421"/>
        <v>0</v>
      </c>
      <c r="AE150" s="32">
        <f t="shared" si="421"/>
        <v>1092</v>
      </c>
      <c r="AF150" s="32">
        <f t="shared" si="421"/>
        <v>2029</v>
      </c>
      <c r="AG150" s="32">
        <f t="shared" si="421"/>
        <v>276</v>
      </c>
      <c r="AH150" s="32">
        <f t="shared" si="421"/>
        <v>2305</v>
      </c>
      <c r="AI150" s="32">
        <f t="shared" si="421"/>
        <v>3397</v>
      </c>
      <c r="AJ150" s="34">
        <f t="shared" si="410"/>
        <v>198.858913</v>
      </c>
      <c r="AK150" s="31">
        <v>7324.0</v>
      </c>
      <c r="AL150" s="35">
        <f t="shared" si="412"/>
        <v>0.463817586</v>
      </c>
      <c r="AM150" s="36">
        <f>SUM(Q153)</f>
        <v>1.5</v>
      </c>
      <c r="AN150" s="35">
        <f t="shared" si="414"/>
        <v>0.4951438515</v>
      </c>
      <c r="AO150" s="37">
        <f t="shared" si="415"/>
        <v>0.7427157773</v>
      </c>
      <c r="AP150" s="36">
        <f t="shared" ref="AP150:AQ150" si="422">SUM(T153)</f>
        <v>111</v>
      </c>
      <c r="AQ150" s="36">
        <f t="shared" si="422"/>
        <v>4.826086957</v>
      </c>
      <c r="AR150" s="32">
        <f t="shared" si="417"/>
        <v>147.6956522</v>
      </c>
    </row>
    <row r="151" ht="15.75" customHeight="1">
      <c r="A151" s="21"/>
      <c r="B151" s="38">
        <v>12.0</v>
      </c>
      <c r="C151" s="38" t="s">
        <v>39</v>
      </c>
      <c r="D151" s="39">
        <v>21.0</v>
      </c>
      <c r="E151" s="40">
        <f>IFERROR(__xludf.DUMMYFUNCTION("COUNT(IMPORTRANGE(""https://docs.google.com/spreadsheets/d/1wMeol_MpSIcocGxt3WZGl46mJ2tc80mANPvP_YzaP18/edit"",""6!d2:d29""))"),21.0)</f>
        <v>21</v>
      </c>
      <c r="F151" s="45">
        <f>IFERROR(__xludf.DUMMYFUNCTION("SUM(IMPORTRANGE(""https://docs.google.com/spreadsheets/d/1wMeol_MpSIcocGxt3WZGl46mJ2tc80mANPvP_YzaP18/edit"",""6!Q2:Q29""))"),4104.8899999999985)</f>
        <v>4104.89</v>
      </c>
      <c r="G151" s="40">
        <f>IFERROR(__xludf.DUMMYFUNCTION("IMPORTRANGE(""https://docs.google.com/spreadsheets/d/1wMeol_MpSIcocGxt3WZGl46mJ2tc80mANPvP_YzaP18/edit"",""6!e36"")"),640.0)</f>
        <v>640</v>
      </c>
      <c r="H151" s="40">
        <f>IFERROR(__xludf.DUMMYFUNCTION("(IMPORTRANGE(""https://docs.google.com/spreadsheets/d/1wMeol_MpSIcocGxt3WZGl46mJ2tc80mANPvP_YzaP18/edit"",""6!e37""))"),27.0)</f>
        <v>27</v>
      </c>
      <c r="I151" s="40">
        <f t="shared" si="390"/>
        <v>667</v>
      </c>
      <c r="J151" s="40">
        <f>IFERROR(__xludf.DUMMYFUNCTION("IMPORTRANGE(""https://docs.google.com/spreadsheets/d/1wMeol_MpSIcocGxt3WZGl46mJ2tc80mANPvP_YzaP18/edit"",""6!e40"")"),1386.0)</f>
        <v>1386</v>
      </c>
      <c r="K151" s="40">
        <f>IFERROR(__xludf.DUMMYFUNCTION("IMPORTRANGE(""https://docs.google.com/spreadsheets/d/1wMeol_MpSIcocGxt3WZGl46mJ2tc80mANPvP_YzaP18/edit"",""6!e41"")"),36.0)</f>
        <v>36</v>
      </c>
      <c r="L151" s="40">
        <f t="shared" si="420"/>
        <v>1422</v>
      </c>
      <c r="M151" s="40">
        <f t="shared" si="392"/>
        <v>2089</v>
      </c>
      <c r="N151" s="41">
        <f t="shared" si="393"/>
        <v>195.4709524</v>
      </c>
      <c r="O151" s="38">
        <v>3569.0</v>
      </c>
      <c r="P151" s="42">
        <f t="shared" si="394"/>
        <v>0.5853180163</v>
      </c>
      <c r="Q151" s="43">
        <v>1.5</v>
      </c>
      <c r="R151" s="42">
        <f t="shared" si="395"/>
        <v>0.339270155</v>
      </c>
      <c r="S151" s="44">
        <f t="shared" si="396"/>
        <v>0.5089052325</v>
      </c>
      <c r="T151" s="43">
        <f>F151/21.463</f>
        <v>191.2542515</v>
      </c>
      <c r="U151" s="43">
        <f t="shared" si="397"/>
        <v>9.10734531</v>
      </c>
      <c r="V151" s="40">
        <f t="shared" si="398"/>
        <v>99.47619048</v>
      </c>
      <c r="X151" s="31">
        <v>5.0</v>
      </c>
      <c r="Y151" s="31" t="s">
        <v>40</v>
      </c>
      <c r="Z151" s="31">
        <f t="shared" ref="Z151:AI151" si="423">SUM(D155)</f>
        <v>23</v>
      </c>
      <c r="AA151" s="32">
        <f t="shared" si="423"/>
        <v>23</v>
      </c>
      <c r="AB151" s="33">
        <f t="shared" si="423"/>
        <v>4238.007</v>
      </c>
      <c r="AC151" s="32">
        <f t="shared" si="423"/>
        <v>2120</v>
      </c>
      <c r="AD151" s="32">
        <f t="shared" si="423"/>
        <v>0</v>
      </c>
      <c r="AE151" s="32">
        <f t="shared" si="423"/>
        <v>2120</v>
      </c>
      <c r="AF151" s="32">
        <f t="shared" si="423"/>
        <v>2641</v>
      </c>
      <c r="AG151" s="32">
        <f t="shared" si="423"/>
        <v>0</v>
      </c>
      <c r="AH151" s="32">
        <f t="shared" si="423"/>
        <v>2641</v>
      </c>
      <c r="AI151" s="32">
        <f t="shared" si="423"/>
        <v>4761</v>
      </c>
      <c r="AJ151" s="34">
        <f t="shared" si="410"/>
        <v>184.2611739</v>
      </c>
      <c r="AK151" s="31">
        <f t="shared" ref="AK151:AK152" si="426">SUM(O155)</f>
        <v>8239</v>
      </c>
      <c r="AL151" s="35">
        <f t="shared" si="412"/>
        <v>0.5778613909</v>
      </c>
      <c r="AM151" s="36">
        <f t="shared" ref="AM151:AM152" si="427">SUM(Q155)</f>
        <v>1.5</v>
      </c>
      <c r="AN151" s="35">
        <f t="shared" si="414"/>
        <v>0.7489369414</v>
      </c>
      <c r="AO151" s="37">
        <f t="shared" si="415"/>
        <v>1.123405412</v>
      </c>
      <c r="AP151" s="36">
        <f t="shared" ref="AP151:AQ151" si="424">SUM(T155)</f>
        <v>149</v>
      </c>
      <c r="AQ151" s="36">
        <f t="shared" si="424"/>
        <v>6.47826087</v>
      </c>
      <c r="AR151" s="32">
        <f t="shared" si="417"/>
        <v>207</v>
      </c>
    </row>
    <row r="152" ht="15.75" customHeight="1">
      <c r="A152" s="21"/>
      <c r="B152" s="38">
        <v>12.0</v>
      </c>
      <c r="C152" s="38" t="s">
        <v>41</v>
      </c>
      <c r="D152" s="39">
        <v>19.0</v>
      </c>
      <c r="E152" s="40">
        <f>IFERROR(__xludf.DUMMYFUNCTION("COUNT(IMPORTRANGE(""https://docs.google.com/spreadsheets/d/1sHk6_yuc4kORC_xnhEeazoemV_hVUQVqRpfoNae-PLk/edit"",""6!d2:d25""))"),19.0)</f>
        <v>19</v>
      </c>
      <c r="F152" s="45">
        <f>IFERROR(__xludf.DUMMYFUNCTION("SUM(IMPORTRANGE(""https://docs.google.com/spreadsheets/d/1sHk6_yuc4kORC_xnhEeazoemV_hVUQVqRpfoNae-PLk/edit"",""6!Q2:Q25""))"),3802.260000000001)</f>
        <v>3802.26</v>
      </c>
      <c r="G152" s="40">
        <f>IFERROR(__xludf.DUMMYFUNCTION("IMPORTRANGE(""https://docs.google.com/spreadsheets/d/1sHk6_yuc4kORC_xnhEeazoemV_hVUQVqRpfoNae-PLk/edit"",""6!e32"")"),702.0)</f>
        <v>702</v>
      </c>
      <c r="H152" s="40">
        <f>IFERROR(__xludf.DUMMYFUNCTION("IMPORTRANGE(""https://docs.google.com/spreadsheets/d/1sHk6_yuc4kORC_xnhEeazoemV_hVUQVqRpfoNae-PLk/edit"",""6!e33"")"),0.0)</f>
        <v>0</v>
      </c>
      <c r="I152" s="40">
        <f t="shared" si="390"/>
        <v>702</v>
      </c>
      <c r="J152" s="40">
        <f>IFERROR(__xludf.DUMMYFUNCTION("IMPORTRANGE(""https://docs.google.com/spreadsheets/d/1sHk6_yuc4kORC_xnhEeazoemV_hVUQVqRpfoNae-PLk/edit"",""6!e36"")"),1103.0)</f>
        <v>1103</v>
      </c>
      <c r="K152" s="40">
        <f>IFERROR(__xludf.DUMMYFUNCTION("IMPORTRANGE(""https://docs.google.com/spreadsheets/d/1sHk6_yuc4kORC_xnhEeazoemV_hVUQVqRpfoNae-PLk/edit"",""6!e37"")"),0.0)</f>
        <v>0</v>
      </c>
      <c r="L152" s="40">
        <f t="shared" si="420"/>
        <v>1103</v>
      </c>
      <c r="M152" s="40">
        <f t="shared" si="392"/>
        <v>1805</v>
      </c>
      <c r="N152" s="41">
        <f t="shared" si="393"/>
        <v>200.1189474</v>
      </c>
      <c r="O152" s="38">
        <v>3801.0</v>
      </c>
      <c r="P152" s="42">
        <f t="shared" si="394"/>
        <v>0.4748750329</v>
      </c>
      <c r="Q152" s="43">
        <v>1.5</v>
      </c>
      <c r="R152" s="42">
        <f t="shared" si="395"/>
        <v>0.3164784453</v>
      </c>
      <c r="S152" s="44">
        <f t="shared" si="396"/>
        <v>0.4747176679</v>
      </c>
      <c r="T152" s="43">
        <f>F152/29.628</f>
        <v>128.3333333</v>
      </c>
      <c r="U152" s="43">
        <f t="shared" si="397"/>
        <v>6.754385965</v>
      </c>
      <c r="V152" s="40">
        <f t="shared" si="398"/>
        <v>95</v>
      </c>
      <c r="X152" s="22">
        <v>6.0</v>
      </c>
      <c r="Y152" s="22" t="s">
        <v>42</v>
      </c>
      <c r="Z152" s="22">
        <f t="shared" ref="Z152:AI152" si="425">SUM(D156)</f>
        <v>24</v>
      </c>
      <c r="AA152" s="23">
        <f t="shared" si="425"/>
        <v>23</v>
      </c>
      <c r="AB152" s="24">
        <f t="shared" si="425"/>
        <v>4446.35</v>
      </c>
      <c r="AC152" s="23">
        <f t="shared" si="425"/>
        <v>2260</v>
      </c>
      <c r="AD152" s="23">
        <f t="shared" si="425"/>
        <v>0</v>
      </c>
      <c r="AE152" s="23">
        <f t="shared" si="425"/>
        <v>2260</v>
      </c>
      <c r="AF152" s="23">
        <f t="shared" si="425"/>
        <v>2705</v>
      </c>
      <c r="AG152" s="23">
        <f t="shared" si="425"/>
        <v>0</v>
      </c>
      <c r="AH152" s="23">
        <f t="shared" si="425"/>
        <v>2705</v>
      </c>
      <c r="AI152" s="23">
        <f t="shared" si="425"/>
        <v>4965</v>
      </c>
      <c r="AJ152" s="25">
        <f t="shared" si="410"/>
        <v>193.3195652</v>
      </c>
      <c r="AK152" s="22">
        <f t="shared" si="426"/>
        <v>9877</v>
      </c>
      <c r="AL152" s="26">
        <f t="shared" si="412"/>
        <v>0.5026830009</v>
      </c>
      <c r="AM152" s="27">
        <f t="shared" si="427"/>
        <v>1.5</v>
      </c>
      <c r="AN152" s="26">
        <f t="shared" si="414"/>
        <v>0.7444308253</v>
      </c>
      <c r="AO152" s="28">
        <f t="shared" si="415"/>
        <v>1.116646238</v>
      </c>
      <c r="AP152" s="27">
        <f t="shared" ref="AP152:AQ152" si="428">SUM(T156)</f>
        <v>170</v>
      </c>
      <c r="AQ152" s="27">
        <f t="shared" si="428"/>
        <v>7.391304348</v>
      </c>
      <c r="AR152" s="23">
        <f t="shared" si="417"/>
        <v>215.8695652</v>
      </c>
    </row>
    <row r="153" ht="15.75" customHeight="1">
      <c r="A153" s="21"/>
      <c r="B153" s="38">
        <v>13.0</v>
      </c>
      <c r="C153" s="38" t="s">
        <v>43</v>
      </c>
      <c r="D153" s="39">
        <v>23.0</v>
      </c>
      <c r="E153" s="40">
        <f>IFERROR(__xludf.DUMMYFUNCTION("COUNT(IMPORTRANGE(""https://docs.google.com/spreadsheets/d/1uGXvAN2jA6kmcEHUY4KqOHHewllZsujDdA6KVDfBCoA/edit"",""6!d2:d31""))"),23.0)</f>
        <v>23</v>
      </c>
      <c r="F153" s="45">
        <f>IFERROR(__xludf.DUMMYFUNCTION("SUM(IMPORTRANGE(""https://docs.google.com/spreadsheets/d/1uGXvAN2jA6kmcEHUY4KqOHHewllZsujDdA6KVDfBCoA/edit"",""6!Q2:Q31""))"),4573.755)</f>
        <v>4573.755</v>
      </c>
      <c r="G153" s="40">
        <f>IFERROR(__xludf.DUMMYFUNCTION("IMPORTRANGE(""https://docs.google.com/spreadsheets/d/1uGXvAN2jA6kmcEHUY4KqOHHewllZsujDdA6KVDfBCoA/edit"",""6!e38"")"),1092.0)</f>
        <v>1092</v>
      </c>
      <c r="H153" s="40">
        <f>IFERROR(__xludf.DUMMYFUNCTION("IMPORTRANGE(""https://docs.google.com/spreadsheets/d/1uGXvAN2jA6kmcEHUY4KqOHHewllZsujDdA6KVDfBCoA/edit"",""6!e39"")"),0.0)</f>
        <v>0</v>
      </c>
      <c r="I153" s="40">
        <f t="shared" si="390"/>
        <v>1092</v>
      </c>
      <c r="J153" s="40">
        <f>IFERROR(__xludf.DUMMYFUNCTION("IMPORTRANGE(""https://docs.google.com/spreadsheets/d/1uGXvAN2jA6kmcEHUY4KqOHHewllZsujDdA6KVDfBCoA/edit"",""6!e42"")"),2029.0)</f>
        <v>2029</v>
      </c>
      <c r="K153" s="40">
        <f>IFERROR(__xludf.DUMMYFUNCTION("IMPORTRANGE(""https://docs.google.com/spreadsheets/d/1uGXvAN2jA6kmcEHUY4KqOHHewllZsujDdA6KVDfBCoA/edit"",""6!e43"")"),276.0)</f>
        <v>276</v>
      </c>
      <c r="L153" s="40">
        <f t="shared" si="420"/>
        <v>2305</v>
      </c>
      <c r="M153" s="40">
        <f t="shared" si="392"/>
        <v>3397</v>
      </c>
      <c r="N153" s="41">
        <f t="shared" si="393"/>
        <v>198.858913</v>
      </c>
      <c r="O153" s="38">
        <v>8345.0</v>
      </c>
      <c r="P153" s="42">
        <f t="shared" si="394"/>
        <v>0.4070701019</v>
      </c>
      <c r="Q153" s="43">
        <v>1.5</v>
      </c>
      <c r="R153" s="42">
        <f t="shared" si="395"/>
        <v>0.4951438515</v>
      </c>
      <c r="S153" s="44">
        <f t="shared" si="396"/>
        <v>0.7427157773</v>
      </c>
      <c r="T153" s="43">
        <f>F153/41.205</f>
        <v>111</v>
      </c>
      <c r="U153" s="43">
        <f t="shared" si="397"/>
        <v>4.826086957</v>
      </c>
      <c r="V153" s="40">
        <f t="shared" si="398"/>
        <v>147.6956522</v>
      </c>
      <c r="X153" s="46" t="s">
        <v>33</v>
      </c>
      <c r="Y153" s="46">
        <v>6.0</v>
      </c>
      <c r="Z153" s="46">
        <f t="shared" ref="Z153:AI153" si="429">SUM(Z147:Z152)</f>
        <v>169</v>
      </c>
      <c r="AA153" s="47">
        <f t="shared" si="429"/>
        <v>168</v>
      </c>
      <c r="AB153" s="49">
        <f t="shared" si="429"/>
        <v>32797.832</v>
      </c>
      <c r="AC153" s="47">
        <f t="shared" si="429"/>
        <v>11254</v>
      </c>
      <c r="AD153" s="47">
        <f t="shared" si="429"/>
        <v>122</v>
      </c>
      <c r="AE153" s="47">
        <f t="shared" si="429"/>
        <v>11376</v>
      </c>
      <c r="AF153" s="47">
        <f t="shared" si="429"/>
        <v>15105</v>
      </c>
      <c r="AG153" s="47">
        <f t="shared" si="429"/>
        <v>538</v>
      </c>
      <c r="AH153" s="47">
        <f t="shared" si="429"/>
        <v>15643</v>
      </c>
      <c r="AI153" s="47">
        <f t="shared" si="429"/>
        <v>27019</v>
      </c>
      <c r="AJ153" s="49">
        <f t="shared" si="410"/>
        <v>195.2251905</v>
      </c>
      <c r="AK153" s="46">
        <f>SUM(AK147:AK152)</f>
        <v>53273</v>
      </c>
      <c r="AL153" s="50">
        <f t="shared" si="412"/>
        <v>0.5071799974</v>
      </c>
      <c r="AM153" s="51">
        <v>1.5</v>
      </c>
      <c r="AN153" s="50">
        <f t="shared" si="414"/>
        <v>0.5492029676</v>
      </c>
      <c r="AO153" s="52">
        <f t="shared" si="415"/>
        <v>0.8238044515</v>
      </c>
      <c r="AP153" s="51">
        <f>SUM(AP147:AP152)</f>
        <v>1076.131683</v>
      </c>
      <c r="AQ153" s="51">
        <f>AP153/AA153</f>
        <v>6.405545731</v>
      </c>
      <c r="AR153" s="47">
        <f t="shared" si="417"/>
        <v>160.827381</v>
      </c>
    </row>
    <row r="154" ht="15.75" customHeight="1">
      <c r="A154" s="21"/>
      <c r="B154" s="38">
        <v>14.0</v>
      </c>
      <c r="C154" s="38" t="s">
        <v>27</v>
      </c>
      <c r="D154" s="39">
        <v>23.0</v>
      </c>
      <c r="E154" s="40">
        <f>IFERROR(__xludf.DUMMYFUNCTION("COUNT(IMPORTRANGE(""https://docs.google.com/spreadsheets/d/1iYtf3wkjJIgOL8ej0-L89wY8FLXKi6EiRbi9UqA1Bzw/edit"",""6!d2:d31""))"),22.0)</f>
        <v>22</v>
      </c>
      <c r="F154" s="45">
        <f>IFERROR(__xludf.DUMMYFUNCTION("SUM(IMPORTRANGE(""https://docs.google.com/spreadsheets/d/1iYtf3wkjJIgOL8ej0-L89wY8FLXKi6EiRbi9UqA1Bzw/edit"",""6!Q2:Q31""))"),4226.69)</f>
        <v>4226.69</v>
      </c>
      <c r="G154" s="40">
        <f>IFERROR(__xludf.DUMMYFUNCTION("IMPORTRANGE(""https://docs.google.com/spreadsheets/d/1iYtf3wkjJIgOL8ej0-L89wY8FLXKi6EiRbi9UqA1Bzw/edit"",""6!e38"")"),1353.0)</f>
        <v>1353</v>
      </c>
      <c r="H154" s="40">
        <f>IFERROR(__xludf.DUMMYFUNCTION("IMPORTRANGE(""https://docs.google.com/spreadsheets/d/1iYtf3wkjJIgOL8ej0-L89wY8FLXKi6EiRbi9UqA1Bzw/edit"",""6!e39"")"),151.0)</f>
        <v>151</v>
      </c>
      <c r="I154" s="40">
        <f t="shared" si="390"/>
        <v>1504</v>
      </c>
      <c r="J154" s="40">
        <f>IFERROR(__xludf.DUMMYFUNCTION("IMPORTRANGE(""https://docs.google.com/spreadsheets/d/1iYtf3wkjJIgOL8ej0-L89wY8FLXKi6EiRbi9UqA1Bzw/edit"",""6!e42"")"),1912.0)</f>
        <v>1912</v>
      </c>
      <c r="K154" s="40">
        <f>IFERROR(__xludf.DUMMYFUNCTION("IMPORTRANGE(""https://docs.google.com/spreadsheets/d/1iYtf3wkjJIgOL8ej0-L89wY8FLXKi6EiRbi9UqA1Bzw/edit"",""6!e43"")"),191.0)</f>
        <v>191</v>
      </c>
      <c r="L154" s="40">
        <f t="shared" si="420"/>
        <v>2103</v>
      </c>
      <c r="M154" s="40">
        <f t="shared" si="392"/>
        <v>3607</v>
      </c>
      <c r="N154" s="41">
        <f t="shared" si="393"/>
        <v>192.1222727</v>
      </c>
      <c r="O154" s="38">
        <v>8101.0</v>
      </c>
      <c r="P154" s="42">
        <f t="shared" si="394"/>
        <v>0.4452536724</v>
      </c>
      <c r="Q154" s="43">
        <v>1.5</v>
      </c>
      <c r="R154" s="42">
        <f t="shared" si="395"/>
        <v>0.568924304</v>
      </c>
      <c r="S154" s="44">
        <f t="shared" si="396"/>
        <v>0.8533864561</v>
      </c>
      <c r="T154" s="43">
        <f>F154/19.985</f>
        <v>211.4931198</v>
      </c>
      <c r="U154" s="43">
        <f t="shared" si="397"/>
        <v>9.613323629</v>
      </c>
      <c r="V154" s="40">
        <f t="shared" si="398"/>
        <v>163.9545455</v>
      </c>
      <c r="X154" s="59" t="s">
        <v>44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6"/>
    </row>
    <row r="155" ht="15.75" customHeight="1">
      <c r="A155" s="21"/>
      <c r="B155" s="38">
        <v>15.0</v>
      </c>
      <c r="C155" s="38" t="s">
        <v>40</v>
      </c>
      <c r="D155" s="39">
        <v>23.0</v>
      </c>
      <c r="E155" s="40">
        <f>IFERROR(__xludf.DUMMYFUNCTION("COUNT(IMPORTRANGE(""https://docs.google.com/spreadsheets/d/1Wdf8MsoDBzMSsrzOXwaGQzbVjVqOWfKSqYmbncevZgA/edit"",""6!d2:d31""))"),23.0)</f>
        <v>23</v>
      </c>
      <c r="F155" s="45">
        <f>IFERROR(__xludf.DUMMYFUNCTION("SUM(IMPORTRANGE(""https://docs.google.com/spreadsheets/d/1Wdf8MsoDBzMSsrzOXwaGQzbVjVqOWfKSqYmbncevZgA/edit"",""6!Q2:Q31""))"),4238.007000000001)</f>
        <v>4238.007</v>
      </c>
      <c r="G155" s="40">
        <f>IFERROR(__xludf.DUMMYFUNCTION("IMPORTRANGE(""https://docs.google.com/spreadsheets/d/1Wdf8MsoDBzMSsrzOXwaGQzbVjVqOWfKSqYmbncevZgA/edit"",""6!e38"")"),2120.0)</f>
        <v>2120</v>
      </c>
      <c r="H155" s="40">
        <f>IFERROR(__xludf.DUMMYFUNCTION("IMPORTRANGE(""https://docs.google.com/spreadsheets/d/1Wdf8MsoDBzMSsrzOXwaGQzbVjVqOWfKSqYmbncevZgA/edit"",""6!e39"")"),0.0)</f>
        <v>0</v>
      </c>
      <c r="I155" s="40">
        <f t="shared" si="390"/>
        <v>2120</v>
      </c>
      <c r="J155" s="40">
        <f>IFERROR(__xludf.DUMMYFUNCTION("IMPORTRANGE(""https://docs.google.com/spreadsheets/d/1Wdf8MsoDBzMSsrzOXwaGQzbVjVqOWfKSqYmbncevZgA/edit"",""6!e42"")"),2641.0)</f>
        <v>2641</v>
      </c>
      <c r="K155" s="40">
        <f>IFERROR(__xludf.DUMMYFUNCTION("IMPORTRANGE(""https://docs.google.com/spreadsheets/d/1Wdf8MsoDBzMSsrzOXwaGQzbVjVqOWfKSqYmbncevZgA/edit"",""6!e43"")"),0.0)</f>
        <v>0</v>
      </c>
      <c r="L155" s="40">
        <f t="shared" si="420"/>
        <v>2641</v>
      </c>
      <c r="M155" s="40">
        <f t="shared" si="392"/>
        <v>4761</v>
      </c>
      <c r="N155" s="41">
        <f t="shared" si="393"/>
        <v>184.2611739</v>
      </c>
      <c r="O155" s="38">
        <v>8239.0</v>
      </c>
      <c r="P155" s="42">
        <f t="shared" si="394"/>
        <v>0.5778613909</v>
      </c>
      <c r="Q155" s="43">
        <v>1.5</v>
      </c>
      <c r="R155" s="42">
        <f t="shared" si="395"/>
        <v>0.7489369414</v>
      </c>
      <c r="S155" s="44">
        <f t="shared" si="396"/>
        <v>1.123405412</v>
      </c>
      <c r="T155" s="43">
        <f>F155/28.443</f>
        <v>149</v>
      </c>
      <c r="U155" s="43">
        <f t="shared" si="397"/>
        <v>6.47826087</v>
      </c>
      <c r="V155" s="40">
        <f t="shared" si="398"/>
        <v>207</v>
      </c>
      <c r="X155" s="14" t="s">
        <v>2</v>
      </c>
      <c r="Y155" s="14" t="s">
        <v>3</v>
      </c>
      <c r="Z155" s="14" t="s">
        <v>4</v>
      </c>
      <c r="AA155" s="14" t="s">
        <v>5</v>
      </c>
      <c r="AB155" s="15" t="s">
        <v>6</v>
      </c>
      <c r="AC155" s="14" t="s">
        <v>7</v>
      </c>
      <c r="AD155" s="14" t="s">
        <v>8</v>
      </c>
      <c r="AE155" s="14" t="s">
        <v>9</v>
      </c>
      <c r="AF155" s="14" t="s">
        <v>10</v>
      </c>
      <c r="AG155" s="14" t="s">
        <v>11</v>
      </c>
      <c r="AH155" s="14" t="s">
        <v>12</v>
      </c>
      <c r="AI155" s="14" t="s">
        <v>13</v>
      </c>
      <c r="AJ155" s="15" t="s">
        <v>14</v>
      </c>
      <c r="AK155" s="14" t="s">
        <v>15</v>
      </c>
      <c r="AL155" s="14" t="s">
        <v>16</v>
      </c>
      <c r="AM155" s="16" t="s">
        <v>17</v>
      </c>
      <c r="AN155" s="17" t="s">
        <v>18</v>
      </c>
      <c r="AO155" s="18" t="s">
        <v>19</v>
      </c>
      <c r="AP155" s="19" t="s">
        <v>20</v>
      </c>
      <c r="AQ155" s="19" t="s">
        <v>21</v>
      </c>
      <c r="AR155" s="20" t="s">
        <v>22</v>
      </c>
    </row>
    <row r="156" ht="15.75" customHeight="1">
      <c r="A156" s="21"/>
      <c r="B156" s="38">
        <v>16.0</v>
      </c>
      <c r="C156" s="38" t="s">
        <v>42</v>
      </c>
      <c r="D156" s="39">
        <v>24.0</v>
      </c>
      <c r="E156" s="40">
        <f>IFERROR(__xludf.DUMMYFUNCTION("COUNT(IMPORTRANGE(""https://docs.google.com/spreadsheets/d/1Z5uB5HbeAKcHmG4EOw3rf2J8NpyvDiha6RReERAMvA0/edit"",""6!d2:d34""))"),23.0)</f>
        <v>23</v>
      </c>
      <c r="F156" s="45">
        <f>IFERROR(__xludf.DUMMYFUNCTION("SUM(IMPORTRANGE(""https://docs.google.com/spreadsheets/d/1Z5uB5HbeAKcHmG4EOw3rf2J8NpyvDiha6RReERAMvA0/edit"",""6!Q2:Q34""))"),4446.349999999999)</f>
        <v>4446.35</v>
      </c>
      <c r="G156" s="40">
        <f>IFERROR(__xludf.DUMMYFUNCTION("IMPORTRANGE(""https://docs.google.com/spreadsheets/d/1Z5uB5HbeAKcHmG4EOw3rf2J8NpyvDiha6RReERAMvA0/edit"",""6!e41"")"),2260.0)</f>
        <v>2260</v>
      </c>
      <c r="H156" s="40">
        <f>IFERROR(__xludf.DUMMYFUNCTION("IMPORTRANGE(""https://docs.google.com/spreadsheets/d/1Z5uB5HbeAKcHmG4EOw3rf2J8NpyvDiha6RReERAMvA0/edit"",""6!e42"")"),0.0)</f>
        <v>0</v>
      </c>
      <c r="I156" s="40">
        <f t="shared" si="390"/>
        <v>2260</v>
      </c>
      <c r="J156" s="40">
        <f>IFERROR(__xludf.DUMMYFUNCTION("IMPORTRANGE(""https://docs.google.com/spreadsheets/d/1Z5uB5HbeAKcHmG4EOw3rf2J8NpyvDiha6RReERAMvA0/edit"",""6!e45"")"),2705.0)</f>
        <v>2705</v>
      </c>
      <c r="K156" s="40">
        <f>IFERROR(__xludf.DUMMYFUNCTION("IMPORTRANGE(""https://docs.google.com/spreadsheets/d/1Z5uB5HbeAKcHmG4EOw3rf2J8NpyvDiha6RReERAMvA0/edit"",""6!e46"")"),0.0)</f>
        <v>0</v>
      </c>
      <c r="L156" s="40">
        <f t="shared" si="420"/>
        <v>2705</v>
      </c>
      <c r="M156" s="40">
        <f t="shared" si="392"/>
        <v>4965</v>
      </c>
      <c r="N156" s="41">
        <f t="shared" si="393"/>
        <v>193.3195652</v>
      </c>
      <c r="O156" s="38">
        <v>9877.0</v>
      </c>
      <c r="P156" s="42">
        <f t="shared" si="394"/>
        <v>0.5026830009</v>
      </c>
      <c r="Q156" s="43">
        <v>1.5</v>
      </c>
      <c r="R156" s="42">
        <f t="shared" si="395"/>
        <v>0.7444308253</v>
      </c>
      <c r="S156" s="44">
        <f t="shared" si="396"/>
        <v>1.116646238</v>
      </c>
      <c r="T156" s="43">
        <f>F156/26.155</f>
        <v>170</v>
      </c>
      <c r="U156" s="43">
        <f t="shared" si="397"/>
        <v>7.391304348</v>
      </c>
      <c r="V156" s="40">
        <f t="shared" si="398"/>
        <v>215.8695652</v>
      </c>
      <c r="X156" s="31">
        <v>1.0</v>
      </c>
      <c r="Y156" s="31" t="s">
        <v>26</v>
      </c>
      <c r="Z156" s="31">
        <f t="shared" ref="Z156:AI156" si="430">SUM(D141)</f>
        <v>15</v>
      </c>
      <c r="AA156" s="32">
        <f t="shared" si="430"/>
        <v>15</v>
      </c>
      <c r="AB156" s="34">
        <f t="shared" si="430"/>
        <v>2984.364</v>
      </c>
      <c r="AC156" s="32">
        <f t="shared" si="430"/>
        <v>1358</v>
      </c>
      <c r="AD156" s="32">
        <f t="shared" si="430"/>
        <v>0</v>
      </c>
      <c r="AE156" s="32">
        <f t="shared" si="430"/>
        <v>1358</v>
      </c>
      <c r="AF156" s="32">
        <f t="shared" si="430"/>
        <v>2019</v>
      </c>
      <c r="AG156" s="32">
        <f t="shared" si="430"/>
        <v>0</v>
      </c>
      <c r="AH156" s="32">
        <f t="shared" si="430"/>
        <v>2019</v>
      </c>
      <c r="AI156" s="32">
        <f t="shared" si="430"/>
        <v>3377</v>
      </c>
      <c r="AJ156" s="34">
        <f t="shared" ref="AJ156:AJ162" si="433">AB156/AA156</f>
        <v>198.9576</v>
      </c>
      <c r="AK156" s="31">
        <f>SUM(O141)</f>
        <v>5161</v>
      </c>
      <c r="AL156" s="35">
        <f t="shared" ref="AL156:AL162" si="434">AI156/AK156</f>
        <v>0.6543305561</v>
      </c>
      <c r="AM156" s="36">
        <f>SUM(Q141)</f>
        <v>1.5</v>
      </c>
      <c r="AN156" s="35">
        <f t="shared" ref="AN156:AN162" si="435">AO156/AM156</f>
        <v>0.7543762535</v>
      </c>
      <c r="AO156" s="37">
        <f t="shared" ref="AO156:AO162" si="436">AI156/AB156</f>
        <v>1.13156438</v>
      </c>
      <c r="AP156" s="36">
        <f t="shared" ref="AP156:AQ156" si="431">SUM(T141)</f>
        <v>207.0318418</v>
      </c>
      <c r="AQ156" s="36">
        <f t="shared" si="431"/>
        <v>13.80212279</v>
      </c>
      <c r="AR156" s="32">
        <f t="shared" ref="AR156:AR162" si="438">AI156/AA156</f>
        <v>225.1333333</v>
      </c>
    </row>
    <row r="157" ht="15.75" customHeight="1">
      <c r="A157" s="21"/>
      <c r="B157" s="38">
        <v>17.0</v>
      </c>
      <c r="C157" s="38" t="s">
        <v>29</v>
      </c>
      <c r="D157" s="39">
        <v>23.0</v>
      </c>
      <c r="E157" s="40">
        <f>IFERROR(__xludf.DUMMYFUNCTION("COUNT(IMPORTRANGE(""https://docs.google.com/spreadsheets/d/1wfJqI0e9wVPqEQv3N6b8KgINjqI0OBECEyIFeY9j3i8/edit"",""6!d2:d31""))"),23.0)</f>
        <v>23</v>
      </c>
      <c r="F157" s="45">
        <f>IFERROR(__xludf.DUMMYFUNCTION("SUM(IMPORTRANGE(""https://docs.google.com/spreadsheets/d/1wfJqI0e9wVPqEQv3N6b8KgINjqI0OBECEyIFeY9j3i8/edit"",""!Q2:Q31""))"),5722.055999999998)</f>
        <v>5722.056</v>
      </c>
      <c r="G157" s="40">
        <f>IFERROR(__xludf.DUMMYFUNCTION("IMPORTRANGE(""https://docs.google.com/spreadsheets/d/1wfJqI0e9wVPqEQv3N6b8KgINjqI0OBECEyIFeY9j3i8/edit"",""6!e38"")"),1687.0)</f>
        <v>1687</v>
      </c>
      <c r="H157" s="40">
        <f>IFERROR(__xludf.DUMMYFUNCTION("IMPORTRANGE(""https://docs.google.com/spreadsheets/d/1wfJqI0e9wVPqEQv3N6b8KgINjqI0OBECEyIFeY9j3i8/edit"",""6!e39"")"),0.0)</f>
        <v>0</v>
      </c>
      <c r="I157" s="40">
        <f t="shared" si="390"/>
        <v>1687</v>
      </c>
      <c r="J157" s="40">
        <f>IFERROR(__xludf.DUMMYFUNCTION("IMPORTRANGE(""https://docs.google.com/spreadsheets/d/1wfJqI0e9wVPqEQv3N6b8KgINjqI0OBECEyIFeY9j3i8/edit"",""6!e42"")"),2557.0)</f>
        <v>2557</v>
      </c>
      <c r="K157" s="40">
        <f>IFERROR(__xludf.DUMMYFUNCTION("IMPORTRANGE(""https://docs.google.com/spreadsheets/d/1wfJqI0e9wVPqEQv3N6b8KgINjqI0OBECEyIFeY9j3i8/edit"",""6!e43"")"),0.0)</f>
        <v>0</v>
      </c>
      <c r="L157" s="40">
        <f t="shared" si="420"/>
        <v>2557</v>
      </c>
      <c r="M157" s="40">
        <f t="shared" si="392"/>
        <v>4244</v>
      </c>
      <c r="N157" s="41">
        <f t="shared" si="393"/>
        <v>248.7850435</v>
      </c>
      <c r="O157" s="38">
        <v>9201.0</v>
      </c>
      <c r="P157" s="42">
        <f t="shared" si="394"/>
        <v>0.4612542115</v>
      </c>
      <c r="Q157" s="43">
        <v>1.5</v>
      </c>
      <c r="R157" s="42">
        <f t="shared" si="395"/>
        <v>0.4944609653</v>
      </c>
      <c r="S157" s="44">
        <f t="shared" si="396"/>
        <v>0.741691448</v>
      </c>
      <c r="T157" s="43">
        <f>F157/26.491</f>
        <v>216</v>
      </c>
      <c r="U157" s="43">
        <f t="shared" si="397"/>
        <v>9.391304348</v>
      </c>
      <c r="V157" s="40">
        <f t="shared" si="398"/>
        <v>184.5217391</v>
      </c>
      <c r="X157" s="31">
        <v>2.0</v>
      </c>
      <c r="Y157" s="31" t="s">
        <v>32</v>
      </c>
      <c r="Z157" s="31">
        <f t="shared" ref="Z157:AI157" si="432">SUM(D144)</f>
        <v>32</v>
      </c>
      <c r="AA157" s="32">
        <f t="shared" si="432"/>
        <v>31</v>
      </c>
      <c r="AB157" s="33">
        <f t="shared" si="432"/>
        <v>6096.627</v>
      </c>
      <c r="AC157" s="31">
        <f t="shared" si="432"/>
        <v>2862</v>
      </c>
      <c r="AD157" s="31">
        <f t="shared" si="432"/>
        <v>0</v>
      </c>
      <c r="AE157" s="32">
        <f t="shared" si="432"/>
        <v>2862</v>
      </c>
      <c r="AF157" s="31">
        <f t="shared" si="432"/>
        <v>4080</v>
      </c>
      <c r="AG157" s="31">
        <f t="shared" si="432"/>
        <v>0</v>
      </c>
      <c r="AH157" s="32">
        <f t="shared" si="432"/>
        <v>4080</v>
      </c>
      <c r="AI157" s="32">
        <f t="shared" si="432"/>
        <v>6942</v>
      </c>
      <c r="AJ157" s="34">
        <f t="shared" si="433"/>
        <v>196.6653871</v>
      </c>
      <c r="AK157" s="31">
        <f>SUM(O144)</f>
        <v>13817</v>
      </c>
      <c r="AL157" s="35">
        <f t="shared" si="434"/>
        <v>0.5024245495</v>
      </c>
      <c r="AM157" s="36">
        <f>SUM(Q144)</f>
        <v>1.5</v>
      </c>
      <c r="AN157" s="35">
        <f t="shared" si="435"/>
        <v>0.7591082741</v>
      </c>
      <c r="AO157" s="37">
        <f t="shared" si="436"/>
        <v>1.138662411</v>
      </c>
      <c r="AP157" s="36">
        <f t="shared" ref="AP157:AQ157" si="437">SUM(T144)</f>
        <v>243</v>
      </c>
      <c r="AQ157" s="36">
        <f t="shared" si="437"/>
        <v>7.838709677</v>
      </c>
      <c r="AR157" s="32">
        <f t="shared" si="438"/>
        <v>223.9354839</v>
      </c>
    </row>
    <row r="158" ht="15.75" customHeight="1">
      <c r="A158" s="21"/>
      <c r="B158" s="38">
        <v>18.0</v>
      </c>
      <c r="C158" s="38" t="s">
        <v>31</v>
      </c>
      <c r="D158" s="39">
        <v>11.0</v>
      </c>
      <c r="E158" s="40">
        <f>IFERROR(__xludf.DUMMYFUNCTION("COUNT(IMPORTRANGE(""https://docs.google.com/spreadsheets/d/1-y2KhTAo7d8kowgUuWUDfRQuRMUAFteRYEXorT3_wOs/edit"",""6!d2:d16""))"),11.0)</f>
        <v>11</v>
      </c>
      <c r="F158" s="41">
        <f>IFERROR(__xludf.DUMMYFUNCTION("SUM(IMPORTRANGE(""https://docs.google.com/spreadsheets/d/1-y2KhTAo7d8kowgUuWUDfRQuRMUAFteRYEXorT3_wOs/edit"",""6!Q2:Q16""))"),2042.8550000000005)</f>
        <v>2042.855</v>
      </c>
      <c r="G158" s="40">
        <f>IFERROR(__xludf.DUMMYFUNCTION("IMPORTRANGE(""https://docs.google.com/spreadsheets/d/1-y2KhTAo7d8kowgUuWUDfRQuRMUAFteRYEXorT3_wOs/edit"",""6!e23"")"),414.0)</f>
        <v>414</v>
      </c>
      <c r="H158" s="40">
        <f>IFERROR(__xludf.DUMMYFUNCTION("IMPORTRANGE(""https://docs.google.com/spreadsheets/d/1-y2KhTAo7d8kowgUuWUDfRQuRMUAFteRYEXorT3_wOs/edit"",""6!e24"")"),14.0)</f>
        <v>14</v>
      </c>
      <c r="I158" s="40">
        <f t="shared" si="390"/>
        <v>428</v>
      </c>
      <c r="J158" s="40">
        <f>IFERROR(__xludf.DUMMYFUNCTION("IMPORTRANGE(""https://docs.google.com/spreadsheets/d/1-y2KhTAo7d8kowgUuWUDfRQuRMUAFteRYEXorT3_wOs/edit"",""6!e27"")"),649.0)</f>
        <v>649</v>
      </c>
      <c r="K158" s="40">
        <f>IFERROR(__xludf.DUMMYFUNCTION("IMPORTRANGE(""https://docs.google.com/spreadsheets/d/1-y2KhTAo7d8kowgUuWUDfRQuRMUAFteRYEXorT3_wOs/edit"",""6!e28"")"),0.0)</f>
        <v>0</v>
      </c>
      <c r="L158" s="40">
        <f t="shared" si="420"/>
        <v>649</v>
      </c>
      <c r="M158" s="40">
        <f t="shared" si="392"/>
        <v>1077</v>
      </c>
      <c r="N158" s="41">
        <f t="shared" si="393"/>
        <v>185.7140909</v>
      </c>
      <c r="O158" s="38">
        <v>2717.0</v>
      </c>
      <c r="P158" s="42">
        <f t="shared" si="394"/>
        <v>0.3963930806</v>
      </c>
      <c r="Q158" s="43">
        <v>1.5</v>
      </c>
      <c r="R158" s="42">
        <f t="shared" si="395"/>
        <v>0.3514689001</v>
      </c>
      <c r="S158" s="44">
        <f t="shared" si="396"/>
        <v>0.5272033502</v>
      </c>
      <c r="T158" s="43">
        <f>F158/43.465</f>
        <v>47</v>
      </c>
      <c r="U158" s="43">
        <f t="shared" si="397"/>
        <v>4.272727273</v>
      </c>
      <c r="V158" s="40">
        <f t="shared" si="398"/>
        <v>97.90909091</v>
      </c>
      <c r="X158" s="31">
        <v>3.0</v>
      </c>
      <c r="Y158" s="31" t="s">
        <v>36</v>
      </c>
      <c r="Z158" s="31">
        <f t="shared" ref="Z158:AI158" si="439">SUM(D149)</f>
        <v>23</v>
      </c>
      <c r="AA158" s="32">
        <f t="shared" si="439"/>
        <v>23</v>
      </c>
      <c r="AB158" s="33">
        <f t="shared" si="439"/>
        <v>4540.215</v>
      </c>
      <c r="AC158" s="32">
        <f t="shared" si="439"/>
        <v>895</v>
      </c>
      <c r="AD158" s="32">
        <f t="shared" si="439"/>
        <v>0</v>
      </c>
      <c r="AE158" s="32">
        <f t="shared" si="439"/>
        <v>895</v>
      </c>
      <c r="AF158" s="32">
        <f t="shared" si="439"/>
        <v>1499</v>
      </c>
      <c r="AG158" s="32">
        <f t="shared" si="439"/>
        <v>0</v>
      </c>
      <c r="AH158" s="32">
        <f t="shared" si="439"/>
        <v>1499</v>
      </c>
      <c r="AI158" s="32">
        <f t="shared" si="439"/>
        <v>2394</v>
      </c>
      <c r="AJ158" s="34">
        <f t="shared" si="433"/>
        <v>197.4006522</v>
      </c>
      <c r="AK158" s="31">
        <f t="shared" ref="AK158:AK161" si="443">SUM(O149)</f>
        <v>4796</v>
      </c>
      <c r="AL158" s="35">
        <f t="shared" si="434"/>
        <v>0.4991659716</v>
      </c>
      <c r="AM158" s="36">
        <f t="shared" ref="AM158:AM161" si="444">SUM(Q149)</f>
        <v>1.5</v>
      </c>
      <c r="AN158" s="35">
        <f t="shared" si="435"/>
        <v>0.3515252031</v>
      </c>
      <c r="AO158" s="37">
        <f t="shared" si="436"/>
        <v>0.5272878047</v>
      </c>
      <c r="AP158" s="36">
        <f t="shared" ref="AP158:AQ158" si="440">SUM(T149)</f>
        <v>121.3506976</v>
      </c>
      <c r="AQ158" s="36">
        <f t="shared" si="440"/>
        <v>5.276117287</v>
      </c>
      <c r="AR158" s="32">
        <f t="shared" si="438"/>
        <v>104.0869565</v>
      </c>
    </row>
    <row r="159" ht="15.75" customHeight="1">
      <c r="A159" s="21"/>
      <c r="B159" s="60" t="s">
        <v>33</v>
      </c>
      <c r="C159" s="60">
        <v>18.0</v>
      </c>
      <c r="D159" s="60">
        <f t="shared" ref="D159:M159" si="441">SUM(D141:D158)</f>
        <v>446</v>
      </c>
      <c r="E159" s="61">
        <f t="shared" si="441"/>
        <v>442</v>
      </c>
      <c r="F159" s="62">
        <f t="shared" si="441"/>
        <v>87447.288</v>
      </c>
      <c r="G159" s="61">
        <f t="shared" si="441"/>
        <v>25110</v>
      </c>
      <c r="H159" s="61">
        <f t="shared" si="441"/>
        <v>625</v>
      </c>
      <c r="I159" s="61">
        <f t="shared" si="441"/>
        <v>25735</v>
      </c>
      <c r="J159" s="61">
        <f t="shared" si="441"/>
        <v>37033</v>
      </c>
      <c r="K159" s="61">
        <f t="shared" si="441"/>
        <v>1162</v>
      </c>
      <c r="L159" s="61">
        <f t="shared" si="441"/>
        <v>38195</v>
      </c>
      <c r="M159" s="61">
        <f t="shared" si="441"/>
        <v>63930</v>
      </c>
      <c r="N159" s="62">
        <f t="shared" si="393"/>
        <v>197.844543</v>
      </c>
      <c r="O159" s="60">
        <f>SUM(O141:O158)</f>
        <v>126399</v>
      </c>
      <c r="P159" s="63">
        <f t="shared" si="394"/>
        <v>0.5057793179</v>
      </c>
      <c r="Q159" s="64">
        <v>1.5</v>
      </c>
      <c r="R159" s="63">
        <f t="shared" si="395"/>
        <v>0.4873793227</v>
      </c>
      <c r="S159" s="65">
        <f t="shared" si="396"/>
        <v>0.7310689841</v>
      </c>
      <c r="T159" s="64">
        <f>SUM(T141:T158)</f>
        <v>3225.650936</v>
      </c>
      <c r="U159" s="64">
        <f t="shared" si="397"/>
        <v>7.297852796</v>
      </c>
      <c r="V159" s="61">
        <f t="shared" si="398"/>
        <v>144.638009</v>
      </c>
      <c r="X159" s="31">
        <v>4.0</v>
      </c>
      <c r="Y159" s="31" t="s">
        <v>37</v>
      </c>
      <c r="Z159" s="31">
        <f t="shared" ref="Z159:AI159" si="442">SUM(D150)</f>
        <v>23</v>
      </c>
      <c r="AA159" s="32">
        <f t="shared" si="442"/>
        <v>22</v>
      </c>
      <c r="AB159" s="33">
        <f t="shared" si="442"/>
        <v>4410.354</v>
      </c>
      <c r="AC159" s="32">
        <f t="shared" si="442"/>
        <v>1097</v>
      </c>
      <c r="AD159" s="32">
        <f t="shared" si="442"/>
        <v>0</v>
      </c>
      <c r="AE159" s="32">
        <f t="shared" si="442"/>
        <v>1097</v>
      </c>
      <c r="AF159" s="32">
        <f t="shared" si="442"/>
        <v>1779</v>
      </c>
      <c r="AG159" s="32">
        <f t="shared" si="442"/>
        <v>0</v>
      </c>
      <c r="AH159" s="32">
        <f t="shared" si="442"/>
        <v>1779</v>
      </c>
      <c r="AI159" s="32">
        <f t="shared" si="442"/>
        <v>2876</v>
      </c>
      <c r="AJ159" s="34">
        <f t="shared" si="433"/>
        <v>200.4706364</v>
      </c>
      <c r="AK159" s="31">
        <f t="shared" si="443"/>
        <v>5887</v>
      </c>
      <c r="AL159" s="35">
        <f t="shared" si="434"/>
        <v>0.4885340581</v>
      </c>
      <c r="AM159" s="36">
        <f t="shared" si="444"/>
        <v>1.5</v>
      </c>
      <c r="AN159" s="35">
        <f t="shared" si="435"/>
        <v>0.4347345663</v>
      </c>
      <c r="AO159" s="37">
        <f t="shared" si="436"/>
        <v>0.6521018494</v>
      </c>
      <c r="AP159" s="36">
        <f t="shared" ref="AP159:AQ159" si="445">SUM(T150)</f>
        <v>177.8942401</v>
      </c>
      <c r="AQ159" s="36">
        <f t="shared" si="445"/>
        <v>8.086101822</v>
      </c>
      <c r="AR159" s="32">
        <f t="shared" si="438"/>
        <v>130.7272727</v>
      </c>
    </row>
    <row r="160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X160" s="31">
        <v>5.0</v>
      </c>
      <c r="Y160" s="31" t="s">
        <v>39</v>
      </c>
      <c r="Z160" s="31">
        <f t="shared" ref="Z160:AI160" si="446">SUM(D151)</f>
        <v>21</v>
      </c>
      <c r="AA160" s="32">
        <f t="shared" si="446"/>
        <v>21</v>
      </c>
      <c r="AB160" s="33">
        <f t="shared" si="446"/>
        <v>4104.89</v>
      </c>
      <c r="AC160" s="32">
        <f t="shared" si="446"/>
        <v>640</v>
      </c>
      <c r="AD160" s="32">
        <f t="shared" si="446"/>
        <v>27</v>
      </c>
      <c r="AE160" s="32">
        <f t="shared" si="446"/>
        <v>667</v>
      </c>
      <c r="AF160" s="32">
        <f t="shared" si="446"/>
        <v>1386</v>
      </c>
      <c r="AG160" s="32">
        <f t="shared" si="446"/>
        <v>36</v>
      </c>
      <c r="AH160" s="32">
        <f t="shared" si="446"/>
        <v>1422</v>
      </c>
      <c r="AI160" s="32">
        <f t="shared" si="446"/>
        <v>2089</v>
      </c>
      <c r="AJ160" s="34">
        <f t="shared" si="433"/>
        <v>195.4709524</v>
      </c>
      <c r="AK160" s="31">
        <f t="shared" si="443"/>
        <v>3569</v>
      </c>
      <c r="AL160" s="35">
        <f t="shared" si="434"/>
        <v>0.5853180163</v>
      </c>
      <c r="AM160" s="36">
        <f t="shared" si="444"/>
        <v>1.5</v>
      </c>
      <c r="AN160" s="35">
        <f t="shared" si="435"/>
        <v>0.339270155</v>
      </c>
      <c r="AO160" s="37">
        <f t="shared" si="436"/>
        <v>0.5089052325</v>
      </c>
      <c r="AP160" s="36">
        <f t="shared" ref="AP160:AQ160" si="447">SUM(T151)</f>
        <v>191.2542515</v>
      </c>
      <c r="AQ160" s="36">
        <f t="shared" si="447"/>
        <v>9.10734531</v>
      </c>
      <c r="AR160" s="32">
        <f t="shared" si="438"/>
        <v>99.47619048</v>
      </c>
    </row>
    <row r="161" ht="15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X161" s="31">
        <v>6.0</v>
      </c>
      <c r="Y161" s="31" t="s">
        <v>41</v>
      </c>
      <c r="Z161" s="31">
        <f t="shared" ref="Z161:AI161" si="448">SUM(D152)</f>
        <v>19</v>
      </c>
      <c r="AA161" s="32">
        <f t="shared" si="448"/>
        <v>19</v>
      </c>
      <c r="AB161" s="33">
        <f t="shared" si="448"/>
        <v>3802.26</v>
      </c>
      <c r="AC161" s="32">
        <f t="shared" si="448"/>
        <v>702</v>
      </c>
      <c r="AD161" s="32">
        <f t="shared" si="448"/>
        <v>0</v>
      </c>
      <c r="AE161" s="32">
        <f t="shared" si="448"/>
        <v>702</v>
      </c>
      <c r="AF161" s="32">
        <f t="shared" si="448"/>
        <v>1103</v>
      </c>
      <c r="AG161" s="32">
        <f t="shared" si="448"/>
        <v>0</v>
      </c>
      <c r="AH161" s="32">
        <f t="shared" si="448"/>
        <v>1103</v>
      </c>
      <c r="AI161" s="32">
        <f t="shared" si="448"/>
        <v>1805</v>
      </c>
      <c r="AJ161" s="34">
        <f t="shared" si="433"/>
        <v>200.1189474</v>
      </c>
      <c r="AK161" s="31">
        <f t="shared" si="443"/>
        <v>3801</v>
      </c>
      <c r="AL161" s="35">
        <f t="shared" si="434"/>
        <v>0.4748750329</v>
      </c>
      <c r="AM161" s="36">
        <f t="shared" si="444"/>
        <v>1.5</v>
      </c>
      <c r="AN161" s="35">
        <f t="shared" si="435"/>
        <v>0.3164784453</v>
      </c>
      <c r="AO161" s="37">
        <f t="shared" si="436"/>
        <v>0.4747176679</v>
      </c>
      <c r="AP161" s="36">
        <f t="shared" ref="AP161:AQ161" si="449">SUM(T152)</f>
        <v>128.3333333</v>
      </c>
      <c r="AQ161" s="36">
        <f t="shared" si="449"/>
        <v>6.754385965</v>
      </c>
      <c r="AR161" s="32">
        <f t="shared" si="438"/>
        <v>95</v>
      </c>
    </row>
    <row r="162" ht="15.75" customHeight="1">
      <c r="A162" s="1" t="s">
        <v>45</v>
      </c>
      <c r="D162" s="2"/>
      <c r="X162" s="46" t="s">
        <v>33</v>
      </c>
      <c r="Y162" s="46">
        <v>6.0</v>
      </c>
      <c r="Z162" s="46">
        <f t="shared" ref="Z162:AI162" si="450">SUM(Z156:Z161)</f>
        <v>133</v>
      </c>
      <c r="AA162" s="47">
        <f t="shared" si="450"/>
        <v>131</v>
      </c>
      <c r="AB162" s="49">
        <f t="shared" si="450"/>
        <v>25938.71</v>
      </c>
      <c r="AC162" s="47">
        <f t="shared" si="450"/>
        <v>7554</v>
      </c>
      <c r="AD162" s="47">
        <f t="shared" si="450"/>
        <v>27</v>
      </c>
      <c r="AE162" s="47">
        <f t="shared" si="450"/>
        <v>7581</v>
      </c>
      <c r="AF162" s="47">
        <f t="shared" si="450"/>
        <v>11866</v>
      </c>
      <c r="AG162" s="47">
        <f t="shared" si="450"/>
        <v>36</v>
      </c>
      <c r="AH162" s="47">
        <f t="shared" si="450"/>
        <v>11902</v>
      </c>
      <c r="AI162" s="47">
        <f t="shared" si="450"/>
        <v>19483</v>
      </c>
      <c r="AJ162" s="49">
        <f t="shared" si="433"/>
        <v>198.0054198</v>
      </c>
      <c r="AK162" s="46">
        <f>SUM(AK156:AK161)</f>
        <v>37031</v>
      </c>
      <c r="AL162" s="50">
        <f t="shared" si="434"/>
        <v>0.5261267587</v>
      </c>
      <c r="AM162" s="51">
        <v>1.5</v>
      </c>
      <c r="AN162" s="50">
        <f t="shared" si="435"/>
        <v>0.5007445115</v>
      </c>
      <c r="AO162" s="52">
        <f t="shared" si="436"/>
        <v>0.7511167672</v>
      </c>
      <c r="AP162" s="51">
        <f>SUM(AP156:AP161)</f>
        <v>1068.864364</v>
      </c>
      <c r="AQ162" s="51">
        <f>AP162/AA162</f>
        <v>8.159269957</v>
      </c>
      <c r="AR162" s="47">
        <f t="shared" si="438"/>
        <v>148.7251908</v>
      </c>
    </row>
    <row r="163" ht="15.75" customHeight="1">
      <c r="A163" s="1" t="s">
        <v>45</v>
      </c>
      <c r="D163" s="2"/>
      <c r="X163" s="66" t="s">
        <v>1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6"/>
    </row>
    <row r="164" ht="15.75" customHeight="1">
      <c r="A164" s="7">
        <v>46272.0</v>
      </c>
      <c r="B164" s="8" t="s">
        <v>2</v>
      </c>
      <c r="C164" s="8" t="s">
        <v>3</v>
      </c>
      <c r="D164" s="8" t="s">
        <v>4</v>
      </c>
      <c r="E164" s="8" t="s">
        <v>5</v>
      </c>
      <c r="F164" s="9" t="s">
        <v>6</v>
      </c>
      <c r="G164" s="8" t="s">
        <v>7</v>
      </c>
      <c r="H164" s="8" t="s">
        <v>8</v>
      </c>
      <c r="I164" s="8" t="s">
        <v>9</v>
      </c>
      <c r="J164" s="8" t="s">
        <v>10</v>
      </c>
      <c r="K164" s="8" t="s">
        <v>11</v>
      </c>
      <c r="L164" s="8" t="s">
        <v>12</v>
      </c>
      <c r="M164" s="8" t="s">
        <v>13</v>
      </c>
      <c r="N164" s="9" t="s">
        <v>14</v>
      </c>
      <c r="O164" s="8" t="s">
        <v>15</v>
      </c>
      <c r="P164" s="8" t="s">
        <v>16</v>
      </c>
      <c r="Q164" s="8" t="s">
        <v>17</v>
      </c>
      <c r="R164" s="8" t="s">
        <v>18</v>
      </c>
      <c r="S164" s="11" t="s">
        <v>19</v>
      </c>
      <c r="T164" s="12" t="s">
        <v>20</v>
      </c>
      <c r="U164" s="12" t="s">
        <v>21</v>
      </c>
      <c r="V164" s="13" t="s">
        <v>22</v>
      </c>
      <c r="X164" s="14" t="s">
        <v>2</v>
      </c>
      <c r="Y164" s="14" t="s">
        <v>3</v>
      </c>
      <c r="Z164" s="14" t="s">
        <v>4</v>
      </c>
      <c r="AA164" s="14" t="s">
        <v>5</v>
      </c>
      <c r="AB164" s="15" t="s">
        <v>6</v>
      </c>
      <c r="AC164" s="14" t="s">
        <v>7</v>
      </c>
      <c r="AD164" s="14" t="s">
        <v>8</v>
      </c>
      <c r="AE164" s="14" t="s">
        <v>9</v>
      </c>
      <c r="AF164" s="14" t="s">
        <v>10</v>
      </c>
      <c r="AG164" s="14" t="s">
        <v>11</v>
      </c>
      <c r="AH164" s="14" t="s">
        <v>12</v>
      </c>
      <c r="AI164" s="14" t="s">
        <v>13</v>
      </c>
      <c r="AJ164" s="15" t="s">
        <v>14</v>
      </c>
      <c r="AK164" s="14" t="s">
        <v>15</v>
      </c>
      <c r="AL164" s="14" t="s">
        <v>16</v>
      </c>
      <c r="AM164" s="16" t="s">
        <v>17</v>
      </c>
      <c r="AN164" s="17" t="s">
        <v>18</v>
      </c>
      <c r="AO164" s="18" t="s">
        <v>19</v>
      </c>
      <c r="AP164" s="19" t="s">
        <v>20</v>
      </c>
      <c r="AQ164" s="19" t="s">
        <v>21</v>
      </c>
      <c r="AR164" s="20" t="s">
        <v>22</v>
      </c>
    </row>
    <row r="165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X165" s="22">
        <v>1.0</v>
      </c>
      <c r="Y165" s="22" t="s">
        <v>23</v>
      </c>
      <c r="Z165" s="22">
        <f t="shared" ref="Z165:AI165" si="451">SUM(D173)</f>
        <v>35</v>
      </c>
      <c r="AA165" s="23">
        <f t="shared" si="451"/>
        <v>35</v>
      </c>
      <c r="AB165" s="24">
        <f t="shared" si="451"/>
        <v>7085.4</v>
      </c>
      <c r="AC165" s="23">
        <f t="shared" si="451"/>
        <v>0</v>
      </c>
      <c r="AD165" s="23">
        <f t="shared" si="451"/>
        <v>0</v>
      </c>
      <c r="AE165" s="23">
        <f t="shared" si="451"/>
        <v>0</v>
      </c>
      <c r="AF165" s="23">
        <f t="shared" si="451"/>
        <v>0</v>
      </c>
      <c r="AG165" s="23">
        <f t="shared" si="451"/>
        <v>0</v>
      </c>
      <c r="AH165" s="23">
        <f t="shared" si="451"/>
        <v>0</v>
      </c>
      <c r="AI165" s="23">
        <f t="shared" si="451"/>
        <v>0</v>
      </c>
      <c r="AJ165" s="25">
        <f t="shared" ref="AJ165:AJ167" si="454">AB165/AA165</f>
        <v>202.44</v>
      </c>
      <c r="AK165" s="22">
        <f>SUM(O173)</f>
        <v>6853</v>
      </c>
      <c r="AL165" s="26">
        <f t="shared" ref="AL165:AL171" si="455">AI165/AK165</f>
        <v>0</v>
      </c>
      <c r="AM165" s="27">
        <f t="shared" ref="AM165:AM167" si="456">SUM(Q173)</f>
        <v>1.5</v>
      </c>
      <c r="AN165" s="26">
        <f t="shared" ref="AN165:AN171" si="457">AO165/AM165</f>
        <v>0</v>
      </c>
      <c r="AO165" s="28">
        <f t="shared" ref="AO165:AO171" si="458">AI165/AB165</f>
        <v>0</v>
      </c>
      <c r="AP165" s="27">
        <f t="shared" ref="AP165:AQ165" si="452">SUM(T173)</f>
        <v>210</v>
      </c>
      <c r="AQ165" s="27">
        <f t="shared" si="452"/>
        <v>6</v>
      </c>
      <c r="AR165" s="23">
        <f t="shared" ref="AR165:AR171" si="460">AI165/AA165</f>
        <v>0</v>
      </c>
    </row>
    <row r="166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X166" s="22">
        <v>2.0</v>
      </c>
      <c r="Y166" s="22" t="s">
        <v>24</v>
      </c>
      <c r="Z166" s="22">
        <f t="shared" ref="Z166:AI166" si="453">SUM(D174)</f>
        <v>44</v>
      </c>
      <c r="AA166" s="23">
        <f t="shared" si="453"/>
        <v>43</v>
      </c>
      <c r="AB166" s="24">
        <f t="shared" si="453"/>
        <v>8679.808</v>
      </c>
      <c r="AC166" s="23">
        <f t="shared" si="453"/>
        <v>0</v>
      </c>
      <c r="AD166" s="23">
        <f t="shared" si="453"/>
        <v>0</v>
      </c>
      <c r="AE166" s="23">
        <f t="shared" si="453"/>
        <v>0</v>
      </c>
      <c r="AF166" s="23">
        <f t="shared" si="453"/>
        <v>0</v>
      </c>
      <c r="AG166" s="23">
        <f t="shared" si="453"/>
        <v>0</v>
      </c>
      <c r="AH166" s="23">
        <f t="shared" si="453"/>
        <v>0</v>
      </c>
      <c r="AI166" s="23">
        <f t="shared" si="453"/>
        <v>0</v>
      </c>
      <c r="AJ166" s="25">
        <f t="shared" si="454"/>
        <v>201.856</v>
      </c>
      <c r="AK166" s="22">
        <v>1580.0</v>
      </c>
      <c r="AL166" s="29">
        <f t="shared" si="455"/>
        <v>0</v>
      </c>
      <c r="AM166" s="27">
        <f t="shared" si="456"/>
        <v>1.5</v>
      </c>
      <c r="AN166" s="26">
        <f t="shared" si="457"/>
        <v>0</v>
      </c>
      <c r="AO166" s="28">
        <f t="shared" si="458"/>
        <v>0</v>
      </c>
      <c r="AP166" s="27">
        <f t="shared" ref="AP166:AQ166" si="459">SUM(T174)</f>
        <v>323.81302</v>
      </c>
      <c r="AQ166" s="27">
        <f t="shared" si="459"/>
        <v>7.530535348</v>
      </c>
      <c r="AR166" s="23">
        <f t="shared" si="460"/>
        <v>0</v>
      </c>
    </row>
    <row r="167" ht="15.75" customHeight="1">
      <c r="A167" s="21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X167" s="31">
        <v>3.0</v>
      </c>
      <c r="Y167" s="31" t="s">
        <v>25</v>
      </c>
      <c r="Z167" s="31">
        <f t="shared" ref="Z167:AI167" si="461">SUM(D175)</f>
        <v>32</v>
      </c>
      <c r="AA167" s="32">
        <f t="shared" si="461"/>
        <v>1</v>
      </c>
      <c r="AB167" s="33">
        <f t="shared" si="461"/>
        <v>34.876</v>
      </c>
      <c r="AC167" s="32">
        <f t="shared" si="461"/>
        <v>0</v>
      </c>
      <c r="AD167" s="32">
        <f t="shared" si="461"/>
        <v>0</v>
      </c>
      <c r="AE167" s="32">
        <f t="shared" si="461"/>
        <v>0</v>
      </c>
      <c r="AF167" s="32">
        <f t="shared" si="461"/>
        <v>0</v>
      </c>
      <c r="AG167" s="32">
        <f t="shared" si="461"/>
        <v>0</v>
      </c>
      <c r="AH167" s="32">
        <f t="shared" si="461"/>
        <v>0</v>
      </c>
      <c r="AI167" s="32">
        <f t="shared" si="461"/>
        <v>0</v>
      </c>
      <c r="AJ167" s="34">
        <f t="shared" si="454"/>
        <v>34.876</v>
      </c>
      <c r="AK167" s="31">
        <f>SUM(O175)</f>
        <v>6622</v>
      </c>
      <c r="AL167" s="35">
        <f t="shared" si="455"/>
        <v>0</v>
      </c>
      <c r="AM167" s="36">
        <f t="shared" si="456"/>
        <v>1.5</v>
      </c>
      <c r="AN167" s="35">
        <f t="shared" si="457"/>
        <v>0</v>
      </c>
      <c r="AO167" s="37">
        <f t="shared" si="458"/>
        <v>0</v>
      </c>
      <c r="AP167" s="36">
        <f t="shared" ref="AP167:AQ167" si="462">SUM(T175)</f>
        <v>1.462919463</v>
      </c>
      <c r="AQ167" s="36">
        <f t="shared" si="462"/>
        <v>1.462919463</v>
      </c>
      <c r="AR167" s="32">
        <f t="shared" si="460"/>
        <v>0</v>
      </c>
    </row>
    <row r="168" ht="15.75" customHeight="1">
      <c r="A168" s="21"/>
      <c r="B168" s="38">
        <v>1.0</v>
      </c>
      <c r="C168" s="38" t="s">
        <v>26</v>
      </c>
      <c r="D168" s="39">
        <v>20.0</v>
      </c>
      <c r="E168" s="40">
        <f>IFERROR(__xludf.DUMMYFUNCTION("COUNT(IMPORTRANGE(""https://docs.google.com/spreadsheets/d/1F0NpMx7WhcgPgxTWpryY3Z1CGg56FL6aiL4mHs43w4E/edit"",""7!d2:d21""))"),20.0)</f>
        <v>20</v>
      </c>
      <c r="F168" s="41">
        <f>IFERROR(__xludf.DUMMYFUNCTION("SUM(IMPORTRANGE(""https://docs.google.com/spreadsheets/d/1F0NpMx7WhcgPgxTWpryY3Z1CGg56FL6aiL4mHs43w4E/edit"",""7!Q2:Q21""))"),4036.1999999999994)</f>
        <v>4036.2</v>
      </c>
      <c r="G168" s="40">
        <f>IFERROR(__xludf.DUMMYFUNCTION("IMPORTRANGE(""https://docs.google.com/spreadsheets/d/1F0NpMx7WhcgPgxTWpryY3Z1CGg56FL6aiL4mHs43w4E/edit"",""7!e28"")"),0.0)</f>
        <v>0</v>
      </c>
      <c r="H168" s="40">
        <f>IFERROR(__xludf.DUMMYFUNCTION("IMPORTRANGE(""https://docs.google.com/spreadsheets/d/1F0NpMx7WhcgPgxTWpryY3Z1CGg56FL6aiL4mHs43w4E/edit"",""7!e29"")"),0.0)</f>
        <v>0</v>
      </c>
      <c r="I168" s="40">
        <f t="shared" ref="I168:I185" si="465">SUM(G168:H168)</f>
        <v>0</v>
      </c>
      <c r="J168" s="40">
        <f>IFERROR(__xludf.DUMMYFUNCTION("IMPORTRANGE(""https://docs.google.com/spreadsheets/d/1F0NpMx7WhcgPgxTWpryY3Z1CGg56FL6aiL4mHs43w4E/edit"",""7!e32"")"),0.0)</f>
        <v>0</v>
      </c>
      <c r="K168" s="40">
        <f>IFERROR(__xludf.DUMMYFUNCTION("IMPORTRANGE(""https://docs.google.com/spreadsheets/d/1F0NpMx7WhcgPgxTWpryY3Z1CGg56FL6aiL4mHs43w4E/edit"",""7!e33"")"),0.0)</f>
        <v>0</v>
      </c>
      <c r="L168" s="40">
        <f t="shared" ref="L168:L174" si="466">SUM(J168:K168)</f>
        <v>0</v>
      </c>
      <c r="M168" s="40">
        <f t="shared" ref="M168:M185" si="467">SUM(I168+L168)</f>
        <v>0</v>
      </c>
      <c r="N168" s="41">
        <f t="shared" ref="N168:N186" si="468">F168/E168</f>
        <v>201.81</v>
      </c>
      <c r="O168" s="38">
        <v>5161.0</v>
      </c>
      <c r="P168" s="42">
        <f t="shared" ref="P168:P186" si="469">M168/O168</f>
        <v>0</v>
      </c>
      <c r="Q168" s="43">
        <v>1.5</v>
      </c>
      <c r="R168" s="42">
        <f t="shared" ref="R168:R186" si="470">S168/Q168</f>
        <v>0</v>
      </c>
      <c r="S168" s="44">
        <f t="shared" ref="S168:S186" si="471">M168/F168</f>
        <v>0</v>
      </c>
      <c r="T168" s="43">
        <f>F168/14.415</f>
        <v>280</v>
      </c>
      <c r="U168" s="43">
        <f t="shared" ref="U168:U186" si="472">T168/E168</f>
        <v>14</v>
      </c>
      <c r="V168" s="40">
        <f t="shared" ref="V168:V186" si="473">M168/E168</f>
        <v>0</v>
      </c>
      <c r="X168" s="22">
        <v>4.0</v>
      </c>
      <c r="Y168" s="22" t="s">
        <v>27</v>
      </c>
      <c r="Z168" s="22">
        <f t="shared" ref="Z168:AK168" si="463">SUM(D181)</f>
        <v>30</v>
      </c>
      <c r="AA168" s="23">
        <f t="shared" si="463"/>
        <v>30</v>
      </c>
      <c r="AB168" s="24">
        <f t="shared" si="463"/>
        <v>5995.5</v>
      </c>
      <c r="AC168" s="23">
        <f t="shared" si="463"/>
        <v>0</v>
      </c>
      <c r="AD168" s="23">
        <f t="shared" si="463"/>
        <v>0</v>
      </c>
      <c r="AE168" s="23">
        <f t="shared" si="463"/>
        <v>0</v>
      </c>
      <c r="AF168" s="23">
        <f t="shared" si="463"/>
        <v>0</v>
      </c>
      <c r="AG168" s="23">
        <f t="shared" si="463"/>
        <v>0</v>
      </c>
      <c r="AH168" s="23">
        <f t="shared" si="463"/>
        <v>0</v>
      </c>
      <c r="AI168" s="23">
        <f t="shared" si="463"/>
        <v>0</v>
      </c>
      <c r="AJ168" s="25">
        <f t="shared" si="463"/>
        <v>199.85</v>
      </c>
      <c r="AK168" s="22">
        <f t="shared" si="463"/>
        <v>8101</v>
      </c>
      <c r="AL168" s="26">
        <f t="shared" si="455"/>
        <v>0</v>
      </c>
      <c r="AM168" s="27">
        <f>SUM(Q181)</f>
        <v>1.5</v>
      </c>
      <c r="AN168" s="26">
        <f t="shared" si="457"/>
        <v>0</v>
      </c>
      <c r="AO168" s="28">
        <f t="shared" si="458"/>
        <v>0</v>
      </c>
      <c r="AP168" s="27">
        <f t="shared" ref="AP168:AQ168" si="464">SUM(T181)</f>
        <v>300</v>
      </c>
      <c r="AQ168" s="27">
        <f t="shared" si="464"/>
        <v>10</v>
      </c>
      <c r="AR168" s="23">
        <f t="shared" si="460"/>
        <v>0</v>
      </c>
    </row>
    <row r="169" ht="15.75" customHeight="1">
      <c r="A169" s="21"/>
      <c r="B169" s="38">
        <v>2.0</v>
      </c>
      <c r="C169" s="38" t="s">
        <v>28</v>
      </c>
      <c r="D169" s="39">
        <v>33.0</v>
      </c>
      <c r="E169" s="40">
        <f>IFERROR(__xludf.DUMMYFUNCTION("COUNT(IMPORTRANGE(""https://docs.google.com/spreadsheets/d/1H9vAqftAHb0OdeSGXHTnJFzoWUgpoH31sc0sHNN8y1o/edit"",""7!d2:d34""))"),0.0)</f>
        <v>0</v>
      </c>
      <c r="F169" s="41">
        <f>IFERROR(__xludf.DUMMYFUNCTION("SUM(IMPORTRANGE(""https://docs.google.com/spreadsheets/d/1H9vAqftAHb0OdeSGXHTnJFzoWUgpoH31sc0sHNN8y1o/edit"",""7!Q2:Q34""))"),0.0)</f>
        <v>0</v>
      </c>
      <c r="G169" s="40">
        <f>IFERROR(__xludf.DUMMYFUNCTION("IMPORTRANGE(""https://docs.google.com/spreadsheets/d/1H9vAqftAHb0OdeSGXHTnJFzoWUgpoH31sc0sHNN8y1o/edit"",""7!e41"")"),0.0)</f>
        <v>0</v>
      </c>
      <c r="H169" s="40">
        <f>IFERROR(__xludf.DUMMYFUNCTION("IMPORTRANGE(""https://docs.google.com/spreadsheets/d/1H9vAqftAHb0OdeSGXHTnJFzoWUgpoH31sc0sHNN8y1o/edit"",""7!e42"")"),0.0)</f>
        <v>0</v>
      </c>
      <c r="I169" s="40">
        <f t="shared" si="465"/>
        <v>0</v>
      </c>
      <c r="J169" s="40">
        <f>IFERROR(__xludf.DUMMYFUNCTION("IMPORTRANGE(""https://docs.google.com/spreadsheets/d/1H9vAqftAHb0OdeSGXHTnJFzoWUgpoH31sc0sHNN8y1o/edit"",""7!e45"")"),0.0)</f>
        <v>0</v>
      </c>
      <c r="K169" s="40">
        <f>IFERROR(__xludf.DUMMYFUNCTION("IMPORTRANGE(""https://docs.google.com/spreadsheets/d/1H9vAqftAHb0OdeSGXHTnJFzoWUgpoH31sc0sHNN8y1o/edit"",""7!e46"")"),0.0)</f>
        <v>0</v>
      </c>
      <c r="L169" s="40">
        <f t="shared" si="466"/>
        <v>0</v>
      </c>
      <c r="M169" s="40">
        <f t="shared" si="467"/>
        <v>0</v>
      </c>
      <c r="N169" s="41" t="str">
        <f t="shared" si="468"/>
        <v>#DIV/0!</v>
      </c>
      <c r="O169" s="38">
        <v>7315.0</v>
      </c>
      <c r="P169" s="42">
        <f t="shared" si="469"/>
        <v>0</v>
      </c>
      <c r="Q169" s="43">
        <v>1.5</v>
      </c>
      <c r="R169" s="42" t="str">
        <f t="shared" si="470"/>
        <v>#DIV/0!</v>
      </c>
      <c r="S169" s="44" t="str">
        <f t="shared" si="471"/>
        <v>#DIV/0!</v>
      </c>
      <c r="T169" s="43">
        <f>F169/30.897</f>
        <v>0</v>
      </c>
      <c r="U169" s="43" t="str">
        <f t="shared" si="472"/>
        <v>#DIV/0!</v>
      </c>
      <c r="V169" s="40" t="str">
        <f t="shared" si="473"/>
        <v>#DIV/0!</v>
      </c>
      <c r="X169" s="22">
        <v>5.0</v>
      </c>
      <c r="Y169" s="22" t="s">
        <v>29</v>
      </c>
      <c r="Z169" s="22">
        <f t="shared" ref="Z169:AI169" si="474">SUM(D184)</f>
        <v>30</v>
      </c>
      <c r="AA169" s="23">
        <f t="shared" si="474"/>
        <v>28</v>
      </c>
      <c r="AB169" s="24">
        <f t="shared" si="474"/>
        <v>5589.601</v>
      </c>
      <c r="AC169" s="23">
        <f t="shared" si="474"/>
        <v>0</v>
      </c>
      <c r="AD169" s="23">
        <f t="shared" si="474"/>
        <v>0</v>
      </c>
      <c r="AE169" s="23">
        <f t="shared" si="474"/>
        <v>0</v>
      </c>
      <c r="AF169" s="23">
        <f t="shared" si="474"/>
        <v>0</v>
      </c>
      <c r="AG169" s="23">
        <f t="shared" si="474"/>
        <v>0</v>
      </c>
      <c r="AH169" s="23">
        <f t="shared" si="474"/>
        <v>0</v>
      </c>
      <c r="AI169" s="23">
        <f t="shared" si="474"/>
        <v>0</v>
      </c>
      <c r="AJ169" s="25">
        <f t="shared" ref="AJ169:AJ171" si="477">AB169/AA169</f>
        <v>199.6286071</v>
      </c>
      <c r="AK169" s="22">
        <f t="shared" ref="AK169:AK170" si="478">SUM(O184)</f>
        <v>9201</v>
      </c>
      <c r="AL169" s="26">
        <f t="shared" si="455"/>
        <v>0</v>
      </c>
      <c r="AM169" s="27">
        <f t="shared" ref="AM169:AM170" si="479">SUM(Q184)</f>
        <v>1.5</v>
      </c>
      <c r="AN169" s="26">
        <f t="shared" si="457"/>
        <v>0</v>
      </c>
      <c r="AO169" s="28">
        <f t="shared" si="458"/>
        <v>0</v>
      </c>
      <c r="AP169" s="27">
        <f t="shared" ref="AP169:AQ169" si="475">SUM(T184)</f>
        <v>211</v>
      </c>
      <c r="AQ169" s="27">
        <f t="shared" si="475"/>
        <v>7.535714286</v>
      </c>
      <c r="AR169" s="23">
        <f t="shared" si="460"/>
        <v>0</v>
      </c>
    </row>
    <row r="170" ht="15.75" customHeight="1">
      <c r="A170" s="21"/>
      <c r="B170" s="38">
        <v>3.0</v>
      </c>
      <c r="C170" s="38" t="s">
        <v>30</v>
      </c>
      <c r="D170" s="39">
        <v>60.0</v>
      </c>
      <c r="E170" s="40">
        <f>IFERROR(__xludf.DUMMYFUNCTION("COUNT(IMPORTRANGE(""https://docs.google.com/spreadsheets/d/1EWN6nfpuVxbUE_9opjYCWaI7MTm5xsF6ssjklSbMZnA/edit"",""7!d2:d61""))"),58.0)</f>
        <v>58</v>
      </c>
      <c r="F170" s="45">
        <f>IFERROR(__xludf.DUMMYFUNCTION("SUM(IMPORTRANGE(""https://docs.google.com/spreadsheets/d/1EWN6nfpuVxbUE_9opjYCWaI7MTm5xsF6ssjklSbMZnA/edit"",""7!Q2:Q61""))"),11663.581999999986)</f>
        <v>11663.582</v>
      </c>
      <c r="G170" s="40">
        <f>IFERROR(__xludf.DUMMYFUNCTION("IMPORTRANGE(""https://docs.google.com/spreadsheets/d/1EWN6nfpuVxbUE_9opjYCWaI7MTm5xsF6ssjklSbMZnA/edit"",""7!e68"")"),14.0)</f>
        <v>14</v>
      </c>
      <c r="H170" s="40">
        <f>IFERROR(__xludf.DUMMYFUNCTION("IMPORTRANGE(""https://docs.google.com/spreadsheets/d/1EWN6nfpuVxbUE_9opjYCWaI7MTm5xsF6ssjklSbMZnA/edit"",""7!e69"")"),0.0)</f>
        <v>0</v>
      </c>
      <c r="I170" s="40">
        <f t="shared" si="465"/>
        <v>14</v>
      </c>
      <c r="J170" s="40">
        <f>IFERROR(__xludf.DUMMYFUNCTION("IMPORTRANGE(""https://docs.google.com/spreadsheets/d/1EWN6nfpuVxbUE_9opjYCWaI7MTm5xsF6ssjklSbMZnA/edit"",""7!e72"")"),0.0)</f>
        <v>0</v>
      </c>
      <c r="K170" s="40">
        <f>IFERROR(__xludf.DUMMYFUNCTION("IMPORTRANGE(""https://docs.google.com/spreadsheets/d/1EWN6nfpuVxbUE_9opjYCWaI7MTm5xsF6ssjklSbMZnA/edit"",""7!e73"")"),0.0)</f>
        <v>0</v>
      </c>
      <c r="L170" s="40">
        <f t="shared" si="466"/>
        <v>0</v>
      </c>
      <c r="M170" s="40">
        <f t="shared" si="467"/>
        <v>14</v>
      </c>
      <c r="N170" s="41">
        <f t="shared" si="468"/>
        <v>201.0962414</v>
      </c>
      <c r="O170" s="38">
        <v>11164.0</v>
      </c>
      <c r="P170" s="42">
        <f t="shared" si="469"/>
        <v>0.001254030813</v>
      </c>
      <c r="Q170" s="43">
        <v>1.5</v>
      </c>
      <c r="R170" s="42">
        <f t="shared" si="470"/>
        <v>0.0008002115759</v>
      </c>
      <c r="S170" s="44">
        <f t="shared" si="471"/>
        <v>0.001200317364</v>
      </c>
      <c r="T170" s="43">
        <f>F170/29.603</f>
        <v>394</v>
      </c>
      <c r="U170" s="43">
        <f t="shared" si="472"/>
        <v>6.793103448</v>
      </c>
      <c r="V170" s="40">
        <f t="shared" si="473"/>
        <v>0.2413793103</v>
      </c>
      <c r="X170" s="22">
        <v>6.0</v>
      </c>
      <c r="Y170" s="22" t="s">
        <v>31</v>
      </c>
      <c r="Z170" s="22">
        <f t="shared" ref="Z170:AI170" si="476">SUM(D185)</f>
        <v>15</v>
      </c>
      <c r="AA170" s="23">
        <f t="shared" si="476"/>
        <v>13</v>
      </c>
      <c r="AB170" s="25">
        <f t="shared" si="476"/>
        <v>2651.365</v>
      </c>
      <c r="AC170" s="23">
        <f t="shared" si="476"/>
        <v>4</v>
      </c>
      <c r="AD170" s="23">
        <f t="shared" si="476"/>
        <v>0</v>
      </c>
      <c r="AE170" s="23">
        <f t="shared" si="476"/>
        <v>4</v>
      </c>
      <c r="AF170" s="23">
        <f t="shared" si="476"/>
        <v>0</v>
      </c>
      <c r="AG170" s="23">
        <f t="shared" si="476"/>
        <v>0</v>
      </c>
      <c r="AH170" s="23">
        <f t="shared" si="476"/>
        <v>0</v>
      </c>
      <c r="AI170" s="23">
        <f t="shared" si="476"/>
        <v>4</v>
      </c>
      <c r="AJ170" s="25">
        <f t="shared" si="477"/>
        <v>203.9511538</v>
      </c>
      <c r="AK170" s="22">
        <f t="shared" si="478"/>
        <v>2717</v>
      </c>
      <c r="AL170" s="26">
        <f t="shared" si="455"/>
        <v>0.001472211999</v>
      </c>
      <c r="AM170" s="27">
        <f t="shared" si="479"/>
        <v>1.5</v>
      </c>
      <c r="AN170" s="26">
        <f t="shared" si="457"/>
        <v>0.001005771241</v>
      </c>
      <c r="AO170" s="28">
        <f t="shared" si="458"/>
        <v>0.001508656862</v>
      </c>
      <c r="AP170" s="27">
        <f t="shared" ref="AP170:AQ170" si="480">SUM(T185)</f>
        <v>61</v>
      </c>
      <c r="AQ170" s="27">
        <f t="shared" si="480"/>
        <v>4.692307692</v>
      </c>
      <c r="AR170" s="23">
        <f t="shared" si="460"/>
        <v>0.3076923077</v>
      </c>
    </row>
    <row r="171" ht="15.75" customHeight="1">
      <c r="A171" s="21"/>
      <c r="B171" s="38">
        <v>4.0</v>
      </c>
      <c r="C171" s="38" t="s">
        <v>32</v>
      </c>
      <c r="D171" s="39">
        <v>42.0</v>
      </c>
      <c r="E171" s="40">
        <f>IFERROR(__xludf.DUMMYFUNCTION("COUNT(IMPORTRANGE(""https://docs.google.com/spreadsheets/d/1Rmar8QqWK4XOJ-eY6xMzkAfDSw0srEXcAw89ilArun8/edit"",""7!d2:d43""))"),0.0)</f>
        <v>0</v>
      </c>
      <c r="F171" s="45">
        <f>IFERROR(__xludf.DUMMYFUNCTION("SUM(IMPORTRANGE(""https://docs.google.com/spreadsheets/d/1Rmar8QqWK4XOJ-eY6xMzkAfDSw0srEXcAw89ilArun8/edit"",""7!Q2:Q43""))"),0.0)</f>
        <v>0</v>
      </c>
      <c r="G171" s="38">
        <f>IFERROR(__xludf.DUMMYFUNCTION("IMPORTRANGE(""https://docs.google.com/spreadsheets/d/1Rmar8QqWK4XOJ-eY6xMzkAfDSw0srEXcAw89ilArun8/edit"",""7!e50"")"),0.0)</f>
        <v>0</v>
      </c>
      <c r="H171" s="38">
        <f>IFERROR(__xludf.DUMMYFUNCTION("IMPORTRANGE(""https://docs.google.com/spreadsheets/d/1Rmar8QqWK4XOJ-eY6xMzkAfDSw0srEXcAw89ilArun8/edit"",""7!e51"")"),0.0)</f>
        <v>0</v>
      </c>
      <c r="I171" s="40">
        <f t="shared" si="465"/>
        <v>0</v>
      </c>
      <c r="J171" s="38">
        <f>IFERROR(__xludf.DUMMYFUNCTION("IMPORTRANGE(""https://docs.google.com/spreadsheets/d/1Rmar8QqWK4XOJ-eY6xMzkAfDSw0srEXcAw89ilArun8/edit"",""7!e54"")"),0.0)</f>
        <v>0</v>
      </c>
      <c r="K171" s="38">
        <f>IFERROR(__xludf.DUMMYFUNCTION("IMPORTRANGE(""https://docs.google.com/spreadsheets/d/1Rmar8QqWK4XOJ-eY6xMzkAfDSw0srEXcAw89ilArun8/edit"",""7!e55"")"),0.0)</f>
        <v>0</v>
      </c>
      <c r="L171" s="40">
        <f t="shared" si="466"/>
        <v>0</v>
      </c>
      <c r="M171" s="40">
        <f t="shared" si="467"/>
        <v>0</v>
      </c>
      <c r="N171" s="41" t="str">
        <f t="shared" si="468"/>
        <v>#DIV/0!</v>
      </c>
      <c r="O171" s="38">
        <v>13817.0</v>
      </c>
      <c r="P171" s="42">
        <f t="shared" si="469"/>
        <v>0</v>
      </c>
      <c r="Q171" s="43">
        <v>1.5</v>
      </c>
      <c r="R171" s="42" t="str">
        <f t="shared" si="470"/>
        <v>#DIV/0!</v>
      </c>
      <c r="S171" s="44" t="str">
        <f t="shared" si="471"/>
        <v>#DIV/0!</v>
      </c>
      <c r="T171" s="43">
        <f>F171/25.089</f>
        <v>0</v>
      </c>
      <c r="U171" s="43" t="str">
        <f t="shared" si="472"/>
        <v>#DIV/0!</v>
      </c>
      <c r="V171" s="40" t="str">
        <f t="shared" si="473"/>
        <v>#DIV/0!</v>
      </c>
      <c r="X171" s="46" t="s">
        <v>33</v>
      </c>
      <c r="Y171" s="46">
        <v>6.0</v>
      </c>
      <c r="Z171" s="46">
        <f t="shared" ref="Z171:AI171" si="481">SUM(Z165:Z170)</f>
        <v>186</v>
      </c>
      <c r="AA171" s="47">
        <f t="shared" si="481"/>
        <v>150</v>
      </c>
      <c r="AB171" s="48">
        <f t="shared" si="481"/>
        <v>30036.55</v>
      </c>
      <c r="AC171" s="47">
        <f t="shared" si="481"/>
        <v>4</v>
      </c>
      <c r="AD171" s="47">
        <f t="shared" si="481"/>
        <v>0</v>
      </c>
      <c r="AE171" s="47">
        <f t="shared" si="481"/>
        <v>4</v>
      </c>
      <c r="AF171" s="47">
        <f t="shared" si="481"/>
        <v>0</v>
      </c>
      <c r="AG171" s="47">
        <f t="shared" si="481"/>
        <v>0</v>
      </c>
      <c r="AH171" s="47">
        <f t="shared" si="481"/>
        <v>0</v>
      </c>
      <c r="AI171" s="47">
        <f t="shared" si="481"/>
        <v>4</v>
      </c>
      <c r="AJ171" s="49">
        <f t="shared" si="477"/>
        <v>200.2436667</v>
      </c>
      <c r="AK171" s="46">
        <f>SUM(AK165:AK170)</f>
        <v>35074</v>
      </c>
      <c r="AL171" s="50">
        <f t="shared" si="455"/>
        <v>0.0001140445914</v>
      </c>
      <c r="AM171" s="51">
        <v>1.5</v>
      </c>
      <c r="AN171" s="50">
        <f t="shared" si="457"/>
        <v>0.00008878072437</v>
      </c>
      <c r="AO171" s="52">
        <f t="shared" si="458"/>
        <v>0.0001331710866</v>
      </c>
      <c r="AP171" s="51">
        <f>SUM(AP165:AP170)</f>
        <v>1107.275939</v>
      </c>
      <c r="AQ171" s="51">
        <f>AP171/AA171</f>
        <v>7.381839596</v>
      </c>
      <c r="AR171" s="47">
        <f t="shared" si="460"/>
        <v>0.02666666667</v>
      </c>
    </row>
    <row r="172" ht="15.75" customHeight="1">
      <c r="A172" s="21"/>
      <c r="B172" s="38">
        <v>5.0</v>
      </c>
      <c r="C172" s="38" t="s">
        <v>34</v>
      </c>
      <c r="D172" s="39">
        <v>40.0</v>
      </c>
      <c r="E172" s="40">
        <f>IFERROR(__xludf.DUMMYFUNCTION("COUNT(IMPORTRANGE(""https://docs.google.com/spreadsheets/d/1u99JxAoytGQQ8GcjxXl38CGdyEWy5uIbuJJHnsotyvk/edit"",""7!d2:d41""))"),40.0)</f>
        <v>40</v>
      </c>
      <c r="F172" s="45">
        <f>IFERROR(__xludf.DUMMYFUNCTION("SUM(IMPORTRANGE(""https://docs.google.com/spreadsheets/d/1u99JxAoytGQQ8GcjxXl38CGdyEWy5uIbuJJHnsotyvk/edit"",""7!Q2:Q41""))"),8022.201000000001)</f>
        <v>8022.201</v>
      </c>
      <c r="G172" s="40">
        <f>IFERROR(__xludf.DUMMYFUNCTION("IMPORTRANGE(""https://docs.google.com/spreadsheets/d/1u99JxAoytGQQ8GcjxXl38CGdyEWy5uIbuJJHnsotyvk/edit"",""7!e48"")"),0.0)</f>
        <v>0</v>
      </c>
      <c r="H172" s="40">
        <f>IFERROR(__xludf.DUMMYFUNCTION("IMPORTRANGE(""https://docs.google.com/spreadsheets/d/1u99JxAoytGQQ8GcjxXl38CGdyEWy5uIbuJJHnsotyvk/edit"",""7!e49"")"),0.0)</f>
        <v>0</v>
      </c>
      <c r="I172" s="40">
        <f t="shared" si="465"/>
        <v>0</v>
      </c>
      <c r="J172" s="40">
        <f>IFERROR(__xludf.DUMMYFUNCTION("IMPORTRANGE(""https://docs.google.com/spreadsheets/d/1u99JxAoytGQQ8GcjxXl38CGdyEWy5uIbuJJHnsotyvk/edit"",""7!e52"")"),0.0)</f>
        <v>0</v>
      </c>
      <c r="K172" s="40">
        <f>IFERROR(__xludf.DUMMYFUNCTION("IMPORTRANGE(""https://docs.google.com/spreadsheets/d/1u99JxAoytGQQ8GcjxXl38CGdyEWy5uIbuJJHnsotyvk/edit"",""7!e53"")"),0.0)</f>
        <v>0</v>
      </c>
      <c r="L172" s="40">
        <f t="shared" si="466"/>
        <v>0</v>
      </c>
      <c r="M172" s="40">
        <f t="shared" si="467"/>
        <v>0</v>
      </c>
      <c r="N172" s="41">
        <f t="shared" si="468"/>
        <v>200.555025</v>
      </c>
      <c r="O172" s="38">
        <v>9354.0</v>
      </c>
      <c r="P172" s="42">
        <f t="shared" si="469"/>
        <v>0</v>
      </c>
      <c r="Q172" s="43">
        <v>1.5</v>
      </c>
      <c r="R172" s="42">
        <f t="shared" si="470"/>
        <v>0</v>
      </c>
      <c r="S172" s="44">
        <f t="shared" si="471"/>
        <v>0</v>
      </c>
      <c r="T172" s="43">
        <f>F172/30.713</f>
        <v>261.1988734</v>
      </c>
      <c r="U172" s="43">
        <f t="shared" si="472"/>
        <v>6.529971836</v>
      </c>
      <c r="V172" s="40">
        <f t="shared" si="473"/>
        <v>0</v>
      </c>
      <c r="X172" s="53" t="s">
        <v>35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6"/>
    </row>
    <row r="173" ht="15.75" customHeight="1">
      <c r="A173" s="21"/>
      <c r="B173" s="38">
        <v>6.0</v>
      </c>
      <c r="C173" s="38" t="s">
        <v>23</v>
      </c>
      <c r="D173" s="39">
        <v>35.0</v>
      </c>
      <c r="E173" s="40">
        <f>IFERROR(__xludf.DUMMYFUNCTION("COUNT(IMPORTRANGE(""https://docs.google.com/spreadsheets/d/1uVc-vnTn57HE53lwrUYNZP4sGKTXisrqOoZ-6EyvLzY/edit"",""7!d2:d36""))"),35.0)</f>
        <v>35</v>
      </c>
      <c r="F173" s="45">
        <f>IFERROR(__xludf.DUMMYFUNCTION("SUM(IMPORTRANGE(""https://docs.google.com/spreadsheets/d/1uVc-vnTn57HE53lwrUYNZP4sGKTXisrqOoZ-6EyvLzY/edit"",""7!Q2:Q36""))"),7085.399999999995)</f>
        <v>7085.4</v>
      </c>
      <c r="G173" s="40">
        <f>IFERROR(__xludf.DUMMYFUNCTION("IMPORTRANGE(""https://docs.google.com/spreadsheets/d/1uVc-vnTn57HE53lwrUYNZP4sGKTXisrqOoZ-6EyvLzY/edit"",""7!e43"")"),0.0)</f>
        <v>0</v>
      </c>
      <c r="H173" s="40">
        <f>IFERROR(__xludf.DUMMYFUNCTION("IMPORTRANGE(""https://docs.google.com/spreadsheets/d/1uVc-vnTn57HE53lwrUYNZP4sGKTXisrqOoZ-6EyvLzY/edit"",""7!e44"")"),0.0)</f>
        <v>0</v>
      </c>
      <c r="I173" s="40">
        <f t="shared" si="465"/>
        <v>0</v>
      </c>
      <c r="J173" s="40">
        <f>IFERROR(__xludf.DUMMYFUNCTION("IMPORTRANGE(""https://docs.google.com/spreadsheets/d/1uVc-vnTn57HE53lwrUYNZP4sGKTXisrqOoZ-6EyvLzY/edit"",""7!e47"")"),0.0)</f>
        <v>0</v>
      </c>
      <c r="K173" s="40">
        <f>IFERROR(__xludf.DUMMYFUNCTION("IMPORTRANGE(""https://docs.google.com/spreadsheets/d/1uVc-vnTn57HE53lwrUYNZP4sGKTXisrqOoZ-6EyvLzY/edit"",""7!e48"")"),0.0)</f>
        <v>0</v>
      </c>
      <c r="L173" s="40">
        <f t="shared" si="466"/>
        <v>0</v>
      </c>
      <c r="M173" s="40">
        <f t="shared" si="467"/>
        <v>0</v>
      </c>
      <c r="N173" s="41">
        <f t="shared" si="468"/>
        <v>202.44</v>
      </c>
      <c r="O173" s="38">
        <v>6853.0</v>
      </c>
      <c r="P173" s="42">
        <f t="shared" si="469"/>
        <v>0</v>
      </c>
      <c r="Q173" s="43">
        <v>1.5</v>
      </c>
      <c r="R173" s="42">
        <f t="shared" si="470"/>
        <v>0</v>
      </c>
      <c r="S173" s="44">
        <f t="shared" si="471"/>
        <v>0</v>
      </c>
      <c r="T173" s="43">
        <f>F173/33.74</f>
        <v>210</v>
      </c>
      <c r="U173" s="43">
        <f t="shared" si="472"/>
        <v>6</v>
      </c>
      <c r="V173" s="40">
        <f t="shared" si="473"/>
        <v>0</v>
      </c>
      <c r="X173" s="14" t="s">
        <v>2</v>
      </c>
      <c r="Y173" s="14" t="s">
        <v>3</v>
      </c>
      <c r="Z173" s="14" t="s">
        <v>4</v>
      </c>
      <c r="AA173" s="14" t="s">
        <v>5</v>
      </c>
      <c r="AB173" s="15" t="s">
        <v>6</v>
      </c>
      <c r="AC173" s="14" t="s">
        <v>7</v>
      </c>
      <c r="AD173" s="14" t="s">
        <v>8</v>
      </c>
      <c r="AE173" s="14" t="s">
        <v>9</v>
      </c>
      <c r="AF173" s="14" t="s">
        <v>10</v>
      </c>
      <c r="AG173" s="14" t="s">
        <v>11</v>
      </c>
      <c r="AH173" s="14" t="s">
        <v>12</v>
      </c>
      <c r="AI173" s="14" t="s">
        <v>13</v>
      </c>
      <c r="AJ173" s="15" t="s">
        <v>14</v>
      </c>
      <c r="AK173" s="14" t="s">
        <v>15</v>
      </c>
      <c r="AL173" s="14" t="s">
        <v>16</v>
      </c>
      <c r="AM173" s="16" t="s">
        <v>17</v>
      </c>
      <c r="AN173" s="17" t="s">
        <v>18</v>
      </c>
      <c r="AO173" s="18" t="s">
        <v>19</v>
      </c>
      <c r="AP173" s="19" t="s">
        <v>20</v>
      </c>
      <c r="AQ173" s="19" t="s">
        <v>21</v>
      </c>
      <c r="AR173" s="20" t="s">
        <v>22</v>
      </c>
    </row>
    <row r="174" ht="15.75" customHeight="1">
      <c r="A174" s="21"/>
      <c r="B174" s="38">
        <v>7.0</v>
      </c>
      <c r="C174" s="38" t="s">
        <v>24</v>
      </c>
      <c r="D174" s="39">
        <v>44.0</v>
      </c>
      <c r="E174" s="54">
        <f>IFERROR(__xludf.DUMMYFUNCTION("COUNT(IMPORTRANGE(""https://docs.google.com/spreadsheets/d/1iuPvivSypupo44l6GtmR-2qZ3za7cTk7KzsOVp_kv2c/edit"",""7!d2:d45""))"),43.0)</f>
        <v>43</v>
      </c>
      <c r="F174" s="55">
        <f>IFERROR(__xludf.DUMMYFUNCTION("SUM(IMPORTRANGE(""https://docs.google.com/spreadsheets/d/1iuPvivSypupo44l6GtmR-2qZ3za7cTk7KzsOVp_kv2c/edit"",""7!Q2:Q45""))"),8679.807999999994)</f>
        <v>8679.808</v>
      </c>
      <c r="G174" s="54">
        <f>IFERROR(__xludf.DUMMYFUNCTION("IMPORTRANGE(""https://docs.google.com/spreadsheets/d/1iuPvivSypupo44l6GtmR-2qZ3za7cTk7KzsOVp_kv2c/edit"",""7!e53"")"),0.0)</f>
        <v>0</v>
      </c>
      <c r="H174" s="54">
        <f>IFERROR(__xludf.DUMMYFUNCTION("IMPORTRANGE(""https://docs.google.com/spreadsheets/d/1iuPvivSypupo44l6GtmR-2qZ3za7cTk7KzsOVp_kv2c/edit"",""7!e54"")"),0.0)</f>
        <v>0</v>
      </c>
      <c r="I174" s="54">
        <f t="shared" si="465"/>
        <v>0</v>
      </c>
      <c r="J174" s="54">
        <f>IFERROR(__xludf.DUMMYFUNCTION("IMPORTRANGE(""https://docs.google.com/spreadsheets/d/1iuPvivSypupo44l6GtmR-2qZ3za7cTk7KzsOVp_kv2c/edit"",""7!e57"")"),0.0)</f>
        <v>0</v>
      </c>
      <c r="K174" s="54">
        <f>IFERROR(__xludf.DUMMYFUNCTION("IMPORTRANGE(""https://docs.google.com/spreadsheets/d/1iuPvivSypupo44l6GtmR-2qZ3za7cTk7KzsOVp_kv2c/edit"",""7!e58"")"),0.0)</f>
        <v>0</v>
      </c>
      <c r="L174" s="40">
        <f t="shared" si="466"/>
        <v>0</v>
      </c>
      <c r="M174" s="40">
        <f t="shared" si="467"/>
        <v>0</v>
      </c>
      <c r="N174" s="41">
        <f t="shared" si="468"/>
        <v>201.856</v>
      </c>
      <c r="O174" s="38">
        <v>1580.0</v>
      </c>
      <c r="P174" s="56">
        <f t="shared" si="469"/>
        <v>0</v>
      </c>
      <c r="Q174" s="43">
        <v>1.5</v>
      </c>
      <c r="R174" s="42">
        <f t="shared" si="470"/>
        <v>0</v>
      </c>
      <c r="S174" s="44">
        <f t="shared" si="471"/>
        <v>0</v>
      </c>
      <c r="T174" s="43">
        <f>F174/26.805</f>
        <v>323.81302</v>
      </c>
      <c r="U174" s="43">
        <f t="shared" si="472"/>
        <v>7.530535348</v>
      </c>
      <c r="V174" s="40">
        <f t="shared" si="473"/>
        <v>0</v>
      </c>
      <c r="X174" s="22">
        <v>1.0</v>
      </c>
      <c r="Y174" s="22" t="s">
        <v>28</v>
      </c>
      <c r="Z174" s="22">
        <f t="shared" ref="Z174:AI174" si="482">SUM(D169)</f>
        <v>33</v>
      </c>
      <c r="AA174" s="23">
        <f t="shared" si="482"/>
        <v>0</v>
      </c>
      <c r="AB174" s="25">
        <f t="shared" si="482"/>
        <v>0</v>
      </c>
      <c r="AC174" s="23">
        <f t="shared" si="482"/>
        <v>0</v>
      </c>
      <c r="AD174" s="23">
        <f t="shared" si="482"/>
        <v>0</v>
      </c>
      <c r="AE174" s="23">
        <f t="shared" si="482"/>
        <v>0</v>
      </c>
      <c r="AF174" s="23">
        <f t="shared" si="482"/>
        <v>0</v>
      </c>
      <c r="AG174" s="23">
        <f t="shared" si="482"/>
        <v>0</v>
      </c>
      <c r="AH174" s="23">
        <f t="shared" si="482"/>
        <v>0</v>
      </c>
      <c r="AI174" s="23">
        <f t="shared" si="482"/>
        <v>0</v>
      </c>
      <c r="AJ174" s="25" t="str">
        <f t="shared" ref="AJ174:AJ180" si="485">AB174/AA174</f>
        <v>#DIV/0!</v>
      </c>
      <c r="AK174" s="22">
        <f t="shared" ref="AK174:AK175" si="486">SUM(O169)</f>
        <v>7315</v>
      </c>
      <c r="AL174" s="26">
        <f t="shared" ref="AL174:AL180" si="487">AI174/AK174</f>
        <v>0</v>
      </c>
      <c r="AM174" s="27">
        <f t="shared" ref="AM174:AM175" si="488">SUM(Q169)</f>
        <v>1.5</v>
      </c>
      <c r="AN174" s="26" t="str">
        <f t="shared" ref="AN174:AN180" si="489">AO174/AM174</f>
        <v>#DIV/0!</v>
      </c>
      <c r="AO174" s="28" t="str">
        <f t="shared" ref="AO174:AO180" si="490">AI174/AB174</f>
        <v>#DIV/0!</v>
      </c>
      <c r="AP174" s="27">
        <f t="shared" ref="AP174:AQ174" si="483">SUM(T169)</f>
        <v>0</v>
      </c>
      <c r="AQ174" s="27" t="str">
        <f t="shared" si="483"/>
        <v>#DIV/0!</v>
      </c>
      <c r="AR174" s="23" t="str">
        <f t="shared" ref="AR174:AR180" si="492">AI174/AA174</f>
        <v>#DIV/0!</v>
      </c>
    </row>
    <row r="175" ht="15.75" customHeight="1">
      <c r="A175" s="21"/>
      <c r="B175" s="38">
        <v>8.0</v>
      </c>
      <c r="C175" s="38" t="s">
        <v>25</v>
      </c>
      <c r="D175" s="57">
        <v>32.0</v>
      </c>
      <c r="E175" s="40">
        <f>IFERROR(__xludf.DUMMYFUNCTION("COUNT(IMPORTRANGE(""https://docs.google.com/spreadsheets/d/1sqWX7UerdR9KR_duBzDNfjwbPG-3hLgV1LiN2ZVZ6Js/edit"",""7!d2:D33""))"),1.0)</f>
        <v>1</v>
      </c>
      <c r="F175" s="45">
        <f>IFERROR(__xludf.DUMMYFUNCTION("SUM(IMPORTRANGE(""https://docs.google.com/spreadsheets/d/1sqWX7UerdR9KR_duBzDNfjwbPG-3hLgV1LiN2ZVZ6Js/edit"",""7!Q2:Q33""))"),34.876)</f>
        <v>34.876</v>
      </c>
      <c r="G175" s="40">
        <f>IFERROR(__xludf.DUMMYFUNCTION("IMPORTRANGE(""https://docs.google.com/spreadsheets/d/1sqWX7UerdR9KR_duBzDNfjwbPG-3hLgV1LiN2ZVZ6Js/edit"",""7!e40"")"),0.0)</f>
        <v>0</v>
      </c>
      <c r="H175" s="40">
        <f>IFERROR(__xludf.DUMMYFUNCTION("IMPORTRANGE(""https://docs.google.com/spreadsheets/d/1sqWX7UerdR9KR_duBzDNfjwbPG-3hLgV1LiN2ZVZ6Js/edit"",""7!e41"")"),0.0)</f>
        <v>0</v>
      </c>
      <c r="I175" s="40">
        <f t="shared" si="465"/>
        <v>0</v>
      </c>
      <c r="J175" s="40">
        <f>IFERROR(__xludf.DUMMYFUNCTION("IMPORTRANGE(""https://docs.google.com/spreadsheets/d/1sqWX7UerdR9KR_duBzDNfjwbPG-3hLgV1LiN2ZVZ6Js/edit"",""7!e44"")"),0.0)</f>
        <v>0</v>
      </c>
      <c r="K175" s="40">
        <f>IFERROR(__xludf.DUMMYFUNCTION("IMPORTRANGE(""https://docs.google.com/spreadsheets/d/1sqWX7UerdR9KR_duBzDNfjwbPG-3hLgV1LiN2ZVZ6Js/edit"",""7!e45"")"),0.0)</f>
        <v>0</v>
      </c>
      <c r="L175" s="40">
        <f>J175+K175</f>
        <v>0</v>
      </c>
      <c r="M175" s="40">
        <f t="shared" si="467"/>
        <v>0</v>
      </c>
      <c r="N175" s="41">
        <f t="shared" si="468"/>
        <v>34.876</v>
      </c>
      <c r="O175" s="38">
        <v>6622.0</v>
      </c>
      <c r="P175" s="42">
        <f t="shared" si="469"/>
        <v>0</v>
      </c>
      <c r="Q175" s="43">
        <v>1.5</v>
      </c>
      <c r="R175" s="42">
        <f t="shared" si="470"/>
        <v>0</v>
      </c>
      <c r="S175" s="44">
        <f t="shared" si="471"/>
        <v>0</v>
      </c>
      <c r="T175" s="43">
        <f>F175/23.84</f>
        <v>1.462919463</v>
      </c>
      <c r="U175" s="43">
        <f t="shared" si="472"/>
        <v>1.462919463</v>
      </c>
      <c r="V175" s="40">
        <f t="shared" si="473"/>
        <v>0</v>
      </c>
      <c r="X175" s="31">
        <v>2.0</v>
      </c>
      <c r="Y175" s="31" t="s">
        <v>30</v>
      </c>
      <c r="Z175" s="31">
        <f t="shared" ref="Z175:AI175" si="484">SUM(D170)</f>
        <v>60</v>
      </c>
      <c r="AA175" s="32">
        <f t="shared" si="484"/>
        <v>58</v>
      </c>
      <c r="AB175" s="33">
        <f t="shared" si="484"/>
        <v>11663.582</v>
      </c>
      <c r="AC175" s="32">
        <f t="shared" si="484"/>
        <v>14</v>
      </c>
      <c r="AD175" s="32">
        <f t="shared" si="484"/>
        <v>0</v>
      </c>
      <c r="AE175" s="32">
        <f t="shared" si="484"/>
        <v>14</v>
      </c>
      <c r="AF175" s="32">
        <f t="shared" si="484"/>
        <v>0</v>
      </c>
      <c r="AG175" s="32">
        <f t="shared" si="484"/>
        <v>0</v>
      </c>
      <c r="AH175" s="32">
        <f t="shared" si="484"/>
        <v>0</v>
      </c>
      <c r="AI175" s="32">
        <f t="shared" si="484"/>
        <v>14</v>
      </c>
      <c r="AJ175" s="34">
        <f t="shared" si="485"/>
        <v>201.0962414</v>
      </c>
      <c r="AK175" s="31">
        <f t="shared" si="486"/>
        <v>11164</v>
      </c>
      <c r="AL175" s="35">
        <f t="shared" si="487"/>
        <v>0.001254030813</v>
      </c>
      <c r="AM175" s="36">
        <f t="shared" si="488"/>
        <v>1.5</v>
      </c>
      <c r="AN175" s="35">
        <f t="shared" si="489"/>
        <v>0.0008002115759</v>
      </c>
      <c r="AO175" s="37">
        <f t="shared" si="490"/>
        <v>0.001200317364</v>
      </c>
      <c r="AP175" s="36">
        <f t="shared" ref="AP175:AQ175" si="491">SUM(T170)</f>
        <v>394</v>
      </c>
      <c r="AQ175" s="36">
        <f t="shared" si="491"/>
        <v>6.793103448</v>
      </c>
      <c r="AR175" s="32">
        <f t="shared" si="492"/>
        <v>0.2413793103</v>
      </c>
    </row>
    <row r="176" ht="15.75" customHeight="1">
      <c r="A176" s="21"/>
      <c r="B176" s="38">
        <v>9.0</v>
      </c>
      <c r="C176" s="38" t="s">
        <v>36</v>
      </c>
      <c r="D176" s="58">
        <v>30.0</v>
      </c>
      <c r="E176" s="40">
        <f>IFERROR(__xludf.DUMMYFUNCTION("COUNT(IMPORTRANGE(""https://docs.google.com/spreadsheets/d/1YNna43iTSqnwwbMJgTIPHSJEoDO8RGPRFg5pJCoQR_Y/edit"",""7!d2:d31""))"),30.0)</f>
        <v>30</v>
      </c>
      <c r="F176" s="45">
        <f>IFERROR(__xludf.DUMMYFUNCTION("SUM(IMPORTRANGE(""https://docs.google.com/spreadsheets/d/1YNna43iTSqnwwbMJgTIPHSJEoDO8RGPRFg5pJCoQR_Y/edit"",""7!Q2:Q31""))"),5997.765000000002)</f>
        <v>5997.765</v>
      </c>
      <c r="G176" s="40">
        <f>IFERROR(__xludf.DUMMYFUNCTION("IMPORTRANGE(""https://docs.google.com/spreadsheets/d/1YNna43iTSqnwwbMJgTIPHSJEoDO8RGPRFg5pJCoQR_Y/edit"",""7!e38"")"),0.0)</f>
        <v>0</v>
      </c>
      <c r="H176" s="40">
        <f>IFERROR(__xludf.DUMMYFUNCTION("IMPORTRANGE(""https://docs.google.com/spreadsheets/d/1YNna43iTSqnwwbMJgTIPHSJEoDO8RGPRFg5pJCoQR_Y/edit"",""7!e39"")"),0.0)</f>
        <v>0</v>
      </c>
      <c r="I176" s="40">
        <f t="shared" si="465"/>
        <v>0</v>
      </c>
      <c r="J176" s="40">
        <f>IFERROR(__xludf.DUMMYFUNCTION("IMPORTRANGE(""https://docs.google.com/spreadsheets/d/1YNna43iTSqnwwbMJgTIPHSJEoDO8RGPRFg5pJCoQR_Y/edit"",""7!e42"")"),0.0)</f>
        <v>0</v>
      </c>
      <c r="K176" s="40">
        <f>IFERROR(__xludf.DUMMYFUNCTION("IMPORTRANGE(""https://docs.google.com/spreadsheets/d/1YNna43iTSqnwwbMJgTIPHSJEoDO8RGPRFg5pJCoQR_Y/edit"",""7!e43"")"),0.0)</f>
        <v>0</v>
      </c>
      <c r="L176" s="40">
        <f t="shared" ref="L176:L185" si="495">SUM(J176:K176)</f>
        <v>0</v>
      </c>
      <c r="M176" s="40">
        <f t="shared" si="467"/>
        <v>0</v>
      </c>
      <c r="N176" s="41">
        <f t="shared" si="468"/>
        <v>199.9255</v>
      </c>
      <c r="O176" s="38">
        <v>4796.0</v>
      </c>
      <c r="P176" s="42">
        <f t="shared" si="469"/>
        <v>0</v>
      </c>
      <c r="Q176" s="43">
        <v>1.5</v>
      </c>
      <c r="R176" s="42">
        <f t="shared" si="470"/>
        <v>0</v>
      </c>
      <c r="S176" s="44">
        <f t="shared" si="471"/>
        <v>0</v>
      </c>
      <c r="T176" s="43">
        <f>F176/37.414</f>
        <v>160.3080398</v>
      </c>
      <c r="U176" s="43">
        <f t="shared" si="472"/>
        <v>5.343601326</v>
      </c>
      <c r="V176" s="40">
        <f t="shared" si="473"/>
        <v>0</v>
      </c>
      <c r="X176" s="22">
        <v>3.0</v>
      </c>
      <c r="Y176" s="22" t="s">
        <v>34</v>
      </c>
      <c r="Z176" s="22">
        <f t="shared" ref="Z176:AI176" si="493">SUM(D172)</f>
        <v>40</v>
      </c>
      <c r="AA176" s="23">
        <f t="shared" si="493"/>
        <v>40</v>
      </c>
      <c r="AB176" s="24">
        <f t="shared" si="493"/>
        <v>8022.201</v>
      </c>
      <c r="AC176" s="23">
        <f t="shared" si="493"/>
        <v>0</v>
      </c>
      <c r="AD176" s="23">
        <f t="shared" si="493"/>
        <v>0</v>
      </c>
      <c r="AE176" s="23">
        <f t="shared" si="493"/>
        <v>0</v>
      </c>
      <c r="AF176" s="23">
        <f t="shared" si="493"/>
        <v>0</v>
      </c>
      <c r="AG176" s="23">
        <f t="shared" si="493"/>
        <v>0</v>
      </c>
      <c r="AH176" s="23">
        <f t="shared" si="493"/>
        <v>0</v>
      </c>
      <c r="AI176" s="23">
        <f t="shared" si="493"/>
        <v>0</v>
      </c>
      <c r="AJ176" s="25">
        <f t="shared" si="485"/>
        <v>200.555025</v>
      </c>
      <c r="AK176" s="22">
        <f>SUM(O172)</f>
        <v>9354</v>
      </c>
      <c r="AL176" s="26">
        <f t="shared" si="487"/>
        <v>0</v>
      </c>
      <c r="AM176" s="27">
        <f>SUM(Q172)</f>
        <v>1.5</v>
      </c>
      <c r="AN176" s="26">
        <f t="shared" si="489"/>
        <v>0</v>
      </c>
      <c r="AO176" s="28">
        <f t="shared" si="490"/>
        <v>0</v>
      </c>
      <c r="AP176" s="27">
        <f t="shared" ref="AP176:AQ176" si="494">SUM(T172)</f>
        <v>261.1988734</v>
      </c>
      <c r="AQ176" s="27">
        <f t="shared" si="494"/>
        <v>6.529971836</v>
      </c>
      <c r="AR176" s="23">
        <f t="shared" si="492"/>
        <v>0</v>
      </c>
    </row>
    <row r="177" ht="15.75" customHeight="1">
      <c r="A177" s="21"/>
      <c r="B177" s="38">
        <v>10.0</v>
      </c>
      <c r="C177" s="38" t="s">
        <v>37</v>
      </c>
      <c r="D177" s="39">
        <v>30.0</v>
      </c>
      <c r="E177" s="40">
        <f>IFERROR(__xludf.DUMMYFUNCTION("COUNT(IMPORTRANGE(""https://docs.google.com/spreadsheets/d/1913Df5BsXS_b-nClL8LOK5w0engQYTl1mPOiyngRtO0/edit"",""7!d2:d31""))"),28.0)</f>
        <v>28</v>
      </c>
      <c r="F177" s="45">
        <f>IFERROR(__xludf.DUMMYFUNCTION("SUM(IMPORTRANGE(""https://docs.google.com/spreadsheets/d/1913Df5BsXS_b-nClL8LOK5w0engQYTl1mPOiyngRtO0/edit"",""7!Q2:Q31""))"),5575.577999999998)</f>
        <v>5575.578</v>
      </c>
      <c r="G177" s="40">
        <f>IFERROR(__xludf.DUMMYFUNCTION("(IMPORTRANGE(""https://docs.google.com/spreadsheets/d/1913Df5BsXS_b-nClL8LOK5w0engQYTl1mPOiyngRtO0/edit"",""7!e38""))"),0.0)</f>
        <v>0</v>
      </c>
      <c r="H177" s="40">
        <f>IFERROR(__xludf.DUMMYFUNCTION("(IMPORTRANGE(""https://docs.google.com/spreadsheets/d/1913Df5BsXS_b-nClL8LOK5w0engQYTl1mPOiyngRtO0/edit"",""7!e39""))"),0.0)</f>
        <v>0</v>
      </c>
      <c r="I177" s="40">
        <f t="shared" si="465"/>
        <v>0</v>
      </c>
      <c r="J177" s="40">
        <f>IFERROR(__xludf.DUMMYFUNCTION("(IMPORTRANGE(""https://docs.google.com/spreadsheets/d/1913Df5BsXS_b-nClL8LOK5w0engQYTl1mPOiyngRtO0/edit"",""7!e42""))"),0.0)</f>
        <v>0</v>
      </c>
      <c r="K177" s="40">
        <f>IFERROR(__xludf.DUMMYFUNCTION("(IMPORTRANGE(""https://docs.google.com/spreadsheets/d/1913Df5BsXS_b-nClL8LOK5w0engQYTl1mPOiyngRtO0/edit"",""7!e43""))"),0.0)</f>
        <v>0</v>
      </c>
      <c r="L177" s="40">
        <f t="shared" si="495"/>
        <v>0</v>
      </c>
      <c r="M177" s="40">
        <f t="shared" si="467"/>
        <v>0</v>
      </c>
      <c r="N177" s="41">
        <f t="shared" si="468"/>
        <v>199.1277857</v>
      </c>
      <c r="O177" s="38">
        <v>5887.0</v>
      </c>
      <c r="P177" s="42">
        <f t="shared" si="469"/>
        <v>0</v>
      </c>
      <c r="Q177" s="43">
        <v>1.5</v>
      </c>
      <c r="R177" s="42">
        <f t="shared" si="470"/>
        <v>0</v>
      </c>
      <c r="S177" s="44">
        <f t="shared" si="471"/>
        <v>0</v>
      </c>
      <c r="T177" s="43">
        <f>F177/24.792</f>
        <v>224.8942401</v>
      </c>
      <c r="U177" s="43">
        <f t="shared" si="472"/>
        <v>8.031937146</v>
      </c>
      <c r="V177" s="40">
        <f t="shared" si="473"/>
        <v>0</v>
      </c>
      <c r="X177" s="31">
        <v>4.0</v>
      </c>
      <c r="Y177" s="31" t="s">
        <v>38</v>
      </c>
      <c r="Z177" s="31">
        <f t="shared" ref="Z177:AI177" si="496">SUM(D180)</f>
        <v>30</v>
      </c>
      <c r="AA177" s="32">
        <f t="shared" si="496"/>
        <v>0</v>
      </c>
      <c r="AB177" s="33">
        <f t="shared" si="496"/>
        <v>0</v>
      </c>
      <c r="AC177" s="32">
        <f t="shared" si="496"/>
        <v>0</v>
      </c>
      <c r="AD177" s="32">
        <f t="shared" si="496"/>
        <v>0</v>
      </c>
      <c r="AE177" s="32">
        <f t="shared" si="496"/>
        <v>0</v>
      </c>
      <c r="AF177" s="32">
        <f t="shared" si="496"/>
        <v>0</v>
      </c>
      <c r="AG177" s="32">
        <f t="shared" si="496"/>
        <v>0</v>
      </c>
      <c r="AH177" s="32">
        <f t="shared" si="496"/>
        <v>0</v>
      </c>
      <c r="AI177" s="32">
        <f t="shared" si="496"/>
        <v>0</v>
      </c>
      <c r="AJ177" s="34" t="str">
        <f t="shared" si="485"/>
        <v>#DIV/0!</v>
      </c>
      <c r="AK177" s="31">
        <v>7324.0</v>
      </c>
      <c r="AL177" s="35">
        <f t="shared" si="487"/>
        <v>0</v>
      </c>
      <c r="AM177" s="36">
        <f>SUM(Q180)</f>
        <v>1.5</v>
      </c>
      <c r="AN177" s="35" t="str">
        <f t="shared" si="489"/>
        <v>#DIV/0!</v>
      </c>
      <c r="AO177" s="37" t="str">
        <f t="shared" si="490"/>
        <v>#DIV/0!</v>
      </c>
      <c r="AP177" s="36">
        <f t="shared" ref="AP177:AQ177" si="497">SUM(T180)</f>
        <v>0</v>
      </c>
      <c r="AQ177" s="36" t="str">
        <f t="shared" si="497"/>
        <v>#DIV/0!</v>
      </c>
      <c r="AR177" s="32" t="str">
        <f t="shared" si="492"/>
        <v>#DIV/0!</v>
      </c>
    </row>
    <row r="178" ht="15.75" customHeight="1">
      <c r="A178" s="21"/>
      <c r="B178" s="38">
        <v>12.0</v>
      </c>
      <c r="C178" s="38" t="s">
        <v>39</v>
      </c>
      <c r="D178" s="39">
        <v>28.0</v>
      </c>
      <c r="E178" s="40">
        <f>IFERROR(__xludf.DUMMYFUNCTION("COUNT(IMPORTRANGE(""https://docs.google.com/spreadsheets/d/1wMeol_MpSIcocGxt3WZGl46mJ2tc80mANPvP_YzaP18/edit"",""7!d2:d29""))"),28.0)</f>
        <v>28</v>
      </c>
      <c r="F178" s="45">
        <f>IFERROR(__xludf.DUMMYFUNCTION("SUM(IMPORTRANGE(""https://docs.google.com/spreadsheets/d/1wMeol_MpSIcocGxt3WZGl46mJ2tc80mANPvP_YzaP18/edit"",""7!Q2:Q29""))"),5587.655999999998)</f>
        <v>5587.656</v>
      </c>
      <c r="G178" s="40">
        <f>IFERROR(__xludf.DUMMYFUNCTION("IMPORTRANGE(""https://docs.google.com/spreadsheets/d/1wMeol_MpSIcocGxt3WZGl46mJ2tc80mANPvP_YzaP18/edit"",""7!e36"")"),0.0)</f>
        <v>0</v>
      </c>
      <c r="H178" s="40">
        <f>IFERROR(__xludf.DUMMYFUNCTION("(IMPORTRANGE(""https://docs.google.com/spreadsheets/d/1wMeol_MpSIcocGxt3WZGl46mJ2tc80mANPvP_YzaP18/edit"",""7!e37""))"),0.0)</f>
        <v>0</v>
      </c>
      <c r="I178" s="40">
        <f t="shared" si="465"/>
        <v>0</v>
      </c>
      <c r="J178" s="40">
        <f>IFERROR(__xludf.DUMMYFUNCTION("IMPORTRANGE(""https://docs.google.com/spreadsheets/d/1wMeol_MpSIcocGxt3WZGl46mJ2tc80mANPvP_YzaP18/edit"",""7!e40"")"),0.0)</f>
        <v>0</v>
      </c>
      <c r="K178" s="40">
        <f>IFERROR(__xludf.DUMMYFUNCTION("IMPORTRANGE(""https://docs.google.com/spreadsheets/d/1wMeol_MpSIcocGxt3WZGl46mJ2tc80mANPvP_YzaP18/edit"",""7!e41"")"),0.0)</f>
        <v>0</v>
      </c>
      <c r="L178" s="40">
        <f t="shared" si="495"/>
        <v>0</v>
      </c>
      <c r="M178" s="40">
        <f t="shared" si="467"/>
        <v>0</v>
      </c>
      <c r="N178" s="41">
        <f t="shared" si="468"/>
        <v>199.5591429</v>
      </c>
      <c r="O178" s="38">
        <v>3569.0</v>
      </c>
      <c r="P178" s="42">
        <f t="shared" si="469"/>
        <v>0</v>
      </c>
      <c r="Q178" s="43">
        <v>1.5</v>
      </c>
      <c r="R178" s="42">
        <f t="shared" si="470"/>
        <v>0</v>
      </c>
      <c r="S178" s="44">
        <f t="shared" si="471"/>
        <v>0</v>
      </c>
      <c r="T178" s="43">
        <f>F178/21.463</f>
        <v>260.339002</v>
      </c>
      <c r="U178" s="43">
        <f t="shared" si="472"/>
        <v>9.2978215</v>
      </c>
      <c r="V178" s="40">
        <f t="shared" si="473"/>
        <v>0</v>
      </c>
      <c r="X178" s="31">
        <v>5.0</v>
      </c>
      <c r="Y178" s="31" t="s">
        <v>40</v>
      </c>
      <c r="Z178" s="31">
        <f t="shared" ref="Z178:AI178" si="498">SUM(D182)</f>
        <v>30</v>
      </c>
      <c r="AA178" s="32">
        <f t="shared" si="498"/>
        <v>0</v>
      </c>
      <c r="AB178" s="33">
        <f t="shared" si="498"/>
        <v>0</v>
      </c>
      <c r="AC178" s="32">
        <f t="shared" si="498"/>
        <v>0</v>
      </c>
      <c r="AD178" s="32">
        <f t="shared" si="498"/>
        <v>0</v>
      </c>
      <c r="AE178" s="32">
        <f t="shared" si="498"/>
        <v>0</v>
      </c>
      <c r="AF178" s="32">
        <f t="shared" si="498"/>
        <v>0</v>
      </c>
      <c r="AG178" s="32">
        <f t="shared" si="498"/>
        <v>0</v>
      </c>
      <c r="AH178" s="32">
        <f t="shared" si="498"/>
        <v>0</v>
      </c>
      <c r="AI178" s="32">
        <f t="shared" si="498"/>
        <v>0</v>
      </c>
      <c r="AJ178" s="34" t="str">
        <f t="shared" si="485"/>
        <v>#DIV/0!</v>
      </c>
      <c r="AK178" s="31">
        <f t="shared" ref="AK178:AK179" si="501">SUM(O182)</f>
        <v>8239</v>
      </c>
      <c r="AL178" s="35">
        <f t="shared" si="487"/>
        <v>0</v>
      </c>
      <c r="AM178" s="36">
        <f t="shared" ref="AM178:AM179" si="502">SUM(Q182)</f>
        <v>1.5</v>
      </c>
      <c r="AN178" s="35" t="str">
        <f t="shared" si="489"/>
        <v>#DIV/0!</v>
      </c>
      <c r="AO178" s="37" t="str">
        <f t="shared" si="490"/>
        <v>#DIV/0!</v>
      </c>
      <c r="AP178" s="36">
        <f t="shared" ref="AP178:AQ178" si="499">SUM(T182)</f>
        <v>0</v>
      </c>
      <c r="AQ178" s="36" t="str">
        <f t="shared" si="499"/>
        <v>#DIV/0!</v>
      </c>
      <c r="AR178" s="32" t="str">
        <f t="shared" si="492"/>
        <v>#DIV/0!</v>
      </c>
    </row>
    <row r="179" ht="15.75" customHeight="1">
      <c r="A179" s="21"/>
      <c r="B179" s="38">
        <v>12.0</v>
      </c>
      <c r="C179" s="38" t="s">
        <v>41</v>
      </c>
      <c r="D179" s="39">
        <v>24.0</v>
      </c>
      <c r="E179" s="40">
        <f>IFERROR(__xludf.DUMMYFUNCTION("COUNT(IMPORTRANGE(""https://docs.google.com/spreadsheets/d/1sHk6_yuc4kORC_xnhEeazoemV_hVUQVqRpfoNae-PLk/edit"",""7!d2:d25""))"),24.0)</f>
        <v>24</v>
      </c>
      <c r="F179" s="45">
        <f>IFERROR(__xludf.DUMMYFUNCTION("SUM(IMPORTRANGE(""https://docs.google.com/spreadsheets/d/1sHk6_yuc4kORC_xnhEeazoemV_hVUQVqRpfoNae-PLk/edit"",""7!Q2:Q25""))"),4793.152000000001)</f>
        <v>4793.152</v>
      </c>
      <c r="G179" s="40">
        <f>IFERROR(__xludf.DUMMYFUNCTION("IMPORTRANGE(""https://docs.google.com/spreadsheets/d/1sHk6_yuc4kORC_xnhEeazoemV_hVUQVqRpfoNae-PLk/edit"",""7!e32"")"),0.0)</f>
        <v>0</v>
      </c>
      <c r="H179" s="40">
        <f>IFERROR(__xludf.DUMMYFUNCTION("IMPORTRANGE(""https://docs.google.com/spreadsheets/d/1sHk6_yuc4kORC_xnhEeazoemV_hVUQVqRpfoNae-PLk/edit"",""7!e33"")"),0.0)</f>
        <v>0</v>
      </c>
      <c r="I179" s="40">
        <f t="shared" si="465"/>
        <v>0</v>
      </c>
      <c r="J179" s="40">
        <f>IFERROR(__xludf.DUMMYFUNCTION("IMPORTRANGE(""https://docs.google.com/spreadsheets/d/1sHk6_yuc4kORC_xnhEeazoemV_hVUQVqRpfoNae-PLk/edit"",""7!e36"")"),0.0)</f>
        <v>0</v>
      </c>
      <c r="K179" s="40">
        <f>IFERROR(__xludf.DUMMYFUNCTION("IMPORTRANGE(""https://docs.google.com/spreadsheets/d/1sHk6_yuc4kORC_xnhEeazoemV_hVUQVqRpfoNae-PLk/edit"",""7!e37"")"),0.0)</f>
        <v>0</v>
      </c>
      <c r="L179" s="40">
        <f t="shared" si="495"/>
        <v>0</v>
      </c>
      <c r="M179" s="40">
        <f t="shared" si="467"/>
        <v>0</v>
      </c>
      <c r="N179" s="41">
        <f t="shared" si="468"/>
        <v>199.7146667</v>
      </c>
      <c r="O179" s="38">
        <v>3801.0</v>
      </c>
      <c r="P179" s="42">
        <f t="shared" si="469"/>
        <v>0</v>
      </c>
      <c r="Q179" s="43">
        <v>1.5</v>
      </c>
      <c r="R179" s="42">
        <f t="shared" si="470"/>
        <v>0</v>
      </c>
      <c r="S179" s="44">
        <f t="shared" si="471"/>
        <v>0</v>
      </c>
      <c r="T179" s="43">
        <f>F179/29.628</f>
        <v>161.7777778</v>
      </c>
      <c r="U179" s="43">
        <f t="shared" si="472"/>
        <v>6.740740741</v>
      </c>
      <c r="V179" s="40">
        <f t="shared" si="473"/>
        <v>0</v>
      </c>
      <c r="X179" s="22">
        <v>6.0</v>
      </c>
      <c r="Y179" s="22" t="s">
        <v>42</v>
      </c>
      <c r="Z179" s="22">
        <f t="shared" ref="Z179:AI179" si="500">SUM(D183)</f>
        <v>33</v>
      </c>
      <c r="AA179" s="23">
        <f t="shared" si="500"/>
        <v>33</v>
      </c>
      <c r="AB179" s="24">
        <f t="shared" si="500"/>
        <v>6904.92</v>
      </c>
      <c r="AC179" s="23">
        <f t="shared" si="500"/>
        <v>0</v>
      </c>
      <c r="AD179" s="23">
        <f t="shared" si="500"/>
        <v>0</v>
      </c>
      <c r="AE179" s="23">
        <f t="shared" si="500"/>
        <v>0</v>
      </c>
      <c r="AF179" s="23">
        <f t="shared" si="500"/>
        <v>0</v>
      </c>
      <c r="AG179" s="23">
        <f t="shared" si="500"/>
        <v>0</v>
      </c>
      <c r="AH179" s="23">
        <f t="shared" si="500"/>
        <v>0</v>
      </c>
      <c r="AI179" s="23">
        <f t="shared" si="500"/>
        <v>0</v>
      </c>
      <c r="AJ179" s="25">
        <f t="shared" si="485"/>
        <v>209.24</v>
      </c>
      <c r="AK179" s="22">
        <f t="shared" si="501"/>
        <v>9877</v>
      </c>
      <c r="AL179" s="26">
        <f t="shared" si="487"/>
        <v>0</v>
      </c>
      <c r="AM179" s="27">
        <f t="shared" si="502"/>
        <v>1.5</v>
      </c>
      <c r="AN179" s="26">
        <f t="shared" si="489"/>
        <v>0</v>
      </c>
      <c r="AO179" s="28">
        <f t="shared" si="490"/>
        <v>0</v>
      </c>
      <c r="AP179" s="27">
        <f t="shared" ref="AP179:AQ179" si="503">SUM(T183)</f>
        <v>264</v>
      </c>
      <c r="AQ179" s="27">
        <f t="shared" si="503"/>
        <v>8</v>
      </c>
      <c r="AR179" s="23">
        <f t="shared" si="492"/>
        <v>0</v>
      </c>
    </row>
    <row r="180" ht="15.75" customHeight="1">
      <c r="A180" s="21"/>
      <c r="B180" s="38">
        <v>13.0</v>
      </c>
      <c r="C180" s="38" t="s">
        <v>43</v>
      </c>
      <c r="D180" s="39">
        <v>30.0</v>
      </c>
      <c r="E180" s="40">
        <f>IFERROR(__xludf.DUMMYFUNCTION("COUNT(IMPORTRANGE(""https://docs.google.com/spreadsheets/d/1uGXvAN2jA6kmcEHUY4KqOHHewllZsujDdA6KVDfBCoA/edit"",""7!d2:d31""))"),0.0)</f>
        <v>0</v>
      </c>
      <c r="F180" s="45">
        <f>IFERROR(__xludf.DUMMYFUNCTION("SUM(IMPORTRANGE(""https://docs.google.com/spreadsheets/d/1uGXvAN2jA6kmcEHUY4KqOHHewllZsujDdA6KVDfBCoA/edit"",""7!Q2:Q31""))"),0.0)</f>
        <v>0</v>
      </c>
      <c r="G180" s="40">
        <f>IFERROR(__xludf.DUMMYFUNCTION("IMPORTRANGE(""https://docs.google.com/spreadsheets/d/1uGXvAN2jA6kmcEHUY4KqOHHewllZsujDdA6KVDfBCoA/edit"",""7!e38"")"),0.0)</f>
        <v>0</v>
      </c>
      <c r="H180" s="40">
        <f>IFERROR(__xludf.DUMMYFUNCTION("IMPORTRANGE(""https://docs.google.com/spreadsheets/d/1uGXvAN2jA6kmcEHUY4KqOHHewllZsujDdA6KVDfBCoA/edit"",""7!e39"")"),0.0)</f>
        <v>0</v>
      </c>
      <c r="I180" s="40">
        <f t="shared" si="465"/>
        <v>0</v>
      </c>
      <c r="J180" s="40">
        <f>IFERROR(__xludf.DUMMYFUNCTION("IMPORTRANGE(""https://docs.google.com/spreadsheets/d/1uGXvAN2jA6kmcEHUY4KqOHHewllZsujDdA6KVDfBCoA/edit"",""7!e42"")"),0.0)</f>
        <v>0</v>
      </c>
      <c r="K180" s="40">
        <f>IFERROR(__xludf.DUMMYFUNCTION("IMPORTRANGE(""https://docs.google.com/spreadsheets/d/1uGXvAN2jA6kmcEHUY4KqOHHewllZsujDdA6KVDfBCoA/edit"",""7!e43"")"),0.0)</f>
        <v>0</v>
      </c>
      <c r="L180" s="40">
        <f t="shared" si="495"/>
        <v>0</v>
      </c>
      <c r="M180" s="40">
        <f t="shared" si="467"/>
        <v>0</v>
      </c>
      <c r="N180" s="41" t="str">
        <f t="shared" si="468"/>
        <v>#DIV/0!</v>
      </c>
      <c r="O180" s="38">
        <v>8345.0</v>
      </c>
      <c r="P180" s="42">
        <f t="shared" si="469"/>
        <v>0</v>
      </c>
      <c r="Q180" s="43">
        <v>1.5</v>
      </c>
      <c r="R180" s="42" t="str">
        <f t="shared" si="470"/>
        <v>#DIV/0!</v>
      </c>
      <c r="S180" s="44" t="str">
        <f t="shared" si="471"/>
        <v>#DIV/0!</v>
      </c>
      <c r="T180" s="43">
        <f>F180/41.205</f>
        <v>0</v>
      </c>
      <c r="U180" s="43" t="str">
        <f t="shared" si="472"/>
        <v>#DIV/0!</v>
      </c>
      <c r="V180" s="40" t="str">
        <f t="shared" si="473"/>
        <v>#DIV/0!</v>
      </c>
      <c r="X180" s="46" t="s">
        <v>33</v>
      </c>
      <c r="Y180" s="46">
        <v>6.0</v>
      </c>
      <c r="Z180" s="46">
        <f t="shared" ref="Z180:AI180" si="504">SUM(Z174:Z179)</f>
        <v>226</v>
      </c>
      <c r="AA180" s="47">
        <f t="shared" si="504"/>
        <v>131</v>
      </c>
      <c r="AB180" s="49">
        <f t="shared" si="504"/>
        <v>26590.703</v>
      </c>
      <c r="AC180" s="47">
        <f t="shared" si="504"/>
        <v>14</v>
      </c>
      <c r="AD180" s="47">
        <f t="shared" si="504"/>
        <v>0</v>
      </c>
      <c r="AE180" s="47">
        <f t="shared" si="504"/>
        <v>14</v>
      </c>
      <c r="AF180" s="47">
        <f t="shared" si="504"/>
        <v>0</v>
      </c>
      <c r="AG180" s="47">
        <f t="shared" si="504"/>
        <v>0</v>
      </c>
      <c r="AH180" s="47">
        <f t="shared" si="504"/>
        <v>0</v>
      </c>
      <c r="AI180" s="47">
        <f t="shared" si="504"/>
        <v>14</v>
      </c>
      <c r="AJ180" s="49">
        <f t="shared" si="485"/>
        <v>202.9824656</v>
      </c>
      <c r="AK180" s="46">
        <f>SUM(AK174:AK179)</f>
        <v>53273</v>
      </c>
      <c r="AL180" s="50">
        <f t="shared" si="487"/>
        <v>0.0002627972894</v>
      </c>
      <c r="AM180" s="51">
        <v>1.5</v>
      </c>
      <c r="AN180" s="50">
        <f t="shared" si="489"/>
        <v>0.0003509998714</v>
      </c>
      <c r="AO180" s="52">
        <f t="shared" si="490"/>
        <v>0.0005264998071</v>
      </c>
      <c r="AP180" s="51">
        <f>SUM(AP174:AP179)</f>
        <v>919.1988734</v>
      </c>
      <c r="AQ180" s="51">
        <f>AP180/AA180</f>
        <v>7.016785293</v>
      </c>
      <c r="AR180" s="47">
        <f t="shared" si="492"/>
        <v>0.106870229</v>
      </c>
    </row>
    <row r="181" ht="15.75" customHeight="1">
      <c r="A181" s="21"/>
      <c r="B181" s="38">
        <v>14.0</v>
      </c>
      <c r="C181" s="38" t="s">
        <v>27</v>
      </c>
      <c r="D181" s="39">
        <v>30.0</v>
      </c>
      <c r="E181" s="40">
        <f>IFERROR(__xludf.DUMMYFUNCTION("COUNT(IMPORTRANGE(""https://docs.google.com/spreadsheets/d/1iYtf3wkjJIgOL8ej0-L89wY8FLXKi6EiRbi9UqA1Bzw/edit"",""7!d2:d31""))"),30.0)</f>
        <v>30</v>
      </c>
      <c r="F181" s="45">
        <f>IFERROR(__xludf.DUMMYFUNCTION("SUM(IMPORTRANGE(""https://docs.google.com/spreadsheets/d/1iYtf3wkjJIgOL8ej0-L89wY8FLXKi6EiRbi9UqA1Bzw/edit"",""7!Q2:Q31""))"),5995.500000000002)</f>
        <v>5995.5</v>
      </c>
      <c r="G181" s="40">
        <f>IFERROR(__xludf.DUMMYFUNCTION("IMPORTRANGE(""https://docs.google.com/spreadsheets/d/1iYtf3wkjJIgOL8ej0-L89wY8FLXKi6EiRbi9UqA1Bzw/edit"",""7!e38"")"),0.0)</f>
        <v>0</v>
      </c>
      <c r="H181" s="40">
        <f>IFERROR(__xludf.DUMMYFUNCTION("IMPORTRANGE(""https://docs.google.com/spreadsheets/d/1iYtf3wkjJIgOL8ej0-L89wY8FLXKi6EiRbi9UqA1Bzw/edit"",""7!e39"")"),0.0)</f>
        <v>0</v>
      </c>
      <c r="I181" s="40">
        <f t="shared" si="465"/>
        <v>0</v>
      </c>
      <c r="J181" s="40">
        <f>IFERROR(__xludf.DUMMYFUNCTION("IMPORTRANGE(""https://docs.google.com/spreadsheets/d/1iYtf3wkjJIgOL8ej0-L89wY8FLXKi6EiRbi9UqA1Bzw/edit"",""7!e42"")"),0.0)</f>
        <v>0</v>
      </c>
      <c r="K181" s="40">
        <f>IFERROR(__xludf.DUMMYFUNCTION("IMPORTRANGE(""https://docs.google.com/spreadsheets/d/1iYtf3wkjJIgOL8ej0-L89wY8FLXKi6EiRbi9UqA1Bzw/edit"",""7!e43"")"),0.0)</f>
        <v>0</v>
      </c>
      <c r="L181" s="40">
        <f t="shared" si="495"/>
        <v>0</v>
      </c>
      <c r="M181" s="40">
        <f t="shared" si="467"/>
        <v>0</v>
      </c>
      <c r="N181" s="41">
        <f t="shared" si="468"/>
        <v>199.85</v>
      </c>
      <c r="O181" s="38">
        <v>8101.0</v>
      </c>
      <c r="P181" s="42">
        <f t="shared" si="469"/>
        <v>0</v>
      </c>
      <c r="Q181" s="43">
        <v>1.5</v>
      </c>
      <c r="R181" s="42">
        <f t="shared" si="470"/>
        <v>0</v>
      </c>
      <c r="S181" s="44">
        <f t="shared" si="471"/>
        <v>0</v>
      </c>
      <c r="T181" s="43">
        <f>F181/19.985</f>
        <v>300</v>
      </c>
      <c r="U181" s="43">
        <f t="shared" si="472"/>
        <v>10</v>
      </c>
      <c r="V181" s="40">
        <f t="shared" si="473"/>
        <v>0</v>
      </c>
      <c r="X181" s="59" t="s">
        <v>44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6"/>
    </row>
    <row r="182" ht="15.75" customHeight="1">
      <c r="A182" s="21"/>
      <c r="B182" s="38">
        <v>15.0</v>
      </c>
      <c r="C182" s="38" t="s">
        <v>40</v>
      </c>
      <c r="D182" s="39">
        <v>30.0</v>
      </c>
      <c r="E182" s="40">
        <f>IFERROR(__xludf.DUMMYFUNCTION("COUNT(IMPORTRANGE(""https://docs.google.com/spreadsheets/d/1Wdf8MsoDBzMSsrzOXwaGQzbVjVqOWfKSqYmbncevZgA/edit"",""7!d2:d31""))"),0.0)</f>
        <v>0</v>
      </c>
      <c r="F182" s="45">
        <f>IFERROR(__xludf.DUMMYFUNCTION("SUM(IMPORTRANGE(""https://docs.google.com/spreadsheets/d/1Wdf8MsoDBzMSsrzOXwaGQzbVjVqOWfKSqYmbncevZgA/edit"",""7!Q2:Q31""))"),0.0)</f>
        <v>0</v>
      </c>
      <c r="G182" s="40">
        <f>IFERROR(__xludf.DUMMYFUNCTION("IMPORTRANGE(""https://docs.google.com/spreadsheets/d/1Wdf8MsoDBzMSsrzOXwaGQzbVjVqOWfKSqYmbncevZgA/edit"",""7!e38"")"),0.0)</f>
        <v>0</v>
      </c>
      <c r="H182" s="40">
        <f>IFERROR(__xludf.DUMMYFUNCTION("IMPORTRANGE(""https://docs.google.com/spreadsheets/d/1Wdf8MsoDBzMSsrzOXwaGQzbVjVqOWfKSqYmbncevZgA/edit"",""7!e39"")"),0.0)</f>
        <v>0</v>
      </c>
      <c r="I182" s="40">
        <f t="shared" si="465"/>
        <v>0</v>
      </c>
      <c r="J182" s="40">
        <f>IFERROR(__xludf.DUMMYFUNCTION("IMPORTRANGE(""https://docs.google.com/spreadsheets/d/1Wdf8MsoDBzMSsrzOXwaGQzbVjVqOWfKSqYmbncevZgA/edit"",""7!e42"")"),0.0)</f>
        <v>0</v>
      </c>
      <c r="K182" s="40">
        <f>IFERROR(__xludf.DUMMYFUNCTION("IMPORTRANGE(""https://docs.google.com/spreadsheets/d/1Wdf8MsoDBzMSsrzOXwaGQzbVjVqOWfKSqYmbncevZgA/edit"",""7!e43"")"),0.0)</f>
        <v>0</v>
      </c>
      <c r="L182" s="40">
        <f t="shared" si="495"/>
        <v>0</v>
      </c>
      <c r="M182" s="40">
        <f t="shared" si="467"/>
        <v>0</v>
      </c>
      <c r="N182" s="41" t="str">
        <f t="shared" si="468"/>
        <v>#DIV/0!</v>
      </c>
      <c r="O182" s="38">
        <v>8239.0</v>
      </c>
      <c r="P182" s="42">
        <f t="shared" si="469"/>
        <v>0</v>
      </c>
      <c r="Q182" s="43">
        <v>1.5</v>
      </c>
      <c r="R182" s="42" t="str">
        <f t="shared" si="470"/>
        <v>#DIV/0!</v>
      </c>
      <c r="S182" s="44" t="str">
        <f t="shared" si="471"/>
        <v>#DIV/0!</v>
      </c>
      <c r="T182" s="43">
        <f>F182/28.443</f>
        <v>0</v>
      </c>
      <c r="U182" s="43" t="str">
        <f t="shared" si="472"/>
        <v>#DIV/0!</v>
      </c>
      <c r="V182" s="40" t="str">
        <f t="shared" si="473"/>
        <v>#DIV/0!</v>
      </c>
      <c r="X182" s="14" t="s">
        <v>2</v>
      </c>
      <c r="Y182" s="14" t="s">
        <v>3</v>
      </c>
      <c r="Z182" s="14" t="s">
        <v>4</v>
      </c>
      <c r="AA182" s="14" t="s">
        <v>5</v>
      </c>
      <c r="AB182" s="15" t="s">
        <v>6</v>
      </c>
      <c r="AC182" s="14" t="s">
        <v>7</v>
      </c>
      <c r="AD182" s="14" t="s">
        <v>8</v>
      </c>
      <c r="AE182" s="14" t="s">
        <v>9</v>
      </c>
      <c r="AF182" s="14" t="s">
        <v>10</v>
      </c>
      <c r="AG182" s="14" t="s">
        <v>11</v>
      </c>
      <c r="AH182" s="14" t="s">
        <v>12</v>
      </c>
      <c r="AI182" s="14" t="s">
        <v>13</v>
      </c>
      <c r="AJ182" s="15" t="s">
        <v>14</v>
      </c>
      <c r="AK182" s="14" t="s">
        <v>15</v>
      </c>
      <c r="AL182" s="14" t="s">
        <v>16</v>
      </c>
      <c r="AM182" s="16" t="s">
        <v>17</v>
      </c>
      <c r="AN182" s="17" t="s">
        <v>18</v>
      </c>
      <c r="AO182" s="18" t="s">
        <v>19</v>
      </c>
      <c r="AP182" s="19" t="s">
        <v>20</v>
      </c>
      <c r="AQ182" s="19" t="s">
        <v>21</v>
      </c>
      <c r="AR182" s="20" t="s">
        <v>22</v>
      </c>
    </row>
    <row r="183" ht="15.75" customHeight="1">
      <c r="A183" s="21"/>
      <c r="B183" s="38">
        <v>16.0</v>
      </c>
      <c r="C183" s="38" t="s">
        <v>42</v>
      </c>
      <c r="D183" s="39">
        <v>33.0</v>
      </c>
      <c r="E183" s="40">
        <f>IFERROR(__xludf.DUMMYFUNCTION("COUNT(IMPORTRANGE(""https://docs.google.com/spreadsheets/d/1Z5uB5HbeAKcHmG4EOw3rf2J8NpyvDiha6RReERAMvA0/edit"",""7!d2:d34""))"),33.0)</f>
        <v>33</v>
      </c>
      <c r="F183" s="45">
        <f>IFERROR(__xludf.DUMMYFUNCTION("SUM(IMPORTRANGE(""https://docs.google.com/spreadsheets/d/1Z5uB5HbeAKcHmG4EOw3rf2J8NpyvDiha6RReERAMvA0/edit"",""7!Q2:Q34""))"),6904.9199999999955)</f>
        <v>6904.92</v>
      </c>
      <c r="G183" s="40">
        <f>IFERROR(__xludf.DUMMYFUNCTION("IMPORTRANGE(""https://docs.google.com/spreadsheets/d/1Z5uB5HbeAKcHmG4EOw3rf2J8NpyvDiha6RReERAMvA0/edit"",""7!e41"")"),0.0)</f>
        <v>0</v>
      </c>
      <c r="H183" s="40">
        <f>IFERROR(__xludf.DUMMYFUNCTION("IMPORTRANGE(""https://docs.google.com/spreadsheets/d/1Z5uB5HbeAKcHmG4EOw3rf2J8NpyvDiha6RReERAMvA0/edit"",""7!e42"")"),0.0)</f>
        <v>0</v>
      </c>
      <c r="I183" s="40">
        <f t="shared" si="465"/>
        <v>0</v>
      </c>
      <c r="J183" s="40">
        <f>IFERROR(__xludf.DUMMYFUNCTION("IMPORTRANGE(""https://docs.google.com/spreadsheets/d/1Z5uB5HbeAKcHmG4EOw3rf2J8NpyvDiha6RReERAMvA0/edit"",""7!e45"")"),0.0)</f>
        <v>0</v>
      </c>
      <c r="K183" s="40">
        <f>IFERROR(__xludf.DUMMYFUNCTION("IMPORTRANGE(""https://docs.google.com/spreadsheets/d/1Z5uB5HbeAKcHmG4EOw3rf2J8NpyvDiha6RReERAMvA0/edit"",""7!e46"")"),0.0)</f>
        <v>0</v>
      </c>
      <c r="L183" s="40">
        <f t="shared" si="495"/>
        <v>0</v>
      </c>
      <c r="M183" s="40">
        <f t="shared" si="467"/>
        <v>0</v>
      </c>
      <c r="N183" s="41">
        <f t="shared" si="468"/>
        <v>209.24</v>
      </c>
      <c r="O183" s="38">
        <v>9877.0</v>
      </c>
      <c r="P183" s="42">
        <f t="shared" si="469"/>
        <v>0</v>
      </c>
      <c r="Q183" s="43">
        <v>1.5</v>
      </c>
      <c r="R183" s="42">
        <f t="shared" si="470"/>
        <v>0</v>
      </c>
      <c r="S183" s="44">
        <f t="shared" si="471"/>
        <v>0</v>
      </c>
      <c r="T183" s="43">
        <f>F183/26.155</f>
        <v>264</v>
      </c>
      <c r="U183" s="43">
        <f t="shared" si="472"/>
        <v>8</v>
      </c>
      <c r="V183" s="40">
        <f t="shared" si="473"/>
        <v>0</v>
      </c>
      <c r="X183" s="31">
        <v>1.0</v>
      </c>
      <c r="Y183" s="31" t="s">
        <v>26</v>
      </c>
      <c r="Z183" s="31">
        <f t="shared" ref="Z183:AI183" si="505">SUM(D168)</f>
        <v>20</v>
      </c>
      <c r="AA183" s="32">
        <f t="shared" si="505"/>
        <v>20</v>
      </c>
      <c r="AB183" s="34">
        <f t="shared" si="505"/>
        <v>4036.2</v>
      </c>
      <c r="AC183" s="32">
        <f t="shared" si="505"/>
        <v>0</v>
      </c>
      <c r="AD183" s="32">
        <f t="shared" si="505"/>
        <v>0</v>
      </c>
      <c r="AE183" s="32">
        <f t="shared" si="505"/>
        <v>0</v>
      </c>
      <c r="AF183" s="32">
        <f t="shared" si="505"/>
        <v>0</v>
      </c>
      <c r="AG183" s="32">
        <f t="shared" si="505"/>
        <v>0</v>
      </c>
      <c r="AH183" s="32">
        <f t="shared" si="505"/>
        <v>0</v>
      </c>
      <c r="AI183" s="32">
        <f t="shared" si="505"/>
        <v>0</v>
      </c>
      <c r="AJ183" s="34">
        <f t="shared" ref="AJ183:AJ189" si="508">AB183/AA183</f>
        <v>201.81</v>
      </c>
      <c r="AK183" s="31">
        <f>SUM(O168)</f>
        <v>5161</v>
      </c>
      <c r="AL183" s="35">
        <f t="shared" ref="AL183:AL189" si="509">AI183/AK183</f>
        <v>0</v>
      </c>
      <c r="AM183" s="36">
        <f>SUM(Q168)</f>
        <v>1.5</v>
      </c>
      <c r="AN183" s="35">
        <f t="shared" ref="AN183:AN189" si="510">AO183/AM183</f>
        <v>0</v>
      </c>
      <c r="AO183" s="37">
        <f t="shared" ref="AO183:AO189" si="511">AI183/AB183</f>
        <v>0</v>
      </c>
      <c r="AP183" s="36">
        <f t="shared" ref="AP183:AQ183" si="506">SUM(T168)</f>
        <v>280</v>
      </c>
      <c r="AQ183" s="36">
        <f t="shared" si="506"/>
        <v>14</v>
      </c>
      <c r="AR183" s="32">
        <f t="shared" ref="AR183:AR189" si="513">AI183/AA183</f>
        <v>0</v>
      </c>
    </row>
    <row r="184" ht="15.75" customHeight="1">
      <c r="A184" s="21"/>
      <c r="B184" s="38">
        <v>17.0</v>
      </c>
      <c r="C184" s="38" t="s">
        <v>29</v>
      </c>
      <c r="D184" s="39">
        <v>30.0</v>
      </c>
      <c r="E184" s="40">
        <f>IFERROR(__xludf.DUMMYFUNCTION("COUNT(IMPORTRANGE(""https://docs.google.com/spreadsheets/d/1wfJqI0e9wVPqEQv3N6b8KgINjqI0OBECEyIFeY9j3i8/edit"",""7!d2:d31""))"),28.0)</f>
        <v>28</v>
      </c>
      <c r="F184" s="45">
        <f>IFERROR(__xludf.DUMMYFUNCTION("SUM(IMPORTRANGE(""https://docs.google.com/spreadsheets/d/1wfJqI0e9wVPqEQv3N6b8KgINjqI0OBECEyIFeY9j3i8/edit"",""7!Q2:Q31""))"),5589.600999999998)</f>
        <v>5589.601</v>
      </c>
      <c r="G184" s="40">
        <f>IFERROR(__xludf.DUMMYFUNCTION("IMPORTRANGE(""https://docs.google.com/spreadsheets/d/1wfJqI0e9wVPqEQv3N6b8KgINjqI0OBECEyIFeY9j3i8/edit"",""7!e38"")"),0.0)</f>
        <v>0</v>
      </c>
      <c r="H184" s="40">
        <f>IFERROR(__xludf.DUMMYFUNCTION("IMPORTRANGE(""https://docs.google.com/spreadsheets/d/1wfJqI0e9wVPqEQv3N6b8KgINjqI0OBECEyIFeY9j3i8/edit"",""7!e39"")"),0.0)</f>
        <v>0</v>
      </c>
      <c r="I184" s="40">
        <f t="shared" si="465"/>
        <v>0</v>
      </c>
      <c r="J184" s="40">
        <f>IFERROR(__xludf.DUMMYFUNCTION("IMPORTRANGE(""https://docs.google.com/spreadsheets/d/1wfJqI0e9wVPqEQv3N6b8KgINjqI0OBECEyIFeY9j3i8/edit"",""7!e42"")"),0.0)</f>
        <v>0</v>
      </c>
      <c r="K184" s="40">
        <f>IFERROR(__xludf.DUMMYFUNCTION("IMPORTRANGE(""https://docs.google.com/spreadsheets/d/1wfJqI0e9wVPqEQv3N6b8KgINjqI0OBECEyIFeY9j3i8/edit"",""7!e43"")"),0.0)</f>
        <v>0</v>
      </c>
      <c r="L184" s="40">
        <f t="shared" si="495"/>
        <v>0</v>
      </c>
      <c r="M184" s="40">
        <f t="shared" si="467"/>
        <v>0</v>
      </c>
      <c r="N184" s="41">
        <f t="shared" si="468"/>
        <v>199.6286071</v>
      </c>
      <c r="O184" s="38">
        <v>9201.0</v>
      </c>
      <c r="P184" s="42">
        <f t="shared" si="469"/>
        <v>0</v>
      </c>
      <c r="Q184" s="43">
        <v>1.5</v>
      </c>
      <c r="R184" s="42">
        <f t="shared" si="470"/>
        <v>0</v>
      </c>
      <c r="S184" s="44">
        <f t="shared" si="471"/>
        <v>0</v>
      </c>
      <c r="T184" s="43">
        <f>F184/26.491</f>
        <v>211</v>
      </c>
      <c r="U184" s="43">
        <f t="shared" si="472"/>
        <v>7.535714286</v>
      </c>
      <c r="V184" s="40">
        <f t="shared" si="473"/>
        <v>0</v>
      </c>
      <c r="X184" s="31">
        <v>2.0</v>
      </c>
      <c r="Y184" s="31" t="s">
        <v>32</v>
      </c>
      <c r="Z184" s="31">
        <f t="shared" ref="Z184:AI184" si="507">SUM(D171)</f>
        <v>42</v>
      </c>
      <c r="AA184" s="32">
        <f t="shared" si="507"/>
        <v>0</v>
      </c>
      <c r="AB184" s="33">
        <f t="shared" si="507"/>
        <v>0</v>
      </c>
      <c r="AC184" s="31">
        <f t="shared" si="507"/>
        <v>0</v>
      </c>
      <c r="AD184" s="31">
        <f t="shared" si="507"/>
        <v>0</v>
      </c>
      <c r="AE184" s="32">
        <f t="shared" si="507"/>
        <v>0</v>
      </c>
      <c r="AF184" s="31">
        <f t="shared" si="507"/>
        <v>0</v>
      </c>
      <c r="AG184" s="31">
        <f t="shared" si="507"/>
        <v>0</v>
      </c>
      <c r="AH184" s="32">
        <f t="shared" si="507"/>
        <v>0</v>
      </c>
      <c r="AI184" s="32">
        <f t="shared" si="507"/>
        <v>0</v>
      </c>
      <c r="AJ184" s="34" t="str">
        <f t="shared" si="508"/>
        <v>#DIV/0!</v>
      </c>
      <c r="AK184" s="31">
        <f>SUM(O171)</f>
        <v>13817</v>
      </c>
      <c r="AL184" s="35">
        <f t="shared" si="509"/>
        <v>0</v>
      </c>
      <c r="AM184" s="36">
        <f>SUM(Q171)</f>
        <v>1.5</v>
      </c>
      <c r="AN184" s="35" t="str">
        <f t="shared" si="510"/>
        <v>#DIV/0!</v>
      </c>
      <c r="AO184" s="37" t="str">
        <f t="shared" si="511"/>
        <v>#DIV/0!</v>
      </c>
      <c r="AP184" s="36">
        <f t="shared" ref="AP184:AQ184" si="512">SUM(T171)</f>
        <v>0</v>
      </c>
      <c r="AQ184" s="36" t="str">
        <f t="shared" si="512"/>
        <v>#DIV/0!</v>
      </c>
      <c r="AR184" s="32" t="str">
        <f t="shared" si="513"/>
        <v>#DIV/0!</v>
      </c>
    </row>
    <row r="185" ht="15.75" customHeight="1">
      <c r="A185" s="21"/>
      <c r="B185" s="38">
        <v>18.0</v>
      </c>
      <c r="C185" s="38" t="s">
        <v>31</v>
      </c>
      <c r="D185" s="39">
        <v>15.0</v>
      </c>
      <c r="E185" s="40">
        <f>IFERROR(__xludf.DUMMYFUNCTION("COUNT(IMPORTRANGE(""https://docs.google.com/spreadsheets/d/1-y2KhTAo7d8kowgUuWUDfRQuRMUAFteRYEXorT3_wOs/edit"",""7!d2:d16""))"),13.0)</f>
        <v>13</v>
      </c>
      <c r="F185" s="41">
        <f>IFERROR(__xludf.DUMMYFUNCTION("SUM(IMPORTRANGE(""https://docs.google.com/spreadsheets/d/1-y2KhTAo7d8kowgUuWUDfRQuRMUAFteRYEXorT3_wOs/edit"",""7!Q2:Q16""))"),2651.365)</f>
        <v>2651.365</v>
      </c>
      <c r="G185" s="40">
        <f>IFERROR(__xludf.DUMMYFUNCTION("IMPORTRANGE(""https://docs.google.com/spreadsheets/d/1-y2KhTAo7d8kowgUuWUDfRQuRMUAFteRYEXorT3_wOs/edit"",""7!e23"")"),4.0)</f>
        <v>4</v>
      </c>
      <c r="H185" s="40">
        <f>IFERROR(__xludf.DUMMYFUNCTION("IMPORTRANGE(""https://docs.google.com/spreadsheets/d/1-y2KhTAo7d8kowgUuWUDfRQuRMUAFteRYEXorT3_wOs/edit"",""7!e24"")"),0.0)</f>
        <v>0</v>
      </c>
      <c r="I185" s="40">
        <f t="shared" si="465"/>
        <v>4</v>
      </c>
      <c r="J185" s="40">
        <f>IFERROR(__xludf.DUMMYFUNCTION("IMPORTRANGE(""https://docs.google.com/spreadsheets/d/1-y2KhTAo7d8kowgUuWUDfRQuRMUAFteRYEXorT3_wOs/edit"",""7!e27"")"),0.0)</f>
        <v>0</v>
      </c>
      <c r="K185" s="40">
        <f>IFERROR(__xludf.DUMMYFUNCTION("IMPORTRANGE(""https://docs.google.com/spreadsheets/d/1-y2KhTAo7d8kowgUuWUDfRQuRMUAFteRYEXorT3_wOs/edit"",""7!e28"")"),0.0)</f>
        <v>0</v>
      </c>
      <c r="L185" s="40">
        <f t="shared" si="495"/>
        <v>0</v>
      </c>
      <c r="M185" s="40">
        <f t="shared" si="467"/>
        <v>4</v>
      </c>
      <c r="N185" s="41">
        <f t="shared" si="468"/>
        <v>203.9511538</v>
      </c>
      <c r="O185" s="38">
        <v>2717.0</v>
      </c>
      <c r="P185" s="42">
        <f t="shared" si="469"/>
        <v>0.001472211999</v>
      </c>
      <c r="Q185" s="43">
        <v>1.5</v>
      </c>
      <c r="R185" s="42">
        <f t="shared" si="470"/>
        <v>0.001005771241</v>
      </c>
      <c r="S185" s="44">
        <f t="shared" si="471"/>
        <v>0.001508656862</v>
      </c>
      <c r="T185" s="43">
        <f>F185/43.465</f>
        <v>61</v>
      </c>
      <c r="U185" s="43">
        <f t="shared" si="472"/>
        <v>4.692307692</v>
      </c>
      <c r="V185" s="40">
        <f t="shared" si="473"/>
        <v>0.3076923077</v>
      </c>
      <c r="X185" s="31">
        <v>3.0</v>
      </c>
      <c r="Y185" s="31" t="s">
        <v>36</v>
      </c>
      <c r="Z185" s="31">
        <f t="shared" ref="Z185:AI185" si="514">SUM(D176)</f>
        <v>30</v>
      </c>
      <c r="AA185" s="32">
        <f t="shared" si="514"/>
        <v>30</v>
      </c>
      <c r="AB185" s="33">
        <f t="shared" si="514"/>
        <v>5997.765</v>
      </c>
      <c r="AC185" s="32">
        <f t="shared" si="514"/>
        <v>0</v>
      </c>
      <c r="AD185" s="32">
        <f t="shared" si="514"/>
        <v>0</v>
      </c>
      <c r="AE185" s="32">
        <f t="shared" si="514"/>
        <v>0</v>
      </c>
      <c r="AF185" s="32">
        <f t="shared" si="514"/>
        <v>0</v>
      </c>
      <c r="AG185" s="32">
        <f t="shared" si="514"/>
        <v>0</v>
      </c>
      <c r="AH185" s="32">
        <f t="shared" si="514"/>
        <v>0</v>
      </c>
      <c r="AI185" s="32">
        <f t="shared" si="514"/>
        <v>0</v>
      </c>
      <c r="AJ185" s="34">
        <f t="shared" si="508"/>
        <v>199.9255</v>
      </c>
      <c r="AK185" s="31">
        <f t="shared" ref="AK185:AK188" si="518">SUM(O176)</f>
        <v>4796</v>
      </c>
      <c r="AL185" s="35">
        <f t="shared" si="509"/>
        <v>0</v>
      </c>
      <c r="AM185" s="36">
        <f t="shared" ref="AM185:AM188" si="519">SUM(Q176)</f>
        <v>1.5</v>
      </c>
      <c r="AN185" s="35">
        <f t="shared" si="510"/>
        <v>0</v>
      </c>
      <c r="AO185" s="37">
        <f t="shared" si="511"/>
        <v>0</v>
      </c>
      <c r="AP185" s="36">
        <f t="shared" ref="AP185:AQ185" si="515">SUM(T176)</f>
        <v>160.3080398</v>
      </c>
      <c r="AQ185" s="36">
        <f t="shared" si="515"/>
        <v>5.343601326</v>
      </c>
      <c r="AR185" s="32">
        <f t="shared" si="513"/>
        <v>0</v>
      </c>
    </row>
    <row r="186" ht="15.75" customHeight="1">
      <c r="A186" s="21"/>
      <c r="B186" s="60" t="s">
        <v>33</v>
      </c>
      <c r="C186" s="60">
        <v>18.0</v>
      </c>
      <c r="D186" s="60">
        <f t="shared" ref="D186:M186" si="516">SUM(D168:D185)</f>
        <v>586</v>
      </c>
      <c r="E186" s="61">
        <f t="shared" si="516"/>
        <v>411</v>
      </c>
      <c r="F186" s="62">
        <f t="shared" si="516"/>
        <v>82617.604</v>
      </c>
      <c r="G186" s="61">
        <f t="shared" si="516"/>
        <v>18</v>
      </c>
      <c r="H186" s="61">
        <f t="shared" si="516"/>
        <v>0</v>
      </c>
      <c r="I186" s="61">
        <f t="shared" si="516"/>
        <v>18</v>
      </c>
      <c r="J186" s="61">
        <f t="shared" si="516"/>
        <v>0</v>
      </c>
      <c r="K186" s="61">
        <f t="shared" si="516"/>
        <v>0</v>
      </c>
      <c r="L186" s="61">
        <f t="shared" si="516"/>
        <v>0</v>
      </c>
      <c r="M186" s="61">
        <f t="shared" si="516"/>
        <v>18</v>
      </c>
      <c r="N186" s="62">
        <f t="shared" si="468"/>
        <v>201.0160681</v>
      </c>
      <c r="O186" s="60">
        <f>SUM(O168:O185)</f>
        <v>126399</v>
      </c>
      <c r="P186" s="63">
        <f t="shared" si="469"/>
        <v>0.0001424061899</v>
      </c>
      <c r="Q186" s="64">
        <v>1.5</v>
      </c>
      <c r="R186" s="63">
        <f t="shared" si="470"/>
        <v>0.0001452474947</v>
      </c>
      <c r="S186" s="65">
        <f t="shared" si="471"/>
        <v>0.0002178712421</v>
      </c>
      <c r="T186" s="64">
        <f>SUM(T168:T185)</f>
        <v>3113.793872</v>
      </c>
      <c r="U186" s="64">
        <f t="shared" si="472"/>
        <v>7.576140809</v>
      </c>
      <c r="V186" s="61">
        <f t="shared" si="473"/>
        <v>0.04379562044</v>
      </c>
      <c r="X186" s="31">
        <v>4.0</v>
      </c>
      <c r="Y186" s="31" t="s">
        <v>37</v>
      </c>
      <c r="Z186" s="31">
        <f t="shared" ref="Z186:AI186" si="517">SUM(D177)</f>
        <v>30</v>
      </c>
      <c r="AA186" s="32">
        <f t="shared" si="517"/>
        <v>28</v>
      </c>
      <c r="AB186" s="33">
        <f t="shared" si="517"/>
        <v>5575.578</v>
      </c>
      <c r="AC186" s="32">
        <f t="shared" si="517"/>
        <v>0</v>
      </c>
      <c r="AD186" s="32">
        <f t="shared" si="517"/>
        <v>0</v>
      </c>
      <c r="AE186" s="32">
        <f t="shared" si="517"/>
        <v>0</v>
      </c>
      <c r="AF186" s="32">
        <f t="shared" si="517"/>
        <v>0</v>
      </c>
      <c r="AG186" s="32">
        <f t="shared" si="517"/>
        <v>0</v>
      </c>
      <c r="AH186" s="32">
        <f t="shared" si="517"/>
        <v>0</v>
      </c>
      <c r="AI186" s="32">
        <f t="shared" si="517"/>
        <v>0</v>
      </c>
      <c r="AJ186" s="34">
        <f t="shared" si="508"/>
        <v>199.1277857</v>
      </c>
      <c r="AK186" s="31">
        <f t="shared" si="518"/>
        <v>5887</v>
      </c>
      <c r="AL186" s="35">
        <f t="shared" si="509"/>
        <v>0</v>
      </c>
      <c r="AM186" s="36">
        <f t="shared" si="519"/>
        <v>1.5</v>
      </c>
      <c r="AN186" s="35">
        <f t="shared" si="510"/>
        <v>0</v>
      </c>
      <c r="AO186" s="37">
        <f t="shared" si="511"/>
        <v>0</v>
      </c>
      <c r="AP186" s="36">
        <f t="shared" ref="AP186:AQ186" si="520">SUM(T177)</f>
        <v>224.8942401</v>
      </c>
      <c r="AQ186" s="36">
        <f t="shared" si="520"/>
        <v>8.031937146</v>
      </c>
      <c r="AR186" s="32">
        <f t="shared" si="513"/>
        <v>0</v>
      </c>
    </row>
    <row r="187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X187" s="31">
        <v>5.0</v>
      </c>
      <c r="Y187" s="31" t="s">
        <v>39</v>
      </c>
      <c r="Z187" s="31">
        <f t="shared" ref="Z187:AI187" si="521">SUM(D178)</f>
        <v>28</v>
      </c>
      <c r="AA187" s="32">
        <f t="shared" si="521"/>
        <v>28</v>
      </c>
      <c r="AB187" s="33">
        <f t="shared" si="521"/>
        <v>5587.656</v>
      </c>
      <c r="AC187" s="32">
        <f t="shared" si="521"/>
        <v>0</v>
      </c>
      <c r="AD187" s="32">
        <f t="shared" si="521"/>
        <v>0</v>
      </c>
      <c r="AE187" s="32">
        <f t="shared" si="521"/>
        <v>0</v>
      </c>
      <c r="AF187" s="32">
        <f t="shared" si="521"/>
        <v>0</v>
      </c>
      <c r="AG187" s="32">
        <f t="shared" si="521"/>
        <v>0</v>
      </c>
      <c r="AH187" s="32">
        <f t="shared" si="521"/>
        <v>0</v>
      </c>
      <c r="AI187" s="32">
        <f t="shared" si="521"/>
        <v>0</v>
      </c>
      <c r="AJ187" s="34">
        <f t="shared" si="508"/>
        <v>199.5591429</v>
      </c>
      <c r="AK187" s="31">
        <f t="shared" si="518"/>
        <v>3569</v>
      </c>
      <c r="AL187" s="35">
        <f t="shared" si="509"/>
        <v>0</v>
      </c>
      <c r="AM187" s="36">
        <f t="shared" si="519"/>
        <v>1.5</v>
      </c>
      <c r="AN187" s="35">
        <f t="shared" si="510"/>
        <v>0</v>
      </c>
      <c r="AO187" s="37">
        <f t="shared" si="511"/>
        <v>0</v>
      </c>
      <c r="AP187" s="36">
        <f t="shared" ref="AP187:AQ187" si="522">SUM(T178)</f>
        <v>260.339002</v>
      </c>
      <c r="AQ187" s="36">
        <f t="shared" si="522"/>
        <v>9.2978215</v>
      </c>
      <c r="AR187" s="32">
        <f t="shared" si="513"/>
        <v>0</v>
      </c>
    </row>
    <row r="188" ht="15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X188" s="31">
        <v>6.0</v>
      </c>
      <c r="Y188" s="31" t="s">
        <v>41</v>
      </c>
      <c r="Z188" s="31">
        <f t="shared" ref="Z188:AI188" si="523">SUM(D179)</f>
        <v>24</v>
      </c>
      <c r="AA188" s="32">
        <f t="shared" si="523"/>
        <v>24</v>
      </c>
      <c r="AB188" s="33">
        <f t="shared" si="523"/>
        <v>4793.152</v>
      </c>
      <c r="AC188" s="32">
        <f t="shared" si="523"/>
        <v>0</v>
      </c>
      <c r="AD188" s="32">
        <f t="shared" si="523"/>
        <v>0</v>
      </c>
      <c r="AE188" s="32">
        <f t="shared" si="523"/>
        <v>0</v>
      </c>
      <c r="AF188" s="32">
        <f t="shared" si="523"/>
        <v>0</v>
      </c>
      <c r="AG188" s="32">
        <f t="shared" si="523"/>
        <v>0</v>
      </c>
      <c r="AH188" s="32">
        <f t="shared" si="523"/>
        <v>0</v>
      </c>
      <c r="AI188" s="32">
        <f t="shared" si="523"/>
        <v>0</v>
      </c>
      <c r="AJ188" s="34">
        <f t="shared" si="508"/>
        <v>199.7146667</v>
      </c>
      <c r="AK188" s="31">
        <f t="shared" si="518"/>
        <v>3801</v>
      </c>
      <c r="AL188" s="35">
        <f t="shared" si="509"/>
        <v>0</v>
      </c>
      <c r="AM188" s="36">
        <f t="shared" si="519"/>
        <v>1.5</v>
      </c>
      <c r="AN188" s="35">
        <f t="shared" si="510"/>
        <v>0</v>
      </c>
      <c r="AO188" s="37">
        <f t="shared" si="511"/>
        <v>0</v>
      </c>
      <c r="AP188" s="36">
        <f t="shared" ref="AP188:AQ188" si="524">SUM(T179)</f>
        <v>161.7777778</v>
      </c>
      <c r="AQ188" s="36">
        <f t="shared" si="524"/>
        <v>6.740740741</v>
      </c>
      <c r="AR188" s="32">
        <f t="shared" si="513"/>
        <v>0</v>
      </c>
    </row>
    <row r="189" ht="15.75" customHeight="1">
      <c r="A189" s="1" t="s">
        <v>45</v>
      </c>
      <c r="D189" s="2"/>
      <c r="X189" s="46" t="s">
        <v>33</v>
      </c>
      <c r="Y189" s="46">
        <v>6.0</v>
      </c>
      <c r="Z189" s="46">
        <f t="shared" ref="Z189:AI189" si="525">SUM(Z183:Z188)</f>
        <v>174</v>
      </c>
      <c r="AA189" s="47">
        <f t="shared" si="525"/>
        <v>130</v>
      </c>
      <c r="AB189" s="49">
        <f t="shared" si="525"/>
        <v>25990.351</v>
      </c>
      <c r="AC189" s="47">
        <f t="shared" si="525"/>
        <v>0</v>
      </c>
      <c r="AD189" s="47">
        <f t="shared" si="525"/>
        <v>0</v>
      </c>
      <c r="AE189" s="47">
        <f t="shared" si="525"/>
        <v>0</v>
      </c>
      <c r="AF189" s="47">
        <f t="shared" si="525"/>
        <v>0</v>
      </c>
      <c r="AG189" s="47">
        <f t="shared" si="525"/>
        <v>0</v>
      </c>
      <c r="AH189" s="47">
        <f t="shared" si="525"/>
        <v>0</v>
      </c>
      <c r="AI189" s="47">
        <f t="shared" si="525"/>
        <v>0</v>
      </c>
      <c r="AJ189" s="49">
        <f t="shared" si="508"/>
        <v>199.9257769</v>
      </c>
      <c r="AK189" s="46">
        <f>SUM(AK183:AK188)</f>
        <v>37031</v>
      </c>
      <c r="AL189" s="50">
        <f t="shared" si="509"/>
        <v>0</v>
      </c>
      <c r="AM189" s="51">
        <v>1.5</v>
      </c>
      <c r="AN189" s="50">
        <f t="shared" si="510"/>
        <v>0</v>
      </c>
      <c r="AO189" s="52">
        <f t="shared" si="511"/>
        <v>0</v>
      </c>
      <c r="AP189" s="51">
        <f>SUM(AP183:AP188)</f>
        <v>1087.31906</v>
      </c>
      <c r="AQ189" s="51">
        <f>AP189/AA189</f>
        <v>8.363992766</v>
      </c>
      <c r="AR189" s="47">
        <f t="shared" si="513"/>
        <v>0</v>
      </c>
    </row>
    <row r="190" ht="15.75" customHeight="1">
      <c r="A190" s="1" t="s">
        <v>45</v>
      </c>
      <c r="D190" s="2"/>
      <c r="X190" s="66" t="s">
        <v>1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6"/>
    </row>
    <row r="191" ht="15.75" customHeight="1">
      <c r="A191" s="7">
        <v>46273.0</v>
      </c>
      <c r="B191" s="8" t="s">
        <v>2</v>
      </c>
      <c r="C191" s="8" t="s">
        <v>3</v>
      </c>
      <c r="D191" s="8" t="s">
        <v>4</v>
      </c>
      <c r="E191" s="8" t="s">
        <v>5</v>
      </c>
      <c r="F191" s="9" t="s">
        <v>6</v>
      </c>
      <c r="G191" s="8" t="s">
        <v>7</v>
      </c>
      <c r="H191" s="8" t="s">
        <v>8</v>
      </c>
      <c r="I191" s="8" t="s">
        <v>9</v>
      </c>
      <c r="J191" s="8" t="s">
        <v>10</v>
      </c>
      <c r="K191" s="8" t="s">
        <v>11</v>
      </c>
      <c r="L191" s="8" t="s">
        <v>12</v>
      </c>
      <c r="M191" s="8" t="s">
        <v>13</v>
      </c>
      <c r="N191" s="9" t="s">
        <v>14</v>
      </c>
      <c r="O191" s="8" t="s">
        <v>15</v>
      </c>
      <c r="P191" s="8" t="s">
        <v>16</v>
      </c>
      <c r="Q191" s="8" t="s">
        <v>17</v>
      </c>
      <c r="R191" s="8" t="s">
        <v>18</v>
      </c>
      <c r="S191" s="11" t="s">
        <v>19</v>
      </c>
      <c r="T191" s="12" t="s">
        <v>20</v>
      </c>
      <c r="U191" s="12" t="s">
        <v>21</v>
      </c>
      <c r="V191" s="13" t="s">
        <v>22</v>
      </c>
      <c r="X191" s="14" t="s">
        <v>2</v>
      </c>
      <c r="Y191" s="14" t="s">
        <v>3</v>
      </c>
      <c r="Z191" s="14" t="s">
        <v>4</v>
      </c>
      <c r="AA191" s="14" t="s">
        <v>5</v>
      </c>
      <c r="AB191" s="15" t="s">
        <v>6</v>
      </c>
      <c r="AC191" s="14" t="s">
        <v>7</v>
      </c>
      <c r="AD191" s="14" t="s">
        <v>8</v>
      </c>
      <c r="AE191" s="14" t="s">
        <v>9</v>
      </c>
      <c r="AF191" s="14" t="s">
        <v>10</v>
      </c>
      <c r="AG191" s="14" t="s">
        <v>11</v>
      </c>
      <c r="AH191" s="14" t="s">
        <v>12</v>
      </c>
      <c r="AI191" s="14" t="s">
        <v>13</v>
      </c>
      <c r="AJ191" s="15" t="s">
        <v>14</v>
      </c>
      <c r="AK191" s="14" t="s">
        <v>15</v>
      </c>
      <c r="AL191" s="14" t="s">
        <v>16</v>
      </c>
      <c r="AM191" s="16" t="s">
        <v>17</v>
      </c>
      <c r="AN191" s="17" t="s">
        <v>18</v>
      </c>
      <c r="AO191" s="18" t="s">
        <v>19</v>
      </c>
      <c r="AP191" s="19" t="s">
        <v>20</v>
      </c>
      <c r="AQ191" s="19" t="s">
        <v>21</v>
      </c>
      <c r="AR191" s="20" t="s">
        <v>22</v>
      </c>
    </row>
    <row r="19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X192" s="22">
        <v>1.0</v>
      </c>
      <c r="Y192" s="22" t="s">
        <v>23</v>
      </c>
      <c r="Z192" s="22">
        <f t="shared" ref="Z192:AI192" si="526">SUM(D200)</f>
        <v>35</v>
      </c>
      <c r="AA192" s="23">
        <f t="shared" si="526"/>
        <v>34</v>
      </c>
      <c r="AB192" s="24">
        <f t="shared" si="526"/>
        <v>6680.52</v>
      </c>
      <c r="AC192" s="23">
        <f t="shared" si="526"/>
        <v>1627</v>
      </c>
      <c r="AD192" s="23">
        <f t="shared" si="526"/>
        <v>0</v>
      </c>
      <c r="AE192" s="23">
        <f t="shared" si="526"/>
        <v>1627</v>
      </c>
      <c r="AF192" s="23">
        <f t="shared" si="526"/>
        <v>3262</v>
      </c>
      <c r="AG192" s="23">
        <f t="shared" si="526"/>
        <v>0</v>
      </c>
      <c r="AH192" s="23">
        <f t="shared" si="526"/>
        <v>3262</v>
      </c>
      <c r="AI192" s="23">
        <f t="shared" si="526"/>
        <v>4889</v>
      </c>
      <c r="AJ192" s="25">
        <f t="shared" ref="AJ192:AJ194" si="529">AB192/AA192</f>
        <v>196.4858824</v>
      </c>
      <c r="AK192" s="22">
        <f>SUM(O200)</f>
        <v>6853</v>
      </c>
      <c r="AL192" s="26">
        <f t="shared" ref="AL192:AL198" si="530">AI192/AK192</f>
        <v>0.7134101853</v>
      </c>
      <c r="AM192" s="27">
        <f t="shared" ref="AM192:AM194" si="531">SUM(Q200)</f>
        <v>1.5</v>
      </c>
      <c r="AN192" s="26">
        <f t="shared" ref="AN192:AN198" si="532">AO192/AM192</f>
        <v>0.4878861725</v>
      </c>
      <c r="AO192" s="28">
        <f t="shared" ref="AO192:AO198" si="533">AI192/AB192</f>
        <v>0.7318292588</v>
      </c>
      <c r="AP192" s="27">
        <f t="shared" ref="AP192:AQ192" si="527">SUM(T200)</f>
        <v>198</v>
      </c>
      <c r="AQ192" s="27">
        <f t="shared" si="527"/>
        <v>5.823529412</v>
      </c>
      <c r="AR192" s="23">
        <f t="shared" ref="AR192:AR198" si="535">AI192/AA192</f>
        <v>143.7941176</v>
      </c>
    </row>
    <row r="193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X193" s="22">
        <v>2.0</v>
      </c>
      <c r="Y193" s="22" t="s">
        <v>24</v>
      </c>
      <c r="Z193" s="22">
        <f t="shared" ref="Z193:AI193" si="528">SUM(D201)</f>
        <v>44</v>
      </c>
      <c r="AA193" s="23">
        <f t="shared" si="528"/>
        <v>44</v>
      </c>
      <c r="AB193" s="24">
        <f t="shared" si="528"/>
        <v>8029.356</v>
      </c>
      <c r="AC193" s="23">
        <f t="shared" si="528"/>
        <v>1194</v>
      </c>
      <c r="AD193" s="23">
        <f t="shared" si="528"/>
        <v>0</v>
      </c>
      <c r="AE193" s="23">
        <f t="shared" si="528"/>
        <v>1194</v>
      </c>
      <c r="AF193" s="23">
        <f t="shared" si="528"/>
        <v>1455</v>
      </c>
      <c r="AG193" s="23">
        <f t="shared" si="528"/>
        <v>0</v>
      </c>
      <c r="AH193" s="23">
        <f t="shared" si="528"/>
        <v>1455</v>
      </c>
      <c r="AI193" s="23">
        <f t="shared" si="528"/>
        <v>2649</v>
      </c>
      <c r="AJ193" s="25">
        <f t="shared" si="529"/>
        <v>182.4853636</v>
      </c>
      <c r="AK193" s="22">
        <v>1580.0</v>
      </c>
      <c r="AL193" s="29">
        <f t="shared" si="530"/>
        <v>1.676582278</v>
      </c>
      <c r="AM193" s="27">
        <f t="shared" si="531"/>
        <v>1.5</v>
      </c>
      <c r="AN193" s="26">
        <f t="shared" si="532"/>
        <v>0.2199429195</v>
      </c>
      <c r="AO193" s="28">
        <f t="shared" si="533"/>
        <v>0.3299143792</v>
      </c>
      <c r="AP193" s="27">
        <f t="shared" ref="AP193:AQ193" si="534">SUM(T201)</f>
        <v>299.5469502</v>
      </c>
      <c r="AQ193" s="27">
        <f t="shared" si="534"/>
        <v>6.807885232</v>
      </c>
      <c r="AR193" s="23">
        <f t="shared" si="535"/>
        <v>60.20454545</v>
      </c>
    </row>
    <row r="194" ht="15.75" customHeight="1">
      <c r="A194" s="21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X194" s="31">
        <v>3.0</v>
      </c>
      <c r="Y194" s="31" t="s">
        <v>25</v>
      </c>
      <c r="Z194" s="31">
        <f t="shared" ref="Z194:AI194" si="536">SUM(D202)</f>
        <v>32</v>
      </c>
      <c r="AA194" s="32">
        <f t="shared" si="536"/>
        <v>32</v>
      </c>
      <c r="AB194" s="33">
        <f t="shared" si="536"/>
        <v>5963.536</v>
      </c>
      <c r="AC194" s="32">
        <f t="shared" si="536"/>
        <v>2444</v>
      </c>
      <c r="AD194" s="32">
        <f t="shared" si="536"/>
        <v>331</v>
      </c>
      <c r="AE194" s="32">
        <f t="shared" si="536"/>
        <v>2775</v>
      </c>
      <c r="AF194" s="32">
        <f t="shared" si="536"/>
        <v>3085</v>
      </c>
      <c r="AG194" s="32">
        <f t="shared" si="536"/>
        <v>319</v>
      </c>
      <c r="AH194" s="32">
        <f t="shared" si="536"/>
        <v>3404</v>
      </c>
      <c r="AI194" s="32">
        <f t="shared" si="536"/>
        <v>6179</v>
      </c>
      <c r="AJ194" s="34">
        <f t="shared" si="529"/>
        <v>186.3605</v>
      </c>
      <c r="AK194" s="31">
        <f>SUM(O202)</f>
        <v>6622</v>
      </c>
      <c r="AL194" s="35">
        <f t="shared" si="530"/>
        <v>0.9331017819</v>
      </c>
      <c r="AM194" s="36">
        <f t="shared" si="531"/>
        <v>1.5</v>
      </c>
      <c r="AN194" s="35">
        <f t="shared" si="532"/>
        <v>0.6907534948</v>
      </c>
      <c r="AO194" s="37">
        <f t="shared" si="533"/>
        <v>1.036130242</v>
      </c>
      <c r="AP194" s="36">
        <f t="shared" ref="AP194:AQ194" si="537">SUM(T202)</f>
        <v>250.1483221</v>
      </c>
      <c r="AQ194" s="36">
        <f t="shared" si="537"/>
        <v>7.817135067</v>
      </c>
      <c r="AR194" s="32">
        <f t="shared" si="535"/>
        <v>193.09375</v>
      </c>
    </row>
    <row r="195" ht="15.75" customHeight="1">
      <c r="A195" s="21"/>
      <c r="B195" s="38">
        <v>1.0</v>
      </c>
      <c r="C195" s="38" t="s">
        <v>26</v>
      </c>
      <c r="D195" s="39">
        <v>20.0</v>
      </c>
      <c r="E195" s="40">
        <f>IFERROR(__xludf.DUMMYFUNCTION("COUNT(IMPORTRANGE(""https://docs.google.com/spreadsheets/d/1F0NpMx7WhcgPgxTWpryY3Z1CGg56FL6aiL4mHs43w4E/edit"",""1!d2:d21""))"),20.0)</f>
        <v>20</v>
      </c>
      <c r="F195" s="41">
        <f>IFERROR(__xludf.DUMMYFUNCTION("SUM(IMPORTRANGE(""https://docs.google.com/spreadsheets/d/1F0NpMx7WhcgPgxTWpryY3Z1CGg56FL6aiL4mHs43w4E/edit"",""1!Q2:Q21""))"),3935.2949999999996)</f>
        <v>3935.295</v>
      </c>
      <c r="G195" s="40">
        <f>IFERROR(__xludf.DUMMYFUNCTION("IMPORTRANGE(""https://docs.google.com/spreadsheets/d/1F0NpMx7WhcgPgxTWpryY3Z1CGg56FL6aiL4mHs43w4E/edit"",""1!e28"")"),2229.0)</f>
        <v>2229</v>
      </c>
      <c r="H195" s="40">
        <f>IFERROR(__xludf.DUMMYFUNCTION("IMPORTRANGE(""https://docs.google.com/spreadsheets/d/1F0NpMx7WhcgPgxTWpryY3Z1CGg56FL6aiL4mHs43w4E/edit"",""1!e29"")"),0.0)</f>
        <v>0</v>
      </c>
      <c r="I195" s="40">
        <f t="shared" ref="I195:I212" si="540">SUM(G195:H195)</f>
        <v>2229</v>
      </c>
      <c r="J195" s="40">
        <f>IFERROR(__xludf.DUMMYFUNCTION("IMPORTRANGE(""https://docs.google.com/spreadsheets/d/1F0NpMx7WhcgPgxTWpryY3Z1CGg56FL6aiL4mHs43w4E/edit"",""1!e32"")"),2661.0)</f>
        <v>2661</v>
      </c>
      <c r="K195" s="40">
        <f>IFERROR(__xludf.DUMMYFUNCTION("IMPORTRANGE(""https://docs.google.com/spreadsheets/d/1F0NpMx7WhcgPgxTWpryY3Z1CGg56FL6aiL4mHs43w4E/edit"",""1!e33"")"),47.0)</f>
        <v>47</v>
      </c>
      <c r="L195" s="40">
        <f t="shared" ref="L195:L201" si="541">SUM(J195:K195)</f>
        <v>2708</v>
      </c>
      <c r="M195" s="40">
        <f t="shared" ref="M195:M212" si="542">SUM(I195+L195)</f>
        <v>4937</v>
      </c>
      <c r="N195" s="41">
        <f t="shared" ref="N195:N213" si="543">F195/E195</f>
        <v>196.76475</v>
      </c>
      <c r="O195" s="38">
        <v>5161.0</v>
      </c>
      <c r="P195" s="42">
        <f t="shared" ref="P195:P213" si="544">M195/O195</f>
        <v>0.9565975586</v>
      </c>
      <c r="Q195" s="43">
        <v>1.5</v>
      </c>
      <c r="R195" s="42">
        <f t="shared" ref="R195:R213" si="545">S195/Q195</f>
        <v>0.8363625429</v>
      </c>
      <c r="S195" s="44">
        <f t="shared" ref="S195:S213" si="546">M195/F195</f>
        <v>1.254543814</v>
      </c>
      <c r="T195" s="43">
        <f>F195/14.415</f>
        <v>273</v>
      </c>
      <c r="U195" s="43">
        <f t="shared" ref="U195:U213" si="547">T195/E195</f>
        <v>13.65</v>
      </c>
      <c r="V195" s="40">
        <f t="shared" ref="V195:V213" si="548">M195/E195</f>
        <v>246.85</v>
      </c>
      <c r="X195" s="22">
        <v>4.0</v>
      </c>
      <c r="Y195" s="22" t="s">
        <v>27</v>
      </c>
      <c r="Z195" s="22">
        <f t="shared" ref="Z195:AK195" si="538">SUM(D208)</f>
        <v>30</v>
      </c>
      <c r="AA195" s="23">
        <f t="shared" si="538"/>
        <v>29</v>
      </c>
      <c r="AB195" s="24">
        <f t="shared" si="538"/>
        <v>5631.663</v>
      </c>
      <c r="AC195" s="23">
        <f t="shared" si="538"/>
        <v>2486</v>
      </c>
      <c r="AD195" s="23">
        <f t="shared" si="538"/>
        <v>80</v>
      </c>
      <c r="AE195" s="23">
        <f t="shared" si="538"/>
        <v>2566</v>
      </c>
      <c r="AF195" s="23">
        <f t="shared" si="538"/>
        <v>2945</v>
      </c>
      <c r="AG195" s="23">
        <f t="shared" si="538"/>
        <v>88</v>
      </c>
      <c r="AH195" s="23">
        <f t="shared" si="538"/>
        <v>3033</v>
      </c>
      <c r="AI195" s="23">
        <f t="shared" si="538"/>
        <v>5599</v>
      </c>
      <c r="AJ195" s="25">
        <f t="shared" si="538"/>
        <v>194.1952759</v>
      </c>
      <c r="AK195" s="22">
        <f t="shared" si="538"/>
        <v>8101</v>
      </c>
      <c r="AL195" s="26">
        <f t="shared" si="530"/>
        <v>0.6911492408</v>
      </c>
      <c r="AM195" s="27">
        <f>SUM(Q208)</f>
        <v>1.5</v>
      </c>
      <c r="AN195" s="26">
        <f t="shared" si="532"/>
        <v>0.6628000764</v>
      </c>
      <c r="AO195" s="28">
        <f t="shared" si="533"/>
        <v>0.9942001146</v>
      </c>
      <c r="AP195" s="27">
        <f t="shared" ref="AP195:AQ195" si="539">SUM(T208)</f>
        <v>281.7944959</v>
      </c>
      <c r="AQ195" s="27">
        <f t="shared" si="539"/>
        <v>9.717051582</v>
      </c>
      <c r="AR195" s="23">
        <f t="shared" si="535"/>
        <v>193.0689655</v>
      </c>
    </row>
    <row r="196" ht="15.75" customHeight="1">
      <c r="A196" s="21"/>
      <c r="B196" s="38">
        <v>2.0</v>
      </c>
      <c r="C196" s="38" t="s">
        <v>28</v>
      </c>
      <c r="D196" s="39">
        <v>33.0</v>
      </c>
      <c r="E196" s="40">
        <f>IFERROR(__xludf.DUMMYFUNCTION("COUNT(IMPORTRANGE(""https://docs.google.com/spreadsheets/d/1H9vAqftAHb0OdeSGXHTnJFzoWUgpoH31sc0sHNN8y1o/edit"",""1!d2:d34""))"),32.0)</f>
        <v>32</v>
      </c>
      <c r="F196" s="41">
        <f>IFERROR(__xludf.DUMMYFUNCTION("SUM(IMPORTRANGE(""https://docs.google.com/spreadsheets/d/1H9vAqftAHb0OdeSGXHTnJFzoWUgpoH31sc0sHNN8y1o/edit"",""1!Q2:Q34""))"),6234.134999999998)</f>
        <v>6234.135</v>
      </c>
      <c r="G196" s="40">
        <f>IFERROR(__xludf.DUMMYFUNCTION("IMPORTRANGE(""https://docs.google.com/spreadsheets/d/1H9vAqftAHb0OdeSGXHTnJFzoWUgpoH31sc0sHNN8y1o/edit"",""1!e41"")"),2719.0)</f>
        <v>2719</v>
      </c>
      <c r="H196" s="40">
        <f>IFERROR(__xludf.DUMMYFUNCTION("IMPORTRANGE(""https://docs.google.com/spreadsheets/d/1H9vAqftAHb0OdeSGXHTnJFzoWUgpoH31sc0sHNN8y1o/edit"",""1!e42"")"),208.0)</f>
        <v>208</v>
      </c>
      <c r="I196" s="40">
        <f t="shared" si="540"/>
        <v>2927</v>
      </c>
      <c r="J196" s="40">
        <f>IFERROR(__xludf.DUMMYFUNCTION("IMPORTRANGE(""https://docs.google.com/spreadsheets/d/1H9vAqftAHb0OdeSGXHTnJFzoWUgpoH31sc0sHNN8y1o/edit"",""1!e45"")"),3192.0)</f>
        <v>3192</v>
      </c>
      <c r="K196" s="40">
        <f>IFERROR(__xludf.DUMMYFUNCTION("IMPORTRANGE(""https://docs.google.com/spreadsheets/d/1H9vAqftAHb0OdeSGXHTnJFzoWUgpoH31sc0sHNN8y1o/edit"",""1!e46"")"),138.0)</f>
        <v>138</v>
      </c>
      <c r="L196" s="40">
        <f t="shared" si="541"/>
        <v>3330</v>
      </c>
      <c r="M196" s="40">
        <f t="shared" si="542"/>
        <v>6257</v>
      </c>
      <c r="N196" s="41">
        <f t="shared" si="543"/>
        <v>194.8167188</v>
      </c>
      <c r="O196" s="38">
        <v>7315.0</v>
      </c>
      <c r="P196" s="42">
        <f t="shared" si="544"/>
        <v>0.8553656869</v>
      </c>
      <c r="Q196" s="43">
        <v>1.5</v>
      </c>
      <c r="R196" s="42">
        <f t="shared" si="545"/>
        <v>0.6691118067</v>
      </c>
      <c r="S196" s="44">
        <f t="shared" si="546"/>
        <v>1.00366771</v>
      </c>
      <c r="T196" s="43">
        <f>F196/30.897</f>
        <v>201.7715312</v>
      </c>
      <c r="U196" s="43">
        <f t="shared" si="547"/>
        <v>6.305360351</v>
      </c>
      <c r="V196" s="40">
        <f t="shared" si="548"/>
        <v>195.53125</v>
      </c>
      <c r="X196" s="22">
        <v>5.0</v>
      </c>
      <c r="Y196" s="22" t="s">
        <v>29</v>
      </c>
      <c r="Z196" s="22">
        <f t="shared" ref="Z196:AI196" si="549">SUM(D211)</f>
        <v>30</v>
      </c>
      <c r="AA196" s="23">
        <f t="shared" si="549"/>
        <v>29</v>
      </c>
      <c r="AB196" s="24">
        <f t="shared" si="549"/>
        <v>5722.056</v>
      </c>
      <c r="AC196" s="23">
        <f t="shared" si="549"/>
        <v>2610</v>
      </c>
      <c r="AD196" s="23">
        <f t="shared" si="549"/>
        <v>0</v>
      </c>
      <c r="AE196" s="23">
        <f t="shared" si="549"/>
        <v>2610</v>
      </c>
      <c r="AF196" s="23">
        <f t="shared" si="549"/>
        <v>4378</v>
      </c>
      <c r="AG196" s="23">
        <f t="shared" si="549"/>
        <v>0</v>
      </c>
      <c r="AH196" s="23">
        <f t="shared" si="549"/>
        <v>4378</v>
      </c>
      <c r="AI196" s="23">
        <f t="shared" si="549"/>
        <v>6988</v>
      </c>
      <c r="AJ196" s="25">
        <f t="shared" ref="AJ196:AJ198" si="552">AB196/AA196</f>
        <v>197.3122759</v>
      </c>
      <c r="AK196" s="22">
        <f t="shared" ref="AK196:AK197" si="553">SUM(O211)</f>
        <v>9201</v>
      </c>
      <c r="AL196" s="26">
        <f t="shared" si="530"/>
        <v>0.7594826649</v>
      </c>
      <c r="AM196" s="27">
        <f t="shared" ref="AM196:AM197" si="554">SUM(Q211)</f>
        <v>1.5</v>
      </c>
      <c r="AN196" s="26">
        <f t="shared" si="532"/>
        <v>0.8141595725</v>
      </c>
      <c r="AO196" s="28">
        <f t="shared" si="533"/>
        <v>1.221239359</v>
      </c>
      <c r="AP196" s="27">
        <f t="shared" ref="AP196:AQ196" si="550">SUM(T211)</f>
        <v>216</v>
      </c>
      <c r="AQ196" s="27">
        <f t="shared" si="550"/>
        <v>7.448275862</v>
      </c>
      <c r="AR196" s="23">
        <f t="shared" si="535"/>
        <v>240.9655172</v>
      </c>
    </row>
    <row r="197" ht="15.75" customHeight="1">
      <c r="A197" s="21"/>
      <c r="B197" s="38">
        <v>3.0</v>
      </c>
      <c r="C197" s="38" t="s">
        <v>30</v>
      </c>
      <c r="D197" s="39">
        <v>60.0</v>
      </c>
      <c r="E197" s="40">
        <f>IFERROR(__xludf.DUMMYFUNCTION("COUNT(IMPORTRANGE(""https://docs.google.com/spreadsheets/d/1EWN6nfpuVxbUE_9opjYCWaI7MTm5xsF6ssjklSbMZnA/edit"",""1!d2:d61""))"),59.0)</f>
        <v>59</v>
      </c>
      <c r="F197" s="45">
        <f>IFERROR(__xludf.DUMMYFUNCTION("SUM(IMPORTRANGE(""https://docs.google.com/spreadsheets/d/1EWN6nfpuVxbUE_9opjYCWaI7MTm5xsF6ssjklSbMZnA/edit"",""1!Q2:Q61""))"),11739.691999999988)</f>
        <v>11739.692</v>
      </c>
      <c r="G197" s="40">
        <f>IFERROR(__xludf.DUMMYFUNCTION("IMPORTRANGE(""https://docs.google.com/spreadsheets/d/1EWN6nfpuVxbUE_9opjYCWaI7MTm5xsF6ssjklSbMZnA/edit"",""1!e68"")"),3754.0)</f>
        <v>3754</v>
      </c>
      <c r="H197" s="40">
        <f>IFERROR(__xludf.DUMMYFUNCTION("IMPORTRANGE(""https://docs.google.com/spreadsheets/d/1EWN6nfpuVxbUE_9opjYCWaI7MTm5xsF6ssjklSbMZnA/edit"",""1!e69"")"),14.0)</f>
        <v>14</v>
      </c>
      <c r="I197" s="40">
        <f t="shared" si="540"/>
        <v>3768</v>
      </c>
      <c r="J197" s="40">
        <f>IFERROR(__xludf.DUMMYFUNCTION("IMPORTRANGE(""https://docs.google.com/spreadsheets/d/1EWN6nfpuVxbUE_9opjYCWaI7MTm5xsF6ssjklSbMZnA/edit"",""1!e72"")"),5982.0)</f>
        <v>5982</v>
      </c>
      <c r="K197" s="40">
        <f>IFERROR(__xludf.DUMMYFUNCTION("IMPORTRANGE(""https://docs.google.com/spreadsheets/d/1EWN6nfpuVxbUE_9opjYCWaI7MTm5xsF6ssjklSbMZnA/edit"",""1!e73"")"),0.0)</f>
        <v>0</v>
      </c>
      <c r="L197" s="40">
        <f t="shared" si="541"/>
        <v>5982</v>
      </c>
      <c r="M197" s="40">
        <f t="shared" si="542"/>
        <v>9750</v>
      </c>
      <c r="N197" s="41">
        <f t="shared" si="543"/>
        <v>198.9778305</v>
      </c>
      <c r="O197" s="38">
        <v>11164.0</v>
      </c>
      <c r="P197" s="42">
        <f t="shared" si="544"/>
        <v>0.8733428879</v>
      </c>
      <c r="Q197" s="43">
        <v>1.5</v>
      </c>
      <c r="R197" s="42">
        <f t="shared" si="545"/>
        <v>0.5536772174</v>
      </c>
      <c r="S197" s="44">
        <f t="shared" si="546"/>
        <v>0.8305158261</v>
      </c>
      <c r="T197" s="43">
        <f>F197/29.603</f>
        <v>396.5710232</v>
      </c>
      <c r="U197" s="43">
        <f t="shared" si="547"/>
        <v>6.721542766</v>
      </c>
      <c r="V197" s="40">
        <f t="shared" si="548"/>
        <v>165.2542373</v>
      </c>
      <c r="X197" s="22">
        <v>6.0</v>
      </c>
      <c r="Y197" s="22" t="s">
        <v>31</v>
      </c>
      <c r="Z197" s="22">
        <f t="shared" ref="Z197:AI197" si="551">SUM(D212)</f>
        <v>15</v>
      </c>
      <c r="AA197" s="23">
        <f t="shared" si="551"/>
        <v>14</v>
      </c>
      <c r="AB197" s="25">
        <f t="shared" si="551"/>
        <v>2520.97</v>
      </c>
      <c r="AC197" s="23">
        <f t="shared" si="551"/>
        <v>633</v>
      </c>
      <c r="AD197" s="23">
        <f t="shared" si="551"/>
        <v>0</v>
      </c>
      <c r="AE197" s="23">
        <f t="shared" si="551"/>
        <v>633</v>
      </c>
      <c r="AF197" s="23">
        <f t="shared" si="551"/>
        <v>1148</v>
      </c>
      <c r="AG197" s="23">
        <f t="shared" si="551"/>
        <v>15</v>
      </c>
      <c r="AH197" s="23">
        <f t="shared" si="551"/>
        <v>1163</v>
      </c>
      <c r="AI197" s="23">
        <f t="shared" si="551"/>
        <v>1796</v>
      </c>
      <c r="AJ197" s="25">
        <f t="shared" si="552"/>
        <v>180.0692857</v>
      </c>
      <c r="AK197" s="22">
        <f t="shared" si="553"/>
        <v>2717</v>
      </c>
      <c r="AL197" s="26">
        <f t="shared" si="530"/>
        <v>0.6610231873</v>
      </c>
      <c r="AM197" s="27">
        <f t="shared" si="554"/>
        <v>1.5</v>
      </c>
      <c r="AN197" s="26">
        <f t="shared" si="532"/>
        <v>0.4749494573</v>
      </c>
      <c r="AO197" s="28">
        <f t="shared" si="533"/>
        <v>0.7124241859</v>
      </c>
      <c r="AP197" s="27">
        <f t="shared" ref="AP197:AQ197" si="555">SUM(T212)</f>
        <v>58</v>
      </c>
      <c r="AQ197" s="27">
        <f t="shared" si="555"/>
        <v>4.142857143</v>
      </c>
      <c r="AR197" s="23">
        <f t="shared" si="535"/>
        <v>128.2857143</v>
      </c>
    </row>
    <row r="198" ht="15.75" customHeight="1">
      <c r="A198" s="21"/>
      <c r="B198" s="38">
        <v>4.0</v>
      </c>
      <c r="C198" s="38" t="s">
        <v>32</v>
      </c>
      <c r="D198" s="39">
        <v>42.0</v>
      </c>
      <c r="E198" s="40">
        <f>IFERROR(__xludf.DUMMYFUNCTION("COUNT(IMPORTRANGE(""https://docs.google.com/spreadsheets/d/1Rmar8QqWK4XOJ-eY6xMzkAfDSw0srEXcAw89ilArun8/edit"",""1!d2:d43""))"),42.0)</f>
        <v>42</v>
      </c>
      <c r="F198" s="45">
        <f>IFERROR(__xludf.DUMMYFUNCTION("SUM(IMPORTRANGE(""https://docs.google.com/spreadsheets/d/1Rmar8QqWK4XOJ-eY6xMzkAfDSw0srEXcAw89ilArun8/edit"",""1!Q2:Q43""))"),8240.661999999991)</f>
        <v>8240.662</v>
      </c>
      <c r="G198" s="38">
        <f>IFERROR(__xludf.DUMMYFUNCTION("IMPORTRANGE(""https://docs.google.com/spreadsheets/d/1Rmar8QqWK4XOJ-eY6xMzkAfDSw0srEXcAw89ilArun8/edit"",""1!e50"")"),4515.0)</f>
        <v>4515</v>
      </c>
      <c r="H198" s="38">
        <f>IFERROR(__xludf.DUMMYFUNCTION("IMPORTRANGE(""https://docs.google.com/spreadsheets/d/1Rmar8QqWK4XOJ-eY6xMzkAfDSw0srEXcAw89ilArun8/edit"",""1!e51"")"),0.0)</f>
        <v>0</v>
      </c>
      <c r="I198" s="40">
        <f t="shared" si="540"/>
        <v>4515</v>
      </c>
      <c r="J198" s="38">
        <f>IFERROR(__xludf.DUMMYFUNCTION("IMPORTRANGE(""https://docs.google.com/spreadsheets/d/1Rmar8QqWK4XOJ-eY6xMzkAfDSw0srEXcAw89ilArun8/edit"",""1!e54"")"),5726.0)</f>
        <v>5726</v>
      </c>
      <c r="K198" s="38">
        <f>IFERROR(__xludf.DUMMYFUNCTION("IMPORTRANGE(""https://docs.google.com/spreadsheets/d/1Rmar8QqWK4XOJ-eY6xMzkAfDSw0srEXcAw89ilArun8/edit"",""1!e55"")"),0.0)</f>
        <v>0</v>
      </c>
      <c r="L198" s="40">
        <f t="shared" si="541"/>
        <v>5726</v>
      </c>
      <c r="M198" s="40">
        <f t="shared" si="542"/>
        <v>10241</v>
      </c>
      <c r="N198" s="41">
        <f t="shared" si="543"/>
        <v>196.2062381</v>
      </c>
      <c r="O198" s="38">
        <v>13817.0</v>
      </c>
      <c r="P198" s="42">
        <f t="shared" si="544"/>
        <v>0.7411883911</v>
      </c>
      <c r="Q198" s="43">
        <v>1.5</v>
      </c>
      <c r="R198" s="42">
        <f t="shared" si="545"/>
        <v>0.8284933096</v>
      </c>
      <c r="S198" s="44">
        <f t="shared" si="546"/>
        <v>1.242739964</v>
      </c>
      <c r="T198" s="43">
        <f>F198/25.089</f>
        <v>328.4571725</v>
      </c>
      <c r="U198" s="43">
        <f t="shared" si="547"/>
        <v>7.820408868</v>
      </c>
      <c r="V198" s="40">
        <f t="shared" si="548"/>
        <v>243.8333333</v>
      </c>
      <c r="X198" s="46" t="s">
        <v>33</v>
      </c>
      <c r="Y198" s="46">
        <v>6.0</v>
      </c>
      <c r="Z198" s="46">
        <f t="shared" ref="Z198:AI198" si="556">SUM(Z192:Z197)</f>
        <v>186</v>
      </c>
      <c r="AA198" s="47">
        <f t="shared" si="556"/>
        <v>182</v>
      </c>
      <c r="AB198" s="48">
        <f t="shared" si="556"/>
        <v>34548.101</v>
      </c>
      <c r="AC198" s="47">
        <f t="shared" si="556"/>
        <v>10994</v>
      </c>
      <c r="AD198" s="47">
        <f t="shared" si="556"/>
        <v>411</v>
      </c>
      <c r="AE198" s="47">
        <f t="shared" si="556"/>
        <v>11405</v>
      </c>
      <c r="AF198" s="47">
        <f t="shared" si="556"/>
        <v>16273</v>
      </c>
      <c r="AG198" s="47">
        <f t="shared" si="556"/>
        <v>422</v>
      </c>
      <c r="AH198" s="47">
        <f t="shared" si="556"/>
        <v>16695</v>
      </c>
      <c r="AI198" s="47">
        <f t="shared" si="556"/>
        <v>28100</v>
      </c>
      <c r="AJ198" s="49">
        <f t="shared" si="552"/>
        <v>189.8247308</v>
      </c>
      <c r="AK198" s="46">
        <f>SUM(AK192:AK197)</f>
        <v>35074</v>
      </c>
      <c r="AL198" s="50">
        <f t="shared" si="530"/>
        <v>0.8011632548</v>
      </c>
      <c r="AM198" s="51">
        <v>1.5</v>
      </c>
      <c r="AN198" s="50">
        <f t="shared" si="532"/>
        <v>0.542239162</v>
      </c>
      <c r="AO198" s="52">
        <f t="shared" si="533"/>
        <v>0.8133587429</v>
      </c>
      <c r="AP198" s="51">
        <f>SUM(AP192:AP197)</f>
        <v>1303.489768</v>
      </c>
      <c r="AQ198" s="51">
        <f>AP198/AA198</f>
        <v>7.162031693</v>
      </c>
      <c r="AR198" s="47">
        <f t="shared" si="535"/>
        <v>154.3956044</v>
      </c>
    </row>
    <row r="199" ht="15.75" customHeight="1">
      <c r="A199" s="21"/>
      <c r="B199" s="38">
        <v>5.0</v>
      </c>
      <c r="C199" s="38" t="s">
        <v>34</v>
      </c>
      <c r="D199" s="39">
        <v>40.0</v>
      </c>
      <c r="E199" s="40">
        <f>IFERROR(__xludf.DUMMYFUNCTION("COUNT(IMPORTRANGE(""https://docs.google.com/spreadsheets/d/1u99JxAoytGQQ8GcjxXl38CGdyEWy5uIbuJJHnsotyvk/edit"",""1!d2:d41""))"),40.0)</f>
        <v>40</v>
      </c>
      <c r="F199" s="45">
        <f>IFERROR(__xludf.DUMMYFUNCTION("SUM(IMPORTRANGE(""https://docs.google.com/spreadsheets/d/1u99JxAoytGQQ8GcjxXl38CGdyEWy5uIbuJJHnsotyvk/edit"",""1!Q2:Q41""))"),8007.324000000002)</f>
        <v>8007.324</v>
      </c>
      <c r="G199" s="40">
        <f>IFERROR(__xludf.DUMMYFUNCTION("IMPORTRANGE(""https://docs.google.com/spreadsheets/d/1u99JxAoytGQQ8GcjxXl38CGdyEWy5uIbuJJHnsotyvk/edit"",""1!e48"")"),2819.0)</f>
        <v>2819</v>
      </c>
      <c r="H199" s="40">
        <f>IFERROR(__xludf.DUMMYFUNCTION("IMPORTRANGE(""https://docs.google.com/spreadsheets/d/1u99JxAoytGQQ8GcjxXl38CGdyEWy5uIbuJJHnsotyvk/edit"",""1!e49"")"),0.0)</f>
        <v>0</v>
      </c>
      <c r="I199" s="40">
        <f t="shared" si="540"/>
        <v>2819</v>
      </c>
      <c r="J199" s="40">
        <f>IFERROR(__xludf.DUMMYFUNCTION("IMPORTRANGE(""https://docs.google.com/spreadsheets/d/1u99JxAoytGQQ8GcjxXl38CGdyEWy5uIbuJJHnsotyvk/edit"",""1!e52"")"),3504.0)</f>
        <v>3504</v>
      </c>
      <c r="K199" s="40">
        <f>IFERROR(__xludf.DUMMYFUNCTION("IMPORTRANGE(""https://docs.google.com/spreadsheets/d/1u99JxAoytGQQ8GcjxXl38CGdyEWy5uIbuJJHnsotyvk/edit"",""1!e53"")"),0.0)</f>
        <v>0</v>
      </c>
      <c r="L199" s="40">
        <f t="shared" si="541"/>
        <v>3504</v>
      </c>
      <c r="M199" s="40">
        <f t="shared" si="542"/>
        <v>6323</v>
      </c>
      <c r="N199" s="41">
        <f t="shared" si="543"/>
        <v>200.1831</v>
      </c>
      <c r="O199" s="38">
        <v>9354.0</v>
      </c>
      <c r="P199" s="42">
        <f t="shared" si="544"/>
        <v>0.6759675005</v>
      </c>
      <c r="Q199" s="43">
        <v>1.5</v>
      </c>
      <c r="R199" s="42">
        <f t="shared" si="545"/>
        <v>0.5264347157</v>
      </c>
      <c r="S199" s="44">
        <f t="shared" si="546"/>
        <v>0.7896520735</v>
      </c>
      <c r="T199" s="43">
        <f>F199/30.713</f>
        <v>260.7144857</v>
      </c>
      <c r="U199" s="43">
        <f t="shared" si="547"/>
        <v>6.517862143</v>
      </c>
      <c r="V199" s="40">
        <f t="shared" si="548"/>
        <v>158.075</v>
      </c>
      <c r="X199" s="53" t="s">
        <v>35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6"/>
    </row>
    <row r="200" ht="15.75" customHeight="1">
      <c r="A200" s="21"/>
      <c r="B200" s="38">
        <v>6.0</v>
      </c>
      <c r="C200" s="38" t="s">
        <v>23</v>
      </c>
      <c r="D200" s="39">
        <v>35.0</v>
      </c>
      <c r="E200" s="40">
        <f>IFERROR(__xludf.DUMMYFUNCTION("COUNT(IMPORTRANGE(""https://docs.google.com/spreadsheets/d/1uVc-vnTn57HE53lwrUYNZP4sGKTXisrqOoZ-6EyvLzY/edit"",""1!d2:d36""))"),34.0)</f>
        <v>34</v>
      </c>
      <c r="F200" s="45">
        <f>IFERROR(__xludf.DUMMYFUNCTION("SUM(IMPORTRANGE(""https://docs.google.com/spreadsheets/d/1uVc-vnTn57HE53lwrUYNZP4sGKTXisrqOoZ-6EyvLzY/edit"",""1!Q2:Q36""))"),6680.519999999995)</f>
        <v>6680.52</v>
      </c>
      <c r="G200" s="40">
        <f>IFERROR(__xludf.DUMMYFUNCTION("IMPORTRANGE(""https://docs.google.com/spreadsheets/d/1uVc-vnTn57HE53lwrUYNZP4sGKTXisrqOoZ-6EyvLzY/edit"",""1!e43"")"),1627.0)</f>
        <v>1627</v>
      </c>
      <c r="H200" s="40">
        <f>IFERROR(__xludf.DUMMYFUNCTION("IMPORTRANGE(""https://docs.google.com/spreadsheets/d/1uVc-vnTn57HE53lwrUYNZP4sGKTXisrqOoZ-6EyvLzY/edit"",""1!e44"")"),0.0)</f>
        <v>0</v>
      </c>
      <c r="I200" s="40">
        <f t="shared" si="540"/>
        <v>1627</v>
      </c>
      <c r="J200" s="40">
        <f>IFERROR(__xludf.DUMMYFUNCTION("IMPORTRANGE(""https://docs.google.com/spreadsheets/d/1uVc-vnTn57HE53lwrUYNZP4sGKTXisrqOoZ-6EyvLzY/edit"",""1!e47"")"),3262.0)</f>
        <v>3262</v>
      </c>
      <c r="K200" s="40">
        <f>IFERROR(__xludf.DUMMYFUNCTION("IMPORTRANGE(""https://docs.google.com/spreadsheets/d/1uVc-vnTn57HE53lwrUYNZP4sGKTXisrqOoZ-6EyvLzY/edit"",""1!e48"")"),0.0)</f>
        <v>0</v>
      </c>
      <c r="L200" s="40">
        <f t="shared" si="541"/>
        <v>3262</v>
      </c>
      <c r="M200" s="40">
        <f t="shared" si="542"/>
        <v>4889</v>
      </c>
      <c r="N200" s="41">
        <f t="shared" si="543"/>
        <v>196.4858824</v>
      </c>
      <c r="O200" s="38">
        <v>6853.0</v>
      </c>
      <c r="P200" s="42">
        <f t="shared" si="544"/>
        <v>0.7134101853</v>
      </c>
      <c r="Q200" s="43">
        <v>1.5</v>
      </c>
      <c r="R200" s="42">
        <f t="shared" si="545"/>
        <v>0.4878861725</v>
      </c>
      <c r="S200" s="44">
        <f t="shared" si="546"/>
        <v>0.7318292588</v>
      </c>
      <c r="T200" s="43">
        <f>F200/33.74</f>
        <v>198</v>
      </c>
      <c r="U200" s="43">
        <f t="shared" si="547"/>
        <v>5.823529412</v>
      </c>
      <c r="V200" s="40">
        <f t="shared" si="548"/>
        <v>143.7941176</v>
      </c>
      <c r="X200" s="14" t="s">
        <v>2</v>
      </c>
      <c r="Y200" s="14" t="s">
        <v>3</v>
      </c>
      <c r="Z200" s="14" t="s">
        <v>4</v>
      </c>
      <c r="AA200" s="14" t="s">
        <v>5</v>
      </c>
      <c r="AB200" s="15" t="s">
        <v>6</v>
      </c>
      <c r="AC200" s="14" t="s">
        <v>7</v>
      </c>
      <c r="AD200" s="14" t="s">
        <v>8</v>
      </c>
      <c r="AE200" s="14" t="s">
        <v>9</v>
      </c>
      <c r="AF200" s="14" t="s">
        <v>10</v>
      </c>
      <c r="AG200" s="14" t="s">
        <v>11</v>
      </c>
      <c r="AH200" s="14" t="s">
        <v>12</v>
      </c>
      <c r="AI200" s="14" t="s">
        <v>13</v>
      </c>
      <c r="AJ200" s="15" t="s">
        <v>14</v>
      </c>
      <c r="AK200" s="14" t="s">
        <v>15</v>
      </c>
      <c r="AL200" s="14" t="s">
        <v>16</v>
      </c>
      <c r="AM200" s="16" t="s">
        <v>17</v>
      </c>
      <c r="AN200" s="17" t="s">
        <v>18</v>
      </c>
      <c r="AO200" s="18" t="s">
        <v>19</v>
      </c>
      <c r="AP200" s="19" t="s">
        <v>20</v>
      </c>
      <c r="AQ200" s="19" t="s">
        <v>21</v>
      </c>
      <c r="AR200" s="20" t="s">
        <v>22</v>
      </c>
    </row>
    <row r="201" ht="15.75" customHeight="1">
      <c r="A201" s="21"/>
      <c r="B201" s="38">
        <v>7.0</v>
      </c>
      <c r="C201" s="38" t="s">
        <v>24</v>
      </c>
      <c r="D201" s="39">
        <v>44.0</v>
      </c>
      <c r="E201" s="54">
        <f>IFERROR(__xludf.DUMMYFUNCTION("COUNT(IMPORTRANGE(""https://docs.google.com/spreadsheets/d/1iuPvivSypupo44l6GtmR-2qZ3za7cTk7KzsOVp_kv2c/edit"",""1!d2:d45""))"),44.0)</f>
        <v>44</v>
      </c>
      <c r="F201" s="55">
        <f>IFERROR(__xludf.DUMMYFUNCTION("SUM(IMPORTRANGE(""https://docs.google.com/spreadsheets/d/1iuPvivSypupo44l6GtmR-2qZ3za7cTk7KzsOVp_kv2c/edit"",""1!Q2:Q45""))"),8029.355999999994)</f>
        <v>8029.356</v>
      </c>
      <c r="G201" s="54">
        <f>IFERROR(__xludf.DUMMYFUNCTION("IMPORTRANGE(""https://docs.google.com/spreadsheets/d/1iuPvivSypupo44l6GtmR-2qZ3za7cTk7KzsOVp_kv2c/edit"",""1!e53"")"),1194.0)</f>
        <v>1194</v>
      </c>
      <c r="H201" s="54">
        <f>IFERROR(__xludf.DUMMYFUNCTION("IMPORTRANGE(""https://docs.google.com/spreadsheets/d/1iuPvivSypupo44l6GtmR-2qZ3za7cTk7KzsOVp_kv2c/edit"",""1!e54"")"),0.0)</f>
        <v>0</v>
      </c>
      <c r="I201" s="54">
        <f t="shared" si="540"/>
        <v>1194</v>
      </c>
      <c r="J201" s="54">
        <f>IFERROR(__xludf.DUMMYFUNCTION("IMPORTRANGE(""https://docs.google.com/spreadsheets/d/1iuPvivSypupo44l6GtmR-2qZ3za7cTk7KzsOVp_kv2c/edit"",""1!e57"")"),1455.0)</f>
        <v>1455</v>
      </c>
      <c r="K201" s="54">
        <f>IFERROR(__xludf.DUMMYFUNCTION("IMPORTRANGE(""https://docs.google.com/spreadsheets/d/1iuPvivSypupo44l6GtmR-2qZ3za7cTk7KzsOVp_kv2c/edit"",""1!e58"")"),0.0)</f>
        <v>0</v>
      </c>
      <c r="L201" s="40">
        <f t="shared" si="541"/>
        <v>1455</v>
      </c>
      <c r="M201" s="40">
        <f t="shared" si="542"/>
        <v>2649</v>
      </c>
      <c r="N201" s="41">
        <f t="shared" si="543"/>
        <v>182.4853636</v>
      </c>
      <c r="O201" s="38">
        <v>1580.0</v>
      </c>
      <c r="P201" s="56">
        <f t="shared" si="544"/>
        <v>1.676582278</v>
      </c>
      <c r="Q201" s="43">
        <v>1.5</v>
      </c>
      <c r="R201" s="42">
        <f t="shared" si="545"/>
        <v>0.2199429195</v>
      </c>
      <c r="S201" s="44">
        <f t="shared" si="546"/>
        <v>0.3299143792</v>
      </c>
      <c r="T201" s="43">
        <f>F201/26.805</f>
        <v>299.5469502</v>
      </c>
      <c r="U201" s="43">
        <f t="shared" si="547"/>
        <v>6.807885232</v>
      </c>
      <c r="V201" s="40">
        <f t="shared" si="548"/>
        <v>60.20454545</v>
      </c>
      <c r="X201" s="22">
        <v>1.0</v>
      </c>
      <c r="Y201" s="22" t="s">
        <v>28</v>
      </c>
      <c r="Z201" s="22">
        <f t="shared" ref="Z201:AI201" si="557">SUM(D196)</f>
        <v>33</v>
      </c>
      <c r="AA201" s="23">
        <f t="shared" si="557"/>
        <v>32</v>
      </c>
      <c r="AB201" s="25">
        <f t="shared" si="557"/>
        <v>6234.135</v>
      </c>
      <c r="AC201" s="23">
        <f t="shared" si="557"/>
        <v>2719</v>
      </c>
      <c r="AD201" s="23">
        <f t="shared" si="557"/>
        <v>208</v>
      </c>
      <c r="AE201" s="23">
        <f t="shared" si="557"/>
        <v>2927</v>
      </c>
      <c r="AF201" s="23">
        <f t="shared" si="557"/>
        <v>3192</v>
      </c>
      <c r="AG201" s="23">
        <f t="shared" si="557"/>
        <v>138</v>
      </c>
      <c r="AH201" s="23">
        <f t="shared" si="557"/>
        <v>3330</v>
      </c>
      <c r="AI201" s="23">
        <f t="shared" si="557"/>
        <v>6257</v>
      </c>
      <c r="AJ201" s="25">
        <f t="shared" ref="AJ201:AJ207" si="560">AB201/AA201</f>
        <v>194.8167188</v>
      </c>
      <c r="AK201" s="22">
        <f t="shared" ref="AK201:AK202" si="561">SUM(O196)</f>
        <v>7315</v>
      </c>
      <c r="AL201" s="26">
        <f t="shared" ref="AL201:AL207" si="562">AI201/AK201</f>
        <v>0.8553656869</v>
      </c>
      <c r="AM201" s="27">
        <f t="shared" ref="AM201:AM202" si="563">SUM(Q196)</f>
        <v>1.5</v>
      </c>
      <c r="AN201" s="26">
        <f t="shared" ref="AN201:AN207" si="564">AO201/AM201</f>
        <v>0.6691118067</v>
      </c>
      <c r="AO201" s="28">
        <f t="shared" ref="AO201:AO207" si="565">AI201/AB201</f>
        <v>1.00366771</v>
      </c>
      <c r="AP201" s="27">
        <f t="shared" ref="AP201:AQ201" si="558">SUM(T196)</f>
        <v>201.7715312</v>
      </c>
      <c r="AQ201" s="27">
        <f t="shared" si="558"/>
        <v>6.305360351</v>
      </c>
      <c r="AR201" s="23">
        <f t="shared" ref="AR201:AR207" si="567">AI201/AA201</f>
        <v>195.53125</v>
      </c>
    </row>
    <row r="202" ht="15.75" customHeight="1">
      <c r="A202" s="21"/>
      <c r="B202" s="38">
        <v>8.0</v>
      </c>
      <c r="C202" s="38" t="s">
        <v>25</v>
      </c>
      <c r="D202" s="57">
        <v>32.0</v>
      </c>
      <c r="E202" s="40">
        <f>IFERROR(__xludf.DUMMYFUNCTION("COUNT(IMPORTRANGE(""https://docs.google.com/spreadsheets/d/1sqWX7UerdR9KR_duBzDNfjwbPG-3hLgV1LiN2ZVZ6Js/edit"",""1!d2:D33""))"),32.0)</f>
        <v>32</v>
      </c>
      <c r="F202" s="45">
        <f>IFERROR(__xludf.DUMMYFUNCTION("SUM(IMPORTRANGE(""https://docs.google.com/spreadsheets/d/1sqWX7UerdR9KR_duBzDNfjwbPG-3hLgV1LiN2ZVZ6Js/edit"",""1!Q2:Q33""))"),5963.536000000002)</f>
        <v>5963.536</v>
      </c>
      <c r="G202" s="40">
        <f>IFERROR(__xludf.DUMMYFUNCTION("IMPORTRANGE(""https://docs.google.com/spreadsheets/d/1sqWX7UerdR9KR_duBzDNfjwbPG-3hLgV1LiN2ZVZ6Js/edit"",""1!e40"")"),2444.0)</f>
        <v>2444</v>
      </c>
      <c r="H202" s="40">
        <f>IFERROR(__xludf.DUMMYFUNCTION("IMPORTRANGE(""https://docs.google.com/spreadsheets/d/1sqWX7UerdR9KR_duBzDNfjwbPG-3hLgV1LiN2ZVZ6Js/edit"",""1!e41"")"),331.0)</f>
        <v>331</v>
      </c>
      <c r="I202" s="40">
        <f t="shared" si="540"/>
        <v>2775</v>
      </c>
      <c r="J202" s="40">
        <f>IFERROR(__xludf.DUMMYFUNCTION("IMPORTRANGE(""https://docs.google.com/spreadsheets/d/1sqWX7UerdR9KR_duBzDNfjwbPG-3hLgV1LiN2ZVZ6Js/edit"",""1!e44"")"),3085.0)</f>
        <v>3085</v>
      </c>
      <c r="K202" s="40">
        <f>IFERROR(__xludf.DUMMYFUNCTION("IMPORTRANGE(""https://docs.google.com/spreadsheets/d/1sqWX7UerdR9KR_duBzDNfjwbPG-3hLgV1LiN2ZVZ6Js/edit"",""1!e45"")"),319.0)</f>
        <v>319</v>
      </c>
      <c r="L202" s="40">
        <f>J202+K202</f>
        <v>3404</v>
      </c>
      <c r="M202" s="40">
        <f t="shared" si="542"/>
        <v>6179</v>
      </c>
      <c r="N202" s="41">
        <f t="shared" si="543"/>
        <v>186.3605</v>
      </c>
      <c r="O202" s="38">
        <v>6622.0</v>
      </c>
      <c r="P202" s="42">
        <f t="shared" si="544"/>
        <v>0.9331017819</v>
      </c>
      <c r="Q202" s="43">
        <v>1.5</v>
      </c>
      <c r="R202" s="42">
        <f t="shared" si="545"/>
        <v>0.6907534948</v>
      </c>
      <c r="S202" s="44">
        <f t="shared" si="546"/>
        <v>1.036130242</v>
      </c>
      <c r="T202" s="43">
        <f>F202/23.84</f>
        <v>250.1483221</v>
      </c>
      <c r="U202" s="43">
        <f t="shared" si="547"/>
        <v>7.817135067</v>
      </c>
      <c r="V202" s="40">
        <f t="shared" si="548"/>
        <v>193.09375</v>
      </c>
      <c r="X202" s="31">
        <v>2.0</v>
      </c>
      <c r="Y202" s="31" t="s">
        <v>30</v>
      </c>
      <c r="Z202" s="31">
        <f t="shared" ref="Z202:AI202" si="559">SUM(D197)</f>
        <v>60</v>
      </c>
      <c r="AA202" s="32">
        <f t="shared" si="559"/>
        <v>59</v>
      </c>
      <c r="AB202" s="33">
        <f t="shared" si="559"/>
        <v>11739.692</v>
      </c>
      <c r="AC202" s="32">
        <f t="shared" si="559"/>
        <v>3754</v>
      </c>
      <c r="AD202" s="32">
        <f t="shared" si="559"/>
        <v>14</v>
      </c>
      <c r="AE202" s="32">
        <f t="shared" si="559"/>
        <v>3768</v>
      </c>
      <c r="AF202" s="32">
        <f t="shared" si="559"/>
        <v>5982</v>
      </c>
      <c r="AG202" s="32">
        <f t="shared" si="559"/>
        <v>0</v>
      </c>
      <c r="AH202" s="32">
        <f t="shared" si="559"/>
        <v>5982</v>
      </c>
      <c r="AI202" s="32">
        <f t="shared" si="559"/>
        <v>9750</v>
      </c>
      <c r="AJ202" s="34">
        <f t="shared" si="560"/>
        <v>198.9778305</v>
      </c>
      <c r="AK202" s="31">
        <f t="shared" si="561"/>
        <v>11164</v>
      </c>
      <c r="AL202" s="35">
        <f t="shared" si="562"/>
        <v>0.8733428879</v>
      </c>
      <c r="AM202" s="36">
        <f t="shared" si="563"/>
        <v>1.5</v>
      </c>
      <c r="AN202" s="35">
        <f t="shared" si="564"/>
        <v>0.5536772174</v>
      </c>
      <c r="AO202" s="37">
        <f t="shared" si="565"/>
        <v>0.8305158261</v>
      </c>
      <c r="AP202" s="36">
        <f t="shared" ref="AP202:AQ202" si="566">SUM(T197)</f>
        <v>396.5710232</v>
      </c>
      <c r="AQ202" s="36">
        <f t="shared" si="566"/>
        <v>6.721542766</v>
      </c>
      <c r="AR202" s="32">
        <f t="shared" si="567"/>
        <v>165.2542373</v>
      </c>
    </row>
    <row r="203" ht="15.75" customHeight="1">
      <c r="A203" s="21"/>
      <c r="B203" s="38">
        <v>9.0</v>
      </c>
      <c r="C203" s="38" t="s">
        <v>36</v>
      </c>
      <c r="D203" s="58">
        <v>30.0</v>
      </c>
      <c r="E203" s="40">
        <f>IFERROR(__xludf.DUMMYFUNCTION("COUNT(IMPORTRANGE(""https://docs.google.com/spreadsheets/d/1YNna43iTSqnwwbMJgTIPHSJEoDO8RGPRFg5pJCoQR_Y/edit"",""1!d2:d31""))"),29.0)</f>
        <v>29</v>
      </c>
      <c r="F203" s="45">
        <f>IFERROR(__xludf.DUMMYFUNCTION("SUM(IMPORTRANGE(""https://docs.google.com/spreadsheets/d/1YNna43iTSqnwwbMJgTIPHSJEoDO8RGPRFg5pJCoQR_Y/edit"",""1!Q2:Q31""))"),4875.344999999998)</f>
        <v>4875.345</v>
      </c>
      <c r="G203" s="40">
        <f>IFERROR(__xludf.DUMMYFUNCTION("IMPORTRANGE(""https://docs.google.com/spreadsheets/d/1YNna43iTSqnwwbMJgTIPHSJEoDO8RGPRFg5pJCoQR_Y/edit"",""1!e38"")"),1728.0)</f>
        <v>1728</v>
      </c>
      <c r="H203" s="40">
        <f>IFERROR(__xludf.DUMMYFUNCTION("IMPORTRANGE(""https://docs.google.com/spreadsheets/d/1YNna43iTSqnwwbMJgTIPHSJEoDO8RGPRFg5pJCoQR_Y/edit"",""1!e39"")"),0.0)</f>
        <v>0</v>
      </c>
      <c r="I203" s="40">
        <f t="shared" si="540"/>
        <v>1728</v>
      </c>
      <c r="J203" s="40">
        <f>IFERROR(__xludf.DUMMYFUNCTION("IMPORTRANGE(""https://docs.google.com/spreadsheets/d/1YNna43iTSqnwwbMJgTIPHSJEoDO8RGPRFg5pJCoQR_Y/edit"",""1!e42"")"),2407.0)</f>
        <v>2407</v>
      </c>
      <c r="K203" s="40">
        <f>IFERROR(__xludf.DUMMYFUNCTION("IMPORTRANGE(""https://docs.google.com/spreadsheets/d/1YNna43iTSqnwwbMJgTIPHSJEoDO8RGPRFg5pJCoQR_Y/edit"",""1!e43"")"),20.0)</f>
        <v>20</v>
      </c>
      <c r="L203" s="40">
        <f t="shared" ref="L203:L212" si="570">SUM(J203:K203)</f>
        <v>2427</v>
      </c>
      <c r="M203" s="40">
        <f t="shared" si="542"/>
        <v>4155</v>
      </c>
      <c r="N203" s="41">
        <f t="shared" si="543"/>
        <v>168.1153448</v>
      </c>
      <c r="O203" s="38">
        <v>4796.0</v>
      </c>
      <c r="P203" s="42">
        <f t="shared" si="544"/>
        <v>0.8663469558</v>
      </c>
      <c r="Q203" s="43">
        <v>1.5</v>
      </c>
      <c r="R203" s="42">
        <f t="shared" si="545"/>
        <v>0.5681649196</v>
      </c>
      <c r="S203" s="44">
        <f t="shared" si="546"/>
        <v>0.8522473794</v>
      </c>
      <c r="T203" s="43">
        <f>F203/37.414</f>
        <v>130.3080398</v>
      </c>
      <c r="U203" s="43">
        <f t="shared" si="547"/>
        <v>4.493380682</v>
      </c>
      <c r="V203" s="40">
        <f t="shared" si="548"/>
        <v>143.2758621</v>
      </c>
      <c r="X203" s="22">
        <v>3.0</v>
      </c>
      <c r="Y203" s="22" t="s">
        <v>34</v>
      </c>
      <c r="Z203" s="22">
        <f t="shared" ref="Z203:AI203" si="568">SUM(D199)</f>
        <v>40</v>
      </c>
      <c r="AA203" s="23">
        <f t="shared" si="568"/>
        <v>40</v>
      </c>
      <c r="AB203" s="24">
        <f t="shared" si="568"/>
        <v>8007.324</v>
      </c>
      <c r="AC203" s="23">
        <f t="shared" si="568"/>
        <v>2819</v>
      </c>
      <c r="AD203" s="23">
        <f t="shared" si="568"/>
        <v>0</v>
      </c>
      <c r="AE203" s="23">
        <f t="shared" si="568"/>
        <v>2819</v>
      </c>
      <c r="AF203" s="23">
        <f t="shared" si="568"/>
        <v>3504</v>
      </c>
      <c r="AG203" s="23">
        <f t="shared" si="568"/>
        <v>0</v>
      </c>
      <c r="AH203" s="23">
        <f t="shared" si="568"/>
        <v>3504</v>
      </c>
      <c r="AI203" s="23">
        <f t="shared" si="568"/>
        <v>6323</v>
      </c>
      <c r="AJ203" s="25">
        <f t="shared" si="560"/>
        <v>200.1831</v>
      </c>
      <c r="AK203" s="22">
        <f>SUM(O199)</f>
        <v>9354</v>
      </c>
      <c r="AL203" s="26">
        <f t="shared" si="562"/>
        <v>0.6759675005</v>
      </c>
      <c r="AM203" s="27">
        <f>SUM(Q199)</f>
        <v>1.5</v>
      </c>
      <c r="AN203" s="26">
        <f t="shared" si="564"/>
        <v>0.5264347157</v>
      </c>
      <c r="AO203" s="28">
        <f t="shared" si="565"/>
        <v>0.7896520735</v>
      </c>
      <c r="AP203" s="27">
        <f t="shared" ref="AP203:AQ203" si="569">SUM(T199)</f>
        <v>260.7144857</v>
      </c>
      <c r="AQ203" s="27">
        <f t="shared" si="569"/>
        <v>6.517862143</v>
      </c>
      <c r="AR203" s="23">
        <f t="shared" si="567"/>
        <v>158.075</v>
      </c>
    </row>
    <row r="204" ht="15.75" customHeight="1">
      <c r="A204" s="21"/>
      <c r="B204" s="38">
        <v>10.0</v>
      </c>
      <c r="C204" s="38" t="s">
        <v>37</v>
      </c>
      <c r="D204" s="39">
        <v>30.0</v>
      </c>
      <c r="E204" s="40">
        <f>IFERROR(__xludf.DUMMYFUNCTION("COUNT(IMPORTRANGE(""https://docs.google.com/spreadsheets/d/1913Df5BsXS_b-nClL8LOK5w0engQYTl1mPOiyngRtO0/edit"",""1!d2:d31""))"),28.0)</f>
        <v>28</v>
      </c>
      <c r="F204" s="45">
        <f>IFERROR(__xludf.DUMMYFUNCTION("SUM(IMPORTRANGE(""https://docs.google.com/spreadsheets/d/1913Df5BsXS_b-nClL8LOK5w0engQYTl1mPOiyngRtO0/edit"",""1!Q2:Q31""))"),5465.100000000002)</f>
        <v>5465.1</v>
      </c>
      <c r="G204" s="40">
        <f>IFERROR(__xludf.DUMMYFUNCTION("(IMPORTRANGE(""https://docs.google.com/spreadsheets/d/1913Df5BsXS_b-nClL8LOK5w0engQYTl1mPOiyngRtO0/edit"",""1!e38""))"),2135.0)</f>
        <v>2135</v>
      </c>
      <c r="H204" s="40">
        <f>IFERROR(__xludf.DUMMYFUNCTION("(IMPORTRANGE(""https://docs.google.com/spreadsheets/d/1913Df5BsXS_b-nClL8LOK5w0engQYTl1mPOiyngRtO0/edit"",""1!e39""))"),0.0)</f>
        <v>0</v>
      </c>
      <c r="I204" s="40">
        <f t="shared" si="540"/>
        <v>2135</v>
      </c>
      <c r="J204" s="40">
        <f>IFERROR(__xludf.DUMMYFUNCTION("(IMPORTRANGE(""https://docs.google.com/spreadsheets/d/1913Df5BsXS_b-nClL8LOK5w0engQYTl1mPOiyngRtO0/edit"",""1!e42""))"),3182.0)</f>
        <v>3182</v>
      </c>
      <c r="K204" s="40">
        <f>IFERROR(__xludf.DUMMYFUNCTION("(IMPORTRANGE(""https://docs.google.com/spreadsheets/d/1913Df5BsXS_b-nClL8LOK5w0engQYTl1mPOiyngRtO0/edit"",""1!e43""))"),0.0)</f>
        <v>0</v>
      </c>
      <c r="L204" s="40">
        <f t="shared" si="570"/>
        <v>3182</v>
      </c>
      <c r="M204" s="40">
        <f t="shared" si="542"/>
        <v>5317</v>
      </c>
      <c r="N204" s="41">
        <f t="shared" si="543"/>
        <v>195.1821429</v>
      </c>
      <c r="O204" s="38">
        <v>5887.0</v>
      </c>
      <c r="P204" s="42">
        <f t="shared" si="544"/>
        <v>0.9031764906</v>
      </c>
      <c r="Q204" s="43">
        <v>1.5</v>
      </c>
      <c r="R204" s="42">
        <f t="shared" si="545"/>
        <v>0.6486005136</v>
      </c>
      <c r="S204" s="44">
        <f t="shared" si="546"/>
        <v>0.9729007703</v>
      </c>
      <c r="T204" s="43">
        <f>F204/24.792</f>
        <v>220.4380445</v>
      </c>
      <c r="U204" s="43">
        <f t="shared" si="547"/>
        <v>7.872787305</v>
      </c>
      <c r="V204" s="40">
        <f t="shared" si="548"/>
        <v>189.8928571</v>
      </c>
      <c r="X204" s="31">
        <v>4.0</v>
      </c>
      <c r="Y204" s="31" t="s">
        <v>38</v>
      </c>
      <c r="Z204" s="31">
        <f t="shared" ref="Z204:AI204" si="571">SUM(D207)</f>
        <v>30</v>
      </c>
      <c r="AA204" s="32">
        <f t="shared" si="571"/>
        <v>30</v>
      </c>
      <c r="AB204" s="33">
        <f t="shared" si="571"/>
        <v>6034.986</v>
      </c>
      <c r="AC204" s="32">
        <f t="shared" si="571"/>
        <v>1876</v>
      </c>
      <c r="AD204" s="32">
        <f t="shared" si="571"/>
        <v>79</v>
      </c>
      <c r="AE204" s="32">
        <f t="shared" si="571"/>
        <v>1955</v>
      </c>
      <c r="AF204" s="32">
        <f t="shared" si="571"/>
        <v>2967</v>
      </c>
      <c r="AG204" s="32">
        <f t="shared" si="571"/>
        <v>140</v>
      </c>
      <c r="AH204" s="32">
        <f t="shared" si="571"/>
        <v>3107</v>
      </c>
      <c r="AI204" s="32">
        <f t="shared" si="571"/>
        <v>5062</v>
      </c>
      <c r="AJ204" s="34">
        <f t="shared" si="560"/>
        <v>201.1662</v>
      </c>
      <c r="AK204" s="31">
        <v>7324.0</v>
      </c>
      <c r="AL204" s="35">
        <f t="shared" si="562"/>
        <v>0.6911523758</v>
      </c>
      <c r="AM204" s="36">
        <f>SUM(Q207)</f>
        <v>1.5</v>
      </c>
      <c r="AN204" s="35">
        <f t="shared" si="564"/>
        <v>0.5591838435</v>
      </c>
      <c r="AO204" s="37">
        <f t="shared" si="565"/>
        <v>0.8387757652</v>
      </c>
      <c r="AP204" s="36">
        <f t="shared" ref="AP204:AQ204" si="572">SUM(T207)</f>
        <v>146.4624681</v>
      </c>
      <c r="AQ204" s="36">
        <f t="shared" si="572"/>
        <v>4.882082272</v>
      </c>
      <c r="AR204" s="32">
        <f t="shared" si="567"/>
        <v>168.7333333</v>
      </c>
    </row>
    <row r="205" ht="15.75" customHeight="1">
      <c r="A205" s="21"/>
      <c r="B205" s="38">
        <v>12.0</v>
      </c>
      <c r="C205" s="38" t="s">
        <v>39</v>
      </c>
      <c r="D205" s="39">
        <v>28.0</v>
      </c>
      <c r="E205" s="40">
        <f>IFERROR(__xludf.DUMMYFUNCTION("COUNT(IMPORTRANGE(""https://docs.google.com/spreadsheets/d/1wMeol_MpSIcocGxt3WZGl46mJ2tc80mANPvP_YzaP18/edit"",""1!d2:d29""))"),27.0)</f>
        <v>27</v>
      </c>
      <c r="F205" s="45">
        <f>IFERROR(__xludf.DUMMYFUNCTION("SUM(IMPORTRANGE(""https://docs.google.com/spreadsheets/d/1wMeol_MpSIcocGxt3WZGl46mJ2tc80mANPvP_YzaP18/edit"",""1!Q2:Q29""))"),5318.459)</f>
        <v>5318.459</v>
      </c>
      <c r="G205" s="40">
        <f>IFERROR(__xludf.DUMMYFUNCTION("IMPORTRANGE(""https://docs.google.com/spreadsheets/d/1wMeol_MpSIcocGxt3WZGl46mJ2tc80mANPvP_YzaP18/edit"",""1!e36"")"),1229.0)</f>
        <v>1229</v>
      </c>
      <c r="H205" s="40">
        <f>IFERROR(__xludf.DUMMYFUNCTION("(IMPORTRANGE(""https://docs.google.com/spreadsheets/d/1wMeol_MpSIcocGxt3WZGl46mJ2tc80mANPvP_YzaP18/edit"",""1!e37""))"),0.0)</f>
        <v>0</v>
      </c>
      <c r="I205" s="40">
        <f t="shared" si="540"/>
        <v>1229</v>
      </c>
      <c r="J205" s="40">
        <f>IFERROR(__xludf.DUMMYFUNCTION("IMPORTRANGE(""https://docs.google.com/spreadsheets/d/1wMeol_MpSIcocGxt3WZGl46mJ2tc80mANPvP_YzaP18/edit"",""1!e40"")"),1740.0)</f>
        <v>1740</v>
      </c>
      <c r="K205" s="40">
        <f>IFERROR(__xludf.DUMMYFUNCTION("IMPORTRANGE(""https://docs.google.com/spreadsheets/d/1wMeol_MpSIcocGxt3WZGl46mJ2tc80mANPvP_YzaP18/edit"",""1!e41"")"),0.0)</f>
        <v>0</v>
      </c>
      <c r="L205" s="40">
        <f t="shared" si="570"/>
        <v>1740</v>
      </c>
      <c r="M205" s="40">
        <f t="shared" si="542"/>
        <v>2969</v>
      </c>
      <c r="N205" s="41">
        <f t="shared" si="543"/>
        <v>196.979963</v>
      </c>
      <c r="O205" s="38">
        <v>3569.0</v>
      </c>
      <c r="P205" s="42">
        <f t="shared" si="544"/>
        <v>0.8318856823</v>
      </c>
      <c r="Q205" s="43">
        <v>1.5</v>
      </c>
      <c r="R205" s="42">
        <f t="shared" si="545"/>
        <v>0.3721629392</v>
      </c>
      <c r="S205" s="44">
        <f t="shared" si="546"/>
        <v>0.5582444088</v>
      </c>
      <c r="T205" s="43">
        <f>F205/21.463</f>
        <v>247.7966268</v>
      </c>
      <c r="U205" s="43">
        <f t="shared" si="547"/>
        <v>9.177652843</v>
      </c>
      <c r="V205" s="40">
        <f t="shared" si="548"/>
        <v>109.962963</v>
      </c>
      <c r="X205" s="31">
        <v>5.0</v>
      </c>
      <c r="Y205" s="31" t="s">
        <v>40</v>
      </c>
      <c r="Z205" s="31">
        <f t="shared" ref="Z205:AI205" si="573">SUM(D209)</f>
        <v>30</v>
      </c>
      <c r="AA205" s="32">
        <f t="shared" si="573"/>
        <v>30</v>
      </c>
      <c r="AB205" s="33">
        <f t="shared" si="573"/>
        <v>5660.157</v>
      </c>
      <c r="AC205" s="32">
        <f t="shared" si="573"/>
        <v>3382</v>
      </c>
      <c r="AD205" s="32">
        <f t="shared" si="573"/>
        <v>0</v>
      </c>
      <c r="AE205" s="32">
        <f t="shared" si="573"/>
        <v>3382</v>
      </c>
      <c r="AF205" s="32">
        <f t="shared" si="573"/>
        <v>3798</v>
      </c>
      <c r="AG205" s="32">
        <f t="shared" si="573"/>
        <v>0</v>
      </c>
      <c r="AH205" s="32">
        <f t="shared" si="573"/>
        <v>3798</v>
      </c>
      <c r="AI205" s="32">
        <f t="shared" si="573"/>
        <v>7180</v>
      </c>
      <c r="AJ205" s="34">
        <f t="shared" si="560"/>
        <v>188.6719</v>
      </c>
      <c r="AK205" s="31">
        <f t="shared" ref="AK205:AK206" si="576">SUM(O209)</f>
        <v>8239</v>
      </c>
      <c r="AL205" s="35">
        <f t="shared" si="562"/>
        <v>0.8714649836</v>
      </c>
      <c r="AM205" s="36">
        <f t="shared" ref="AM205:AM206" si="577">SUM(Q209)</f>
        <v>1.5</v>
      </c>
      <c r="AN205" s="35">
        <f t="shared" si="564"/>
        <v>0.8456773667</v>
      </c>
      <c r="AO205" s="37">
        <f t="shared" si="565"/>
        <v>1.26851605</v>
      </c>
      <c r="AP205" s="36">
        <f t="shared" ref="AP205:AQ205" si="574">SUM(T209)</f>
        <v>199</v>
      </c>
      <c r="AQ205" s="36">
        <f t="shared" si="574"/>
        <v>6.633333333</v>
      </c>
      <c r="AR205" s="32">
        <f t="shared" si="567"/>
        <v>239.3333333</v>
      </c>
    </row>
    <row r="206" ht="15.75" customHeight="1">
      <c r="A206" s="21"/>
      <c r="B206" s="38">
        <v>12.0</v>
      </c>
      <c r="C206" s="38" t="s">
        <v>41</v>
      </c>
      <c r="D206" s="39">
        <v>24.0</v>
      </c>
      <c r="E206" s="40">
        <f>IFERROR(__xludf.DUMMYFUNCTION("COUNT(IMPORTRANGE(""https://docs.google.com/spreadsheets/d/1sHk6_yuc4kORC_xnhEeazoemV_hVUQVqRpfoNae-PLk/edit"",""1!d2:d25""))"),24.0)</f>
        <v>24</v>
      </c>
      <c r="F206" s="45">
        <f>IFERROR(__xludf.DUMMYFUNCTION("SUM(IMPORTRANGE(""https://docs.google.com/spreadsheets/d/1sHk6_yuc4kORC_xnhEeazoemV_hVUQVqRpfoNae-PLk/edit"",""1!Q2:Q25""))"),4793.152000000001)</f>
        <v>4793.152</v>
      </c>
      <c r="G206" s="40">
        <f>IFERROR(__xludf.DUMMYFUNCTION("IMPORTRANGE(""https://docs.google.com/spreadsheets/d/1sHk6_yuc4kORC_xnhEeazoemV_hVUQVqRpfoNae-PLk/edit"",""1!e32"")"),1363.0)</f>
        <v>1363</v>
      </c>
      <c r="H206" s="40">
        <f>IFERROR(__xludf.DUMMYFUNCTION("IMPORTRANGE(""https://docs.google.com/spreadsheets/d/1sHk6_yuc4kORC_xnhEeazoemV_hVUQVqRpfoNae-PLk/edit"",""1!e33"")"),0.0)</f>
        <v>0</v>
      </c>
      <c r="I206" s="40">
        <f t="shared" si="540"/>
        <v>1363</v>
      </c>
      <c r="J206" s="40">
        <f>IFERROR(__xludf.DUMMYFUNCTION("IMPORTRANGE(""https://docs.google.com/spreadsheets/d/1sHk6_yuc4kORC_xnhEeazoemV_hVUQVqRpfoNae-PLk/edit"",""1!e36"")"),1818.0)</f>
        <v>1818</v>
      </c>
      <c r="K206" s="40">
        <f>IFERROR(__xludf.DUMMYFUNCTION("IMPORTRANGE(""https://docs.google.com/spreadsheets/d/1sHk6_yuc4kORC_xnhEeazoemV_hVUQVqRpfoNae-PLk/edit"",""1!e37"")"),0.0)</f>
        <v>0</v>
      </c>
      <c r="L206" s="40">
        <f t="shared" si="570"/>
        <v>1818</v>
      </c>
      <c r="M206" s="40">
        <f t="shared" si="542"/>
        <v>3181</v>
      </c>
      <c r="N206" s="41">
        <f t="shared" si="543"/>
        <v>199.7146667</v>
      </c>
      <c r="O206" s="38">
        <v>3801.0</v>
      </c>
      <c r="P206" s="42">
        <f t="shared" si="544"/>
        <v>0.8368850303</v>
      </c>
      <c r="Q206" s="43">
        <v>1.5</v>
      </c>
      <c r="R206" s="42">
        <f t="shared" si="545"/>
        <v>0.4424367653</v>
      </c>
      <c r="S206" s="44">
        <f t="shared" si="546"/>
        <v>0.663655148</v>
      </c>
      <c r="T206" s="43">
        <f>F206/29.628</f>
        <v>161.7777778</v>
      </c>
      <c r="U206" s="43">
        <f t="shared" si="547"/>
        <v>6.740740741</v>
      </c>
      <c r="V206" s="40">
        <f t="shared" si="548"/>
        <v>132.5416667</v>
      </c>
      <c r="X206" s="22">
        <v>6.0</v>
      </c>
      <c r="Y206" s="22" t="s">
        <v>42</v>
      </c>
      <c r="Z206" s="22">
        <f t="shared" ref="Z206:AI206" si="575">SUM(D210)</f>
        <v>33</v>
      </c>
      <c r="AA206" s="23">
        <f t="shared" si="575"/>
        <v>33</v>
      </c>
      <c r="AB206" s="24">
        <f t="shared" si="575"/>
        <v>6597.215</v>
      </c>
      <c r="AC206" s="23">
        <f t="shared" si="575"/>
        <v>3014</v>
      </c>
      <c r="AD206" s="23">
        <f t="shared" si="575"/>
        <v>234</v>
      </c>
      <c r="AE206" s="23">
        <f t="shared" si="575"/>
        <v>3248</v>
      </c>
      <c r="AF206" s="23">
        <f t="shared" si="575"/>
        <v>4605</v>
      </c>
      <c r="AG206" s="23">
        <f t="shared" si="575"/>
        <v>108</v>
      </c>
      <c r="AH206" s="23">
        <f t="shared" si="575"/>
        <v>4713</v>
      </c>
      <c r="AI206" s="23">
        <f t="shared" si="575"/>
        <v>7961</v>
      </c>
      <c r="AJ206" s="25">
        <f t="shared" si="560"/>
        <v>199.9156061</v>
      </c>
      <c r="AK206" s="22">
        <f t="shared" si="576"/>
        <v>9877</v>
      </c>
      <c r="AL206" s="26">
        <f t="shared" si="562"/>
        <v>0.8060139719</v>
      </c>
      <c r="AM206" s="27">
        <f t="shared" si="577"/>
        <v>1.5</v>
      </c>
      <c r="AN206" s="26">
        <f t="shared" si="564"/>
        <v>0.8044808807</v>
      </c>
      <c r="AO206" s="28">
        <f t="shared" si="565"/>
        <v>1.206721321</v>
      </c>
      <c r="AP206" s="27">
        <f t="shared" ref="AP206:AQ206" si="578">SUM(T210)</f>
        <v>252.2353279</v>
      </c>
      <c r="AQ206" s="27">
        <f t="shared" si="578"/>
        <v>7.643494783</v>
      </c>
      <c r="AR206" s="23">
        <f t="shared" si="567"/>
        <v>241.2424242</v>
      </c>
    </row>
    <row r="207" ht="15.75" customHeight="1">
      <c r="A207" s="21"/>
      <c r="B207" s="38">
        <v>13.0</v>
      </c>
      <c r="C207" s="38" t="s">
        <v>43</v>
      </c>
      <c r="D207" s="39">
        <v>30.0</v>
      </c>
      <c r="E207" s="40">
        <f>IFERROR(__xludf.DUMMYFUNCTION("COUNT(IMPORTRANGE(""https://docs.google.com/spreadsheets/d/1uGXvAN2jA6kmcEHUY4KqOHHewllZsujDdA6KVDfBCoA/edit"",""1!d2:d31""))"),30.0)</f>
        <v>30</v>
      </c>
      <c r="F207" s="45">
        <f>IFERROR(__xludf.DUMMYFUNCTION("SUM(IMPORTRANGE(""https://docs.google.com/spreadsheets/d/1uGXvAN2jA6kmcEHUY4KqOHHewllZsujDdA6KVDfBCoA/edit"",""1!Q2:Q31""))"),6034.986)</f>
        <v>6034.986</v>
      </c>
      <c r="G207" s="40">
        <f>IFERROR(__xludf.DUMMYFUNCTION("IMPORTRANGE(""https://docs.google.com/spreadsheets/d/1uGXvAN2jA6kmcEHUY4KqOHHewllZsujDdA6KVDfBCoA/edit"",""1!e38"")"),1876.0)</f>
        <v>1876</v>
      </c>
      <c r="H207" s="40">
        <f>IFERROR(__xludf.DUMMYFUNCTION("IMPORTRANGE(""https://docs.google.com/spreadsheets/d/1uGXvAN2jA6kmcEHUY4KqOHHewllZsujDdA6KVDfBCoA/edit"",""1!e39"")"),79.0)</f>
        <v>79</v>
      </c>
      <c r="I207" s="40">
        <f t="shared" si="540"/>
        <v>1955</v>
      </c>
      <c r="J207" s="40">
        <f>IFERROR(__xludf.DUMMYFUNCTION("IMPORTRANGE(""https://docs.google.com/spreadsheets/d/1uGXvAN2jA6kmcEHUY4KqOHHewllZsujDdA6KVDfBCoA/edit"",""1!e42"")"),2967.0)</f>
        <v>2967</v>
      </c>
      <c r="K207" s="40">
        <f>IFERROR(__xludf.DUMMYFUNCTION("IMPORTRANGE(""https://docs.google.com/spreadsheets/d/1uGXvAN2jA6kmcEHUY4KqOHHewllZsujDdA6KVDfBCoA/edit"",""1!e43"")"),140.0)</f>
        <v>140</v>
      </c>
      <c r="L207" s="40">
        <f t="shared" si="570"/>
        <v>3107</v>
      </c>
      <c r="M207" s="40">
        <f t="shared" si="542"/>
        <v>5062</v>
      </c>
      <c r="N207" s="41">
        <f t="shared" si="543"/>
        <v>201.1662</v>
      </c>
      <c r="O207" s="38">
        <v>8345.0</v>
      </c>
      <c r="P207" s="42">
        <f t="shared" si="544"/>
        <v>0.6065907729</v>
      </c>
      <c r="Q207" s="43">
        <v>1.5</v>
      </c>
      <c r="R207" s="42">
        <f t="shared" si="545"/>
        <v>0.5591838435</v>
      </c>
      <c r="S207" s="44">
        <f t="shared" si="546"/>
        <v>0.8387757652</v>
      </c>
      <c r="T207" s="43">
        <f>F207/41.205</f>
        <v>146.4624681</v>
      </c>
      <c r="U207" s="43">
        <f t="shared" si="547"/>
        <v>4.882082272</v>
      </c>
      <c r="V207" s="40">
        <f t="shared" si="548"/>
        <v>168.7333333</v>
      </c>
      <c r="X207" s="46" t="s">
        <v>33</v>
      </c>
      <c r="Y207" s="46">
        <v>6.0</v>
      </c>
      <c r="Z207" s="46">
        <f t="shared" ref="Z207:AI207" si="579">SUM(Z201:Z206)</f>
        <v>226</v>
      </c>
      <c r="AA207" s="47">
        <f t="shared" si="579"/>
        <v>224</v>
      </c>
      <c r="AB207" s="49">
        <f t="shared" si="579"/>
        <v>44273.509</v>
      </c>
      <c r="AC207" s="47">
        <f t="shared" si="579"/>
        <v>17564</v>
      </c>
      <c r="AD207" s="47">
        <f t="shared" si="579"/>
        <v>535</v>
      </c>
      <c r="AE207" s="47">
        <f t="shared" si="579"/>
        <v>18099</v>
      </c>
      <c r="AF207" s="47">
        <f t="shared" si="579"/>
        <v>24048</v>
      </c>
      <c r="AG207" s="47">
        <f t="shared" si="579"/>
        <v>386</v>
      </c>
      <c r="AH207" s="47">
        <f t="shared" si="579"/>
        <v>24434</v>
      </c>
      <c r="AI207" s="47">
        <f t="shared" si="579"/>
        <v>42533</v>
      </c>
      <c r="AJ207" s="49">
        <f t="shared" si="560"/>
        <v>197.6495938</v>
      </c>
      <c r="AK207" s="46">
        <f>SUM(AK201:AK206)</f>
        <v>53273</v>
      </c>
      <c r="AL207" s="50">
        <f t="shared" si="562"/>
        <v>0.7983969365</v>
      </c>
      <c r="AM207" s="51">
        <v>1.5</v>
      </c>
      <c r="AN207" s="50">
        <f t="shared" si="564"/>
        <v>0.6404582328</v>
      </c>
      <c r="AO207" s="52">
        <f t="shared" si="565"/>
        <v>0.9606873492</v>
      </c>
      <c r="AP207" s="51">
        <f>SUM(AP201:AP206)</f>
        <v>1456.754836</v>
      </c>
      <c r="AQ207" s="51">
        <f>AP207/AA207</f>
        <v>6.503369804</v>
      </c>
      <c r="AR207" s="47">
        <f t="shared" si="567"/>
        <v>189.8794643</v>
      </c>
    </row>
    <row r="208" ht="15.75" customHeight="1">
      <c r="A208" s="21"/>
      <c r="B208" s="38">
        <v>14.0</v>
      </c>
      <c r="C208" s="38" t="s">
        <v>27</v>
      </c>
      <c r="D208" s="39">
        <v>30.0</v>
      </c>
      <c r="E208" s="40">
        <f>IFERROR(__xludf.DUMMYFUNCTION("COUNT(IMPORTRANGE(""https://docs.google.com/spreadsheets/d/1iYtf3wkjJIgOL8ej0-L89wY8FLXKi6EiRbi9UqA1Bzw/edit"",""1!d2:d31""))"),29.0)</f>
        <v>29</v>
      </c>
      <c r="F208" s="45">
        <f>IFERROR(__xludf.DUMMYFUNCTION("SUM(IMPORTRANGE(""https://docs.google.com/spreadsheets/d/1iYtf3wkjJIgOL8ej0-L89wY8FLXKi6EiRbi9UqA1Bzw/edit"",""1!Q2:Q31""))"),5631.663000000001)</f>
        <v>5631.663</v>
      </c>
      <c r="G208" s="40">
        <f>IFERROR(__xludf.DUMMYFUNCTION("IMPORTRANGE(""https://docs.google.com/spreadsheets/d/1iYtf3wkjJIgOL8ej0-L89wY8FLXKi6EiRbi9UqA1Bzw/edit"",""1!e38"")"),2486.0)</f>
        <v>2486</v>
      </c>
      <c r="H208" s="40">
        <f>IFERROR(__xludf.DUMMYFUNCTION("IMPORTRANGE(""https://docs.google.com/spreadsheets/d/1iYtf3wkjJIgOL8ej0-L89wY8FLXKi6EiRbi9UqA1Bzw/edit"",""1!e39"")"),80.0)</f>
        <v>80</v>
      </c>
      <c r="I208" s="40">
        <f t="shared" si="540"/>
        <v>2566</v>
      </c>
      <c r="J208" s="40">
        <f>IFERROR(__xludf.DUMMYFUNCTION("IMPORTRANGE(""https://docs.google.com/spreadsheets/d/1iYtf3wkjJIgOL8ej0-L89wY8FLXKi6EiRbi9UqA1Bzw/edit"",""1!e42"")"),2945.0)</f>
        <v>2945</v>
      </c>
      <c r="K208" s="40">
        <f>IFERROR(__xludf.DUMMYFUNCTION("IMPORTRANGE(""https://docs.google.com/spreadsheets/d/1iYtf3wkjJIgOL8ej0-L89wY8FLXKi6EiRbi9UqA1Bzw/edit"",""1!e43"")"),88.0)</f>
        <v>88</v>
      </c>
      <c r="L208" s="40">
        <f t="shared" si="570"/>
        <v>3033</v>
      </c>
      <c r="M208" s="40">
        <f t="shared" si="542"/>
        <v>5599</v>
      </c>
      <c r="N208" s="41">
        <f t="shared" si="543"/>
        <v>194.1952759</v>
      </c>
      <c r="O208" s="38">
        <v>8101.0</v>
      </c>
      <c r="P208" s="42">
        <f t="shared" si="544"/>
        <v>0.6911492408</v>
      </c>
      <c r="Q208" s="43">
        <v>1.5</v>
      </c>
      <c r="R208" s="42">
        <f t="shared" si="545"/>
        <v>0.6628000764</v>
      </c>
      <c r="S208" s="44">
        <f t="shared" si="546"/>
        <v>0.9942001146</v>
      </c>
      <c r="T208" s="43">
        <f>F208/19.985</f>
        <v>281.7944959</v>
      </c>
      <c r="U208" s="43">
        <f t="shared" si="547"/>
        <v>9.717051582</v>
      </c>
      <c r="V208" s="40">
        <f t="shared" si="548"/>
        <v>193.0689655</v>
      </c>
      <c r="X208" s="59" t="s">
        <v>44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6"/>
    </row>
    <row r="209" ht="15.75" customHeight="1">
      <c r="A209" s="21"/>
      <c r="B209" s="38">
        <v>15.0</v>
      </c>
      <c r="C209" s="38" t="s">
        <v>40</v>
      </c>
      <c r="D209" s="39">
        <v>30.0</v>
      </c>
      <c r="E209" s="40">
        <f>IFERROR(__xludf.DUMMYFUNCTION("COUNT(IMPORTRANGE(""https://docs.google.com/spreadsheets/d/1Wdf8MsoDBzMSsrzOXwaGQzbVjVqOWfKSqYmbncevZgA/edit"",""1!d2:d31""))"),30.0)</f>
        <v>30</v>
      </c>
      <c r="F209" s="45">
        <f>IFERROR(__xludf.DUMMYFUNCTION("SUM(IMPORTRANGE(""https://docs.google.com/spreadsheets/d/1Wdf8MsoDBzMSsrzOXwaGQzbVjVqOWfKSqYmbncevZgA/edit"",""1!Q2:Q31""))"),5660.156999999998)</f>
        <v>5660.157</v>
      </c>
      <c r="G209" s="40">
        <f>IFERROR(__xludf.DUMMYFUNCTION("IMPORTRANGE(""https://docs.google.com/spreadsheets/d/1Wdf8MsoDBzMSsrzOXwaGQzbVjVqOWfKSqYmbncevZgA/edit"",""1!e38"")"),3382.0)</f>
        <v>3382</v>
      </c>
      <c r="H209" s="40">
        <f>IFERROR(__xludf.DUMMYFUNCTION("IMPORTRANGE(""https://docs.google.com/spreadsheets/d/1Wdf8MsoDBzMSsrzOXwaGQzbVjVqOWfKSqYmbncevZgA/edit"",""1!e39"")"),0.0)</f>
        <v>0</v>
      </c>
      <c r="I209" s="40">
        <f t="shared" si="540"/>
        <v>3382</v>
      </c>
      <c r="J209" s="40">
        <f>IFERROR(__xludf.DUMMYFUNCTION("IMPORTRANGE(""https://docs.google.com/spreadsheets/d/1Wdf8MsoDBzMSsrzOXwaGQzbVjVqOWfKSqYmbncevZgA/edit"",""1!e42"")"),3798.0)</f>
        <v>3798</v>
      </c>
      <c r="K209" s="40">
        <f>IFERROR(__xludf.DUMMYFUNCTION("IMPORTRANGE(""https://docs.google.com/spreadsheets/d/1Wdf8MsoDBzMSsrzOXwaGQzbVjVqOWfKSqYmbncevZgA/edit"",""1!e43"")"),0.0)</f>
        <v>0</v>
      </c>
      <c r="L209" s="40">
        <f t="shared" si="570"/>
        <v>3798</v>
      </c>
      <c r="M209" s="40">
        <f t="shared" si="542"/>
        <v>7180</v>
      </c>
      <c r="N209" s="41">
        <f t="shared" si="543"/>
        <v>188.6719</v>
      </c>
      <c r="O209" s="38">
        <v>8239.0</v>
      </c>
      <c r="P209" s="42">
        <f t="shared" si="544"/>
        <v>0.8714649836</v>
      </c>
      <c r="Q209" s="43">
        <v>1.5</v>
      </c>
      <c r="R209" s="42">
        <f t="shared" si="545"/>
        <v>0.8456773667</v>
      </c>
      <c r="S209" s="44">
        <f t="shared" si="546"/>
        <v>1.26851605</v>
      </c>
      <c r="T209" s="43">
        <f>F209/28.443</f>
        <v>199</v>
      </c>
      <c r="U209" s="43">
        <f t="shared" si="547"/>
        <v>6.633333333</v>
      </c>
      <c r="V209" s="40">
        <f t="shared" si="548"/>
        <v>239.3333333</v>
      </c>
      <c r="X209" s="14" t="s">
        <v>2</v>
      </c>
      <c r="Y209" s="14" t="s">
        <v>3</v>
      </c>
      <c r="Z209" s="14" t="s">
        <v>4</v>
      </c>
      <c r="AA209" s="14" t="s">
        <v>5</v>
      </c>
      <c r="AB209" s="15" t="s">
        <v>6</v>
      </c>
      <c r="AC209" s="14" t="s">
        <v>7</v>
      </c>
      <c r="AD209" s="14" t="s">
        <v>8</v>
      </c>
      <c r="AE209" s="14" t="s">
        <v>9</v>
      </c>
      <c r="AF209" s="14" t="s">
        <v>10</v>
      </c>
      <c r="AG209" s="14" t="s">
        <v>11</v>
      </c>
      <c r="AH209" s="14" t="s">
        <v>12</v>
      </c>
      <c r="AI209" s="14" t="s">
        <v>13</v>
      </c>
      <c r="AJ209" s="15" t="s">
        <v>14</v>
      </c>
      <c r="AK209" s="14" t="s">
        <v>15</v>
      </c>
      <c r="AL209" s="14" t="s">
        <v>16</v>
      </c>
      <c r="AM209" s="16" t="s">
        <v>17</v>
      </c>
      <c r="AN209" s="17" t="s">
        <v>18</v>
      </c>
      <c r="AO209" s="18" t="s">
        <v>19</v>
      </c>
      <c r="AP209" s="19" t="s">
        <v>20</v>
      </c>
      <c r="AQ209" s="19" t="s">
        <v>21</v>
      </c>
      <c r="AR209" s="20" t="s">
        <v>22</v>
      </c>
    </row>
    <row r="210" ht="15.75" customHeight="1">
      <c r="A210" s="21"/>
      <c r="B210" s="38">
        <v>16.0</v>
      </c>
      <c r="C210" s="38" t="s">
        <v>42</v>
      </c>
      <c r="D210" s="39">
        <v>33.0</v>
      </c>
      <c r="E210" s="40">
        <f>IFERROR(__xludf.DUMMYFUNCTION("COUNT(IMPORTRANGE(""https://docs.google.com/spreadsheets/d/1Z5uB5HbeAKcHmG4EOw3rf2J8NpyvDiha6RReERAMvA0/edit"",""1!d2:d34""))"),33.0)</f>
        <v>33</v>
      </c>
      <c r="F210" s="45">
        <f>IFERROR(__xludf.DUMMYFUNCTION("SUM(IMPORTRANGE(""https://docs.google.com/spreadsheets/d/1Z5uB5HbeAKcHmG4EOw3rf2J8NpyvDiha6RReERAMvA0/edit"",""1!Q2:Q34""))"),6597.214999999997)</f>
        <v>6597.215</v>
      </c>
      <c r="G210" s="40">
        <f>IFERROR(__xludf.DUMMYFUNCTION("IMPORTRANGE(""https://docs.google.com/spreadsheets/d/1Z5uB5HbeAKcHmG4EOw3rf2J8NpyvDiha6RReERAMvA0/edit"",""1!e41"")"),3014.0)</f>
        <v>3014</v>
      </c>
      <c r="H210" s="40">
        <f>IFERROR(__xludf.DUMMYFUNCTION("IMPORTRANGE(""https://docs.google.com/spreadsheets/d/1Z5uB5HbeAKcHmG4EOw3rf2J8NpyvDiha6RReERAMvA0/edit"",""1!e42"")"),234.0)</f>
        <v>234</v>
      </c>
      <c r="I210" s="40">
        <f t="shared" si="540"/>
        <v>3248</v>
      </c>
      <c r="J210" s="40">
        <f>IFERROR(__xludf.DUMMYFUNCTION("IMPORTRANGE(""https://docs.google.com/spreadsheets/d/1Z5uB5HbeAKcHmG4EOw3rf2J8NpyvDiha6RReERAMvA0/edit"",""1!e45"")"),4605.0)</f>
        <v>4605</v>
      </c>
      <c r="K210" s="40">
        <f>IFERROR(__xludf.DUMMYFUNCTION("IMPORTRANGE(""https://docs.google.com/spreadsheets/d/1Z5uB5HbeAKcHmG4EOw3rf2J8NpyvDiha6RReERAMvA0/edit"",""1!e46"")"),108.0)</f>
        <v>108</v>
      </c>
      <c r="L210" s="40">
        <f t="shared" si="570"/>
        <v>4713</v>
      </c>
      <c r="M210" s="40">
        <f t="shared" si="542"/>
        <v>7961</v>
      </c>
      <c r="N210" s="41">
        <f t="shared" si="543"/>
        <v>199.9156061</v>
      </c>
      <c r="O210" s="38">
        <v>9877.0</v>
      </c>
      <c r="P210" s="42">
        <f t="shared" si="544"/>
        <v>0.8060139719</v>
      </c>
      <c r="Q210" s="43">
        <v>1.5</v>
      </c>
      <c r="R210" s="42">
        <f t="shared" si="545"/>
        <v>0.8044808807</v>
      </c>
      <c r="S210" s="44">
        <f t="shared" si="546"/>
        <v>1.206721321</v>
      </c>
      <c r="T210" s="43">
        <f>F210/26.155</f>
        <v>252.2353279</v>
      </c>
      <c r="U210" s="43">
        <f t="shared" si="547"/>
        <v>7.643494783</v>
      </c>
      <c r="V210" s="40">
        <f t="shared" si="548"/>
        <v>241.2424242</v>
      </c>
      <c r="X210" s="31">
        <v>1.0</v>
      </c>
      <c r="Y210" s="31" t="s">
        <v>26</v>
      </c>
      <c r="Z210" s="31">
        <f t="shared" ref="Z210:AI210" si="580">SUM(D195)</f>
        <v>20</v>
      </c>
      <c r="AA210" s="32">
        <f t="shared" si="580"/>
        <v>20</v>
      </c>
      <c r="AB210" s="34">
        <f t="shared" si="580"/>
        <v>3935.295</v>
      </c>
      <c r="AC210" s="32">
        <f t="shared" si="580"/>
        <v>2229</v>
      </c>
      <c r="AD210" s="32">
        <f t="shared" si="580"/>
        <v>0</v>
      </c>
      <c r="AE210" s="32">
        <f t="shared" si="580"/>
        <v>2229</v>
      </c>
      <c r="AF210" s="32">
        <f t="shared" si="580"/>
        <v>2661</v>
      </c>
      <c r="AG210" s="32">
        <f t="shared" si="580"/>
        <v>47</v>
      </c>
      <c r="AH210" s="32">
        <f t="shared" si="580"/>
        <v>2708</v>
      </c>
      <c r="AI210" s="32">
        <f t="shared" si="580"/>
        <v>4937</v>
      </c>
      <c r="AJ210" s="34">
        <f t="shared" ref="AJ210:AJ216" si="583">AB210/AA210</f>
        <v>196.76475</v>
      </c>
      <c r="AK210" s="31">
        <f>SUM(O195)</f>
        <v>5161</v>
      </c>
      <c r="AL210" s="35">
        <f t="shared" ref="AL210:AL216" si="584">AI210/AK210</f>
        <v>0.9565975586</v>
      </c>
      <c r="AM210" s="36">
        <f>SUM(Q195)</f>
        <v>1.5</v>
      </c>
      <c r="AN210" s="35">
        <f t="shared" ref="AN210:AN216" si="585">AO210/AM210</f>
        <v>0.8363625429</v>
      </c>
      <c r="AO210" s="37">
        <f t="shared" ref="AO210:AO216" si="586">AI210/AB210</f>
        <v>1.254543814</v>
      </c>
      <c r="AP210" s="36">
        <f t="shared" ref="AP210:AQ210" si="581">SUM(T195)</f>
        <v>273</v>
      </c>
      <c r="AQ210" s="36">
        <f t="shared" si="581"/>
        <v>13.65</v>
      </c>
      <c r="AR210" s="32">
        <f t="shared" ref="AR210:AR216" si="588">AI210/AA210</f>
        <v>246.85</v>
      </c>
    </row>
    <row r="211" ht="15.75" customHeight="1">
      <c r="A211" s="21"/>
      <c r="B211" s="38">
        <v>17.0</v>
      </c>
      <c r="C211" s="38" t="s">
        <v>29</v>
      </c>
      <c r="D211" s="39">
        <v>30.0</v>
      </c>
      <c r="E211" s="40">
        <f>IFERROR(__xludf.DUMMYFUNCTION("COUNT(IMPORTRANGE(""https://docs.google.com/spreadsheets/d/1wfJqI0e9wVPqEQv3N6b8KgINjqI0OBECEyIFeY9j3i8/edit"",""1!d2:d31""))"),29.0)</f>
        <v>29</v>
      </c>
      <c r="F211" s="45">
        <f>IFERROR(__xludf.DUMMYFUNCTION("SUM(IMPORTRANGE(""https://docs.google.com/spreadsheets/d/1wfJqI0e9wVPqEQv3N6b8KgINjqI0OBECEyIFeY9j3i8/edit"",""1!Q2:Q31""))"),5722.055999999998)</f>
        <v>5722.056</v>
      </c>
      <c r="G211" s="40">
        <f>IFERROR(__xludf.DUMMYFUNCTION("IMPORTRANGE(""https://docs.google.com/spreadsheets/d/1wfJqI0e9wVPqEQv3N6b8KgINjqI0OBECEyIFeY9j3i8/edit"",""1!e38"")"),2610.0)</f>
        <v>2610</v>
      </c>
      <c r="H211" s="40">
        <f>IFERROR(__xludf.DUMMYFUNCTION("IMPORTRANGE(""https://docs.google.com/spreadsheets/d/1wfJqI0e9wVPqEQv3N6b8KgINjqI0OBECEyIFeY9j3i8/edit"",""1!e39"")"),0.0)</f>
        <v>0</v>
      </c>
      <c r="I211" s="40">
        <f t="shared" si="540"/>
        <v>2610</v>
      </c>
      <c r="J211" s="40">
        <f>IFERROR(__xludf.DUMMYFUNCTION("IMPORTRANGE(""https://docs.google.com/spreadsheets/d/1wfJqI0e9wVPqEQv3N6b8KgINjqI0OBECEyIFeY9j3i8/edit"",""1!e42"")"),4378.0)</f>
        <v>4378</v>
      </c>
      <c r="K211" s="40">
        <f>IFERROR(__xludf.DUMMYFUNCTION("IMPORTRANGE(""https://docs.google.com/spreadsheets/d/1wfJqI0e9wVPqEQv3N6b8KgINjqI0OBECEyIFeY9j3i8/edit"",""1!e43"")"),0.0)</f>
        <v>0</v>
      </c>
      <c r="L211" s="40">
        <f t="shared" si="570"/>
        <v>4378</v>
      </c>
      <c r="M211" s="40">
        <f t="shared" si="542"/>
        <v>6988</v>
      </c>
      <c r="N211" s="41">
        <f t="shared" si="543"/>
        <v>197.3122759</v>
      </c>
      <c r="O211" s="38">
        <v>9201.0</v>
      </c>
      <c r="P211" s="42">
        <f t="shared" si="544"/>
        <v>0.7594826649</v>
      </c>
      <c r="Q211" s="43">
        <v>1.5</v>
      </c>
      <c r="R211" s="42">
        <f t="shared" si="545"/>
        <v>0.8141595725</v>
      </c>
      <c r="S211" s="44">
        <f t="shared" si="546"/>
        <v>1.221239359</v>
      </c>
      <c r="T211" s="43">
        <f>F211/26.491</f>
        <v>216</v>
      </c>
      <c r="U211" s="43">
        <f t="shared" si="547"/>
        <v>7.448275862</v>
      </c>
      <c r="V211" s="40">
        <f t="shared" si="548"/>
        <v>240.9655172</v>
      </c>
      <c r="X211" s="31">
        <v>2.0</v>
      </c>
      <c r="Y211" s="31" t="s">
        <v>32</v>
      </c>
      <c r="Z211" s="31">
        <f t="shared" ref="Z211:AI211" si="582">SUM(D198)</f>
        <v>42</v>
      </c>
      <c r="AA211" s="32">
        <f t="shared" si="582"/>
        <v>42</v>
      </c>
      <c r="AB211" s="33">
        <f t="shared" si="582"/>
        <v>8240.662</v>
      </c>
      <c r="AC211" s="31">
        <f t="shared" si="582"/>
        <v>4515</v>
      </c>
      <c r="AD211" s="31">
        <f t="shared" si="582"/>
        <v>0</v>
      </c>
      <c r="AE211" s="32">
        <f t="shared" si="582"/>
        <v>4515</v>
      </c>
      <c r="AF211" s="31">
        <f t="shared" si="582"/>
        <v>5726</v>
      </c>
      <c r="AG211" s="31">
        <f t="shared" si="582"/>
        <v>0</v>
      </c>
      <c r="AH211" s="32">
        <f t="shared" si="582"/>
        <v>5726</v>
      </c>
      <c r="AI211" s="32">
        <f t="shared" si="582"/>
        <v>10241</v>
      </c>
      <c r="AJ211" s="34">
        <f t="shared" si="583"/>
        <v>196.2062381</v>
      </c>
      <c r="AK211" s="31">
        <f>SUM(O198)</f>
        <v>13817</v>
      </c>
      <c r="AL211" s="35">
        <f t="shared" si="584"/>
        <v>0.7411883911</v>
      </c>
      <c r="AM211" s="36">
        <f>SUM(Q198)</f>
        <v>1.5</v>
      </c>
      <c r="AN211" s="35">
        <f t="shared" si="585"/>
        <v>0.8284933096</v>
      </c>
      <c r="AO211" s="37">
        <f t="shared" si="586"/>
        <v>1.242739964</v>
      </c>
      <c r="AP211" s="36">
        <f t="shared" ref="AP211:AQ211" si="587">SUM(T198)</f>
        <v>328.4571725</v>
      </c>
      <c r="AQ211" s="36">
        <f t="shared" si="587"/>
        <v>7.820408868</v>
      </c>
      <c r="AR211" s="32">
        <f t="shared" si="588"/>
        <v>243.8333333</v>
      </c>
    </row>
    <row r="212" ht="15.75" customHeight="1">
      <c r="A212" s="21"/>
      <c r="B212" s="38">
        <v>18.0</v>
      </c>
      <c r="C212" s="38" t="s">
        <v>31</v>
      </c>
      <c r="D212" s="39">
        <v>15.0</v>
      </c>
      <c r="E212" s="40">
        <f>IFERROR(__xludf.DUMMYFUNCTION("COUNT(IMPORTRANGE(""https://docs.google.com/spreadsheets/d/1-y2KhTAo7d8kowgUuWUDfRQuRMUAFteRYEXorT3_wOs/edit"",""1!d2:d16""))"),14.0)</f>
        <v>14</v>
      </c>
      <c r="F212" s="41">
        <f>IFERROR(__xludf.DUMMYFUNCTION("SUM(IMPORTRANGE(""https://docs.google.com/spreadsheets/d/1-y2KhTAo7d8kowgUuWUDfRQuRMUAFteRYEXorT3_wOs/edit"",""1!Q2:Q16""))"),2520.9699999999993)</f>
        <v>2520.97</v>
      </c>
      <c r="G212" s="40">
        <f>IFERROR(__xludf.DUMMYFUNCTION("IMPORTRANGE(""https://docs.google.com/spreadsheets/d/1-y2KhTAo7d8kowgUuWUDfRQuRMUAFteRYEXorT3_wOs/edit"",""1!e23"")"),633.0)</f>
        <v>633</v>
      </c>
      <c r="H212" s="40">
        <f>IFERROR(__xludf.DUMMYFUNCTION("IMPORTRANGE(""https://docs.google.com/spreadsheets/d/1-y2KhTAo7d8kowgUuWUDfRQuRMUAFteRYEXorT3_wOs/edit"",""1!e24"")"),0.0)</f>
        <v>0</v>
      </c>
      <c r="I212" s="40">
        <f t="shared" si="540"/>
        <v>633</v>
      </c>
      <c r="J212" s="40">
        <f>IFERROR(__xludf.DUMMYFUNCTION("IMPORTRANGE(""https://docs.google.com/spreadsheets/d/1-y2KhTAo7d8kowgUuWUDfRQuRMUAFteRYEXorT3_wOs/edit"",""1!e27"")"),1148.0)</f>
        <v>1148</v>
      </c>
      <c r="K212" s="40">
        <f>IFERROR(__xludf.DUMMYFUNCTION("IMPORTRANGE(""https://docs.google.com/spreadsheets/d/1-y2KhTAo7d8kowgUuWUDfRQuRMUAFteRYEXorT3_wOs/edit"",""1!e28"")"),15.0)</f>
        <v>15</v>
      </c>
      <c r="L212" s="40">
        <f t="shared" si="570"/>
        <v>1163</v>
      </c>
      <c r="M212" s="40">
        <f t="shared" si="542"/>
        <v>1796</v>
      </c>
      <c r="N212" s="41">
        <f t="shared" si="543"/>
        <v>180.0692857</v>
      </c>
      <c r="O212" s="38">
        <v>2717.0</v>
      </c>
      <c r="P212" s="42">
        <f t="shared" si="544"/>
        <v>0.6610231873</v>
      </c>
      <c r="Q212" s="43">
        <v>1.5</v>
      </c>
      <c r="R212" s="42">
        <f t="shared" si="545"/>
        <v>0.4749494573</v>
      </c>
      <c r="S212" s="44">
        <f t="shared" si="546"/>
        <v>0.7124241859</v>
      </c>
      <c r="T212" s="43">
        <f>F212/43.465</f>
        <v>58</v>
      </c>
      <c r="U212" s="43">
        <f t="shared" si="547"/>
        <v>4.142857143</v>
      </c>
      <c r="V212" s="40">
        <f t="shared" si="548"/>
        <v>128.2857143</v>
      </c>
      <c r="X212" s="31">
        <v>3.0</v>
      </c>
      <c r="Y212" s="31" t="s">
        <v>36</v>
      </c>
      <c r="Z212" s="31">
        <f t="shared" ref="Z212:AI212" si="589">SUM(D203)</f>
        <v>30</v>
      </c>
      <c r="AA212" s="32">
        <f t="shared" si="589"/>
        <v>29</v>
      </c>
      <c r="AB212" s="33">
        <f t="shared" si="589"/>
        <v>4875.345</v>
      </c>
      <c r="AC212" s="32">
        <f t="shared" si="589"/>
        <v>1728</v>
      </c>
      <c r="AD212" s="32">
        <f t="shared" si="589"/>
        <v>0</v>
      </c>
      <c r="AE212" s="32">
        <f t="shared" si="589"/>
        <v>1728</v>
      </c>
      <c r="AF212" s="32">
        <f t="shared" si="589"/>
        <v>2407</v>
      </c>
      <c r="AG212" s="32">
        <f t="shared" si="589"/>
        <v>20</v>
      </c>
      <c r="AH212" s="32">
        <f t="shared" si="589"/>
        <v>2427</v>
      </c>
      <c r="AI212" s="32">
        <f t="shared" si="589"/>
        <v>4155</v>
      </c>
      <c r="AJ212" s="34">
        <f t="shared" si="583"/>
        <v>168.1153448</v>
      </c>
      <c r="AK212" s="31">
        <f t="shared" ref="AK212:AK215" si="593">SUM(O203)</f>
        <v>4796</v>
      </c>
      <c r="AL212" s="35">
        <f t="shared" si="584"/>
        <v>0.8663469558</v>
      </c>
      <c r="AM212" s="36">
        <f t="shared" ref="AM212:AM215" si="594">SUM(Q203)</f>
        <v>1.5</v>
      </c>
      <c r="AN212" s="35">
        <f t="shared" si="585"/>
        <v>0.5681649196</v>
      </c>
      <c r="AO212" s="37">
        <f t="shared" si="586"/>
        <v>0.8522473794</v>
      </c>
      <c r="AP212" s="36">
        <f t="shared" ref="AP212:AQ212" si="590">SUM(T203)</f>
        <v>130.3080398</v>
      </c>
      <c r="AQ212" s="36">
        <f t="shared" si="590"/>
        <v>4.493380682</v>
      </c>
      <c r="AR212" s="32">
        <f t="shared" si="588"/>
        <v>143.2758621</v>
      </c>
    </row>
    <row r="213" ht="15.75" customHeight="1">
      <c r="A213" s="21"/>
      <c r="B213" s="60" t="s">
        <v>33</v>
      </c>
      <c r="C213" s="60">
        <v>18.0</v>
      </c>
      <c r="D213" s="60">
        <f t="shared" ref="D213:M213" si="591">SUM(D195:D212)</f>
        <v>586</v>
      </c>
      <c r="E213" s="61">
        <f t="shared" si="591"/>
        <v>576</v>
      </c>
      <c r="F213" s="62">
        <f t="shared" si="591"/>
        <v>111449.623</v>
      </c>
      <c r="G213" s="61">
        <f t="shared" si="591"/>
        <v>41757</v>
      </c>
      <c r="H213" s="61">
        <f t="shared" si="591"/>
        <v>946</v>
      </c>
      <c r="I213" s="61">
        <f t="shared" si="591"/>
        <v>42703</v>
      </c>
      <c r="J213" s="61">
        <f t="shared" si="591"/>
        <v>57855</v>
      </c>
      <c r="K213" s="61">
        <f t="shared" si="591"/>
        <v>875</v>
      </c>
      <c r="L213" s="61">
        <f t="shared" si="591"/>
        <v>58730</v>
      </c>
      <c r="M213" s="61">
        <f t="shared" si="591"/>
        <v>101433</v>
      </c>
      <c r="N213" s="62">
        <f t="shared" si="543"/>
        <v>193.4889288</v>
      </c>
      <c r="O213" s="60">
        <f>SUM(O195:O212)</f>
        <v>126399</v>
      </c>
      <c r="P213" s="63">
        <f t="shared" si="544"/>
        <v>0.8024826146</v>
      </c>
      <c r="Q213" s="64">
        <v>1.5</v>
      </c>
      <c r="R213" s="63">
        <f t="shared" si="545"/>
        <v>0.6067494728</v>
      </c>
      <c r="S213" s="65">
        <f t="shared" si="546"/>
        <v>0.9101242092</v>
      </c>
      <c r="T213" s="64">
        <f>SUM(T195:T212)</f>
        <v>4122.022266</v>
      </c>
      <c r="U213" s="64">
        <f t="shared" si="547"/>
        <v>7.156288656</v>
      </c>
      <c r="V213" s="61">
        <f t="shared" si="548"/>
        <v>176.0989583</v>
      </c>
      <c r="X213" s="31">
        <v>4.0</v>
      </c>
      <c r="Y213" s="31" t="s">
        <v>37</v>
      </c>
      <c r="Z213" s="31">
        <f t="shared" ref="Z213:AI213" si="592">SUM(D204)</f>
        <v>30</v>
      </c>
      <c r="AA213" s="32">
        <f t="shared" si="592"/>
        <v>28</v>
      </c>
      <c r="AB213" s="33">
        <f t="shared" si="592"/>
        <v>5465.1</v>
      </c>
      <c r="AC213" s="32">
        <f t="shared" si="592"/>
        <v>2135</v>
      </c>
      <c r="AD213" s="32">
        <f t="shared" si="592"/>
        <v>0</v>
      </c>
      <c r="AE213" s="32">
        <f t="shared" si="592"/>
        <v>2135</v>
      </c>
      <c r="AF213" s="32">
        <f t="shared" si="592"/>
        <v>3182</v>
      </c>
      <c r="AG213" s="32">
        <f t="shared" si="592"/>
        <v>0</v>
      </c>
      <c r="AH213" s="32">
        <f t="shared" si="592"/>
        <v>3182</v>
      </c>
      <c r="AI213" s="32">
        <f t="shared" si="592"/>
        <v>5317</v>
      </c>
      <c r="AJ213" s="34">
        <f t="shared" si="583"/>
        <v>195.1821429</v>
      </c>
      <c r="AK213" s="31">
        <f t="shared" si="593"/>
        <v>5887</v>
      </c>
      <c r="AL213" s="35">
        <f t="shared" si="584"/>
        <v>0.9031764906</v>
      </c>
      <c r="AM213" s="36">
        <f t="shared" si="594"/>
        <v>1.5</v>
      </c>
      <c r="AN213" s="35">
        <f t="shared" si="585"/>
        <v>0.6486005136</v>
      </c>
      <c r="AO213" s="37">
        <f t="shared" si="586"/>
        <v>0.9729007703</v>
      </c>
      <c r="AP213" s="36">
        <f t="shared" ref="AP213:AQ213" si="595">SUM(T204)</f>
        <v>220.4380445</v>
      </c>
      <c r="AQ213" s="36">
        <f t="shared" si="595"/>
        <v>7.872787305</v>
      </c>
      <c r="AR213" s="32">
        <f t="shared" si="588"/>
        <v>189.8928571</v>
      </c>
    </row>
    <row r="214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X214" s="31">
        <v>5.0</v>
      </c>
      <c r="Y214" s="31" t="s">
        <v>39</v>
      </c>
      <c r="Z214" s="31">
        <f t="shared" ref="Z214:AI214" si="596">SUM(D205)</f>
        <v>28</v>
      </c>
      <c r="AA214" s="32">
        <f t="shared" si="596"/>
        <v>27</v>
      </c>
      <c r="AB214" s="33">
        <f t="shared" si="596"/>
        <v>5318.459</v>
      </c>
      <c r="AC214" s="32">
        <f t="shared" si="596"/>
        <v>1229</v>
      </c>
      <c r="AD214" s="32">
        <f t="shared" si="596"/>
        <v>0</v>
      </c>
      <c r="AE214" s="32">
        <f t="shared" si="596"/>
        <v>1229</v>
      </c>
      <c r="AF214" s="32">
        <f t="shared" si="596"/>
        <v>1740</v>
      </c>
      <c r="AG214" s="32">
        <f t="shared" si="596"/>
        <v>0</v>
      </c>
      <c r="AH214" s="32">
        <f t="shared" si="596"/>
        <v>1740</v>
      </c>
      <c r="AI214" s="32">
        <f t="shared" si="596"/>
        <v>2969</v>
      </c>
      <c r="AJ214" s="34">
        <f t="shared" si="583"/>
        <v>196.979963</v>
      </c>
      <c r="AK214" s="31">
        <f t="shared" si="593"/>
        <v>3569</v>
      </c>
      <c r="AL214" s="35">
        <f t="shared" si="584"/>
        <v>0.8318856823</v>
      </c>
      <c r="AM214" s="36">
        <f t="shared" si="594"/>
        <v>1.5</v>
      </c>
      <c r="AN214" s="35">
        <f t="shared" si="585"/>
        <v>0.3721629392</v>
      </c>
      <c r="AO214" s="37">
        <f t="shared" si="586"/>
        <v>0.5582444088</v>
      </c>
      <c r="AP214" s="36">
        <f t="shared" ref="AP214:AQ214" si="597">SUM(T205)</f>
        <v>247.7966268</v>
      </c>
      <c r="AQ214" s="36">
        <f t="shared" si="597"/>
        <v>9.177652843</v>
      </c>
      <c r="AR214" s="32">
        <f t="shared" si="588"/>
        <v>109.962963</v>
      </c>
    </row>
    <row r="215" ht="15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X215" s="31">
        <v>6.0</v>
      </c>
      <c r="Y215" s="31" t="s">
        <v>41</v>
      </c>
      <c r="Z215" s="31">
        <f t="shared" ref="Z215:AI215" si="598">SUM(D206)</f>
        <v>24</v>
      </c>
      <c r="AA215" s="32">
        <f t="shared" si="598"/>
        <v>24</v>
      </c>
      <c r="AB215" s="33">
        <f t="shared" si="598"/>
        <v>4793.152</v>
      </c>
      <c r="AC215" s="32">
        <f t="shared" si="598"/>
        <v>1363</v>
      </c>
      <c r="AD215" s="32">
        <f t="shared" si="598"/>
        <v>0</v>
      </c>
      <c r="AE215" s="32">
        <f t="shared" si="598"/>
        <v>1363</v>
      </c>
      <c r="AF215" s="32">
        <f t="shared" si="598"/>
        <v>1818</v>
      </c>
      <c r="AG215" s="32">
        <f t="shared" si="598"/>
        <v>0</v>
      </c>
      <c r="AH215" s="32">
        <f t="shared" si="598"/>
        <v>1818</v>
      </c>
      <c r="AI215" s="32">
        <f t="shared" si="598"/>
        <v>3181</v>
      </c>
      <c r="AJ215" s="34">
        <f t="shared" si="583"/>
        <v>199.7146667</v>
      </c>
      <c r="AK215" s="31">
        <f t="shared" si="593"/>
        <v>3801</v>
      </c>
      <c r="AL215" s="35">
        <f t="shared" si="584"/>
        <v>0.8368850303</v>
      </c>
      <c r="AM215" s="36">
        <f t="shared" si="594"/>
        <v>1.5</v>
      </c>
      <c r="AN215" s="35">
        <f t="shared" si="585"/>
        <v>0.4424367653</v>
      </c>
      <c r="AO215" s="37">
        <f t="shared" si="586"/>
        <v>0.663655148</v>
      </c>
      <c r="AP215" s="36">
        <f t="shared" ref="AP215:AQ215" si="599">SUM(T206)</f>
        <v>161.7777778</v>
      </c>
      <c r="AQ215" s="36">
        <f t="shared" si="599"/>
        <v>6.740740741</v>
      </c>
      <c r="AR215" s="32">
        <f t="shared" si="588"/>
        <v>132.5416667</v>
      </c>
    </row>
    <row r="216" ht="15.75" customHeight="1">
      <c r="A216" s="1" t="s">
        <v>45</v>
      </c>
      <c r="D216" s="2"/>
      <c r="X216" s="46" t="s">
        <v>33</v>
      </c>
      <c r="Y216" s="46">
        <v>6.0</v>
      </c>
      <c r="Z216" s="46">
        <f t="shared" ref="Z216:AI216" si="600">SUM(Z210:Z215)</f>
        <v>174</v>
      </c>
      <c r="AA216" s="47">
        <f t="shared" si="600"/>
        <v>170</v>
      </c>
      <c r="AB216" s="49">
        <f t="shared" si="600"/>
        <v>32628.013</v>
      </c>
      <c r="AC216" s="47">
        <f t="shared" si="600"/>
        <v>13199</v>
      </c>
      <c r="AD216" s="47">
        <f t="shared" si="600"/>
        <v>0</v>
      </c>
      <c r="AE216" s="47">
        <f t="shared" si="600"/>
        <v>13199</v>
      </c>
      <c r="AF216" s="47">
        <f t="shared" si="600"/>
        <v>17534</v>
      </c>
      <c r="AG216" s="47">
        <f t="shared" si="600"/>
        <v>67</v>
      </c>
      <c r="AH216" s="47">
        <f t="shared" si="600"/>
        <v>17601</v>
      </c>
      <c r="AI216" s="47">
        <f t="shared" si="600"/>
        <v>30800</v>
      </c>
      <c r="AJ216" s="49">
        <f t="shared" si="583"/>
        <v>191.9294882</v>
      </c>
      <c r="AK216" s="46">
        <f>SUM(AK210:AK215)</f>
        <v>37031</v>
      </c>
      <c r="AL216" s="50">
        <f t="shared" si="584"/>
        <v>0.8317355729</v>
      </c>
      <c r="AM216" s="51">
        <v>1.5</v>
      </c>
      <c r="AN216" s="50">
        <f t="shared" si="585"/>
        <v>0.6293160829</v>
      </c>
      <c r="AO216" s="52">
        <f t="shared" si="586"/>
        <v>0.9439741243</v>
      </c>
      <c r="AP216" s="51">
        <f>SUM(AP210:AP215)</f>
        <v>1361.777661</v>
      </c>
      <c r="AQ216" s="51">
        <f>AP216/AA216</f>
        <v>8.010456831</v>
      </c>
      <c r="AR216" s="47">
        <f t="shared" si="588"/>
        <v>181.1764706</v>
      </c>
    </row>
    <row r="217" ht="15.75" customHeight="1">
      <c r="A217" s="1" t="s">
        <v>45</v>
      </c>
      <c r="D217" s="2"/>
      <c r="X217" s="66" t="s">
        <v>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6"/>
    </row>
    <row r="218" ht="15.75" customHeight="1">
      <c r="A218" s="7">
        <v>46274.0</v>
      </c>
      <c r="B218" s="8" t="s">
        <v>2</v>
      </c>
      <c r="C218" s="8" t="s">
        <v>3</v>
      </c>
      <c r="D218" s="8" t="s">
        <v>4</v>
      </c>
      <c r="E218" s="8" t="s">
        <v>5</v>
      </c>
      <c r="F218" s="9" t="s">
        <v>6</v>
      </c>
      <c r="G218" s="8" t="s">
        <v>7</v>
      </c>
      <c r="H218" s="8" t="s">
        <v>8</v>
      </c>
      <c r="I218" s="8" t="s">
        <v>9</v>
      </c>
      <c r="J218" s="8" t="s">
        <v>10</v>
      </c>
      <c r="K218" s="8" t="s">
        <v>11</v>
      </c>
      <c r="L218" s="8" t="s">
        <v>12</v>
      </c>
      <c r="M218" s="8" t="s">
        <v>13</v>
      </c>
      <c r="N218" s="9" t="s">
        <v>14</v>
      </c>
      <c r="O218" s="8" t="s">
        <v>15</v>
      </c>
      <c r="P218" s="8" t="s">
        <v>16</v>
      </c>
      <c r="Q218" s="8" t="s">
        <v>17</v>
      </c>
      <c r="R218" s="8" t="s">
        <v>18</v>
      </c>
      <c r="S218" s="11" t="s">
        <v>19</v>
      </c>
      <c r="T218" s="12" t="s">
        <v>20</v>
      </c>
      <c r="U218" s="12" t="s">
        <v>21</v>
      </c>
      <c r="V218" s="13" t="s">
        <v>22</v>
      </c>
      <c r="X218" s="14" t="s">
        <v>2</v>
      </c>
      <c r="Y218" s="14" t="s">
        <v>3</v>
      </c>
      <c r="Z218" s="14" t="s">
        <v>4</v>
      </c>
      <c r="AA218" s="14" t="s">
        <v>5</v>
      </c>
      <c r="AB218" s="15" t="s">
        <v>6</v>
      </c>
      <c r="AC218" s="14" t="s">
        <v>7</v>
      </c>
      <c r="AD218" s="14" t="s">
        <v>8</v>
      </c>
      <c r="AE218" s="14" t="s">
        <v>9</v>
      </c>
      <c r="AF218" s="14" t="s">
        <v>10</v>
      </c>
      <c r="AG218" s="14" t="s">
        <v>11</v>
      </c>
      <c r="AH218" s="14" t="s">
        <v>12</v>
      </c>
      <c r="AI218" s="14" t="s">
        <v>13</v>
      </c>
      <c r="AJ218" s="15" t="s">
        <v>14</v>
      </c>
      <c r="AK218" s="14" t="s">
        <v>15</v>
      </c>
      <c r="AL218" s="14" t="s">
        <v>16</v>
      </c>
      <c r="AM218" s="16" t="s">
        <v>17</v>
      </c>
      <c r="AN218" s="17" t="s">
        <v>18</v>
      </c>
      <c r="AO218" s="18" t="s">
        <v>19</v>
      </c>
      <c r="AP218" s="19" t="s">
        <v>20</v>
      </c>
      <c r="AQ218" s="19" t="s">
        <v>21</v>
      </c>
      <c r="AR218" s="20" t="s">
        <v>22</v>
      </c>
    </row>
    <row r="219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X219" s="22">
        <v>1.0</v>
      </c>
      <c r="Y219" s="22" t="s">
        <v>23</v>
      </c>
      <c r="Z219" s="22">
        <f t="shared" ref="Z219:AI219" si="601">SUM(D227)</f>
        <v>35</v>
      </c>
      <c r="AA219" s="23">
        <f t="shared" si="601"/>
        <v>34</v>
      </c>
      <c r="AB219" s="24">
        <f t="shared" si="601"/>
        <v>6680.52</v>
      </c>
      <c r="AC219" s="23">
        <f t="shared" si="601"/>
        <v>1627</v>
      </c>
      <c r="AD219" s="23">
        <f t="shared" si="601"/>
        <v>0</v>
      </c>
      <c r="AE219" s="23">
        <f t="shared" si="601"/>
        <v>1627</v>
      </c>
      <c r="AF219" s="23">
        <f t="shared" si="601"/>
        <v>3262</v>
      </c>
      <c r="AG219" s="23">
        <f t="shared" si="601"/>
        <v>0</v>
      </c>
      <c r="AH219" s="23">
        <f t="shared" si="601"/>
        <v>3262</v>
      </c>
      <c r="AI219" s="23">
        <f t="shared" si="601"/>
        <v>4889</v>
      </c>
      <c r="AJ219" s="25">
        <f t="shared" ref="AJ219:AJ221" si="604">AB219/AA219</f>
        <v>196.4858824</v>
      </c>
      <c r="AK219" s="22">
        <f>SUM(O227)</f>
        <v>6853</v>
      </c>
      <c r="AL219" s="26">
        <f t="shared" ref="AL219:AL225" si="605">AI219/AK219</f>
        <v>0.7134101853</v>
      </c>
      <c r="AM219" s="27">
        <f t="shared" ref="AM219:AM221" si="606">SUM(Q227)</f>
        <v>1.5</v>
      </c>
      <c r="AN219" s="26">
        <f t="shared" ref="AN219:AN225" si="607">AO219/AM219</f>
        <v>0.4878861725</v>
      </c>
      <c r="AO219" s="28">
        <f t="shared" ref="AO219:AO225" si="608">AI219/AB219</f>
        <v>0.7318292588</v>
      </c>
      <c r="AP219" s="27">
        <f t="shared" ref="AP219:AQ219" si="602">SUM(T227)</f>
        <v>198</v>
      </c>
      <c r="AQ219" s="27">
        <f t="shared" si="602"/>
        <v>5.823529412</v>
      </c>
      <c r="AR219" s="23">
        <f t="shared" ref="AR219:AR225" si="610">AI219/AA219</f>
        <v>143.7941176</v>
      </c>
    </row>
    <row r="220" ht="15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X220" s="22">
        <v>2.0</v>
      </c>
      <c r="Y220" s="22" t="s">
        <v>24</v>
      </c>
      <c r="Z220" s="22">
        <f t="shared" ref="Z220:AI220" si="603">SUM(D228)</f>
        <v>44</v>
      </c>
      <c r="AA220" s="23">
        <f t="shared" si="603"/>
        <v>44</v>
      </c>
      <c r="AB220" s="24">
        <f t="shared" si="603"/>
        <v>8029.356</v>
      </c>
      <c r="AC220" s="23">
        <f t="shared" si="603"/>
        <v>1194</v>
      </c>
      <c r="AD220" s="23">
        <f t="shared" si="603"/>
        <v>0</v>
      </c>
      <c r="AE220" s="23">
        <f t="shared" si="603"/>
        <v>1194</v>
      </c>
      <c r="AF220" s="23">
        <f t="shared" si="603"/>
        <v>1455</v>
      </c>
      <c r="AG220" s="23">
        <f t="shared" si="603"/>
        <v>0</v>
      </c>
      <c r="AH220" s="23">
        <f t="shared" si="603"/>
        <v>1455</v>
      </c>
      <c r="AI220" s="23">
        <f t="shared" si="603"/>
        <v>2649</v>
      </c>
      <c r="AJ220" s="25">
        <f t="shared" si="604"/>
        <v>182.4853636</v>
      </c>
      <c r="AK220" s="22">
        <v>1580.0</v>
      </c>
      <c r="AL220" s="29">
        <f t="shared" si="605"/>
        <v>1.676582278</v>
      </c>
      <c r="AM220" s="27">
        <f t="shared" si="606"/>
        <v>1.5</v>
      </c>
      <c r="AN220" s="26">
        <f t="shared" si="607"/>
        <v>0.2199429195</v>
      </c>
      <c r="AO220" s="28">
        <f t="shared" si="608"/>
        <v>0.3299143792</v>
      </c>
      <c r="AP220" s="27">
        <f t="shared" ref="AP220:AQ220" si="609">SUM(T228)</f>
        <v>299.5469502</v>
      </c>
      <c r="AQ220" s="27">
        <f t="shared" si="609"/>
        <v>6.807885232</v>
      </c>
      <c r="AR220" s="23">
        <f t="shared" si="610"/>
        <v>60.20454545</v>
      </c>
    </row>
    <row r="221" ht="15.75" customHeight="1">
      <c r="A221" s="21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X221" s="31">
        <v>3.0</v>
      </c>
      <c r="Y221" s="31" t="s">
        <v>25</v>
      </c>
      <c r="Z221" s="31">
        <f t="shared" ref="Z221:AI221" si="611">SUM(D229)</f>
        <v>32</v>
      </c>
      <c r="AA221" s="32">
        <f t="shared" si="611"/>
        <v>32</v>
      </c>
      <c r="AB221" s="33">
        <f t="shared" si="611"/>
        <v>5963.536</v>
      </c>
      <c r="AC221" s="32">
        <f t="shared" si="611"/>
        <v>2444</v>
      </c>
      <c r="AD221" s="32">
        <f t="shared" si="611"/>
        <v>331</v>
      </c>
      <c r="AE221" s="32">
        <f t="shared" si="611"/>
        <v>2775</v>
      </c>
      <c r="AF221" s="32">
        <f t="shared" si="611"/>
        <v>3085</v>
      </c>
      <c r="AG221" s="32">
        <f t="shared" si="611"/>
        <v>319</v>
      </c>
      <c r="AH221" s="32">
        <f t="shared" si="611"/>
        <v>3404</v>
      </c>
      <c r="AI221" s="32">
        <f t="shared" si="611"/>
        <v>6179</v>
      </c>
      <c r="AJ221" s="34">
        <f t="shared" si="604"/>
        <v>186.3605</v>
      </c>
      <c r="AK221" s="31">
        <f>SUM(O229)</f>
        <v>6622</v>
      </c>
      <c r="AL221" s="35">
        <f t="shared" si="605"/>
        <v>0.9331017819</v>
      </c>
      <c r="AM221" s="36">
        <f t="shared" si="606"/>
        <v>1.5</v>
      </c>
      <c r="AN221" s="35">
        <f t="shared" si="607"/>
        <v>0.6907534948</v>
      </c>
      <c r="AO221" s="37">
        <f t="shared" si="608"/>
        <v>1.036130242</v>
      </c>
      <c r="AP221" s="36">
        <f t="shared" ref="AP221:AQ221" si="612">SUM(T229)</f>
        <v>250.1483221</v>
      </c>
      <c r="AQ221" s="36">
        <f t="shared" si="612"/>
        <v>7.817135067</v>
      </c>
      <c r="AR221" s="32">
        <f t="shared" si="610"/>
        <v>193.09375</v>
      </c>
    </row>
    <row r="222" ht="15.75" customHeight="1">
      <c r="A222" s="21"/>
      <c r="B222" s="38">
        <v>1.0</v>
      </c>
      <c r="C222" s="38" t="s">
        <v>26</v>
      </c>
      <c r="D222" s="39">
        <v>20.0</v>
      </c>
      <c r="E222" s="40">
        <f>IFERROR(__xludf.DUMMYFUNCTION("COUNT(IMPORTRANGE(""https://docs.google.com/spreadsheets/d/1F0NpMx7WhcgPgxTWpryY3Z1CGg56FL6aiL4mHs43w4E/edit"",""1!d2:d21""))"),20.0)</f>
        <v>20</v>
      </c>
      <c r="F222" s="41">
        <f>IFERROR(__xludf.DUMMYFUNCTION("SUM(IMPORTRANGE(""https://docs.google.com/spreadsheets/d/1F0NpMx7WhcgPgxTWpryY3Z1CGg56FL6aiL4mHs43w4E/edit"",""1!Q2:Q21""))"),3935.2949999999996)</f>
        <v>3935.295</v>
      </c>
      <c r="G222" s="40">
        <f>IFERROR(__xludf.DUMMYFUNCTION("IMPORTRANGE(""https://docs.google.com/spreadsheets/d/1F0NpMx7WhcgPgxTWpryY3Z1CGg56FL6aiL4mHs43w4E/edit"",""1!e28"")"),2229.0)</f>
        <v>2229</v>
      </c>
      <c r="H222" s="40">
        <f>IFERROR(__xludf.DUMMYFUNCTION("IMPORTRANGE(""https://docs.google.com/spreadsheets/d/1F0NpMx7WhcgPgxTWpryY3Z1CGg56FL6aiL4mHs43w4E/edit"",""1!e29"")"),0.0)</f>
        <v>0</v>
      </c>
      <c r="I222" s="40">
        <f t="shared" ref="I222:I239" si="615">SUM(G222:H222)</f>
        <v>2229</v>
      </c>
      <c r="J222" s="40">
        <f>IFERROR(__xludf.DUMMYFUNCTION("IMPORTRANGE(""https://docs.google.com/spreadsheets/d/1F0NpMx7WhcgPgxTWpryY3Z1CGg56FL6aiL4mHs43w4E/edit"",""1!e32"")"),2661.0)</f>
        <v>2661</v>
      </c>
      <c r="K222" s="40">
        <f>IFERROR(__xludf.DUMMYFUNCTION("IMPORTRANGE(""https://docs.google.com/spreadsheets/d/1F0NpMx7WhcgPgxTWpryY3Z1CGg56FL6aiL4mHs43w4E/edit"",""1!e33"")"),47.0)</f>
        <v>47</v>
      </c>
      <c r="L222" s="40">
        <f t="shared" ref="L222:L228" si="616">SUM(J222:K222)</f>
        <v>2708</v>
      </c>
      <c r="M222" s="40">
        <f t="shared" ref="M222:M239" si="617">SUM(I222+L222)</f>
        <v>4937</v>
      </c>
      <c r="N222" s="41">
        <f t="shared" ref="N222:N240" si="618">F222/E222</f>
        <v>196.76475</v>
      </c>
      <c r="O222" s="38">
        <v>5161.0</v>
      </c>
      <c r="P222" s="42">
        <f t="shared" ref="P222:P240" si="619">M222/O222</f>
        <v>0.9565975586</v>
      </c>
      <c r="Q222" s="43">
        <v>1.5</v>
      </c>
      <c r="R222" s="42">
        <f t="shared" ref="R222:R240" si="620">S222/Q222</f>
        <v>0.8363625429</v>
      </c>
      <c r="S222" s="44">
        <f t="shared" ref="S222:S240" si="621">M222/F222</f>
        <v>1.254543814</v>
      </c>
      <c r="T222" s="43">
        <f>F222/14.415</f>
        <v>273</v>
      </c>
      <c r="U222" s="43">
        <f t="shared" ref="U222:U240" si="622">T222/E222</f>
        <v>13.65</v>
      </c>
      <c r="V222" s="40">
        <f t="shared" ref="V222:V240" si="623">M222/E222</f>
        <v>246.85</v>
      </c>
      <c r="X222" s="22">
        <v>4.0</v>
      </c>
      <c r="Y222" s="22" t="s">
        <v>27</v>
      </c>
      <c r="Z222" s="22">
        <f t="shared" ref="Z222:AK222" si="613">SUM(D235)</f>
        <v>30</v>
      </c>
      <c r="AA222" s="23">
        <f t="shared" si="613"/>
        <v>29</v>
      </c>
      <c r="AB222" s="24">
        <f t="shared" si="613"/>
        <v>5631.663</v>
      </c>
      <c r="AC222" s="23">
        <f t="shared" si="613"/>
        <v>2486</v>
      </c>
      <c r="AD222" s="23">
        <f t="shared" si="613"/>
        <v>80</v>
      </c>
      <c r="AE222" s="23">
        <f t="shared" si="613"/>
        <v>2566</v>
      </c>
      <c r="AF222" s="23">
        <f t="shared" si="613"/>
        <v>2945</v>
      </c>
      <c r="AG222" s="23">
        <f t="shared" si="613"/>
        <v>88</v>
      </c>
      <c r="AH222" s="23">
        <f t="shared" si="613"/>
        <v>3033</v>
      </c>
      <c r="AI222" s="23">
        <f t="shared" si="613"/>
        <v>5599</v>
      </c>
      <c r="AJ222" s="25">
        <f t="shared" si="613"/>
        <v>194.1952759</v>
      </c>
      <c r="AK222" s="22">
        <f t="shared" si="613"/>
        <v>8101</v>
      </c>
      <c r="AL222" s="26">
        <f t="shared" si="605"/>
        <v>0.6911492408</v>
      </c>
      <c r="AM222" s="27">
        <f>SUM(Q235)</f>
        <v>1.5</v>
      </c>
      <c r="AN222" s="26">
        <f t="shared" si="607"/>
        <v>0.6628000764</v>
      </c>
      <c r="AO222" s="28">
        <f t="shared" si="608"/>
        <v>0.9942001146</v>
      </c>
      <c r="AP222" s="27">
        <f t="shared" ref="AP222:AQ222" si="614">SUM(T235)</f>
        <v>281.7944959</v>
      </c>
      <c r="AQ222" s="27">
        <f t="shared" si="614"/>
        <v>9.717051582</v>
      </c>
      <c r="AR222" s="23">
        <f t="shared" si="610"/>
        <v>193.0689655</v>
      </c>
    </row>
    <row r="223" ht="15.75" customHeight="1">
      <c r="A223" s="21"/>
      <c r="B223" s="38">
        <v>2.0</v>
      </c>
      <c r="C223" s="38" t="s">
        <v>28</v>
      </c>
      <c r="D223" s="39">
        <v>33.0</v>
      </c>
      <c r="E223" s="40">
        <f>IFERROR(__xludf.DUMMYFUNCTION("COUNT(IMPORTRANGE(""https://docs.google.com/spreadsheets/d/1H9vAqftAHb0OdeSGXHTnJFzoWUgpoH31sc0sHNN8y1o/edit"",""1!d2:d34""))"),32.0)</f>
        <v>32</v>
      </c>
      <c r="F223" s="41">
        <f>IFERROR(__xludf.DUMMYFUNCTION("SUM(IMPORTRANGE(""https://docs.google.com/spreadsheets/d/1H9vAqftAHb0OdeSGXHTnJFzoWUgpoH31sc0sHNN8y1o/edit"",""1!Q2:Q34""))"),6234.134999999998)</f>
        <v>6234.135</v>
      </c>
      <c r="G223" s="40">
        <f>IFERROR(__xludf.DUMMYFUNCTION("IMPORTRANGE(""https://docs.google.com/spreadsheets/d/1H9vAqftAHb0OdeSGXHTnJFzoWUgpoH31sc0sHNN8y1o/edit"",""1!e41"")"),2719.0)</f>
        <v>2719</v>
      </c>
      <c r="H223" s="40">
        <f>IFERROR(__xludf.DUMMYFUNCTION("IMPORTRANGE(""https://docs.google.com/spreadsheets/d/1H9vAqftAHb0OdeSGXHTnJFzoWUgpoH31sc0sHNN8y1o/edit"",""1!e42"")"),208.0)</f>
        <v>208</v>
      </c>
      <c r="I223" s="40">
        <f t="shared" si="615"/>
        <v>2927</v>
      </c>
      <c r="J223" s="40">
        <f>IFERROR(__xludf.DUMMYFUNCTION("IMPORTRANGE(""https://docs.google.com/spreadsheets/d/1H9vAqftAHb0OdeSGXHTnJFzoWUgpoH31sc0sHNN8y1o/edit"",""1!e45"")"),3192.0)</f>
        <v>3192</v>
      </c>
      <c r="K223" s="40">
        <f>IFERROR(__xludf.DUMMYFUNCTION("IMPORTRANGE(""https://docs.google.com/spreadsheets/d/1H9vAqftAHb0OdeSGXHTnJFzoWUgpoH31sc0sHNN8y1o/edit"",""1!e46"")"),138.0)</f>
        <v>138</v>
      </c>
      <c r="L223" s="40">
        <f t="shared" si="616"/>
        <v>3330</v>
      </c>
      <c r="M223" s="40">
        <f t="shared" si="617"/>
        <v>6257</v>
      </c>
      <c r="N223" s="41">
        <f t="shared" si="618"/>
        <v>194.8167188</v>
      </c>
      <c r="O223" s="38">
        <v>7315.0</v>
      </c>
      <c r="P223" s="42">
        <f t="shared" si="619"/>
        <v>0.8553656869</v>
      </c>
      <c r="Q223" s="43">
        <v>1.5</v>
      </c>
      <c r="R223" s="42">
        <f t="shared" si="620"/>
        <v>0.6691118067</v>
      </c>
      <c r="S223" s="44">
        <f t="shared" si="621"/>
        <v>1.00366771</v>
      </c>
      <c r="T223" s="43">
        <f>F223/30.897</f>
        <v>201.7715312</v>
      </c>
      <c r="U223" s="43">
        <f t="shared" si="622"/>
        <v>6.305360351</v>
      </c>
      <c r="V223" s="40">
        <f t="shared" si="623"/>
        <v>195.53125</v>
      </c>
      <c r="X223" s="22">
        <v>5.0</v>
      </c>
      <c r="Y223" s="22" t="s">
        <v>29</v>
      </c>
      <c r="Z223" s="22">
        <f t="shared" ref="Z223:AI223" si="624">SUM(D238)</f>
        <v>30</v>
      </c>
      <c r="AA223" s="23">
        <f t="shared" si="624"/>
        <v>29</v>
      </c>
      <c r="AB223" s="24">
        <f t="shared" si="624"/>
        <v>5722.056</v>
      </c>
      <c r="AC223" s="23">
        <f t="shared" si="624"/>
        <v>2610</v>
      </c>
      <c r="AD223" s="23">
        <f t="shared" si="624"/>
        <v>0</v>
      </c>
      <c r="AE223" s="23">
        <f t="shared" si="624"/>
        <v>2610</v>
      </c>
      <c r="AF223" s="23">
        <f t="shared" si="624"/>
        <v>4378</v>
      </c>
      <c r="AG223" s="23">
        <f t="shared" si="624"/>
        <v>0</v>
      </c>
      <c r="AH223" s="23">
        <f t="shared" si="624"/>
        <v>4378</v>
      </c>
      <c r="AI223" s="23">
        <f t="shared" si="624"/>
        <v>6988</v>
      </c>
      <c r="AJ223" s="25">
        <f t="shared" ref="AJ223:AJ225" si="627">AB223/AA223</f>
        <v>197.3122759</v>
      </c>
      <c r="AK223" s="22">
        <f t="shared" ref="AK223:AK224" si="628">SUM(O238)</f>
        <v>9201</v>
      </c>
      <c r="AL223" s="26">
        <f t="shared" si="605"/>
        <v>0.7594826649</v>
      </c>
      <c r="AM223" s="27">
        <f t="shared" ref="AM223:AM224" si="629">SUM(Q238)</f>
        <v>1.5</v>
      </c>
      <c r="AN223" s="26">
        <f t="shared" si="607"/>
        <v>0.8141595725</v>
      </c>
      <c r="AO223" s="28">
        <f t="shared" si="608"/>
        <v>1.221239359</v>
      </c>
      <c r="AP223" s="27">
        <f t="shared" ref="AP223:AQ223" si="625">SUM(T238)</f>
        <v>216</v>
      </c>
      <c r="AQ223" s="27">
        <f t="shared" si="625"/>
        <v>7.448275862</v>
      </c>
      <c r="AR223" s="23">
        <f t="shared" si="610"/>
        <v>240.9655172</v>
      </c>
    </row>
    <row r="224" ht="15.75" customHeight="1">
      <c r="A224" s="21"/>
      <c r="B224" s="38">
        <v>3.0</v>
      </c>
      <c r="C224" s="38" t="s">
        <v>30</v>
      </c>
      <c r="D224" s="39">
        <v>60.0</v>
      </c>
      <c r="E224" s="40">
        <f>IFERROR(__xludf.DUMMYFUNCTION("COUNT(IMPORTRANGE(""https://docs.google.com/spreadsheets/d/1EWN6nfpuVxbUE_9opjYCWaI7MTm5xsF6ssjklSbMZnA/edit"",""1!d2:d61""))"),59.0)</f>
        <v>59</v>
      </c>
      <c r="F224" s="45">
        <f>IFERROR(__xludf.DUMMYFUNCTION("SUM(IMPORTRANGE(""https://docs.google.com/spreadsheets/d/1EWN6nfpuVxbUE_9opjYCWaI7MTm5xsF6ssjklSbMZnA/edit"",""1!Q2:Q61""))"),11739.691999999988)</f>
        <v>11739.692</v>
      </c>
      <c r="G224" s="40">
        <f>IFERROR(__xludf.DUMMYFUNCTION("IMPORTRANGE(""https://docs.google.com/spreadsheets/d/1EWN6nfpuVxbUE_9opjYCWaI7MTm5xsF6ssjklSbMZnA/edit"",""1!e68"")"),3754.0)</f>
        <v>3754</v>
      </c>
      <c r="H224" s="40">
        <f>IFERROR(__xludf.DUMMYFUNCTION("IMPORTRANGE(""https://docs.google.com/spreadsheets/d/1EWN6nfpuVxbUE_9opjYCWaI7MTm5xsF6ssjklSbMZnA/edit"",""1!e69"")"),14.0)</f>
        <v>14</v>
      </c>
      <c r="I224" s="40">
        <f t="shared" si="615"/>
        <v>3768</v>
      </c>
      <c r="J224" s="40">
        <f>IFERROR(__xludf.DUMMYFUNCTION("IMPORTRANGE(""https://docs.google.com/spreadsheets/d/1EWN6nfpuVxbUE_9opjYCWaI7MTm5xsF6ssjklSbMZnA/edit"",""1!e72"")"),5982.0)</f>
        <v>5982</v>
      </c>
      <c r="K224" s="40">
        <f>IFERROR(__xludf.DUMMYFUNCTION("IMPORTRANGE(""https://docs.google.com/spreadsheets/d/1EWN6nfpuVxbUE_9opjYCWaI7MTm5xsF6ssjklSbMZnA/edit"",""1!e73"")"),0.0)</f>
        <v>0</v>
      </c>
      <c r="L224" s="40">
        <f t="shared" si="616"/>
        <v>5982</v>
      </c>
      <c r="M224" s="40">
        <f t="shared" si="617"/>
        <v>9750</v>
      </c>
      <c r="N224" s="41">
        <f t="shared" si="618"/>
        <v>198.9778305</v>
      </c>
      <c r="O224" s="38">
        <v>11164.0</v>
      </c>
      <c r="P224" s="42">
        <f t="shared" si="619"/>
        <v>0.8733428879</v>
      </c>
      <c r="Q224" s="43">
        <v>1.5</v>
      </c>
      <c r="R224" s="42">
        <f t="shared" si="620"/>
        <v>0.5536772174</v>
      </c>
      <c r="S224" s="44">
        <f t="shared" si="621"/>
        <v>0.8305158261</v>
      </c>
      <c r="T224" s="43">
        <f>F224/29.603</f>
        <v>396.5710232</v>
      </c>
      <c r="U224" s="43">
        <f t="shared" si="622"/>
        <v>6.721542766</v>
      </c>
      <c r="V224" s="40">
        <f t="shared" si="623"/>
        <v>165.2542373</v>
      </c>
      <c r="X224" s="22">
        <v>6.0</v>
      </c>
      <c r="Y224" s="22" t="s">
        <v>31</v>
      </c>
      <c r="Z224" s="22">
        <f t="shared" ref="Z224:AI224" si="626">SUM(D239)</f>
        <v>15</v>
      </c>
      <c r="AA224" s="23">
        <f t="shared" si="626"/>
        <v>14</v>
      </c>
      <c r="AB224" s="25">
        <f t="shared" si="626"/>
        <v>2520.97</v>
      </c>
      <c r="AC224" s="23">
        <f t="shared" si="626"/>
        <v>633</v>
      </c>
      <c r="AD224" s="23">
        <f t="shared" si="626"/>
        <v>0</v>
      </c>
      <c r="AE224" s="23">
        <f t="shared" si="626"/>
        <v>633</v>
      </c>
      <c r="AF224" s="23">
        <f t="shared" si="626"/>
        <v>1148</v>
      </c>
      <c r="AG224" s="23">
        <f t="shared" si="626"/>
        <v>15</v>
      </c>
      <c r="AH224" s="23">
        <f t="shared" si="626"/>
        <v>1163</v>
      </c>
      <c r="AI224" s="23">
        <f t="shared" si="626"/>
        <v>1796</v>
      </c>
      <c r="AJ224" s="25">
        <f t="shared" si="627"/>
        <v>180.0692857</v>
      </c>
      <c r="AK224" s="22">
        <f t="shared" si="628"/>
        <v>2717</v>
      </c>
      <c r="AL224" s="26">
        <f t="shared" si="605"/>
        <v>0.6610231873</v>
      </c>
      <c r="AM224" s="27">
        <f t="shared" si="629"/>
        <v>1.5</v>
      </c>
      <c r="AN224" s="26">
        <f t="shared" si="607"/>
        <v>0.4749494573</v>
      </c>
      <c r="AO224" s="28">
        <f t="shared" si="608"/>
        <v>0.7124241859</v>
      </c>
      <c r="AP224" s="27">
        <f t="shared" ref="AP224:AQ224" si="630">SUM(T239)</f>
        <v>58</v>
      </c>
      <c r="AQ224" s="27">
        <f t="shared" si="630"/>
        <v>4.142857143</v>
      </c>
      <c r="AR224" s="23">
        <f t="shared" si="610"/>
        <v>128.2857143</v>
      </c>
    </row>
    <row r="225" ht="15.75" customHeight="1">
      <c r="A225" s="21"/>
      <c r="B225" s="38">
        <v>4.0</v>
      </c>
      <c r="C225" s="38" t="s">
        <v>32</v>
      </c>
      <c r="D225" s="39">
        <v>42.0</v>
      </c>
      <c r="E225" s="40">
        <f>IFERROR(__xludf.DUMMYFUNCTION("COUNT(IMPORTRANGE(""https://docs.google.com/spreadsheets/d/1Rmar8QqWK4XOJ-eY6xMzkAfDSw0srEXcAw89ilArun8/edit"",""1!d2:d43""))"),42.0)</f>
        <v>42</v>
      </c>
      <c r="F225" s="45">
        <f>IFERROR(__xludf.DUMMYFUNCTION("SUM(IMPORTRANGE(""https://docs.google.com/spreadsheets/d/1Rmar8QqWK4XOJ-eY6xMzkAfDSw0srEXcAw89ilArun8/edit"",""1!Q2:Q43""))"),8240.661999999991)</f>
        <v>8240.662</v>
      </c>
      <c r="G225" s="38">
        <f>IFERROR(__xludf.DUMMYFUNCTION("IMPORTRANGE(""https://docs.google.com/spreadsheets/d/1Rmar8QqWK4XOJ-eY6xMzkAfDSw0srEXcAw89ilArun8/edit"",""1!e50"")"),4515.0)</f>
        <v>4515</v>
      </c>
      <c r="H225" s="38">
        <f>IFERROR(__xludf.DUMMYFUNCTION("IMPORTRANGE(""https://docs.google.com/spreadsheets/d/1Rmar8QqWK4XOJ-eY6xMzkAfDSw0srEXcAw89ilArun8/edit"",""1!e51"")"),0.0)</f>
        <v>0</v>
      </c>
      <c r="I225" s="40">
        <f t="shared" si="615"/>
        <v>4515</v>
      </c>
      <c r="J225" s="38">
        <f>IFERROR(__xludf.DUMMYFUNCTION("IMPORTRANGE(""https://docs.google.com/spreadsheets/d/1Rmar8QqWK4XOJ-eY6xMzkAfDSw0srEXcAw89ilArun8/edit"",""1!e54"")"),5726.0)</f>
        <v>5726</v>
      </c>
      <c r="K225" s="38">
        <f>IFERROR(__xludf.DUMMYFUNCTION("IMPORTRANGE(""https://docs.google.com/spreadsheets/d/1Rmar8QqWK4XOJ-eY6xMzkAfDSw0srEXcAw89ilArun8/edit"",""1!e55"")"),0.0)</f>
        <v>0</v>
      </c>
      <c r="L225" s="40">
        <f t="shared" si="616"/>
        <v>5726</v>
      </c>
      <c r="M225" s="40">
        <f t="shared" si="617"/>
        <v>10241</v>
      </c>
      <c r="N225" s="41">
        <f t="shared" si="618"/>
        <v>196.2062381</v>
      </c>
      <c r="O225" s="38">
        <v>13817.0</v>
      </c>
      <c r="P225" s="42">
        <f t="shared" si="619"/>
        <v>0.7411883911</v>
      </c>
      <c r="Q225" s="43">
        <v>1.5</v>
      </c>
      <c r="R225" s="42">
        <f t="shared" si="620"/>
        <v>0.8284933096</v>
      </c>
      <c r="S225" s="44">
        <f t="shared" si="621"/>
        <v>1.242739964</v>
      </c>
      <c r="T225" s="43">
        <f>F225/25.089</f>
        <v>328.4571725</v>
      </c>
      <c r="U225" s="43">
        <f t="shared" si="622"/>
        <v>7.820408868</v>
      </c>
      <c r="V225" s="40">
        <f t="shared" si="623"/>
        <v>243.8333333</v>
      </c>
      <c r="X225" s="46" t="s">
        <v>33</v>
      </c>
      <c r="Y225" s="46">
        <v>6.0</v>
      </c>
      <c r="Z225" s="46">
        <f t="shared" ref="Z225:AI225" si="631">SUM(Z219:Z224)</f>
        <v>186</v>
      </c>
      <c r="AA225" s="47">
        <f t="shared" si="631"/>
        <v>182</v>
      </c>
      <c r="AB225" s="48">
        <f t="shared" si="631"/>
        <v>34548.101</v>
      </c>
      <c r="AC225" s="47">
        <f t="shared" si="631"/>
        <v>10994</v>
      </c>
      <c r="AD225" s="47">
        <f t="shared" si="631"/>
        <v>411</v>
      </c>
      <c r="AE225" s="47">
        <f t="shared" si="631"/>
        <v>11405</v>
      </c>
      <c r="AF225" s="47">
        <f t="shared" si="631"/>
        <v>16273</v>
      </c>
      <c r="AG225" s="47">
        <f t="shared" si="631"/>
        <v>422</v>
      </c>
      <c r="AH225" s="47">
        <f t="shared" si="631"/>
        <v>16695</v>
      </c>
      <c r="AI225" s="47">
        <f t="shared" si="631"/>
        <v>28100</v>
      </c>
      <c r="AJ225" s="49">
        <f t="shared" si="627"/>
        <v>189.8247308</v>
      </c>
      <c r="AK225" s="46">
        <f>SUM(AK219:AK224)</f>
        <v>35074</v>
      </c>
      <c r="AL225" s="50">
        <f t="shared" si="605"/>
        <v>0.8011632548</v>
      </c>
      <c r="AM225" s="51">
        <v>1.5</v>
      </c>
      <c r="AN225" s="50">
        <f t="shared" si="607"/>
        <v>0.542239162</v>
      </c>
      <c r="AO225" s="52">
        <f t="shared" si="608"/>
        <v>0.8133587429</v>
      </c>
      <c r="AP225" s="51">
        <f>SUM(AP219:AP224)</f>
        <v>1303.489768</v>
      </c>
      <c r="AQ225" s="51">
        <f>AP225/AA225</f>
        <v>7.162031693</v>
      </c>
      <c r="AR225" s="47">
        <f t="shared" si="610"/>
        <v>154.3956044</v>
      </c>
    </row>
    <row r="226" ht="15.75" customHeight="1">
      <c r="A226" s="21"/>
      <c r="B226" s="38">
        <v>5.0</v>
      </c>
      <c r="C226" s="38" t="s">
        <v>34</v>
      </c>
      <c r="D226" s="39">
        <v>40.0</v>
      </c>
      <c r="E226" s="40">
        <f>IFERROR(__xludf.DUMMYFUNCTION("COUNT(IMPORTRANGE(""https://docs.google.com/spreadsheets/d/1u99JxAoytGQQ8GcjxXl38CGdyEWy5uIbuJJHnsotyvk/edit"",""1!d2:d41""))"),40.0)</f>
        <v>40</v>
      </c>
      <c r="F226" s="45">
        <f>IFERROR(__xludf.DUMMYFUNCTION("SUM(IMPORTRANGE(""https://docs.google.com/spreadsheets/d/1u99JxAoytGQQ8GcjxXl38CGdyEWy5uIbuJJHnsotyvk/edit"",""1!Q2:Q41""))"),8007.324000000002)</f>
        <v>8007.324</v>
      </c>
      <c r="G226" s="40">
        <f>IFERROR(__xludf.DUMMYFUNCTION("IMPORTRANGE(""https://docs.google.com/spreadsheets/d/1u99JxAoytGQQ8GcjxXl38CGdyEWy5uIbuJJHnsotyvk/edit"",""1!e48"")"),2819.0)</f>
        <v>2819</v>
      </c>
      <c r="H226" s="40">
        <f>IFERROR(__xludf.DUMMYFUNCTION("IMPORTRANGE(""https://docs.google.com/spreadsheets/d/1u99JxAoytGQQ8GcjxXl38CGdyEWy5uIbuJJHnsotyvk/edit"",""1!e49"")"),0.0)</f>
        <v>0</v>
      </c>
      <c r="I226" s="40">
        <f t="shared" si="615"/>
        <v>2819</v>
      </c>
      <c r="J226" s="40">
        <f>IFERROR(__xludf.DUMMYFUNCTION("IMPORTRANGE(""https://docs.google.com/spreadsheets/d/1u99JxAoytGQQ8GcjxXl38CGdyEWy5uIbuJJHnsotyvk/edit"",""1!e52"")"),3504.0)</f>
        <v>3504</v>
      </c>
      <c r="K226" s="40">
        <f>IFERROR(__xludf.DUMMYFUNCTION("IMPORTRANGE(""https://docs.google.com/spreadsheets/d/1u99JxAoytGQQ8GcjxXl38CGdyEWy5uIbuJJHnsotyvk/edit"",""1!e53"")"),0.0)</f>
        <v>0</v>
      </c>
      <c r="L226" s="40">
        <f t="shared" si="616"/>
        <v>3504</v>
      </c>
      <c r="M226" s="40">
        <f t="shared" si="617"/>
        <v>6323</v>
      </c>
      <c r="N226" s="41">
        <f t="shared" si="618"/>
        <v>200.1831</v>
      </c>
      <c r="O226" s="38">
        <v>9354.0</v>
      </c>
      <c r="P226" s="42">
        <f t="shared" si="619"/>
        <v>0.6759675005</v>
      </c>
      <c r="Q226" s="43">
        <v>1.5</v>
      </c>
      <c r="R226" s="42">
        <f t="shared" si="620"/>
        <v>0.5264347157</v>
      </c>
      <c r="S226" s="44">
        <f t="shared" si="621"/>
        <v>0.7896520735</v>
      </c>
      <c r="T226" s="43">
        <f>F226/30.713</f>
        <v>260.7144857</v>
      </c>
      <c r="U226" s="43">
        <f t="shared" si="622"/>
        <v>6.517862143</v>
      </c>
      <c r="V226" s="40">
        <f t="shared" si="623"/>
        <v>158.075</v>
      </c>
      <c r="X226" s="53" t="s">
        <v>35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6"/>
    </row>
    <row r="227" ht="15.75" customHeight="1">
      <c r="A227" s="21"/>
      <c r="B227" s="38">
        <v>6.0</v>
      </c>
      <c r="C227" s="38" t="s">
        <v>23</v>
      </c>
      <c r="D227" s="39">
        <v>35.0</v>
      </c>
      <c r="E227" s="40">
        <f>IFERROR(__xludf.DUMMYFUNCTION("COUNT(IMPORTRANGE(""https://docs.google.com/spreadsheets/d/1uVc-vnTn57HE53lwrUYNZP4sGKTXisrqOoZ-6EyvLzY/edit"",""1!d2:d36""))"),34.0)</f>
        <v>34</v>
      </c>
      <c r="F227" s="45">
        <f>IFERROR(__xludf.DUMMYFUNCTION("SUM(IMPORTRANGE(""https://docs.google.com/spreadsheets/d/1uVc-vnTn57HE53lwrUYNZP4sGKTXisrqOoZ-6EyvLzY/edit"",""1!Q2:Q36""))"),6680.519999999995)</f>
        <v>6680.52</v>
      </c>
      <c r="G227" s="40">
        <f>IFERROR(__xludf.DUMMYFUNCTION("IMPORTRANGE(""https://docs.google.com/spreadsheets/d/1uVc-vnTn57HE53lwrUYNZP4sGKTXisrqOoZ-6EyvLzY/edit"",""1!e43"")"),1627.0)</f>
        <v>1627</v>
      </c>
      <c r="H227" s="40">
        <f>IFERROR(__xludf.DUMMYFUNCTION("IMPORTRANGE(""https://docs.google.com/spreadsheets/d/1uVc-vnTn57HE53lwrUYNZP4sGKTXisrqOoZ-6EyvLzY/edit"",""1!e44"")"),0.0)</f>
        <v>0</v>
      </c>
      <c r="I227" s="40">
        <f t="shared" si="615"/>
        <v>1627</v>
      </c>
      <c r="J227" s="40">
        <f>IFERROR(__xludf.DUMMYFUNCTION("IMPORTRANGE(""https://docs.google.com/spreadsheets/d/1uVc-vnTn57HE53lwrUYNZP4sGKTXisrqOoZ-6EyvLzY/edit"",""1!e47"")"),3262.0)</f>
        <v>3262</v>
      </c>
      <c r="K227" s="40">
        <f>IFERROR(__xludf.DUMMYFUNCTION("IMPORTRANGE(""https://docs.google.com/spreadsheets/d/1uVc-vnTn57HE53lwrUYNZP4sGKTXisrqOoZ-6EyvLzY/edit"",""1!e48"")"),0.0)</f>
        <v>0</v>
      </c>
      <c r="L227" s="40">
        <f t="shared" si="616"/>
        <v>3262</v>
      </c>
      <c r="M227" s="40">
        <f t="shared" si="617"/>
        <v>4889</v>
      </c>
      <c r="N227" s="41">
        <f t="shared" si="618"/>
        <v>196.4858824</v>
      </c>
      <c r="O227" s="38">
        <v>6853.0</v>
      </c>
      <c r="P227" s="42">
        <f t="shared" si="619"/>
        <v>0.7134101853</v>
      </c>
      <c r="Q227" s="43">
        <v>1.5</v>
      </c>
      <c r="R227" s="42">
        <f t="shared" si="620"/>
        <v>0.4878861725</v>
      </c>
      <c r="S227" s="44">
        <f t="shared" si="621"/>
        <v>0.7318292588</v>
      </c>
      <c r="T227" s="43">
        <f>F227/33.74</f>
        <v>198</v>
      </c>
      <c r="U227" s="43">
        <f t="shared" si="622"/>
        <v>5.823529412</v>
      </c>
      <c r="V227" s="40">
        <f t="shared" si="623"/>
        <v>143.7941176</v>
      </c>
      <c r="X227" s="14" t="s">
        <v>2</v>
      </c>
      <c r="Y227" s="14" t="s">
        <v>3</v>
      </c>
      <c r="Z227" s="14" t="s">
        <v>4</v>
      </c>
      <c r="AA227" s="14" t="s">
        <v>5</v>
      </c>
      <c r="AB227" s="15" t="s">
        <v>6</v>
      </c>
      <c r="AC227" s="14" t="s">
        <v>7</v>
      </c>
      <c r="AD227" s="14" t="s">
        <v>8</v>
      </c>
      <c r="AE227" s="14" t="s">
        <v>9</v>
      </c>
      <c r="AF227" s="14" t="s">
        <v>10</v>
      </c>
      <c r="AG227" s="14" t="s">
        <v>11</v>
      </c>
      <c r="AH227" s="14" t="s">
        <v>12</v>
      </c>
      <c r="AI227" s="14" t="s">
        <v>13</v>
      </c>
      <c r="AJ227" s="15" t="s">
        <v>14</v>
      </c>
      <c r="AK227" s="14" t="s">
        <v>15</v>
      </c>
      <c r="AL227" s="14" t="s">
        <v>16</v>
      </c>
      <c r="AM227" s="16" t="s">
        <v>17</v>
      </c>
      <c r="AN227" s="17" t="s">
        <v>18</v>
      </c>
      <c r="AO227" s="18" t="s">
        <v>19</v>
      </c>
      <c r="AP227" s="19" t="s">
        <v>20</v>
      </c>
      <c r="AQ227" s="19" t="s">
        <v>21</v>
      </c>
      <c r="AR227" s="20" t="s">
        <v>22</v>
      </c>
    </row>
    <row r="228" ht="15.75" customHeight="1">
      <c r="A228" s="21"/>
      <c r="B228" s="38">
        <v>7.0</v>
      </c>
      <c r="C228" s="38" t="s">
        <v>24</v>
      </c>
      <c r="D228" s="39">
        <v>44.0</v>
      </c>
      <c r="E228" s="54">
        <f>IFERROR(__xludf.DUMMYFUNCTION("COUNT(IMPORTRANGE(""https://docs.google.com/spreadsheets/d/1iuPvivSypupo44l6GtmR-2qZ3za7cTk7KzsOVp_kv2c/edit"",""1!d2:d45""))"),44.0)</f>
        <v>44</v>
      </c>
      <c r="F228" s="55">
        <f>IFERROR(__xludf.DUMMYFUNCTION("SUM(IMPORTRANGE(""https://docs.google.com/spreadsheets/d/1iuPvivSypupo44l6GtmR-2qZ3za7cTk7KzsOVp_kv2c/edit"",""1!Q2:Q45""))"),8029.355999999994)</f>
        <v>8029.356</v>
      </c>
      <c r="G228" s="54">
        <f>IFERROR(__xludf.DUMMYFUNCTION("IMPORTRANGE(""https://docs.google.com/spreadsheets/d/1iuPvivSypupo44l6GtmR-2qZ3za7cTk7KzsOVp_kv2c/edit"",""1!e53"")"),1194.0)</f>
        <v>1194</v>
      </c>
      <c r="H228" s="54">
        <f>IFERROR(__xludf.DUMMYFUNCTION("IMPORTRANGE(""https://docs.google.com/spreadsheets/d/1iuPvivSypupo44l6GtmR-2qZ3za7cTk7KzsOVp_kv2c/edit"",""1!e54"")"),0.0)</f>
        <v>0</v>
      </c>
      <c r="I228" s="54">
        <f t="shared" si="615"/>
        <v>1194</v>
      </c>
      <c r="J228" s="54">
        <f>IFERROR(__xludf.DUMMYFUNCTION("IMPORTRANGE(""https://docs.google.com/spreadsheets/d/1iuPvivSypupo44l6GtmR-2qZ3za7cTk7KzsOVp_kv2c/edit"",""1!e57"")"),1455.0)</f>
        <v>1455</v>
      </c>
      <c r="K228" s="54">
        <f>IFERROR(__xludf.DUMMYFUNCTION("IMPORTRANGE(""https://docs.google.com/spreadsheets/d/1iuPvivSypupo44l6GtmR-2qZ3za7cTk7KzsOVp_kv2c/edit"",""1!e58"")"),0.0)</f>
        <v>0</v>
      </c>
      <c r="L228" s="40">
        <f t="shared" si="616"/>
        <v>1455</v>
      </c>
      <c r="M228" s="40">
        <f t="shared" si="617"/>
        <v>2649</v>
      </c>
      <c r="N228" s="41">
        <f t="shared" si="618"/>
        <v>182.4853636</v>
      </c>
      <c r="O228" s="38">
        <v>1580.0</v>
      </c>
      <c r="P228" s="56">
        <f t="shared" si="619"/>
        <v>1.676582278</v>
      </c>
      <c r="Q228" s="43">
        <v>1.5</v>
      </c>
      <c r="R228" s="42">
        <f t="shared" si="620"/>
        <v>0.2199429195</v>
      </c>
      <c r="S228" s="44">
        <f t="shared" si="621"/>
        <v>0.3299143792</v>
      </c>
      <c r="T228" s="43">
        <f>F228/26.805</f>
        <v>299.5469502</v>
      </c>
      <c r="U228" s="43">
        <f t="shared" si="622"/>
        <v>6.807885232</v>
      </c>
      <c r="V228" s="40">
        <f t="shared" si="623"/>
        <v>60.20454545</v>
      </c>
      <c r="X228" s="22">
        <v>1.0</v>
      </c>
      <c r="Y228" s="22" t="s">
        <v>28</v>
      </c>
      <c r="Z228" s="22">
        <f t="shared" ref="Z228:AI228" si="632">SUM(D223)</f>
        <v>33</v>
      </c>
      <c r="AA228" s="23">
        <f t="shared" si="632"/>
        <v>32</v>
      </c>
      <c r="AB228" s="25">
        <f t="shared" si="632"/>
        <v>6234.135</v>
      </c>
      <c r="AC228" s="23">
        <f t="shared" si="632"/>
        <v>2719</v>
      </c>
      <c r="AD228" s="23">
        <f t="shared" si="632"/>
        <v>208</v>
      </c>
      <c r="AE228" s="23">
        <f t="shared" si="632"/>
        <v>2927</v>
      </c>
      <c r="AF228" s="23">
        <f t="shared" si="632"/>
        <v>3192</v>
      </c>
      <c r="AG228" s="23">
        <f t="shared" si="632"/>
        <v>138</v>
      </c>
      <c r="AH228" s="23">
        <f t="shared" si="632"/>
        <v>3330</v>
      </c>
      <c r="AI228" s="23">
        <f t="shared" si="632"/>
        <v>6257</v>
      </c>
      <c r="AJ228" s="25">
        <f t="shared" ref="AJ228:AJ234" si="635">AB228/AA228</f>
        <v>194.8167188</v>
      </c>
      <c r="AK228" s="22">
        <f t="shared" ref="AK228:AK229" si="636">SUM(O223)</f>
        <v>7315</v>
      </c>
      <c r="AL228" s="26">
        <f t="shared" ref="AL228:AL234" si="637">AI228/AK228</f>
        <v>0.8553656869</v>
      </c>
      <c r="AM228" s="27">
        <f t="shared" ref="AM228:AM229" si="638">SUM(Q223)</f>
        <v>1.5</v>
      </c>
      <c r="AN228" s="26">
        <f t="shared" ref="AN228:AN234" si="639">AO228/AM228</f>
        <v>0.6691118067</v>
      </c>
      <c r="AO228" s="28">
        <f t="shared" ref="AO228:AO234" si="640">AI228/AB228</f>
        <v>1.00366771</v>
      </c>
      <c r="AP228" s="27">
        <f t="shared" ref="AP228:AQ228" si="633">SUM(T223)</f>
        <v>201.7715312</v>
      </c>
      <c r="AQ228" s="27">
        <f t="shared" si="633"/>
        <v>6.305360351</v>
      </c>
      <c r="AR228" s="23">
        <f t="shared" ref="AR228:AR234" si="642">AI228/AA228</f>
        <v>195.53125</v>
      </c>
    </row>
    <row r="229" ht="15.75" customHeight="1">
      <c r="A229" s="21"/>
      <c r="B229" s="38">
        <v>8.0</v>
      </c>
      <c r="C229" s="38" t="s">
        <v>25</v>
      </c>
      <c r="D229" s="57">
        <v>32.0</v>
      </c>
      <c r="E229" s="40">
        <f>IFERROR(__xludf.DUMMYFUNCTION("COUNT(IMPORTRANGE(""https://docs.google.com/spreadsheets/d/1sqWX7UerdR9KR_duBzDNfjwbPG-3hLgV1LiN2ZVZ6Js/edit"",""1!d2:D33""))"),32.0)</f>
        <v>32</v>
      </c>
      <c r="F229" s="45">
        <f>IFERROR(__xludf.DUMMYFUNCTION("SUM(IMPORTRANGE(""https://docs.google.com/spreadsheets/d/1sqWX7UerdR9KR_duBzDNfjwbPG-3hLgV1LiN2ZVZ6Js/edit"",""1!Q2:Q33""))"),5963.536000000002)</f>
        <v>5963.536</v>
      </c>
      <c r="G229" s="40">
        <f>IFERROR(__xludf.DUMMYFUNCTION("IMPORTRANGE(""https://docs.google.com/spreadsheets/d/1sqWX7UerdR9KR_duBzDNfjwbPG-3hLgV1LiN2ZVZ6Js/edit"",""1!e40"")"),2444.0)</f>
        <v>2444</v>
      </c>
      <c r="H229" s="40">
        <f>IFERROR(__xludf.DUMMYFUNCTION("IMPORTRANGE(""https://docs.google.com/spreadsheets/d/1sqWX7UerdR9KR_duBzDNfjwbPG-3hLgV1LiN2ZVZ6Js/edit"",""1!e41"")"),331.0)</f>
        <v>331</v>
      </c>
      <c r="I229" s="40">
        <f t="shared" si="615"/>
        <v>2775</v>
      </c>
      <c r="J229" s="40">
        <f>IFERROR(__xludf.DUMMYFUNCTION("IMPORTRANGE(""https://docs.google.com/spreadsheets/d/1sqWX7UerdR9KR_duBzDNfjwbPG-3hLgV1LiN2ZVZ6Js/edit"",""1!e44"")"),3085.0)</f>
        <v>3085</v>
      </c>
      <c r="K229" s="40">
        <f>IFERROR(__xludf.DUMMYFUNCTION("IMPORTRANGE(""https://docs.google.com/spreadsheets/d/1sqWX7UerdR9KR_duBzDNfjwbPG-3hLgV1LiN2ZVZ6Js/edit"",""1!e45"")"),319.0)</f>
        <v>319</v>
      </c>
      <c r="L229" s="40">
        <f>J229+K229</f>
        <v>3404</v>
      </c>
      <c r="M229" s="40">
        <f t="shared" si="617"/>
        <v>6179</v>
      </c>
      <c r="N229" s="41">
        <f t="shared" si="618"/>
        <v>186.3605</v>
      </c>
      <c r="O229" s="38">
        <v>6622.0</v>
      </c>
      <c r="P229" s="42">
        <f t="shared" si="619"/>
        <v>0.9331017819</v>
      </c>
      <c r="Q229" s="43">
        <v>1.5</v>
      </c>
      <c r="R229" s="42">
        <f t="shared" si="620"/>
        <v>0.6907534948</v>
      </c>
      <c r="S229" s="44">
        <f t="shared" si="621"/>
        <v>1.036130242</v>
      </c>
      <c r="T229" s="43">
        <f>F229/23.84</f>
        <v>250.1483221</v>
      </c>
      <c r="U229" s="43">
        <f t="shared" si="622"/>
        <v>7.817135067</v>
      </c>
      <c r="V229" s="40">
        <f t="shared" si="623"/>
        <v>193.09375</v>
      </c>
      <c r="X229" s="31">
        <v>2.0</v>
      </c>
      <c r="Y229" s="31" t="s">
        <v>30</v>
      </c>
      <c r="Z229" s="31">
        <f t="shared" ref="Z229:AI229" si="634">SUM(D224)</f>
        <v>60</v>
      </c>
      <c r="AA229" s="32">
        <f t="shared" si="634"/>
        <v>59</v>
      </c>
      <c r="AB229" s="33">
        <f t="shared" si="634"/>
        <v>11739.692</v>
      </c>
      <c r="AC229" s="32">
        <f t="shared" si="634"/>
        <v>3754</v>
      </c>
      <c r="AD229" s="32">
        <f t="shared" si="634"/>
        <v>14</v>
      </c>
      <c r="AE229" s="32">
        <f t="shared" si="634"/>
        <v>3768</v>
      </c>
      <c r="AF229" s="32">
        <f t="shared" si="634"/>
        <v>5982</v>
      </c>
      <c r="AG229" s="32">
        <f t="shared" si="634"/>
        <v>0</v>
      </c>
      <c r="AH229" s="32">
        <f t="shared" si="634"/>
        <v>5982</v>
      </c>
      <c r="AI229" s="32">
        <f t="shared" si="634"/>
        <v>9750</v>
      </c>
      <c r="AJ229" s="34">
        <f t="shared" si="635"/>
        <v>198.9778305</v>
      </c>
      <c r="AK229" s="31">
        <f t="shared" si="636"/>
        <v>11164</v>
      </c>
      <c r="AL229" s="35">
        <f t="shared" si="637"/>
        <v>0.8733428879</v>
      </c>
      <c r="AM229" s="36">
        <f t="shared" si="638"/>
        <v>1.5</v>
      </c>
      <c r="AN229" s="35">
        <f t="shared" si="639"/>
        <v>0.5536772174</v>
      </c>
      <c r="AO229" s="37">
        <f t="shared" si="640"/>
        <v>0.8305158261</v>
      </c>
      <c r="AP229" s="36">
        <f t="shared" ref="AP229:AQ229" si="641">SUM(T224)</f>
        <v>396.5710232</v>
      </c>
      <c r="AQ229" s="36">
        <f t="shared" si="641"/>
        <v>6.721542766</v>
      </c>
      <c r="AR229" s="32">
        <f t="shared" si="642"/>
        <v>165.2542373</v>
      </c>
    </row>
    <row r="230" ht="15.75" customHeight="1">
      <c r="A230" s="21"/>
      <c r="B230" s="38">
        <v>9.0</v>
      </c>
      <c r="C230" s="38" t="s">
        <v>36</v>
      </c>
      <c r="D230" s="58">
        <v>30.0</v>
      </c>
      <c r="E230" s="40">
        <f>IFERROR(__xludf.DUMMYFUNCTION("COUNT(IMPORTRANGE(""https://docs.google.com/spreadsheets/d/1YNna43iTSqnwwbMJgTIPHSJEoDO8RGPRFg5pJCoQR_Y/edit"",""1!d2:d31""))"),29.0)</f>
        <v>29</v>
      </c>
      <c r="F230" s="45">
        <f>IFERROR(__xludf.DUMMYFUNCTION("SUM(IMPORTRANGE(""https://docs.google.com/spreadsheets/d/1YNna43iTSqnwwbMJgTIPHSJEoDO8RGPRFg5pJCoQR_Y/edit"",""1!Q2:Q31""))"),4875.344999999998)</f>
        <v>4875.345</v>
      </c>
      <c r="G230" s="40">
        <f>IFERROR(__xludf.DUMMYFUNCTION("IMPORTRANGE(""https://docs.google.com/spreadsheets/d/1YNna43iTSqnwwbMJgTIPHSJEoDO8RGPRFg5pJCoQR_Y/edit"",""1!e38"")"),1728.0)</f>
        <v>1728</v>
      </c>
      <c r="H230" s="40">
        <f>IFERROR(__xludf.DUMMYFUNCTION("IMPORTRANGE(""https://docs.google.com/spreadsheets/d/1YNna43iTSqnwwbMJgTIPHSJEoDO8RGPRFg5pJCoQR_Y/edit"",""1!e39"")"),0.0)</f>
        <v>0</v>
      </c>
      <c r="I230" s="40">
        <f t="shared" si="615"/>
        <v>1728</v>
      </c>
      <c r="J230" s="40">
        <f>IFERROR(__xludf.DUMMYFUNCTION("IMPORTRANGE(""https://docs.google.com/spreadsheets/d/1YNna43iTSqnwwbMJgTIPHSJEoDO8RGPRFg5pJCoQR_Y/edit"",""1!e42"")"),2407.0)</f>
        <v>2407</v>
      </c>
      <c r="K230" s="40">
        <f>IFERROR(__xludf.DUMMYFUNCTION("IMPORTRANGE(""https://docs.google.com/spreadsheets/d/1YNna43iTSqnwwbMJgTIPHSJEoDO8RGPRFg5pJCoQR_Y/edit"",""1!e43"")"),20.0)</f>
        <v>20</v>
      </c>
      <c r="L230" s="40">
        <f t="shared" ref="L230:L239" si="645">SUM(J230:K230)</f>
        <v>2427</v>
      </c>
      <c r="M230" s="40">
        <f t="shared" si="617"/>
        <v>4155</v>
      </c>
      <c r="N230" s="41">
        <f t="shared" si="618"/>
        <v>168.1153448</v>
      </c>
      <c r="O230" s="38">
        <v>4796.0</v>
      </c>
      <c r="P230" s="42">
        <f t="shared" si="619"/>
        <v>0.8663469558</v>
      </c>
      <c r="Q230" s="43">
        <v>1.5</v>
      </c>
      <c r="R230" s="42">
        <f t="shared" si="620"/>
        <v>0.5681649196</v>
      </c>
      <c r="S230" s="44">
        <f t="shared" si="621"/>
        <v>0.8522473794</v>
      </c>
      <c r="T230" s="43">
        <f>F230/37.414</f>
        <v>130.3080398</v>
      </c>
      <c r="U230" s="43">
        <f t="shared" si="622"/>
        <v>4.493380682</v>
      </c>
      <c r="V230" s="40">
        <f t="shared" si="623"/>
        <v>143.2758621</v>
      </c>
      <c r="X230" s="22">
        <v>3.0</v>
      </c>
      <c r="Y230" s="22" t="s">
        <v>34</v>
      </c>
      <c r="Z230" s="22">
        <f t="shared" ref="Z230:AI230" si="643">SUM(D226)</f>
        <v>40</v>
      </c>
      <c r="AA230" s="23">
        <f t="shared" si="643"/>
        <v>40</v>
      </c>
      <c r="AB230" s="24">
        <f t="shared" si="643"/>
        <v>8007.324</v>
      </c>
      <c r="AC230" s="23">
        <f t="shared" si="643"/>
        <v>2819</v>
      </c>
      <c r="AD230" s="23">
        <f t="shared" si="643"/>
        <v>0</v>
      </c>
      <c r="AE230" s="23">
        <f t="shared" si="643"/>
        <v>2819</v>
      </c>
      <c r="AF230" s="23">
        <f t="shared" si="643"/>
        <v>3504</v>
      </c>
      <c r="AG230" s="23">
        <f t="shared" si="643"/>
        <v>0</v>
      </c>
      <c r="AH230" s="23">
        <f t="shared" si="643"/>
        <v>3504</v>
      </c>
      <c r="AI230" s="23">
        <f t="shared" si="643"/>
        <v>6323</v>
      </c>
      <c r="AJ230" s="25">
        <f t="shared" si="635"/>
        <v>200.1831</v>
      </c>
      <c r="AK230" s="22">
        <f>SUM(O226)</f>
        <v>9354</v>
      </c>
      <c r="AL230" s="26">
        <f t="shared" si="637"/>
        <v>0.6759675005</v>
      </c>
      <c r="AM230" s="27">
        <f>SUM(Q226)</f>
        <v>1.5</v>
      </c>
      <c r="AN230" s="26">
        <f t="shared" si="639"/>
        <v>0.5264347157</v>
      </c>
      <c r="AO230" s="28">
        <f t="shared" si="640"/>
        <v>0.7896520735</v>
      </c>
      <c r="AP230" s="27">
        <f t="shared" ref="AP230:AQ230" si="644">SUM(T226)</f>
        <v>260.7144857</v>
      </c>
      <c r="AQ230" s="27">
        <f t="shared" si="644"/>
        <v>6.517862143</v>
      </c>
      <c r="AR230" s="23">
        <f t="shared" si="642"/>
        <v>158.075</v>
      </c>
    </row>
    <row r="231" ht="15.75" customHeight="1">
      <c r="A231" s="21"/>
      <c r="B231" s="38">
        <v>10.0</v>
      </c>
      <c r="C231" s="38" t="s">
        <v>37</v>
      </c>
      <c r="D231" s="39">
        <v>30.0</v>
      </c>
      <c r="E231" s="40">
        <f>IFERROR(__xludf.DUMMYFUNCTION("COUNT(IMPORTRANGE(""https://docs.google.com/spreadsheets/d/1913Df5BsXS_b-nClL8LOK5w0engQYTl1mPOiyngRtO0/edit"",""1!d2:d31""))"),28.0)</f>
        <v>28</v>
      </c>
      <c r="F231" s="45">
        <f>IFERROR(__xludf.DUMMYFUNCTION("SUM(IMPORTRANGE(""https://docs.google.com/spreadsheets/d/1913Df5BsXS_b-nClL8LOK5w0engQYTl1mPOiyngRtO0/edit"",""1!Q2:Q31""))"),5465.100000000002)</f>
        <v>5465.1</v>
      </c>
      <c r="G231" s="40">
        <f>IFERROR(__xludf.DUMMYFUNCTION("(IMPORTRANGE(""https://docs.google.com/spreadsheets/d/1913Df5BsXS_b-nClL8LOK5w0engQYTl1mPOiyngRtO0/edit"",""1!e38""))"),2135.0)</f>
        <v>2135</v>
      </c>
      <c r="H231" s="40">
        <f>IFERROR(__xludf.DUMMYFUNCTION("(IMPORTRANGE(""https://docs.google.com/spreadsheets/d/1913Df5BsXS_b-nClL8LOK5w0engQYTl1mPOiyngRtO0/edit"",""1!e39""))"),0.0)</f>
        <v>0</v>
      </c>
      <c r="I231" s="40">
        <f t="shared" si="615"/>
        <v>2135</v>
      </c>
      <c r="J231" s="40">
        <f>IFERROR(__xludf.DUMMYFUNCTION("(IMPORTRANGE(""https://docs.google.com/spreadsheets/d/1913Df5BsXS_b-nClL8LOK5w0engQYTl1mPOiyngRtO0/edit"",""1!e42""))"),3182.0)</f>
        <v>3182</v>
      </c>
      <c r="K231" s="40">
        <f>IFERROR(__xludf.DUMMYFUNCTION("(IMPORTRANGE(""https://docs.google.com/spreadsheets/d/1913Df5BsXS_b-nClL8LOK5w0engQYTl1mPOiyngRtO0/edit"",""1!e43""))"),0.0)</f>
        <v>0</v>
      </c>
      <c r="L231" s="40">
        <f t="shared" si="645"/>
        <v>3182</v>
      </c>
      <c r="M231" s="40">
        <f t="shared" si="617"/>
        <v>5317</v>
      </c>
      <c r="N231" s="41">
        <f t="shared" si="618"/>
        <v>195.1821429</v>
      </c>
      <c r="O231" s="38">
        <v>5887.0</v>
      </c>
      <c r="P231" s="42">
        <f t="shared" si="619"/>
        <v>0.9031764906</v>
      </c>
      <c r="Q231" s="43">
        <v>1.5</v>
      </c>
      <c r="R231" s="42">
        <f t="shared" si="620"/>
        <v>0.6486005136</v>
      </c>
      <c r="S231" s="44">
        <f t="shared" si="621"/>
        <v>0.9729007703</v>
      </c>
      <c r="T231" s="43">
        <f>F231/24.792</f>
        <v>220.4380445</v>
      </c>
      <c r="U231" s="43">
        <f t="shared" si="622"/>
        <v>7.872787305</v>
      </c>
      <c r="V231" s="40">
        <f t="shared" si="623"/>
        <v>189.8928571</v>
      </c>
      <c r="X231" s="31">
        <v>4.0</v>
      </c>
      <c r="Y231" s="31" t="s">
        <v>38</v>
      </c>
      <c r="Z231" s="31">
        <f t="shared" ref="Z231:AI231" si="646">SUM(D234)</f>
        <v>30</v>
      </c>
      <c r="AA231" s="32">
        <f t="shared" si="646"/>
        <v>30</v>
      </c>
      <c r="AB231" s="33">
        <f t="shared" si="646"/>
        <v>6034.986</v>
      </c>
      <c r="AC231" s="32">
        <f t="shared" si="646"/>
        <v>1876</v>
      </c>
      <c r="AD231" s="32">
        <f t="shared" si="646"/>
        <v>79</v>
      </c>
      <c r="AE231" s="32">
        <f t="shared" si="646"/>
        <v>1955</v>
      </c>
      <c r="AF231" s="32">
        <f t="shared" si="646"/>
        <v>2967</v>
      </c>
      <c r="AG231" s="32">
        <f t="shared" si="646"/>
        <v>140</v>
      </c>
      <c r="AH231" s="32">
        <f t="shared" si="646"/>
        <v>3107</v>
      </c>
      <c r="AI231" s="32">
        <f t="shared" si="646"/>
        <v>5062</v>
      </c>
      <c r="AJ231" s="34">
        <f t="shared" si="635"/>
        <v>201.1662</v>
      </c>
      <c r="AK231" s="31">
        <v>7324.0</v>
      </c>
      <c r="AL231" s="35">
        <f t="shared" si="637"/>
        <v>0.6911523758</v>
      </c>
      <c r="AM231" s="36">
        <f>SUM(Q234)</f>
        <v>1.5</v>
      </c>
      <c r="AN231" s="35">
        <f t="shared" si="639"/>
        <v>0.5591838435</v>
      </c>
      <c r="AO231" s="37">
        <f t="shared" si="640"/>
        <v>0.8387757652</v>
      </c>
      <c r="AP231" s="36">
        <f t="shared" ref="AP231:AQ231" si="647">SUM(T234)</f>
        <v>146.4624681</v>
      </c>
      <c r="AQ231" s="36">
        <f t="shared" si="647"/>
        <v>4.882082272</v>
      </c>
      <c r="AR231" s="32">
        <f t="shared" si="642"/>
        <v>168.7333333</v>
      </c>
    </row>
    <row r="232" ht="15.75" customHeight="1">
      <c r="A232" s="21"/>
      <c r="B232" s="38">
        <v>12.0</v>
      </c>
      <c r="C232" s="38" t="s">
        <v>39</v>
      </c>
      <c r="D232" s="39">
        <v>28.0</v>
      </c>
      <c r="E232" s="40">
        <f>IFERROR(__xludf.DUMMYFUNCTION("COUNT(IMPORTRANGE(""https://docs.google.com/spreadsheets/d/1wMeol_MpSIcocGxt3WZGl46mJ2tc80mANPvP_YzaP18/edit"",""1!d2:d29""))"),27.0)</f>
        <v>27</v>
      </c>
      <c r="F232" s="45">
        <f>IFERROR(__xludf.DUMMYFUNCTION("SUM(IMPORTRANGE(""https://docs.google.com/spreadsheets/d/1wMeol_MpSIcocGxt3WZGl46mJ2tc80mANPvP_YzaP18/edit"",""1!Q2:Q29""))"),5318.459)</f>
        <v>5318.459</v>
      </c>
      <c r="G232" s="40">
        <f>IFERROR(__xludf.DUMMYFUNCTION("IMPORTRANGE(""https://docs.google.com/spreadsheets/d/1wMeol_MpSIcocGxt3WZGl46mJ2tc80mANPvP_YzaP18/edit"",""1!e36"")"),1229.0)</f>
        <v>1229</v>
      </c>
      <c r="H232" s="40">
        <f>IFERROR(__xludf.DUMMYFUNCTION("(IMPORTRANGE(""https://docs.google.com/spreadsheets/d/1wMeol_MpSIcocGxt3WZGl46mJ2tc80mANPvP_YzaP18/edit"",""1!e37""))"),0.0)</f>
        <v>0</v>
      </c>
      <c r="I232" s="40">
        <f t="shared" si="615"/>
        <v>1229</v>
      </c>
      <c r="J232" s="40">
        <f>IFERROR(__xludf.DUMMYFUNCTION("IMPORTRANGE(""https://docs.google.com/spreadsheets/d/1wMeol_MpSIcocGxt3WZGl46mJ2tc80mANPvP_YzaP18/edit"",""1!e40"")"),1740.0)</f>
        <v>1740</v>
      </c>
      <c r="K232" s="40">
        <f>IFERROR(__xludf.DUMMYFUNCTION("IMPORTRANGE(""https://docs.google.com/spreadsheets/d/1wMeol_MpSIcocGxt3WZGl46mJ2tc80mANPvP_YzaP18/edit"",""1!e41"")"),0.0)</f>
        <v>0</v>
      </c>
      <c r="L232" s="40">
        <f t="shared" si="645"/>
        <v>1740</v>
      </c>
      <c r="M232" s="40">
        <f t="shared" si="617"/>
        <v>2969</v>
      </c>
      <c r="N232" s="41">
        <f t="shared" si="618"/>
        <v>196.979963</v>
      </c>
      <c r="O232" s="38">
        <v>3569.0</v>
      </c>
      <c r="P232" s="42">
        <f t="shared" si="619"/>
        <v>0.8318856823</v>
      </c>
      <c r="Q232" s="43">
        <v>1.5</v>
      </c>
      <c r="R232" s="42">
        <f t="shared" si="620"/>
        <v>0.3721629392</v>
      </c>
      <c r="S232" s="44">
        <f t="shared" si="621"/>
        <v>0.5582444088</v>
      </c>
      <c r="T232" s="43">
        <f>F232/21.463</f>
        <v>247.7966268</v>
      </c>
      <c r="U232" s="43">
        <f t="shared" si="622"/>
        <v>9.177652843</v>
      </c>
      <c r="V232" s="40">
        <f t="shared" si="623"/>
        <v>109.962963</v>
      </c>
      <c r="X232" s="31">
        <v>5.0</v>
      </c>
      <c r="Y232" s="31" t="s">
        <v>40</v>
      </c>
      <c r="Z232" s="31">
        <f t="shared" ref="Z232:AI232" si="648">SUM(D236)</f>
        <v>30</v>
      </c>
      <c r="AA232" s="32">
        <f t="shared" si="648"/>
        <v>30</v>
      </c>
      <c r="AB232" s="33">
        <f t="shared" si="648"/>
        <v>5660.157</v>
      </c>
      <c r="AC232" s="32">
        <f t="shared" si="648"/>
        <v>3382</v>
      </c>
      <c r="AD232" s="32">
        <f t="shared" si="648"/>
        <v>0</v>
      </c>
      <c r="AE232" s="32">
        <f t="shared" si="648"/>
        <v>3382</v>
      </c>
      <c r="AF232" s="32">
        <f t="shared" si="648"/>
        <v>3798</v>
      </c>
      <c r="AG232" s="32">
        <f t="shared" si="648"/>
        <v>0</v>
      </c>
      <c r="AH232" s="32">
        <f t="shared" si="648"/>
        <v>3798</v>
      </c>
      <c r="AI232" s="32">
        <f t="shared" si="648"/>
        <v>7180</v>
      </c>
      <c r="AJ232" s="34">
        <f t="shared" si="635"/>
        <v>188.6719</v>
      </c>
      <c r="AK232" s="31">
        <f t="shared" ref="AK232:AK233" si="651">SUM(O236)</f>
        <v>8239</v>
      </c>
      <c r="AL232" s="35">
        <f t="shared" si="637"/>
        <v>0.8714649836</v>
      </c>
      <c r="AM232" s="36">
        <f t="shared" ref="AM232:AM233" si="652">SUM(Q236)</f>
        <v>1.5</v>
      </c>
      <c r="AN232" s="35">
        <f t="shared" si="639"/>
        <v>0.8456773667</v>
      </c>
      <c r="AO232" s="37">
        <f t="shared" si="640"/>
        <v>1.26851605</v>
      </c>
      <c r="AP232" s="36">
        <f t="shared" ref="AP232:AQ232" si="649">SUM(T236)</f>
        <v>199</v>
      </c>
      <c r="AQ232" s="36">
        <f t="shared" si="649"/>
        <v>6.633333333</v>
      </c>
      <c r="AR232" s="32">
        <f t="shared" si="642"/>
        <v>239.3333333</v>
      </c>
    </row>
    <row r="233" ht="15.75" customHeight="1">
      <c r="A233" s="21"/>
      <c r="B233" s="38">
        <v>12.0</v>
      </c>
      <c r="C233" s="38" t="s">
        <v>41</v>
      </c>
      <c r="D233" s="39">
        <v>24.0</v>
      </c>
      <c r="E233" s="40">
        <f>IFERROR(__xludf.DUMMYFUNCTION("COUNT(IMPORTRANGE(""https://docs.google.com/spreadsheets/d/1sHk6_yuc4kORC_xnhEeazoemV_hVUQVqRpfoNae-PLk/edit"",""1!d2:d25""))"),24.0)</f>
        <v>24</v>
      </c>
      <c r="F233" s="45">
        <f>IFERROR(__xludf.DUMMYFUNCTION("SUM(IMPORTRANGE(""https://docs.google.com/spreadsheets/d/1sHk6_yuc4kORC_xnhEeazoemV_hVUQVqRpfoNae-PLk/edit"",""1!Q2:Q25""))"),4793.152000000001)</f>
        <v>4793.152</v>
      </c>
      <c r="G233" s="40">
        <f>IFERROR(__xludf.DUMMYFUNCTION("IMPORTRANGE(""https://docs.google.com/spreadsheets/d/1sHk6_yuc4kORC_xnhEeazoemV_hVUQVqRpfoNae-PLk/edit"",""1!e32"")"),1363.0)</f>
        <v>1363</v>
      </c>
      <c r="H233" s="40">
        <f>IFERROR(__xludf.DUMMYFUNCTION("IMPORTRANGE(""https://docs.google.com/spreadsheets/d/1sHk6_yuc4kORC_xnhEeazoemV_hVUQVqRpfoNae-PLk/edit"",""1!e33"")"),0.0)</f>
        <v>0</v>
      </c>
      <c r="I233" s="40">
        <f t="shared" si="615"/>
        <v>1363</v>
      </c>
      <c r="J233" s="40">
        <f>IFERROR(__xludf.DUMMYFUNCTION("IMPORTRANGE(""https://docs.google.com/spreadsheets/d/1sHk6_yuc4kORC_xnhEeazoemV_hVUQVqRpfoNae-PLk/edit"",""1!e36"")"),1818.0)</f>
        <v>1818</v>
      </c>
      <c r="K233" s="40">
        <f>IFERROR(__xludf.DUMMYFUNCTION("IMPORTRANGE(""https://docs.google.com/spreadsheets/d/1sHk6_yuc4kORC_xnhEeazoemV_hVUQVqRpfoNae-PLk/edit"",""1!e37"")"),0.0)</f>
        <v>0</v>
      </c>
      <c r="L233" s="40">
        <f t="shared" si="645"/>
        <v>1818</v>
      </c>
      <c r="M233" s="40">
        <f t="shared" si="617"/>
        <v>3181</v>
      </c>
      <c r="N233" s="41">
        <f t="shared" si="618"/>
        <v>199.7146667</v>
      </c>
      <c r="O233" s="38">
        <v>3801.0</v>
      </c>
      <c r="P233" s="42">
        <f t="shared" si="619"/>
        <v>0.8368850303</v>
      </c>
      <c r="Q233" s="43">
        <v>1.5</v>
      </c>
      <c r="R233" s="42">
        <f t="shared" si="620"/>
        <v>0.4424367653</v>
      </c>
      <c r="S233" s="44">
        <f t="shared" si="621"/>
        <v>0.663655148</v>
      </c>
      <c r="T233" s="43">
        <f>F233/29.628</f>
        <v>161.7777778</v>
      </c>
      <c r="U233" s="43">
        <f t="shared" si="622"/>
        <v>6.740740741</v>
      </c>
      <c r="V233" s="40">
        <f t="shared" si="623"/>
        <v>132.5416667</v>
      </c>
      <c r="X233" s="22">
        <v>6.0</v>
      </c>
      <c r="Y233" s="22" t="s">
        <v>42</v>
      </c>
      <c r="Z233" s="22">
        <f t="shared" ref="Z233:AI233" si="650">SUM(D237)</f>
        <v>33</v>
      </c>
      <c r="AA233" s="23">
        <f t="shared" si="650"/>
        <v>33</v>
      </c>
      <c r="AB233" s="24">
        <f t="shared" si="650"/>
        <v>6597.215</v>
      </c>
      <c r="AC233" s="23">
        <f t="shared" si="650"/>
        <v>3014</v>
      </c>
      <c r="AD233" s="23">
        <f t="shared" si="650"/>
        <v>234</v>
      </c>
      <c r="AE233" s="23">
        <f t="shared" si="650"/>
        <v>3248</v>
      </c>
      <c r="AF233" s="23">
        <f t="shared" si="650"/>
        <v>4605</v>
      </c>
      <c r="AG233" s="23">
        <f t="shared" si="650"/>
        <v>108</v>
      </c>
      <c r="AH233" s="23">
        <f t="shared" si="650"/>
        <v>4713</v>
      </c>
      <c r="AI233" s="23">
        <f t="shared" si="650"/>
        <v>7961</v>
      </c>
      <c r="AJ233" s="25">
        <f t="shared" si="635"/>
        <v>199.9156061</v>
      </c>
      <c r="AK233" s="22">
        <f t="shared" si="651"/>
        <v>9877</v>
      </c>
      <c r="AL233" s="26">
        <f t="shared" si="637"/>
        <v>0.8060139719</v>
      </c>
      <c r="AM233" s="27">
        <f t="shared" si="652"/>
        <v>1.5</v>
      </c>
      <c r="AN233" s="26">
        <f t="shared" si="639"/>
        <v>0.8044808807</v>
      </c>
      <c r="AO233" s="28">
        <f t="shared" si="640"/>
        <v>1.206721321</v>
      </c>
      <c r="AP233" s="27">
        <f t="shared" ref="AP233:AQ233" si="653">SUM(T237)</f>
        <v>252.2353279</v>
      </c>
      <c r="AQ233" s="27">
        <f t="shared" si="653"/>
        <v>7.643494783</v>
      </c>
      <c r="AR233" s="23">
        <f t="shared" si="642"/>
        <v>241.2424242</v>
      </c>
    </row>
    <row r="234" ht="15.75" customHeight="1">
      <c r="A234" s="21"/>
      <c r="B234" s="38">
        <v>13.0</v>
      </c>
      <c r="C234" s="38" t="s">
        <v>43</v>
      </c>
      <c r="D234" s="39">
        <v>30.0</v>
      </c>
      <c r="E234" s="40">
        <f>IFERROR(__xludf.DUMMYFUNCTION("COUNT(IMPORTRANGE(""https://docs.google.com/spreadsheets/d/1uGXvAN2jA6kmcEHUY4KqOHHewllZsujDdA6KVDfBCoA/edit"",""1!d2:d31""))"),30.0)</f>
        <v>30</v>
      </c>
      <c r="F234" s="45">
        <f>IFERROR(__xludf.DUMMYFUNCTION("SUM(IMPORTRANGE(""https://docs.google.com/spreadsheets/d/1uGXvAN2jA6kmcEHUY4KqOHHewllZsujDdA6KVDfBCoA/edit"",""1!Q2:Q31""))"),6034.986)</f>
        <v>6034.986</v>
      </c>
      <c r="G234" s="40">
        <f>IFERROR(__xludf.DUMMYFUNCTION("IMPORTRANGE(""https://docs.google.com/spreadsheets/d/1uGXvAN2jA6kmcEHUY4KqOHHewllZsujDdA6KVDfBCoA/edit"",""1!e38"")"),1876.0)</f>
        <v>1876</v>
      </c>
      <c r="H234" s="40">
        <f>IFERROR(__xludf.DUMMYFUNCTION("IMPORTRANGE(""https://docs.google.com/spreadsheets/d/1uGXvAN2jA6kmcEHUY4KqOHHewllZsujDdA6KVDfBCoA/edit"",""1!e39"")"),79.0)</f>
        <v>79</v>
      </c>
      <c r="I234" s="40">
        <f t="shared" si="615"/>
        <v>1955</v>
      </c>
      <c r="J234" s="40">
        <f>IFERROR(__xludf.DUMMYFUNCTION("IMPORTRANGE(""https://docs.google.com/spreadsheets/d/1uGXvAN2jA6kmcEHUY4KqOHHewllZsujDdA6KVDfBCoA/edit"",""1!e42"")"),2967.0)</f>
        <v>2967</v>
      </c>
      <c r="K234" s="40">
        <f>IFERROR(__xludf.DUMMYFUNCTION("IMPORTRANGE(""https://docs.google.com/spreadsheets/d/1uGXvAN2jA6kmcEHUY4KqOHHewllZsujDdA6KVDfBCoA/edit"",""1!e43"")"),140.0)</f>
        <v>140</v>
      </c>
      <c r="L234" s="40">
        <f t="shared" si="645"/>
        <v>3107</v>
      </c>
      <c r="M234" s="40">
        <f t="shared" si="617"/>
        <v>5062</v>
      </c>
      <c r="N234" s="41">
        <f t="shared" si="618"/>
        <v>201.1662</v>
      </c>
      <c r="O234" s="38">
        <v>8345.0</v>
      </c>
      <c r="P234" s="42">
        <f t="shared" si="619"/>
        <v>0.6065907729</v>
      </c>
      <c r="Q234" s="43">
        <v>1.5</v>
      </c>
      <c r="R234" s="42">
        <f t="shared" si="620"/>
        <v>0.5591838435</v>
      </c>
      <c r="S234" s="44">
        <f t="shared" si="621"/>
        <v>0.8387757652</v>
      </c>
      <c r="T234" s="43">
        <f>F234/41.205</f>
        <v>146.4624681</v>
      </c>
      <c r="U234" s="43">
        <f t="shared" si="622"/>
        <v>4.882082272</v>
      </c>
      <c r="V234" s="40">
        <f t="shared" si="623"/>
        <v>168.7333333</v>
      </c>
      <c r="X234" s="46" t="s">
        <v>33</v>
      </c>
      <c r="Y234" s="46">
        <v>6.0</v>
      </c>
      <c r="Z234" s="46">
        <f t="shared" ref="Z234:AI234" si="654">SUM(Z228:Z233)</f>
        <v>226</v>
      </c>
      <c r="AA234" s="47">
        <f t="shared" si="654"/>
        <v>224</v>
      </c>
      <c r="AB234" s="49">
        <f t="shared" si="654"/>
        <v>44273.509</v>
      </c>
      <c r="AC234" s="47">
        <f t="shared" si="654"/>
        <v>17564</v>
      </c>
      <c r="AD234" s="47">
        <f t="shared" si="654"/>
        <v>535</v>
      </c>
      <c r="AE234" s="47">
        <f t="shared" si="654"/>
        <v>18099</v>
      </c>
      <c r="AF234" s="47">
        <f t="shared" si="654"/>
        <v>24048</v>
      </c>
      <c r="AG234" s="47">
        <f t="shared" si="654"/>
        <v>386</v>
      </c>
      <c r="AH234" s="47">
        <f t="shared" si="654"/>
        <v>24434</v>
      </c>
      <c r="AI234" s="47">
        <f t="shared" si="654"/>
        <v>42533</v>
      </c>
      <c r="AJ234" s="49">
        <f t="shared" si="635"/>
        <v>197.6495938</v>
      </c>
      <c r="AK234" s="46">
        <f>SUM(AK228:AK233)</f>
        <v>53273</v>
      </c>
      <c r="AL234" s="50">
        <f t="shared" si="637"/>
        <v>0.7983969365</v>
      </c>
      <c r="AM234" s="51">
        <v>1.5</v>
      </c>
      <c r="AN234" s="50">
        <f t="shared" si="639"/>
        <v>0.6404582328</v>
      </c>
      <c r="AO234" s="52">
        <f t="shared" si="640"/>
        <v>0.9606873492</v>
      </c>
      <c r="AP234" s="51">
        <f>SUM(AP228:AP233)</f>
        <v>1456.754836</v>
      </c>
      <c r="AQ234" s="51">
        <f>AP234/AA234</f>
        <v>6.503369804</v>
      </c>
      <c r="AR234" s="47">
        <f t="shared" si="642"/>
        <v>189.8794643</v>
      </c>
    </row>
    <row r="235" ht="15.75" customHeight="1">
      <c r="A235" s="21"/>
      <c r="B235" s="38">
        <v>14.0</v>
      </c>
      <c r="C235" s="38" t="s">
        <v>27</v>
      </c>
      <c r="D235" s="39">
        <v>30.0</v>
      </c>
      <c r="E235" s="40">
        <f>IFERROR(__xludf.DUMMYFUNCTION("COUNT(IMPORTRANGE(""https://docs.google.com/spreadsheets/d/1iYtf3wkjJIgOL8ej0-L89wY8FLXKi6EiRbi9UqA1Bzw/edit"",""1!d2:d31""))"),29.0)</f>
        <v>29</v>
      </c>
      <c r="F235" s="45">
        <f>IFERROR(__xludf.DUMMYFUNCTION("SUM(IMPORTRANGE(""https://docs.google.com/spreadsheets/d/1iYtf3wkjJIgOL8ej0-L89wY8FLXKi6EiRbi9UqA1Bzw/edit"",""1!Q2:Q31""))"),5631.663000000001)</f>
        <v>5631.663</v>
      </c>
      <c r="G235" s="40">
        <f>IFERROR(__xludf.DUMMYFUNCTION("IMPORTRANGE(""https://docs.google.com/spreadsheets/d/1iYtf3wkjJIgOL8ej0-L89wY8FLXKi6EiRbi9UqA1Bzw/edit"",""1!e38"")"),2486.0)</f>
        <v>2486</v>
      </c>
      <c r="H235" s="40">
        <f>IFERROR(__xludf.DUMMYFUNCTION("IMPORTRANGE(""https://docs.google.com/spreadsheets/d/1iYtf3wkjJIgOL8ej0-L89wY8FLXKi6EiRbi9UqA1Bzw/edit"",""1!e39"")"),80.0)</f>
        <v>80</v>
      </c>
      <c r="I235" s="40">
        <f t="shared" si="615"/>
        <v>2566</v>
      </c>
      <c r="J235" s="40">
        <f>IFERROR(__xludf.DUMMYFUNCTION("IMPORTRANGE(""https://docs.google.com/spreadsheets/d/1iYtf3wkjJIgOL8ej0-L89wY8FLXKi6EiRbi9UqA1Bzw/edit"",""1!e42"")"),2945.0)</f>
        <v>2945</v>
      </c>
      <c r="K235" s="40">
        <f>IFERROR(__xludf.DUMMYFUNCTION("IMPORTRANGE(""https://docs.google.com/spreadsheets/d/1iYtf3wkjJIgOL8ej0-L89wY8FLXKi6EiRbi9UqA1Bzw/edit"",""1!e43"")"),88.0)</f>
        <v>88</v>
      </c>
      <c r="L235" s="40">
        <f t="shared" si="645"/>
        <v>3033</v>
      </c>
      <c r="M235" s="40">
        <f t="shared" si="617"/>
        <v>5599</v>
      </c>
      <c r="N235" s="41">
        <f t="shared" si="618"/>
        <v>194.1952759</v>
      </c>
      <c r="O235" s="38">
        <v>8101.0</v>
      </c>
      <c r="P235" s="42">
        <f t="shared" si="619"/>
        <v>0.6911492408</v>
      </c>
      <c r="Q235" s="43">
        <v>1.5</v>
      </c>
      <c r="R235" s="42">
        <f t="shared" si="620"/>
        <v>0.6628000764</v>
      </c>
      <c r="S235" s="44">
        <f t="shared" si="621"/>
        <v>0.9942001146</v>
      </c>
      <c r="T235" s="43">
        <f>F235/19.985</f>
        <v>281.7944959</v>
      </c>
      <c r="U235" s="43">
        <f t="shared" si="622"/>
        <v>9.717051582</v>
      </c>
      <c r="V235" s="40">
        <f t="shared" si="623"/>
        <v>193.0689655</v>
      </c>
      <c r="X235" s="59" t="s">
        <v>44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6"/>
    </row>
    <row r="236" ht="15.75" customHeight="1">
      <c r="A236" s="21"/>
      <c r="B236" s="38">
        <v>15.0</v>
      </c>
      <c r="C236" s="38" t="s">
        <v>40</v>
      </c>
      <c r="D236" s="39">
        <v>30.0</v>
      </c>
      <c r="E236" s="40">
        <f>IFERROR(__xludf.DUMMYFUNCTION("COUNT(IMPORTRANGE(""https://docs.google.com/spreadsheets/d/1Wdf8MsoDBzMSsrzOXwaGQzbVjVqOWfKSqYmbncevZgA/edit"",""1!d2:d31""))"),30.0)</f>
        <v>30</v>
      </c>
      <c r="F236" s="45">
        <f>IFERROR(__xludf.DUMMYFUNCTION("SUM(IMPORTRANGE(""https://docs.google.com/spreadsheets/d/1Wdf8MsoDBzMSsrzOXwaGQzbVjVqOWfKSqYmbncevZgA/edit"",""1!Q2:Q31""))"),5660.156999999998)</f>
        <v>5660.157</v>
      </c>
      <c r="G236" s="40">
        <f>IFERROR(__xludf.DUMMYFUNCTION("IMPORTRANGE(""https://docs.google.com/spreadsheets/d/1Wdf8MsoDBzMSsrzOXwaGQzbVjVqOWfKSqYmbncevZgA/edit"",""1!e38"")"),3382.0)</f>
        <v>3382</v>
      </c>
      <c r="H236" s="40">
        <f>IFERROR(__xludf.DUMMYFUNCTION("IMPORTRANGE(""https://docs.google.com/spreadsheets/d/1Wdf8MsoDBzMSsrzOXwaGQzbVjVqOWfKSqYmbncevZgA/edit"",""1!e39"")"),0.0)</f>
        <v>0</v>
      </c>
      <c r="I236" s="40">
        <f t="shared" si="615"/>
        <v>3382</v>
      </c>
      <c r="J236" s="40">
        <f>IFERROR(__xludf.DUMMYFUNCTION("IMPORTRANGE(""https://docs.google.com/spreadsheets/d/1Wdf8MsoDBzMSsrzOXwaGQzbVjVqOWfKSqYmbncevZgA/edit"",""1!e42"")"),3798.0)</f>
        <v>3798</v>
      </c>
      <c r="K236" s="40">
        <f>IFERROR(__xludf.DUMMYFUNCTION("IMPORTRANGE(""https://docs.google.com/spreadsheets/d/1Wdf8MsoDBzMSsrzOXwaGQzbVjVqOWfKSqYmbncevZgA/edit"",""1!e43"")"),0.0)</f>
        <v>0</v>
      </c>
      <c r="L236" s="40">
        <f t="shared" si="645"/>
        <v>3798</v>
      </c>
      <c r="M236" s="40">
        <f t="shared" si="617"/>
        <v>7180</v>
      </c>
      <c r="N236" s="41">
        <f t="shared" si="618"/>
        <v>188.6719</v>
      </c>
      <c r="O236" s="38">
        <v>8239.0</v>
      </c>
      <c r="P236" s="42">
        <f t="shared" si="619"/>
        <v>0.8714649836</v>
      </c>
      <c r="Q236" s="43">
        <v>1.5</v>
      </c>
      <c r="R236" s="42">
        <f t="shared" si="620"/>
        <v>0.8456773667</v>
      </c>
      <c r="S236" s="44">
        <f t="shared" si="621"/>
        <v>1.26851605</v>
      </c>
      <c r="T236" s="43">
        <f>F236/28.443</f>
        <v>199</v>
      </c>
      <c r="U236" s="43">
        <f t="shared" si="622"/>
        <v>6.633333333</v>
      </c>
      <c r="V236" s="40">
        <f t="shared" si="623"/>
        <v>239.3333333</v>
      </c>
      <c r="X236" s="14" t="s">
        <v>2</v>
      </c>
      <c r="Y236" s="14" t="s">
        <v>3</v>
      </c>
      <c r="Z236" s="14" t="s">
        <v>4</v>
      </c>
      <c r="AA236" s="14" t="s">
        <v>5</v>
      </c>
      <c r="AB236" s="15" t="s">
        <v>6</v>
      </c>
      <c r="AC236" s="14" t="s">
        <v>7</v>
      </c>
      <c r="AD236" s="14" t="s">
        <v>8</v>
      </c>
      <c r="AE236" s="14" t="s">
        <v>9</v>
      </c>
      <c r="AF236" s="14" t="s">
        <v>10</v>
      </c>
      <c r="AG236" s="14" t="s">
        <v>11</v>
      </c>
      <c r="AH236" s="14" t="s">
        <v>12</v>
      </c>
      <c r="AI236" s="14" t="s">
        <v>13</v>
      </c>
      <c r="AJ236" s="15" t="s">
        <v>14</v>
      </c>
      <c r="AK236" s="14" t="s">
        <v>15</v>
      </c>
      <c r="AL236" s="14" t="s">
        <v>16</v>
      </c>
      <c r="AM236" s="16" t="s">
        <v>17</v>
      </c>
      <c r="AN236" s="17" t="s">
        <v>18</v>
      </c>
      <c r="AO236" s="18" t="s">
        <v>19</v>
      </c>
      <c r="AP236" s="19" t="s">
        <v>20</v>
      </c>
      <c r="AQ236" s="19" t="s">
        <v>21</v>
      </c>
      <c r="AR236" s="20" t="s">
        <v>22</v>
      </c>
    </row>
    <row r="237" ht="15.75" customHeight="1">
      <c r="A237" s="21"/>
      <c r="B237" s="38">
        <v>16.0</v>
      </c>
      <c r="C237" s="38" t="s">
        <v>42</v>
      </c>
      <c r="D237" s="39">
        <v>33.0</v>
      </c>
      <c r="E237" s="40">
        <f>IFERROR(__xludf.DUMMYFUNCTION("COUNT(IMPORTRANGE(""https://docs.google.com/spreadsheets/d/1Z5uB5HbeAKcHmG4EOw3rf2J8NpyvDiha6RReERAMvA0/edit"",""1!d2:d34""))"),33.0)</f>
        <v>33</v>
      </c>
      <c r="F237" s="45">
        <f>IFERROR(__xludf.DUMMYFUNCTION("SUM(IMPORTRANGE(""https://docs.google.com/spreadsheets/d/1Z5uB5HbeAKcHmG4EOw3rf2J8NpyvDiha6RReERAMvA0/edit"",""1!Q2:Q34""))"),6597.214999999997)</f>
        <v>6597.215</v>
      </c>
      <c r="G237" s="40">
        <f>IFERROR(__xludf.DUMMYFUNCTION("IMPORTRANGE(""https://docs.google.com/spreadsheets/d/1Z5uB5HbeAKcHmG4EOw3rf2J8NpyvDiha6RReERAMvA0/edit"",""1!e41"")"),3014.0)</f>
        <v>3014</v>
      </c>
      <c r="H237" s="40">
        <f>IFERROR(__xludf.DUMMYFUNCTION("IMPORTRANGE(""https://docs.google.com/spreadsheets/d/1Z5uB5HbeAKcHmG4EOw3rf2J8NpyvDiha6RReERAMvA0/edit"",""1!e42"")"),234.0)</f>
        <v>234</v>
      </c>
      <c r="I237" s="40">
        <f t="shared" si="615"/>
        <v>3248</v>
      </c>
      <c r="J237" s="40">
        <f>IFERROR(__xludf.DUMMYFUNCTION("IMPORTRANGE(""https://docs.google.com/spreadsheets/d/1Z5uB5HbeAKcHmG4EOw3rf2J8NpyvDiha6RReERAMvA0/edit"",""1!e45"")"),4605.0)</f>
        <v>4605</v>
      </c>
      <c r="K237" s="40">
        <f>IFERROR(__xludf.DUMMYFUNCTION("IMPORTRANGE(""https://docs.google.com/spreadsheets/d/1Z5uB5HbeAKcHmG4EOw3rf2J8NpyvDiha6RReERAMvA0/edit"",""1!e46"")"),108.0)</f>
        <v>108</v>
      </c>
      <c r="L237" s="40">
        <f t="shared" si="645"/>
        <v>4713</v>
      </c>
      <c r="M237" s="40">
        <f t="shared" si="617"/>
        <v>7961</v>
      </c>
      <c r="N237" s="41">
        <f t="shared" si="618"/>
        <v>199.9156061</v>
      </c>
      <c r="O237" s="38">
        <v>9877.0</v>
      </c>
      <c r="P237" s="42">
        <f t="shared" si="619"/>
        <v>0.8060139719</v>
      </c>
      <c r="Q237" s="43">
        <v>1.5</v>
      </c>
      <c r="R237" s="42">
        <f t="shared" si="620"/>
        <v>0.8044808807</v>
      </c>
      <c r="S237" s="44">
        <f t="shared" si="621"/>
        <v>1.206721321</v>
      </c>
      <c r="T237" s="43">
        <f>F237/26.155</f>
        <v>252.2353279</v>
      </c>
      <c r="U237" s="43">
        <f t="shared" si="622"/>
        <v>7.643494783</v>
      </c>
      <c r="V237" s="40">
        <f t="shared" si="623"/>
        <v>241.2424242</v>
      </c>
      <c r="X237" s="31">
        <v>1.0</v>
      </c>
      <c r="Y237" s="31" t="s">
        <v>26</v>
      </c>
      <c r="Z237" s="31">
        <f t="shared" ref="Z237:AI237" si="655">SUM(D222)</f>
        <v>20</v>
      </c>
      <c r="AA237" s="32">
        <f t="shared" si="655"/>
        <v>20</v>
      </c>
      <c r="AB237" s="34">
        <f t="shared" si="655"/>
        <v>3935.295</v>
      </c>
      <c r="AC237" s="32">
        <f t="shared" si="655"/>
        <v>2229</v>
      </c>
      <c r="AD237" s="32">
        <f t="shared" si="655"/>
        <v>0</v>
      </c>
      <c r="AE237" s="32">
        <f t="shared" si="655"/>
        <v>2229</v>
      </c>
      <c r="AF237" s="32">
        <f t="shared" si="655"/>
        <v>2661</v>
      </c>
      <c r="AG237" s="32">
        <f t="shared" si="655"/>
        <v>47</v>
      </c>
      <c r="AH237" s="32">
        <f t="shared" si="655"/>
        <v>2708</v>
      </c>
      <c r="AI237" s="32">
        <f t="shared" si="655"/>
        <v>4937</v>
      </c>
      <c r="AJ237" s="34">
        <f t="shared" ref="AJ237:AJ243" si="658">AB237/AA237</f>
        <v>196.76475</v>
      </c>
      <c r="AK237" s="31">
        <f>SUM(O222)</f>
        <v>5161</v>
      </c>
      <c r="AL237" s="35">
        <f t="shared" ref="AL237:AL243" si="659">AI237/AK237</f>
        <v>0.9565975586</v>
      </c>
      <c r="AM237" s="36">
        <f>SUM(Q222)</f>
        <v>1.5</v>
      </c>
      <c r="AN237" s="35">
        <f t="shared" ref="AN237:AN243" si="660">AO237/AM237</f>
        <v>0.8363625429</v>
      </c>
      <c r="AO237" s="37">
        <f t="shared" ref="AO237:AO243" si="661">AI237/AB237</f>
        <v>1.254543814</v>
      </c>
      <c r="AP237" s="36">
        <f t="shared" ref="AP237:AQ237" si="656">SUM(T222)</f>
        <v>273</v>
      </c>
      <c r="AQ237" s="36">
        <f t="shared" si="656"/>
        <v>13.65</v>
      </c>
      <c r="AR237" s="32">
        <f t="shared" ref="AR237:AR243" si="663">AI237/AA237</f>
        <v>246.85</v>
      </c>
    </row>
    <row r="238" ht="15.75" customHeight="1">
      <c r="A238" s="21"/>
      <c r="B238" s="38">
        <v>17.0</v>
      </c>
      <c r="C238" s="38" t="s">
        <v>29</v>
      </c>
      <c r="D238" s="39">
        <v>30.0</v>
      </c>
      <c r="E238" s="40">
        <f>IFERROR(__xludf.DUMMYFUNCTION("COUNT(IMPORTRANGE(""https://docs.google.com/spreadsheets/d/1wfJqI0e9wVPqEQv3N6b8KgINjqI0OBECEyIFeY9j3i8/edit"",""1!d2:d31""))"),29.0)</f>
        <v>29</v>
      </c>
      <c r="F238" s="45">
        <f>IFERROR(__xludf.DUMMYFUNCTION("SUM(IMPORTRANGE(""https://docs.google.com/spreadsheets/d/1wfJqI0e9wVPqEQv3N6b8KgINjqI0OBECEyIFeY9j3i8/edit"",""1!Q2:Q31""))"),5722.055999999998)</f>
        <v>5722.056</v>
      </c>
      <c r="G238" s="40">
        <f>IFERROR(__xludf.DUMMYFUNCTION("IMPORTRANGE(""https://docs.google.com/spreadsheets/d/1wfJqI0e9wVPqEQv3N6b8KgINjqI0OBECEyIFeY9j3i8/edit"",""1!e38"")"),2610.0)</f>
        <v>2610</v>
      </c>
      <c r="H238" s="40">
        <f>IFERROR(__xludf.DUMMYFUNCTION("IMPORTRANGE(""https://docs.google.com/spreadsheets/d/1wfJqI0e9wVPqEQv3N6b8KgINjqI0OBECEyIFeY9j3i8/edit"",""1!e39"")"),0.0)</f>
        <v>0</v>
      </c>
      <c r="I238" s="40">
        <f t="shared" si="615"/>
        <v>2610</v>
      </c>
      <c r="J238" s="40">
        <f>IFERROR(__xludf.DUMMYFUNCTION("IMPORTRANGE(""https://docs.google.com/spreadsheets/d/1wfJqI0e9wVPqEQv3N6b8KgINjqI0OBECEyIFeY9j3i8/edit"",""1!e42"")"),4378.0)</f>
        <v>4378</v>
      </c>
      <c r="K238" s="40">
        <f>IFERROR(__xludf.DUMMYFUNCTION("IMPORTRANGE(""https://docs.google.com/spreadsheets/d/1wfJqI0e9wVPqEQv3N6b8KgINjqI0OBECEyIFeY9j3i8/edit"",""1!e43"")"),0.0)</f>
        <v>0</v>
      </c>
      <c r="L238" s="40">
        <f t="shared" si="645"/>
        <v>4378</v>
      </c>
      <c r="M238" s="40">
        <f t="shared" si="617"/>
        <v>6988</v>
      </c>
      <c r="N238" s="41">
        <f t="shared" si="618"/>
        <v>197.3122759</v>
      </c>
      <c r="O238" s="38">
        <v>9201.0</v>
      </c>
      <c r="P238" s="42">
        <f t="shared" si="619"/>
        <v>0.7594826649</v>
      </c>
      <c r="Q238" s="43">
        <v>1.5</v>
      </c>
      <c r="R238" s="42">
        <f t="shared" si="620"/>
        <v>0.8141595725</v>
      </c>
      <c r="S238" s="44">
        <f t="shared" si="621"/>
        <v>1.221239359</v>
      </c>
      <c r="T238" s="43">
        <f>F238/26.491</f>
        <v>216</v>
      </c>
      <c r="U238" s="43">
        <f t="shared" si="622"/>
        <v>7.448275862</v>
      </c>
      <c r="V238" s="40">
        <f t="shared" si="623"/>
        <v>240.9655172</v>
      </c>
      <c r="X238" s="31">
        <v>2.0</v>
      </c>
      <c r="Y238" s="31" t="s">
        <v>32</v>
      </c>
      <c r="Z238" s="31">
        <f t="shared" ref="Z238:AI238" si="657">SUM(D225)</f>
        <v>42</v>
      </c>
      <c r="AA238" s="32">
        <f t="shared" si="657"/>
        <v>42</v>
      </c>
      <c r="AB238" s="33">
        <f t="shared" si="657"/>
        <v>8240.662</v>
      </c>
      <c r="AC238" s="31">
        <f t="shared" si="657"/>
        <v>4515</v>
      </c>
      <c r="AD238" s="31">
        <f t="shared" si="657"/>
        <v>0</v>
      </c>
      <c r="AE238" s="32">
        <f t="shared" si="657"/>
        <v>4515</v>
      </c>
      <c r="AF238" s="31">
        <f t="shared" si="657"/>
        <v>5726</v>
      </c>
      <c r="AG238" s="31">
        <f t="shared" si="657"/>
        <v>0</v>
      </c>
      <c r="AH238" s="32">
        <f t="shared" si="657"/>
        <v>5726</v>
      </c>
      <c r="AI238" s="32">
        <f t="shared" si="657"/>
        <v>10241</v>
      </c>
      <c r="AJ238" s="34">
        <f t="shared" si="658"/>
        <v>196.2062381</v>
      </c>
      <c r="AK238" s="31">
        <f>SUM(O225)</f>
        <v>13817</v>
      </c>
      <c r="AL238" s="35">
        <f t="shared" si="659"/>
        <v>0.7411883911</v>
      </c>
      <c r="AM238" s="36">
        <f>SUM(Q225)</f>
        <v>1.5</v>
      </c>
      <c r="AN238" s="35">
        <f t="shared" si="660"/>
        <v>0.8284933096</v>
      </c>
      <c r="AO238" s="37">
        <f t="shared" si="661"/>
        <v>1.242739964</v>
      </c>
      <c r="AP238" s="36">
        <f t="shared" ref="AP238:AQ238" si="662">SUM(T225)</f>
        <v>328.4571725</v>
      </c>
      <c r="AQ238" s="36">
        <f t="shared" si="662"/>
        <v>7.820408868</v>
      </c>
      <c r="AR238" s="32">
        <f t="shared" si="663"/>
        <v>243.8333333</v>
      </c>
    </row>
    <row r="239" ht="15.75" customHeight="1">
      <c r="A239" s="21"/>
      <c r="B239" s="38">
        <v>18.0</v>
      </c>
      <c r="C239" s="38" t="s">
        <v>31</v>
      </c>
      <c r="D239" s="39">
        <v>15.0</v>
      </c>
      <c r="E239" s="40">
        <f>IFERROR(__xludf.DUMMYFUNCTION("COUNT(IMPORTRANGE(""https://docs.google.com/spreadsheets/d/1-y2KhTAo7d8kowgUuWUDfRQuRMUAFteRYEXorT3_wOs/edit"",""1!d2:d16""))"),14.0)</f>
        <v>14</v>
      </c>
      <c r="F239" s="41">
        <f>IFERROR(__xludf.DUMMYFUNCTION("SUM(IMPORTRANGE(""https://docs.google.com/spreadsheets/d/1-y2KhTAo7d8kowgUuWUDfRQuRMUAFteRYEXorT3_wOs/edit"",""1!Q2:Q16""))"),2520.9699999999993)</f>
        <v>2520.97</v>
      </c>
      <c r="G239" s="40">
        <f>IFERROR(__xludf.DUMMYFUNCTION("IMPORTRANGE(""https://docs.google.com/spreadsheets/d/1-y2KhTAo7d8kowgUuWUDfRQuRMUAFteRYEXorT3_wOs/edit"",""1!e23"")"),633.0)</f>
        <v>633</v>
      </c>
      <c r="H239" s="40">
        <f>IFERROR(__xludf.DUMMYFUNCTION("IMPORTRANGE(""https://docs.google.com/spreadsheets/d/1-y2KhTAo7d8kowgUuWUDfRQuRMUAFteRYEXorT3_wOs/edit"",""1!e24"")"),0.0)</f>
        <v>0</v>
      </c>
      <c r="I239" s="40">
        <f t="shared" si="615"/>
        <v>633</v>
      </c>
      <c r="J239" s="40">
        <f>IFERROR(__xludf.DUMMYFUNCTION("IMPORTRANGE(""https://docs.google.com/spreadsheets/d/1-y2KhTAo7d8kowgUuWUDfRQuRMUAFteRYEXorT3_wOs/edit"",""1!e27"")"),1148.0)</f>
        <v>1148</v>
      </c>
      <c r="K239" s="40">
        <f>IFERROR(__xludf.DUMMYFUNCTION("IMPORTRANGE(""https://docs.google.com/spreadsheets/d/1-y2KhTAo7d8kowgUuWUDfRQuRMUAFteRYEXorT3_wOs/edit"",""1!e28"")"),15.0)</f>
        <v>15</v>
      </c>
      <c r="L239" s="40">
        <f t="shared" si="645"/>
        <v>1163</v>
      </c>
      <c r="M239" s="40">
        <f t="shared" si="617"/>
        <v>1796</v>
      </c>
      <c r="N239" s="41">
        <f t="shared" si="618"/>
        <v>180.0692857</v>
      </c>
      <c r="O239" s="38">
        <v>2717.0</v>
      </c>
      <c r="P239" s="42">
        <f t="shared" si="619"/>
        <v>0.6610231873</v>
      </c>
      <c r="Q239" s="43">
        <v>1.5</v>
      </c>
      <c r="R239" s="42">
        <f t="shared" si="620"/>
        <v>0.4749494573</v>
      </c>
      <c r="S239" s="44">
        <f t="shared" si="621"/>
        <v>0.7124241859</v>
      </c>
      <c r="T239" s="43">
        <f>F239/43.465</f>
        <v>58</v>
      </c>
      <c r="U239" s="43">
        <f t="shared" si="622"/>
        <v>4.142857143</v>
      </c>
      <c r="V239" s="40">
        <f t="shared" si="623"/>
        <v>128.2857143</v>
      </c>
      <c r="X239" s="31">
        <v>3.0</v>
      </c>
      <c r="Y239" s="31" t="s">
        <v>36</v>
      </c>
      <c r="Z239" s="31">
        <f t="shared" ref="Z239:AI239" si="664">SUM(D230)</f>
        <v>30</v>
      </c>
      <c r="AA239" s="32">
        <f t="shared" si="664"/>
        <v>29</v>
      </c>
      <c r="AB239" s="33">
        <f t="shared" si="664"/>
        <v>4875.345</v>
      </c>
      <c r="AC239" s="32">
        <f t="shared" si="664"/>
        <v>1728</v>
      </c>
      <c r="AD239" s="32">
        <f t="shared" si="664"/>
        <v>0</v>
      </c>
      <c r="AE239" s="32">
        <f t="shared" si="664"/>
        <v>1728</v>
      </c>
      <c r="AF239" s="32">
        <f t="shared" si="664"/>
        <v>2407</v>
      </c>
      <c r="AG239" s="32">
        <f t="shared" si="664"/>
        <v>20</v>
      </c>
      <c r="AH239" s="32">
        <f t="shared" si="664"/>
        <v>2427</v>
      </c>
      <c r="AI239" s="32">
        <f t="shared" si="664"/>
        <v>4155</v>
      </c>
      <c r="AJ239" s="34">
        <f t="shared" si="658"/>
        <v>168.1153448</v>
      </c>
      <c r="AK239" s="31">
        <f t="shared" ref="AK239:AK242" si="668">SUM(O230)</f>
        <v>4796</v>
      </c>
      <c r="AL239" s="35">
        <f t="shared" si="659"/>
        <v>0.8663469558</v>
      </c>
      <c r="AM239" s="36">
        <f t="shared" ref="AM239:AM242" si="669">SUM(Q230)</f>
        <v>1.5</v>
      </c>
      <c r="AN239" s="35">
        <f t="shared" si="660"/>
        <v>0.5681649196</v>
      </c>
      <c r="AO239" s="37">
        <f t="shared" si="661"/>
        <v>0.8522473794</v>
      </c>
      <c r="AP239" s="36">
        <f t="shared" ref="AP239:AQ239" si="665">SUM(T230)</f>
        <v>130.3080398</v>
      </c>
      <c r="AQ239" s="36">
        <f t="shared" si="665"/>
        <v>4.493380682</v>
      </c>
      <c r="AR239" s="32">
        <f t="shared" si="663"/>
        <v>143.2758621</v>
      </c>
    </row>
    <row r="240" ht="15.75" customHeight="1">
      <c r="A240" s="21"/>
      <c r="B240" s="60" t="s">
        <v>33</v>
      </c>
      <c r="C240" s="60">
        <v>18.0</v>
      </c>
      <c r="D240" s="60">
        <f t="shared" ref="D240:M240" si="666">SUM(D222:D239)</f>
        <v>586</v>
      </c>
      <c r="E240" s="61">
        <f t="shared" si="666"/>
        <v>576</v>
      </c>
      <c r="F240" s="62">
        <f t="shared" si="666"/>
        <v>111449.623</v>
      </c>
      <c r="G240" s="61">
        <f t="shared" si="666"/>
        <v>41757</v>
      </c>
      <c r="H240" s="61">
        <f t="shared" si="666"/>
        <v>946</v>
      </c>
      <c r="I240" s="61">
        <f t="shared" si="666"/>
        <v>42703</v>
      </c>
      <c r="J240" s="61">
        <f t="shared" si="666"/>
        <v>57855</v>
      </c>
      <c r="K240" s="61">
        <f t="shared" si="666"/>
        <v>875</v>
      </c>
      <c r="L240" s="61">
        <f t="shared" si="666"/>
        <v>58730</v>
      </c>
      <c r="M240" s="61">
        <f t="shared" si="666"/>
        <v>101433</v>
      </c>
      <c r="N240" s="62">
        <f t="shared" si="618"/>
        <v>193.4889288</v>
      </c>
      <c r="O240" s="60">
        <f>SUM(O222:O239)</f>
        <v>126399</v>
      </c>
      <c r="P240" s="63">
        <f t="shared" si="619"/>
        <v>0.8024826146</v>
      </c>
      <c r="Q240" s="64">
        <v>1.5</v>
      </c>
      <c r="R240" s="63">
        <f t="shared" si="620"/>
        <v>0.6067494728</v>
      </c>
      <c r="S240" s="65">
        <f t="shared" si="621"/>
        <v>0.9101242092</v>
      </c>
      <c r="T240" s="64">
        <f>SUM(T222:T239)</f>
        <v>4122.022266</v>
      </c>
      <c r="U240" s="64">
        <f t="shared" si="622"/>
        <v>7.156288656</v>
      </c>
      <c r="V240" s="61">
        <f t="shared" si="623"/>
        <v>176.0989583</v>
      </c>
      <c r="X240" s="31">
        <v>4.0</v>
      </c>
      <c r="Y240" s="31" t="s">
        <v>37</v>
      </c>
      <c r="Z240" s="31">
        <f t="shared" ref="Z240:AI240" si="667">SUM(D231)</f>
        <v>30</v>
      </c>
      <c r="AA240" s="32">
        <f t="shared" si="667"/>
        <v>28</v>
      </c>
      <c r="AB240" s="33">
        <f t="shared" si="667"/>
        <v>5465.1</v>
      </c>
      <c r="AC240" s="32">
        <f t="shared" si="667"/>
        <v>2135</v>
      </c>
      <c r="AD240" s="32">
        <f t="shared" si="667"/>
        <v>0</v>
      </c>
      <c r="AE240" s="32">
        <f t="shared" si="667"/>
        <v>2135</v>
      </c>
      <c r="AF240" s="32">
        <f t="shared" si="667"/>
        <v>3182</v>
      </c>
      <c r="AG240" s="32">
        <f t="shared" si="667"/>
        <v>0</v>
      </c>
      <c r="AH240" s="32">
        <f t="shared" si="667"/>
        <v>3182</v>
      </c>
      <c r="AI240" s="32">
        <f t="shared" si="667"/>
        <v>5317</v>
      </c>
      <c r="AJ240" s="34">
        <f t="shared" si="658"/>
        <v>195.1821429</v>
      </c>
      <c r="AK240" s="31">
        <f t="shared" si="668"/>
        <v>5887</v>
      </c>
      <c r="AL240" s="35">
        <f t="shared" si="659"/>
        <v>0.9031764906</v>
      </c>
      <c r="AM240" s="36">
        <f t="shared" si="669"/>
        <v>1.5</v>
      </c>
      <c r="AN240" s="35">
        <f t="shared" si="660"/>
        <v>0.6486005136</v>
      </c>
      <c r="AO240" s="37">
        <f t="shared" si="661"/>
        <v>0.9729007703</v>
      </c>
      <c r="AP240" s="36">
        <f t="shared" ref="AP240:AQ240" si="670">SUM(T231)</f>
        <v>220.4380445</v>
      </c>
      <c r="AQ240" s="36">
        <f t="shared" si="670"/>
        <v>7.872787305</v>
      </c>
      <c r="AR240" s="32">
        <f t="shared" si="663"/>
        <v>189.8928571</v>
      </c>
    </row>
    <row r="241" ht="15.7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X241" s="31">
        <v>5.0</v>
      </c>
      <c r="Y241" s="31" t="s">
        <v>39</v>
      </c>
      <c r="Z241" s="31">
        <f t="shared" ref="Z241:AI241" si="671">SUM(D232)</f>
        <v>28</v>
      </c>
      <c r="AA241" s="32">
        <f t="shared" si="671"/>
        <v>27</v>
      </c>
      <c r="AB241" s="33">
        <f t="shared" si="671"/>
        <v>5318.459</v>
      </c>
      <c r="AC241" s="32">
        <f t="shared" si="671"/>
        <v>1229</v>
      </c>
      <c r="AD241" s="32">
        <f t="shared" si="671"/>
        <v>0</v>
      </c>
      <c r="AE241" s="32">
        <f t="shared" si="671"/>
        <v>1229</v>
      </c>
      <c r="AF241" s="32">
        <f t="shared" si="671"/>
        <v>1740</v>
      </c>
      <c r="AG241" s="32">
        <f t="shared" si="671"/>
        <v>0</v>
      </c>
      <c r="AH241" s="32">
        <f t="shared" si="671"/>
        <v>1740</v>
      </c>
      <c r="AI241" s="32">
        <f t="shared" si="671"/>
        <v>2969</v>
      </c>
      <c r="AJ241" s="34">
        <f t="shared" si="658"/>
        <v>196.979963</v>
      </c>
      <c r="AK241" s="31">
        <f t="shared" si="668"/>
        <v>3569</v>
      </c>
      <c r="AL241" s="35">
        <f t="shared" si="659"/>
        <v>0.8318856823</v>
      </c>
      <c r="AM241" s="36">
        <f t="shared" si="669"/>
        <v>1.5</v>
      </c>
      <c r="AN241" s="35">
        <f t="shared" si="660"/>
        <v>0.3721629392</v>
      </c>
      <c r="AO241" s="37">
        <f t="shared" si="661"/>
        <v>0.5582444088</v>
      </c>
      <c r="AP241" s="36">
        <f t="shared" ref="AP241:AQ241" si="672">SUM(T232)</f>
        <v>247.7966268</v>
      </c>
      <c r="AQ241" s="36">
        <f t="shared" si="672"/>
        <v>9.177652843</v>
      </c>
      <c r="AR241" s="32">
        <f t="shared" si="663"/>
        <v>109.962963</v>
      </c>
    </row>
    <row r="242" ht="15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X242" s="31">
        <v>6.0</v>
      </c>
      <c r="Y242" s="31" t="s">
        <v>41</v>
      </c>
      <c r="Z242" s="31">
        <f t="shared" ref="Z242:AI242" si="673">SUM(D233)</f>
        <v>24</v>
      </c>
      <c r="AA242" s="32">
        <f t="shared" si="673"/>
        <v>24</v>
      </c>
      <c r="AB242" s="33">
        <f t="shared" si="673"/>
        <v>4793.152</v>
      </c>
      <c r="AC242" s="32">
        <f t="shared" si="673"/>
        <v>1363</v>
      </c>
      <c r="AD242" s="32">
        <f t="shared" si="673"/>
        <v>0</v>
      </c>
      <c r="AE242" s="32">
        <f t="shared" si="673"/>
        <v>1363</v>
      </c>
      <c r="AF242" s="32">
        <f t="shared" si="673"/>
        <v>1818</v>
      </c>
      <c r="AG242" s="32">
        <f t="shared" si="673"/>
        <v>0</v>
      </c>
      <c r="AH242" s="32">
        <f t="shared" si="673"/>
        <v>1818</v>
      </c>
      <c r="AI242" s="32">
        <f t="shared" si="673"/>
        <v>3181</v>
      </c>
      <c r="AJ242" s="34">
        <f t="shared" si="658"/>
        <v>199.7146667</v>
      </c>
      <c r="AK242" s="31">
        <f t="shared" si="668"/>
        <v>3801</v>
      </c>
      <c r="AL242" s="35">
        <f t="shared" si="659"/>
        <v>0.8368850303</v>
      </c>
      <c r="AM242" s="36">
        <f t="shared" si="669"/>
        <v>1.5</v>
      </c>
      <c r="AN242" s="35">
        <f t="shared" si="660"/>
        <v>0.4424367653</v>
      </c>
      <c r="AO242" s="37">
        <f t="shared" si="661"/>
        <v>0.663655148</v>
      </c>
      <c r="AP242" s="36">
        <f t="shared" ref="AP242:AQ242" si="674">SUM(T233)</f>
        <v>161.7777778</v>
      </c>
      <c r="AQ242" s="36">
        <f t="shared" si="674"/>
        <v>6.740740741</v>
      </c>
      <c r="AR242" s="32">
        <f t="shared" si="663"/>
        <v>132.5416667</v>
      </c>
    </row>
    <row r="243" ht="15.75" customHeight="1">
      <c r="A243" s="1" t="s">
        <v>45</v>
      </c>
      <c r="D243" s="2"/>
      <c r="X243" s="46" t="s">
        <v>33</v>
      </c>
      <c r="Y243" s="46">
        <v>6.0</v>
      </c>
      <c r="Z243" s="46">
        <f t="shared" ref="Z243:AI243" si="675">SUM(Z237:Z242)</f>
        <v>174</v>
      </c>
      <c r="AA243" s="47">
        <f t="shared" si="675"/>
        <v>170</v>
      </c>
      <c r="AB243" s="49">
        <f t="shared" si="675"/>
        <v>32628.013</v>
      </c>
      <c r="AC243" s="47">
        <f t="shared" si="675"/>
        <v>13199</v>
      </c>
      <c r="AD243" s="47">
        <f t="shared" si="675"/>
        <v>0</v>
      </c>
      <c r="AE243" s="47">
        <f t="shared" si="675"/>
        <v>13199</v>
      </c>
      <c r="AF243" s="47">
        <f t="shared" si="675"/>
        <v>17534</v>
      </c>
      <c r="AG243" s="47">
        <f t="shared" si="675"/>
        <v>67</v>
      </c>
      <c r="AH243" s="47">
        <f t="shared" si="675"/>
        <v>17601</v>
      </c>
      <c r="AI243" s="47">
        <f t="shared" si="675"/>
        <v>30800</v>
      </c>
      <c r="AJ243" s="49">
        <f t="shared" si="658"/>
        <v>191.9294882</v>
      </c>
      <c r="AK243" s="46">
        <f>SUM(AK237:AK242)</f>
        <v>37031</v>
      </c>
      <c r="AL243" s="50">
        <f t="shared" si="659"/>
        <v>0.8317355729</v>
      </c>
      <c r="AM243" s="51">
        <v>1.5</v>
      </c>
      <c r="AN243" s="50">
        <f t="shared" si="660"/>
        <v>0.6293160829</v>
      </c>
      <c r="AO243" s="52">
        <f t="shared" si="661"/>
        <v>0.9439741243</v>
      </c>
      <c r="AP243" s="51">
        <f>SUM(AP237:AP242)</f>
        <v>1361.777661</v>
      </c>
      <c r="AQ243" s="51">
        <f>AP243/AA243</f>
        <v>8.010456831</v>
      </c>
      <c r="AR243" s="47">
        <f t="shared" si="663"/>
        <v>181.1764706</v>
      </c>
    </row>
    <row r="244" ht="15.75" customHeight="1">
      <c r="A244" s="1" t="s">
        <v>45</v>
      </c>
      <c r="D244" s="2"/>
      <c r="X244" s="66" t="s">
        <v>1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6"/>
    </row>
    <row r="245" ht="15.75" customHeight="1">
      <c r="A245" s="7">
        <v>46275.0</v>
      </c>
      <c r="B245" s="8" t="s">
        <v>2</v>
      </c>
      <c r="C245" s="8" t="s">
        <v>3</v>
      </c>
      <c r="D245" s="8" t="s">
        <v>4</v>
      </c>
      <c r="E245" s="8" t="s">
        <v>5</v>
      </c>
      <c r="F245" s="9" t="s">
        <v>6</v>
      </c>
      <c r="G245" s="8" t="s">
        <v>7</v>
      </c>
      <c r="H245" s="8" t="s">
        <v>8</v>
      </c>
      <c r="I245" s="8" t="s">
        <v>9</v>
      </c>
      <c r="J245" s="8" t="s">
        <v>10</v>
      </c>
      <c r="K245" s="8" t="s">
        <v>11</v>
      </c>
      <c r="L245" s="8" t="s">
        <v>12</v>
      </c>
      <c r="M245" s="8" t="s">
        <v>13</v>
      </c>
      <c r="N245" s="9" t="s">
        <v>14</v>
      </c>
      <c r="O245" s="8" t="s">
        <v>15</v>
      </c>
      <c r="P245" s="8" t="s">
        <v>16</v>
      </c>
      <c r="Q245" s="8" t="s">
        <v>17</v>
      </c>
      <c r="R245" s="8" t="s">
        <v>18</v>
      </c>
      <c r="S245" s="11" t="s">
        <v>19</v>
      </c>
      <c r="T245" s="12" t="s">
        <v>20</v>
      </c>
      <c r="U245" s="12" t="s">
        <v>21</v>
      </c>
      <c r="V245" s="13" t="s">
        <v>22</v>
      </c>
      <c r="X245" s="14" t="s">
        <v>2</v>
      </c>
      <c r="Y245" s="14" t="s">
        <v>3</v>
      </c>
      <c r="Z245" s="14" t="s">
        <v>4</v>
      </c>
      <c r="AA245" s="14" t="s">
        <v>5</v>
      </c>
      <c r="AB245" s="15" t="s">
        <v>6</v>
      </c>
      <c r="AC245" s="14" t="s">
        <v>7</v>
      </c>
      <c r="AD245" s="14" t="s">
        <v>8</v>
      </c>
      <c r="AE245" s="14" t="s">
        <v>9</v>
      </c>
      <c r="AF245" s="14" t="s">
        <v>10</v>
      </c>
      <c r="AG245" s="14" t="s">
        <v>11</v>
      </c>
      <c r="AH245" s="14" t="s">
        <v>12</v>
      </c>
      <c r="AI245" s="14" t="s">
        <v>13</v>
      </c>
      <c r="AJ245" s="15" t="s">
        <v>14</v>
      </c>
      <c r="AK245" s="14" t="s">
        <v>15</v>
      </c>
      <c r="AL245" s="14" t="s">
        <v>16</v>
      </c>
      <c r="AM245" s="16" t="s">
        <v>17</v>
      </c>
      <c r="AN245" s="17" t="s">
        <v>18</v>
      </c>
      <c r="AO245" s="18" t="s">
        <v>19</v>
      </c>
      <c r="AP245" s="19" t="s">
        <v>20</v>
      </c>
      <c r="AQ245" s="19" t="s">
        <v>21</v>
      </c>
      <c r="AR245" s="20" t="s">
        <v>22</v>
      </c>
    </row>
    <row r="246" ht="15.7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X246" s="22">
        <v>1.0</v>
      </c>
      <c r="Y246" s="22" t="s">
        <v>23</v>
      </c>
      <c r="Z246" s="22">
        <f t="shared" ref="Z246:AI246" si="676">SUM(D254)</f>
        <v>35</v>
      </c>
      <c r="AA246" s="23">
        <f t="shared" si="676"/>
        <v>34</v>
      </c>
      <c r="AB246" s="24">
        <f t="shared" si="676"/>
        <v>6680.52</v>
      </c>
      <c r="AC246" s="23">
        <f t="shared" si="676"/>
        <v>1627</v>
      </c>
      <c r="AD246" s="23">
        <f t="shared" si="676"/>
        <v>0</v>
      </c>
      <c r="AE246" s="23">
        <f t="shared" si="676"/>
        <v>1627</v>
      </c>
      <c r="AF246" s="23">
        <f t="shared" si="676"/>
        <v>3262</v>
      </c>
      <c r="AG246" s="23">
        <f t="shared" si="676"/>
        <v>0</v>
      </c>
      <c r="AH246" s="23">
        <f t="shared" si="676"/>
        <v>3262</v>
      </c>
      <c r="AI246" s="23">
        <f t="shared" si="676"/>
        <v>4889</v>
      </c>
      <c r="AJ246" s="25">
        <f t="shared" ref="AJ246:AJ248" si="679">AB246/AA246</f>
        <v>196.4858824</v>
      </c>
      <c r="AK246" s="22">
        <f>SUM(O254)</f>
        <v>6853</v>
      </c>
      <c r="AL246" s="26">
        <f t="shared" ref="AL246:AL252" si="680">AI246/AK246</f>
        <v>0.7134101853</v>
      </c>
      <c r="AM246" s="27">
        <f t="shared" ref="AM246:AM248" si="681">SUM(Q254)</f>
        <v>1.5</v>
      </c>
      <c r="AN246" s="26">
        <f t="shared" ref="AN246:AN252" si="682">AO246/AM246</f>
        <v>0.4878861725</v>
      </c>
      <c r="AO246" s="28">
        <f t="shared" ref="AO246:AO252" si="683">AI246/AB246</f>
        <v>0.7318292588</v>
      </c>
      <c r="AP246" s="27">
        <f t="shared" ref="AP246:AQ246" si="677">SUM(T254)</f>
        <v>198</v>
      </c>
      <c r="AQ246" s="27">
        <f t="shared" si="677"/>
        <v>5.823529412</v>
      </c>
      <c r="AR246" s="23">
        <f t="shared" ref="AR246:AR252" si="685">AI246/AA246</f>
        <v>143.7941176</v>
      </c>
    </row>
    <row r="247" ht="15.7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X247" s="22">
        <v>2.0</v>
      </c>
      <c r="Y247" s="22" t="s">
        <v>24</v>
      </c>
      <c r="Z247" s="22">
        <f t="shared" ref="Z247:AI247" si="678">SUM(D255)</f>
        <v>44</v>
      </c>
      <c r="AA247" s="23">
        <f t="shared" si="678"/>
        <v>44</v>
      </c>
      <c r="AB247" s="24">
        <f t="shared" si="678"/>
        <v>8029.356</v>
      </c>
      <c r="AC247" s="23">
        <f t="shared" si="678"/>
        <v>1194</v>
      </c>
      <c r="AD247" s="23">
        <f t="shared" si="678"/>
        <v>0</v>
      </c>
      <c r="AE247" s="23">
        <f t="shared" si="678"/>
        <v>1194</v>
      </c>
      <c r="AF247" s="23">
        <f t="shared" si="678"/>
        <v>1455</v>
      </c>
      <c r="AG247" s="23">
        <f t="shared" si="678"/>
        <v>0</v>
      </c>
      <c r="AH247" s="23">
        <f t="shared" si="678"/>
        <v>1455</v>
      </c>
      <c r="AI247" s="23">
        <f t="shared" si="678"/>
        <v>2649</v>
      </c>
      <c r="AJ247" s="25">
        <f t="shared" si="679"/>
        <v>182.4853636</v>
      </c>
      <c r="AK247" s="22">
        <v>1580.0</v>
      </c>
      <c r="AL247" s="29">
        <f t="shared" si="680"/>
        <v>1.676582278</v>
      </c>
      <c r="AM247" s="27">
        <f t="shared" si="681"/>
        <v>1.5</v>
      </c>
      <c r="AN247" s="26">
        <f t="shared" si="682"/>
        <v>0.2199429195</v>
      </c>
      <c r="AO247" s="28">
        <f t="shared" si="683"/>
        <v>0.3299143792</v>
      </c>
      <c r="AP247" s="27">
        <f t="shared" ref="AP247:AQ247" si="684">SUM(T255)</f>
        <v>299.5469502</v>
      </c>
      <c r="AQ247" s="27">
        <f t="shared" si="684"/>
        <v>6.807885232</v>
      </c>
      <c r="AR247" s="23">
        <f t="shared" si="685"/>
        <v>60.20454545</v>
      </c>
    </row>
    <row r="248" ht="15.75" customHeight="1">
      <c r="A248" s="21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X248" s="31">
        <v>3.0</v>
      </c>
      <c r="Y248" s="31" t="s">
        <v>25</v>
      </c>
      <c r="Z248" s="31">
        <f t="shared" ref="Z248:AI248" si="686">SUM(D256)</f>
        <v>32</v>
      </c>
      <c r="AA248" s="32">
        <f t="shared" si="686"/>
        <v>32</v>
      </c>
      <c r="AB248" s="33">
        <f t="shared" si="686"/>
        <v>5963.536</v>
      </c>
      <c r="AC248" s="32">
        <f t="shared" si="686"/>
        <v>2444</v>
      </c>
      <c r="AD248" s="32">
        <f t="shared" si="686"/>
        <v>331</v>
      </c>
      <c r="AE248" s="32">
        <f t="shared" si="686"/>
        <v>2775</v>
      </c>
      <c r="AF248" s="32">
        <f t="shared" si="686"/>
        <v>3085</v>
      </c>
      <c r="AG248" s="32">
        <f t="shared" si="686"/>
        <v>319</v>
      </c>
      <c r="AH248" s="32">
        <f t="shared" si="686"/>
        <v>3404</v>
      </c>
      <c r="AI248" s="32">
        <f t="shared" si="686"/>
        <v>6179</v>
      </c>
      <c r="AJ248" s="34">
        <f t="shared" si="679"/>
        <v>186.3605</v>
      </c>
      <c r="AK248" s="31">
        <f>SUM(O256)</f>
        <v>6622</v>
      </c>
      <c r="AL248" s="35">
        <f t="shared" si="680"/>
        <v>0.9331017819</v>
      </c>
      <c r="AM248" s="36">
        <f t="shared" si="681"/>
        <v>1.5</v>
      </c>
      <c r="AN248" s="35">
        <f t="shared" si="682"/>
        <v>0.6907534948</v>
      </c>
      <c r="AO248" s="37">
        <f t="shared" si="683"/>
        <v>1.036130242</v>
      </c>
      <c r="AP248" s="36">
        <f t="shared" ref="AP248:AQ248" si="687">SUM(T256)</f>
        <v>250.1483221</v>
      </c>
      <c r="AQ248" s="36">
        <f t="shared" si="687"/>
        <v>7.817135067</v>
      </c>
      <c r="AR248" s="32">
        <f t="shared" si="685"/>
        <v>193.09375</v>
      </c>
    </row>
    <row r="249" ht="15.75" customHeight="1">
      <c r="A249" s="21"/>
      <c r="B249" s="38">
        <v>1.0</v>
      </c>
      <c r="C249" s="38" t="s">
        <v>26</v>
      </c>
      <c r="D249" s="39">
        <v>20.0</v>
      </c>
      <c r="E249" s="40">
        <f>IFERROR(__xludf.DUMMYFUNCTION("COUNT(IMPORTRANGE(""https://docs.google.com/spreadsheets/d/1F0NpMx7WhcgPgxTWpryY3Z1CGg56FL6aiL4mHs43w4E/edit"",""1!d2:d21""))"),20.0)</f>
        <v>20</v>
      </c>
      <c r="F249" s="41">
        <f>IFERROR(__xludf.DUMMYFUNCTION("SUM(IMPORTRANGE(""https://docs.google.com/spreadsheets/d/1F0NpMx7WhcgPgxTWpryY3Z1CGg56FL6aiL4mHs43w4E/edit"",""1!Q2:Q21""))"),3935.2949999999996)</f>
        <v>3935.295</v>
      </c>
      <c r="G249" s="40">
        <f>IFERROR(__xludf.DUMMYFUNCTION("IMPORTRANGE(""https://docs.google.com/spreadsheets/d/1F0NpMx7WhcgPgxTWpryY3Z1CGg56FL6aiL4mHs43w4E/edit"",""1!e28"")"),2229.0)</f>
        <v>2229</v>
      </c>
      <c r="H249" s="40">
        <f>IFERROR(__xludf.DUMMYFUNCTION("IMPORTRANGE(""https://docs.google.com/spreadsheets/d/1F0NpMx7WhcgPgxTWpryY3Z1CGg56FL6aiL4mHs43w4E/edit"",""1!e29"")"),0.0)</f>
        <v>0</v>
      </c>
      <c r="I249" s="40">
        <f t="shared" ref="I249:I266" si="690">SUM(G249:H249)</f>
        <v>2229</v>
      </c>
      <c r="J249" s="40">
        <f>IFERROR(__xludf.DUMMYFUNCTION("IMPORTRANGE(""https://docs.google.com/spreadsheets/d/1F0NpMx7WhcgPgxTWpryY3Z1CGg56FL6aiL4mHs43w4E/edit"",""1!e32"")"),2661.0)</f>
        <v>2661</v>
      </c>
      <c r="K249" s="40">
        <f>IFERROR(__xludf.DUMMYFUNCTION("IMPORTRANGE(""https://docs.google.com/spreadsheets/d/1F0NpMx7WhcgPgxTWpryY3Z1CGg56FL6aiL4mHs43w4E/edit"",""1!e33"")"),47.0)</f>
        <v>47</v>
      </c>
      <c r="L249" s="40">
        <f t="shared" ref="L249:L255" si="691">SUM(J249:K249)</f>
        <v>2708</v>
      </c>
      <c r="M249" s="40">
        <f t="shared" ref="M249:M266" si="692">SUM(I249+L249)</f>
        <v>4937</v>
      </c>
      <c r="N249" s="41">
        <f t="shared" ref="N249:N267" si="693">F249/E249</f>
        <v>196.76475</v>
      </c>
      <c r="O249" s="38">
        <v>5161.0</v>
      </c>
      <c r="P249" s="42">
        <f t="shared" ref="P249:P267" si="694">M249/O249</f>
        <v>0.9565975586</v>
      </c>
      <c r="Q249" s="43">
        <v>1.5</v>
      </c>
      <c r="R249" s="42">
        <f t="shared" ref="R249:R267" si="695">S249/Q249</f>
        <v>0.8363625429</v>
      </c>
      <c r="S249" s="44">
        <f t="shared" ref="S249:S267" si="696">M249/F249</f>
        <v>1.254543814</v>
      </c>
      <c r="T249" s="43">
        <f>F249/14.415</f>
        <v>273</v>
      </c>
      <c r="U249" s="43">
        <f t="shared" ref="U249:U267" si="697">T249/E249</f>
        <v>13.65</v>
      </c>
      <c r="V249" s="40">
        <f t="shared" ref="V249:V267" si="698">M249/E249</f>
        <v>246.85</v>
      </c>
      <c r="X249" s="22">
        <v>4.0</v>
      </c>
      <c r="Y249" s="22" t="s">
        <v>27</v>
      </c>
      <c r="Z249" s="22">
        <f t="shared" ref="Z249:AK249" si="688">SUM(D262)</f>
        <v>30</v>
      </c>
      <c r="AA249" s="23">
        <f t="shared" si="688"/>
        <v>29</v>
      </c>
      <c r="AB249" s="24">
        <f t="shared" si="688"/>
        <v>5631.663</v>
      </c>
      <c r="AC249" s="23">
        <f t="shared" si="688"/>
        <v>2486</v>
      </c>
      <c r="AD249" s="23">
        <f t="shared" si="688"/>
        <v>80</v>
      </c>
      <c r="AE249" s="23">
        <f t="shared" si="688"/>
        <v>2566</v>
      </c>
      <c r="AF249" s="23">
        <f t="shared" si="688"/>
        <v>2945</v>
      </c>
      <c r="AG249" s="23">
        <f t="shared" si="688"/>
        <v>88</v>
      </c>
      <c r="AH249" s="23">
        <f t="shared" si="688"/>
        <v>3033</v>
      </c>
      <c r="AI249" s="23">
        <f t="shared" si="688"/>
        <v>5599</v>
      </c>
      <c r="AJ249" s="25">
        <f t="shared" si="688"/>
        <v>194.1952759</v>
      </c>
      <c r="AK249" s="22">
        <f t="shared" si="688"/>
        <v>8101</v>
      </c>
      <c r="AL249" s="26">
        <f t="shared" si="680"/>
        <v>0.6911492408</v>
      </c>
      <c r="AM249" s="27">
        <f>SUM(Q262)</f>
        <v>1.5</v>
      </c>
      <c r="AN249" s="26">
        <f t="shared" si="682"/>
        <v>0.6628000764</v>
      </c>
      <c r="AO249" s="28">
        <f t="shared" si="683"/>
        <v>0.9942001146</v>
      </c>
      <c r="AP249" s="27">
        <f t="shared" ref="AP249:AQ249" si="689">SUM(T262)</f>
        <v>281.7944959</v>
      </c>
      <c r="AQ249" s="27">
        <f t="shared" si="689"/>
        <v>9.717051582</v>
      </c>
      <c r="AR249" s="23">
        <f t="shared" si="685"/>
        <v>193.0689655</v>
      </c>
    </row>
    <row r="250" ht="15.75" customHeight="1">
      <c r="A250" s="21"/>
      <c r="B250" s="38">
        <v>2.0</v>
      </c>
      <c r="C250" s="38" t="s">
        <v>28</v>
      </c>
      <c r="D250" s="39">
        <v>33.0</v>
      </c>
      <c r="E250" s="40">
        <f>IFERROR(__xludf.DUMMYFUNCTION("COUNT(IMPORTRANGE(""https://docs.google.com/spreadsheets/d/1H9vAqftAHb0OdeSGXHTnJFzoWUgpoH31sc0sHNN8y1o/edit"",""1!d2:d34""))"),32.0)</f>
        <v>32</v>
      </c>
      <c r="F250" s="41">
        <f>IFERROR(__xludf.DUMMYFUNCTION("SUM(IMPORTRANGE(""https://docs.google.com/spreadsheets/d/1H9vAqftAHb0OdeSGXHTnJFzoWUgpoH31sc0sHNN8y1o/edit"",""1!Q2:Q34""))"),6234.134999999998)</f>
        <v>6234.135</v>
      </c>
      <c r="G250" s="40">
        <f>IFERROR(__xludf.DUMMYFUNCTION("IMPORTRANGE(""https://docs.google.com/spreadsheets/d/1H9vAqftAHb0OdeSGXHTnJFzoWUgpoH31sc0sHNN8y1o/edit"",""1!e41"")"),2719.0)</f>
        <v>2719</v>
      </c>
      <c r="H250" s="40">
        <f>IFERROR(__xludf.DUMMYFUNCTION("IMPORTRANGE(""https://docs.google.com/spreadsheets/d/1H9vAqftAHb0OdeSGXHTnJFzoWUgpoH31sc0sHNN8y1o/edit"",""1!e42"")"),208.0)</f>
        <v>208</v>
      </c>
      <c r="I250" s="40">
        <f t="shared" si="690"/>
        <v>2927</v>
      </c>
      <c r="J250" s="40">
        <f>IFERROR(__xludf.DUMMYFUNCTION("IMPORTRANGE(""https://docs.google.com/spreadsheets/d/1H9vAqftAHb0OdeSGXHTnJFzoWUgpoH31sc0sHNN8y1o/edit"",""1!e45"")"),3192.0)</f>
        <v>3192</v>
      </c>
      <c r="K250" s="40">
        <f>IFERROR(__xludf.DUMMYFUNCTION("IMPORTRANGE(""https://docs.google.com/spreadsheets/d/1H9vAqftAHb0OdeSGXHTnJFzoWUgpoH31sc0sHNN8y1o/edit"",""1!e46"")"),138.0)</f>
        <v>138</v>
      </c>
      <c r="L250" s="40">
        <f t="shared" si="691"/>
        <v>3330</v>
      </c>
      <c r="M250" s="40">
        <f t="shared" si="692"/>
        <v>6257</v>
      </c>
      <c r="N250" s="41">
        <f t="shared" si="693"/>
        <v>194.8167188</v>
      </c>
      <c r="O250" s="38">
        <v>7315.0</v>
      </c>
      <c r="P250" s="42">
        <f t="shared" si="694"/>
        <v>0.8553656869</v>
      </c>
      <c r="Q250" s="43">
        <v>1.5</v>
      </c>
      <c r="R250" s="42">
        <f t="shared" si="695"/>
        <v>0.6691118067</v>
      </c>
      <c r="S250" s="44">
        <f t="shared" si="696"/>
        <v>1.00366771</v>
      </c>
      <c r="T250" s="43">
        <f>F250/30.897</f>
        <v>201.7715312</v>
      </c>
      <c r="U250" s="43">
        <f t="shared" si="697"/>
        <v>6.305360351</v>
      </c>
      <c r="V250" s="40">
        <f t="shared" si="698"/>
        <v>195.53125</v>
      </c>
      <c r="X250" s="22">
        <v>5.0</v>
      </c>
      <c r="Y250" s="22" t="s">
        <v>29</v>
      </c>
      <c r="Z250" s="22">
        <f t="shared" ref="Z250:AI250" si="699">SUM(D265)</f>
        <v>30</v>
      </c>
      <c r="AA250" s="23">
        <f t="shared" si="699"/>
        <v>29</v>
      </c>
      <c r="AB250" s="24">
        <f t="shared" si="699"/>
        <v>5722.056</v>
      </c>
      <c r="AC250" s="23">
        <f t="shared" si="699"/>
        <v>2610</v>
      </c>
      <c r="AD250" s="23">
        <f t="shared" si="699"/>
        <v>0</v>
      </c>
      <c r="AE250" s="23">
        <f t="shared" si="699"/>
        <v>2610</v>
      </c>
      <c r="AF250" s="23">
        <f t="shared" si="699"/>
        <v>4378</v>
      </c>
      <c r="AG250" s="23">
        <f t="shared" si="699"/>
        <v>0</v>
      </c>
      <c r="AH250" s="23">
        <f t="shared" si="699"/>
        <v>4378</v>
      </c>
      <c r="AI250" s="23">
        <f t="shared" si="699"/>
        <v>6988</v>
      </c>
      <c r="AJ250" s="25">
        <f t="shared" ref="AJ250:AJ252" si="702">AB250/AA250</f>
        <v>197.3122759</v>
      </c>
      <c r="AK250" s="22">
        <f t="shared" ref="AK250:AK251" si="703">SUM(O265)</f>
        <v>9201</v>
      </c>
      <c r="AL250" s="26">
        <f t="shared" si="680"/>
        <v>0.7594826649</v>
      </c>
      <c r="AM250" s="27">
        <f t="shared" ref="AM250:AM251" si="704">SUM(Q265)</f>
        <v>1.5</v>
      </c>
      <c r="AN250" s="26">
        <f t="shared" si="682"/>
        <v>0.8141595725</v>
      </c>
      <c r="AO250" s="28">
        <f t="shared" si="683"/>
        <v>1.221239359</v>
      </c>
      <c r="AP250" s="27">
        <f t="shared" ref="AP250:AQ250" si="700">SUM(T265)</f>
        <v>216</v>
      </c>
      <c r="AQ250" s="27">
        <f t="shared" si="700"/>
        <v>7.448275862</v>
      </c>
      <c r="AR250" s="23">
        <f t="shared" si="685"/>
        <v>240.9655172</v>
      </c>
    </row>
    <row r="251" ht="15.75" customHeight="1">
      <c r="A251" s="21"/>
      <c r="B251" s="38">
        <v>3.0</v>
      </c>
      <c r="C251" s="38" t="s">
        <v>30</v>
      </c>
      <c r="D251" s="39">
        <v>60.0</v>
      </c>
      <c r="E251" s="40">
        <f>IFERROR(__xludf.DUMMYFUNCTION("COUNT(IMPORTRANGE(""https://docs.google.com/spreadsheets/d/1EWN6nfpuVxbUE_9opjYCWaI7MTm5xsF6ssjklSbMZnA/edit"",""1!d2:d61""))"),59.0)</f>
        <v>59</v>
      </c>
      <c r="F251" s="45">
        <f>IFERROR(__xludf.DUMMYFUNCTION("SUM(IMPORTRANGE(""https://docs.google.com/spreadsheets/d/1EWN6nfpuVxbUE_9opjYCWaI7MTm5xsF6ssjklSbMZnA/edit"",""1!Q2:Q61""))"),11739.691999999988)</f>
        <v>11739.692</v>
      </c>
      <c r="G251" s="40">
        <f>IFERROR(__xludf.DUMMYFUNCTION("IMPORTRANGE(""https://docs.google.com/spreadsheets/d/1EWN6nfpuVxbUE_9opjYCWaI7MTm5xsF6ssjklSbMZnA/edit"",""1!e68"")"),3754.0)</f>
        <v>3754</v>
      </c>
      <c r="H251" s="40">
        <f>IFERROR(__xludf.DUMMYFUNCTION("IMPORTRANGE(""https://docs.google.com/spreadsheets/d/1EWN6nfpuVxbUE_9opjYCWaI7MTm5xsF6ssjklSbMZnA/edit"",""1!e69"")"),14.0)</f>
        <v>14</v>
      </c>
      <c r="I251" s="40">
        <f t="shared" si="690"/>
        <v>3768</v>
      </c>
      <c r="J251" s="40">
        <f>IFERROR(__xludf.DUMMYFUNCTION("IMPORTRANGE(""https://docs.google.com/spreadsheets/d/1EWN6nfpuVxbUE_9opjYCWaI7MTm5xsF6ssjklSbMZnA/edit"",""1!e72"")"),5982.0)</f>
        <v>5982</v>
      </c>
      <c r="K251" s="40">
        <f>IFERROR(__xludf.DUMMYFUNCTION("IMPORTRANGE(""https://docs.google.com/spreadsheets/d/1EWN6nfpuVxbUE_9opjYCWaI7MTm5xsF6ssjklSbMZnA/edit"",""1!e73"")"),0.0)</f>
        <v>0</v>
      </c>
      <c r="L251" s="40">
        <f t="shared" si="691"/>
        <v>5982</v>
      </c>
      <c r="M251" s="40">
        <f t="shared" si="692"/>
        <v>9750</v>
      </c>
      <c r="N251" s="41">
        <f t="shared" si="693"/>
        <v>198.9778305</v>
      </c>
      <c r="O251" s="38">
        <v>11164.0</v>
      </c>
      <c r="P251" s="42">
        <f t="shared" si="694"/>
        <v>0.8733428879</v>
      </c>
      <c r="Q251" s="43">
        <v>1.5</v>
      </c>
      <c r="R251" s="42">
        <f t="shared" si="695"/>
        <v>0.5536772174</v>
      </c>
      <c r="S251" s="44">
        <f t="shared" si="696"/>
        <v>0.8305158261</v>
      </c>
      <c r="T251" s="43">
        <f>F251/29.603</f>
        <v>396.5710232</v>
      </c>
      <c r="U251" s="43">
        <f t="shared" si="697"/>
        <v>6.721542766</v>
      </c>
      <c r="V251" s="40">
        <f t="shared" si="698"/>
        <v>165.2542373</v>
      </c>
      <c r="X251" s="22">
        <v>6.0</v>
      </c>
      <c r="Y251" s="22" t="s">
        <v>31</v>
      </c>
      <c r="Z251" s="22">
        <f t="shared" ref="Z251:AI251" si="701">SUM(D266)</f>
        <v>15</v>
      </c>
      <c r="AA251" s="23">
        <f t="shared" si="701"/>
        <v>14</v>
      </c>
      <c r="AB251" s="25">
        <f t="shared" si="701"/>
        <v>2520.97</v>
      </c>
      <c r="AC251" s="23">
        <f t="shared" si="701"/>
        <v>633</v>
      </c>
      <c r="AD251" s="23">
        <f t="shared" si="701"/>
        <v>0</v>
      </c>
      <c r="AE251" s="23">
        <f t="shared" si="701"/>
        <v>633</v>
      </c>
      <c r="AF251" s="23">
        <f t="shared" si="701"/>
        <v>1148</v>
      </c>
      <c r="AG251" s="23">
        <f t="shared" si="701"/>
        <v>15</v>
      </c>
      <c r="AH251" s="23">
        <f t="shared" si="701"/>
        <v>1163</v>
      </c>
      <c r="AI251" s="23">
        <f t="shared" si="701"/>
        <v>1796</v>
      </c>
      <c r="AJ251" s="25">
        <f t="shared" si="702"/>
        <v>180.0692857</v>
      </c>
      <c r="AK251" s="22">
        <f t="shared" si="703"/>
        <v>2717</v>
      </c>
      <c r="AL251" s="26">
        <f t="shared" si="680"/>
        <v>0.6610231873</v>
      </c>
      <c r="AM251" s="27">
        <f t="shared" si="704"/>
        <v>1.5</v>
      </c>
      <c r="AN251" s="26">
        <f t="shared" si="682"/>
        <v>0.4749494573</v>
      </c>
      <c r="AO251" s="28">
        <f t="shared" si="683"/>
        <v>0.7124241859</v>
      </c>
      <c r="AP251" s="27">
        <f t="shared" ref="AP251:AQ251" si="705">SUM(T266)</f>
        <v>58</v>
      </c>
      <c r="AQ251" s="27">
        <f t="shared" si="705"/>
        <v>4.142857143</v>
      </c>
      <c r="AR251" s="23">
        <f t="shared" si="685"/>
        <v>128.2857143</v>
      </c>
    </row>
    <row r="252" ht="15.75" customHeight="1">
      <c r="A252" s="21"/>
      <c r="B252" s="38">
        <v>4.0</v>
      </c>
      <c r="C252" s="38" t="s">
        <v>32</v>
      </c>
      <c r="D252" s="39">
        <v>42.0</v>
      </c>
      <c r="E252" s="40">
        <f>IFERROR(__xludf.DUMMYFUNCTION("COUNT(IMPORTRANGE(""https://docs.google.com/spreadsheets/d/1Rmar8QqWK4XOJ-eY6xMzkAfDSw0srEXcAw89ilArun8/edit"",""1!d2:d43""))"),42.0)</f>
        <v>42</v>
      </c>
      <c r="F252" s="45">
        <f>IFERROR(__xludf.DUMMYFUNCTION("SUM(IMPORTRANGE(""https://docs.google.com/spreadsheets/d/1Rmar8QqWK4XOJ-eY6xMzkAfDSw0srEXcAw89ilArun8/edit"",""1!Q2:Q43""))"),8240.661999999991)</f>
        <v>8240.662</v>
      </c>
      <c r="G252" s="38">
        <f>IFERROR(__xludf.DUMMYFUNCTION("IMPORTRANGE(""https://docs.google.com/spreadsheets/d/1Rmar8QqWK4XOJ-eY6xMzkAfDSw0srEXcAw89ilArun8/edit"",""1!e50"")"),4515.0)</f>
        <v>4515</v>
      </c>
      <c r="H252" s="38">
        <f>IFERROR(__xludf.DUMMYFUNCTION("IMPORTRANGE(""https://docs.google.com/spreadsheets/d/1Rmar8QqWK4XOJ-eY6xMzkAfDSw0srEXcAw89ilArun8/edit"",""1!e51"")"),0.0)</f>
        <v>0</v>
      </c>
      <c r="I252" s="40">
        <f t="shared" si="690"/>
        <v>4515</v>
      </c>
      <c r="J252" s="38">
        <f>IFERROR(__xludf.DUMMYFUNCTION("IMPORTRANGE(""https://docs.google.com/spreadsheets/d/1Rmar8QqWK4XOJ-eY6xMzkAfDSw0srEXcAw89ilArun8/edit"",""1!e54"")"),5726.0)</f>
        <v>5726</v>
      </c>
      <c r="K252" s="38">
        <f>IFERROR(__xludf.DUMMYFUNCTION("IMPORTRANGE(""https://docs.google.com/spreadsheets/d/1Rmar8QqWK4XOJ-eY6xMzkAfDSw0srEXcAw89ilArun8/edit"",""1!e55"")"),0.0)</f>
        <v>0</v>
      </c>
      <c r="L252" s="40">
        <f t="shared" si="691"/>
        <v>5726</v>
      </c>
      <c r="M252" s="40">
        <f t="shared" si="692"/>
        <v>10241</v>
      </c>
      <c r="N252" s="41">
        <f t="shared" si="693"/>
        <v>196.2062381</v>
      </c>
      <c r="O252" s="38">
        <v>13817.0</v>
      </c>
      <c r="P252" s="42">
        <f t="shared" si="694"/>
        <v>0.7411883911</v>
      </c>
      <c r="Q252" s="43">
        <v>1.5</v>
      </c>
      <c r="R252" s="42">
        <f t="shared" si="695"/>
        <v>0.8284933096</v>
      </c>
      <c r="S252" s="44">
        <f t="shared" si="696"/>
        <v>1.242739964</v>
      </c>
      <c r="T252" s="43">
        <f>F252/25.089</f>
        <v>328.4571725</v>
      </c>
      <c r="U252" s="43">
        <f t="shared" si="697"/>
        <v>7.820408868</v>
      </c>
      <c r="V252" s="40">
        <f t="shared" si="698"/>
        <v>243.8333333</v>
      </c>
      <c r="X252" s="46" t="s">
        <v>33</v>
      </c>
      <c r="Y252" s="46">
        <v>6.0</v>
      </c>
      <c r="Z252" s="46">
        <f t="shared" ref="Z252:AI252" si="706">SUM(Z246:Z251)</f>
        <v>186</v>
      </c>
      <c r="AA252" s="47">
        <f t="shared" si="706"/>
        <v>182</v>
      </c>
      <c r="AB252" s="48">
        <f t="shared" si="706"/>
        <v>34548.101</v>
      </c>
      <c r="AC252" s="47">
        <f t="shared" si="706"/>
        <v>10994</v>
      </c>
      <c r="AD252" s="47">
        <f t="shared" si="706"/>
        <v>411</v>
      </c>
      <c r="AE252" s="47">
        <f t="shared" si="706"/>
        <v>11405</v>
      </c>
      <c r="AF252" s="47">
        <f t="shared" si="706"/>
        <v>16273</v>
      </c>
      <c r="AG252" s="47">
        <f t="shared" si="706"/>
        <v>422</v>
      </c>
      <c r="AH252" s="47">
        <f t="shared" si="706"/>
        <v>16695</v>
      </c>
      <c r="AI252" s="47">
        <f t="shared" si="706"/>
        <v>28100</v>
      </c>
      <c r="AJ252" s="49">
        <f t="shared" si="702"/>
        <v>189.8247308</v>
      </c>
      <c r="AK252" s="46">
        <f>SUM(AK246:AK251)</f>
        <v>35074</v>
      </c>
      <c r="AL252" s="50">
        <f t="shared" si="680"/>
        <v>0.8011632548</v>
      </c>
      <c r="AM252" s="51">
        <v>1.5</v>
      </c>
      <c r="AN252" s="50">
        <f t="shared" si="682"/>
        <v>0.542239162</v>
      </c>
      <c r="AO252" s="52">
        <f t="shared" si="683"/>
        <v>0.8133587429</v>
      </c>
      <c r="AP252" s="51">
        <f>SUM(AP246:AP251)</f>
        <v>1303.489768</v>
      </c>
      <c r="AQ252" s="51">
        <f>AP252/AA252</f>
        <v>7.162031693</v>
      </c>
      <c r="AR252" s="47">
        <f t="shared" si="685"/>
        <v>154.3956044</v>
      </c>
    </row>
    <row r="253" ht="15.75" customHeight="1">
      <c r="A253" s="21"/>
      <c r="B253" s="38">
        <v>5.0</v>
      </c>
      <c r="C253" s="38" t="s">
        <v>34</v>
      </c>
      <c r="D253" s="39">
        <v>40.0</v>
      </c>
      <c r="E253" s="40">
        <f>IFERROR(__xludf.DUMMYFUNCTION("COUNT(IMPORTRANGE(""https://docs.google.com/spreadsheets/d/1u99JxAoytGQQ8GcjxXl38CGdyEWy5uIbuJJHnsotyvk/edit"",""1!d2:d41""))"),40.0)</f>
        <v>40</v>
      </c>
      <c r="F253" s="45">
        <f>IFERROR(__xludf.DUMMYFUNCTION("SUM(IMPORTRANGE(""https://docs.google.com/spreadsheets/d/1u99JxAoytGQQ8GcjxXl38CGdyEWy5uIbuJJHnsotyvk/edit"",""1!Q2:Q41""))"),8007.324000000002)</f>
        <v>8007.324</v>
      </c>
      <c r="G253" s="40">
        <f>IFERROR(__xludf.DUMMYFUNCTION("IMPORTRANGE(""https://docs.google.com/spreadsheets/d/1u99JxAoytGQQ8GcjxXl38CGdyEWy5uIbuJJHnsotyvk/edit"",""1!e48"")"),2819.0)</f>
        <v>2819</v>
      </c>
      <c r="H253" s="40">
        <f>IFERROR(__xludf.DUMMYFUNCTION("IMPORTRANGE(""https://docs.google.com/spreadsheets/d/1u99JxAoytGQQ8GcjxXl38CGdyEWy5uIbuJJHnsotyvk/edit"",""1!e49"")"),0.0)</f>
        <v>0</v>
      </c>
      <c r="I253" s="40">
        <f t="shared" si="690"/>
        <v>2819</v>
      </c>
      <c r="J253" s="40">
        <f>IFERROR(__xludf.DUMMYFUNCTION("IMPORTRANGE(""https://docs.google.com/spreadsheets/d/1u99JxAoytGQQ8GcjxXl38CGdyEWy5uIbuJJHnsotyvk/edit"",""1!e52"")"),3504.0)</f>
        <v>3504</v>
      </c>
      <c r="K253" s="40">
        <f>IFERROR(__xludf.DUMMYFUNCTION("IMPORTRANGE(""https://docs.google.com/spreadsheets/d/1u99JxAoytGQQ8GcjxXl38CGdyEWy5uIbuJJHnsotyvk/edit"",""1!e53"")"),0.0)</f>
        <v>0</v>
      </c>
      <c r="L253" s="40">
        <f t="shared" si="691"/>
        <v>3504</v>
      </c>
      <c r="M253" s="40">
        <f t="shared" si="692"/>
        <v>6323</v>
      </c>
      <c r="N253" s="41">
        <f t="shared" si="693"/>
        <v>200.1831</v>
      </c>
      <c r="O253" s="38">
        <v>9354.0</v>
      </c>
      <c r="P253" s="42">
        <f t="shared" si="694"/>
        <v>0.6759675005</v>
      </c>
      <c r="Q253" s="43">
        <v>1.5</v>
      </c>
      <c r="R253" s="42">
        <f t="shared" si="695"/>
        <v>0.5264347157</v>
      </c>
      <c r="S253" s="44">
        <f t="shared" si="696"/>
        <v>0.7896520735</v>
      </c>
      <c r="T253" s="43">
        <f>F253/30.713</f>
        <v>260.7144857</v>
      </c>
      <c r="U253" s="43">
        <f t="shared" si="697"/>
        <v>6.517862143</v>
      </c>
      <c r="V253" s="40">
        <f t="shared" si="698"/>
        <v>158.075</v>
      </c>
      <c r="X253" s="53" t="s">
        <v>35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6"/>
    </row>
    <row r="254" ht="15.75" customHeight="1">
      <c r="A254" s="21"/>
      <c r="B254" s="38">
        <v>6.0</v>
      </c>
      <c r="C254" s="38" t="s">
        <v>23</v>
      </c>
      <c r="D254" s="39">
        <v>35.0</v>
      </c>
      <c r="E254" s="40">
        <f>IFERROR(__xludf.DUMMYFUNCTION("COUNT(IMPORTRANGE(""https://docs.google.com/spreadsheets/d/1uVc-vnTn57HE53lwrUYNZP4sGKTXisrqOoZ-6EyvLzY/edit"",""1!d2:d36""))"),34.0)</f>
        <v>34</v>
      </c>
      <c r="F254" s="45">
        <f>IFERROR(__xludf.DUMMYFUNCTION("SUM(IMPORTRANGE(""https://docs.google.com/spreadsheets/d/1uVc-vnTn57HE53lwrUYNZP4sGKTXisrqOoZ-6EyvLzY/edit"",""1!Q2:Q36""))"),6680.519999999995)</f>
        <v>6680.52</v>
      </c>
      <c r="G254" s="40">
        <f>IFERROR(__xludf.DUMMYFUNCTION("IMPORTRANGE(""https://docs.google.com/spreadsheets/d/1uVc-vnTn57HE53lwrUYNZP4sGKTXisrqOoZ-6EyvLzY/edit"",""1!e43"")"),1627.0)</f>
        <v>1627</v>
      </c>
      <c r="H254" s="40">
        <f>IFERROR(__xludf.DUMMYFUNCTION("IMPORTRANGE(""https://docs.google.com/spreadsheets/d/1uVc-vnTn57HE53lwrUYNZP4sGKTXisrqOoZ-6EyvLzY/edit"",""1!e44"")"),0.0)</f>
        <v>0</v>
      </c>
      <c r="I254" s="40">
        <f t="shared" si="690"/>
        <v>1627</v>
      </c>
      <c r="J254" s="40">
        <f>IFERROR(__xludf.DUMMYFUNCTION("IMPORTRANGE(""https://docs.google.com/spreadsheets/d/1uVc-vnTn57HE53lwrUYNZP4sGKTXisrqOoZ-6EyvLzY/edit"",""1!e47"")"),3262.0)</f>
        <v>3262</v>
      </c>
      <c r="K254" s="40">
        <f>IFERROR(__xludf.DUMMYFUNCTION("IMPORTRANGE(""https://docs.google.com/spreadsheets/d/1uVc-vnTn57HE53lwrUYNZP4sGKTXisrqOoZ-6EyvLzY/edit"",""1!e48"")"),0.0)</f>
        <v>0</v>
      </c>
      <c r="L254" s="40">
        <f t="shared" si="691"/>
        <v>3262</v>
      </c>
      <c r="M254" s="40">
        <f t="shared" si="692"/>
        <v>4889</v>
      </c>
      <c r="N254" s="41">
        <f t="shared" si="693"/>
        <v>196.4858824</v>
      </c>
      <c r="O254" s="38">
        <v>6853.0</v>
      </c>
      <c r="P254" s="42">
        <f t="shared" si="694"/>
        <v>0.7134101853</v>
      </c>
      <c r="Q254" s="43">
        <v>1.5</v>
      </c>
      <c r="R254" s="42">
        <f t="shared" si="695"/>
        <v>0.4878861725</v>
      </c>
      <c r="S254" s="44">
        <f t="shared" si="696"/>
        <v>0.7318292588</v>
      </c>
      <c r="T254" s="43">
        <f>F254/33.74</f>
        <v>198</v>
      </c>
      <c r="U254" s="43">
        <f t="shared" si="697"/>
        <v>5.823529412</v>
      </c>
      <c r="V254" s="40">
        <f t="shared" si="698"/>
        <v>143.7941176</v>
      </c>
      <c r="X254" s="14" t="s">
        <v>2</v>
      </c>
      <c r="Y254" s="14" t="s">
        <v>3</v>
      </c>
      <c r="Z254" s="14" t="s">
        <v>4</v>
      </c>
      <c r="AA254" s="14" t="s">
        <v>5</v>
      </c>
      <c r="AB254" s="15" t="s">
        <v>6</v>
      </c>
      <c r="AC254" s="14" t="s">
        <v>7</v>
      </c>
      <c r="AD254" s="14" t="s">
        <v>8</v>
      </c>
      <c r="AE254" s="14" t="s">
        <v>9</v>
      </c>
      <c r="AF254" s="14" t="s">
        <v>10</v>
      </c>
      <c r="AG254" s="14" t="s">
        <v>11</v>
      </c>
      <c r="AH254" s="14" t="s">
        <v>12</v>
      </c>
      <c r="AI254" s="14" t="s">
        <v>13</v>
      </c>
      <c r="AJ254" s="15" t="s">
        <v>14</v>
      </c>
      <c r="AK254" s="14" t="s">
        <v>15</v>
      </c>
      <c r="AL254" s="14" t="s">
        <v>16</v>
      </c>
      <c r="AM254" s="16" t="s">
        <v>17</v>
      </c>
      <c r="AN254" s="17" t="s">
        <v>18</v>
      </c>
      <c r="AO254" s="18" t="s">
        <v>19</v>
      </c>
      <c r="AP254" s="19" t="s">
        <v>20</v>
      </c>
      <c r="AQ254" s="19" t="s">
        <v>21</v>
      </c>
      <c r="AR254" s="20" t="s">
        <v>22</v>
      </c>
    </row>
    <row r="255" ht="15.75" customHeight="1">
      <c r="A255" s="21"/>
      <c r="B255" s="38">
        <v>7.0</v>
      </c>
      <c r="C255" s="38" t="s">
        <v>24</v>
      </c>
      <c r="D255" s="39">
        <v>44.0</v>
      </c>
      <c r="E255" s="54">
        <f>IFERROR(__xludf.DUMMYFUNCTION("COUNT(IMPORTRANGE(""https://docs.google.com/spreadsheets/d/1iuPvivSypupo44l6GtmR-2qZ3za7cTk7KzsOVp_kv2c/edit"",""1!d2:d45""))"),44.0)</f>
        <v>44</v>
      </c>
      <c r="F255" s="55">
        <f>IFERROR(__xludf.DUMMYFUNCTION("SUM(IMPORTRANGE(""https://docs.google.com/spreadsheets/d/1iuPvivSypupo44l6GtmR-2qZ3za7cTk7KzsOVp_kv2c/edit"",""1!Q2:Q45""))"),8029.355999999994)</f>
        <v>8029.356</v>
      </c>
      <c r="G255" s="54">
        <f>IFERROR(__xludf.DUMMYFUNCTION("IMPORTRANGE(""https://docs.google.com/spreadsheets/d/1iuPvivSypupo44l6GtmR-2qZ3za7cTk7KzsOVp_kv2c/edit"",""1!e53"")"),1194.0)</f>
        <v>1194</v>
      </c>
      <c r="H255" s="54">
        <f>IFERROR(__xludf.DUMMYFUNCTION("IMPORTRANGE(""https://docs.google.com/spreadsheets/d/1iuPvivSypupo44l6GtmR-2qZ3za7cTk7KzsOVp_kv2c/edit"",""1!e54"")"),0.0)</f>
        <v>0</v>
      </c>
      <c r="I255" s="54">
        <f t="shared" si="690"/>
        <v>1194</v>
      </c>
      <c r="J255" s="54">
        <f>IFERROR(__xludf.DUMMYFUNCTION("IMPORTRANGE(""https://docs.google.com/spreadsheets/d/1iuPvivSypupo44l6GtmR-2qZ3za7cTk7KzsOVp_kv2c/edit"",""1!e57"")"),1455.0)</f>
        <v>1455</v>
      </c>
      <c r="K255" s="54">
        <f>IFERROR(__xludf.DUMMYFUNCTION("IMPORTRANGE(""https://docs.google.com/spreadsheets/d/1iuPvivSypupo44l6GtmR-2qZ3za7cTk7KzsOVp_kv2c/edit"",""1!e58"")"),0.0)</f>
        <v>0</v>
      </c>
      <c r="L255" s="40">
        <f t="shared" si="691"/>
        <v>1455</v>
      </c>
      <c r="M255" s="40">
        <f t="shared" si="692"/>
        <v>2649</v>
      </c>
      <c r="N255" s="41">
        <f t="shared" si="693"/>
        <v>182.4853636</v>
      </c>
      <c r="O255" s="38">
        <v>1580.0</v>
      </c>
      <c r="P255" s="56">
        <f t="shared" si="694"/>
        <v>1.676582278</v>
      </c>
      <c r="Q255" s="43">
        <v>1.5</v>
      </c>
      <c r="R255" s="42">
        <f t="shared" si="695"/>
        <v>0.2199429195</v>
      </c>
      <c r="S255" s="44">
        <f t="shared" si="696"/>
        <v>0.3299143792</v>
      </c>
      <c r="T255" s="43">
        <f>F255/26.805</f>
        <v>299.5469502</v>
      </c>
      <c r="U255" s="43">
        <f t="shared" si="697"/>
        <v>6.807885232</v>
      </c>
      <c r="V255" s="40">
        <f t="shared" si="698"/>
        <v>60.20454545</v>
      </c>
      <c r="X255" s="22">
        <v>1.0</v>
      </c>
      <c r="Y255" s="22" t="s">
        <v>28</v>
      </c>
      <c r="Z255" s="22">
        <f t="shared" ref="Z255:AI255" si="707">SUM(D250)</f>
        <v>33</v>
      </c>
      <c r="AA255" s="23">
        <f t="shared" si="707"/>
        <v>32</v>
      </c>
      <c r="AB255" s="25">
        <f t="shared" si="707"/>
        <v>6234.135</v>
      </c>
      <c r="AC255" s="23">
        <f t="shared" si="707"/>
        <v>2719</v>
      </c>
      <c r="AD255" s="23">
        <f t="shared" si="707"/>
        <v>208</v>
      </c>
      <c r="AE255" s="23">
        <f t="shared" si="707"/>
        <v>2927</v>
      </c>
      <c r="AF255" s="23">
        <f t="shared" si="707"/>
        <v>3192</v>
      </c>
      <c r="AG255" s="23">
        <f t="shared" si="707"/>
        <v>138</v>
      </c>
      <c r="AH255" s="23">
        <f t="shared" si="707"/>
        <v>3330</v>
      </c>
      <c r="AI255" s="23">
        <f t="shared" si="707"/>
        <v>6257</v>
      </c>
      <c r="AJ255" s="25">
        <f t="shared" ref="AJ255:AJ261" si="710">AB255/AA255</f>
        <v>194.8167188</v>
      </c>
      <c r="AK255" s="22">
        <f t="shared" ref="AK255:AK256" si="711">SUM(O250)</f>
        <v>7315</v>
      </c>
      <c r="AL255" s="26">
        <f t="shared" ref="AL255:AL261" si="712">AI255/AK255</f>
        <v>0.8553656869</v>
      </c>
      <c r="AM255" s="27">
        <f t="shared" ref="AM255:AM256" si="713">SUM(Q250)</f>
        <v>1.5</v>
      </c>
      <c r="AN255" s="26">
        <f t="shared" ref="AN255:AN261" si="714">AO255/AM255</f>
        <v>0.6691118067</v>
      </c>
      <c r="AO255" s="28">
        <f t="shared" ref="AO255:AO261" si="715">AI255/AB255</f>
        <v>1.00366771</v>
      </c>
      <c r="AP255" s="27">
        <f t="shared" ref="AP255:AQ255" si="708">SUM(T250)</f>
        <v>201.7715312</v>
      </c>
      <c r="AQ255" s="27">
        <f t="shared" si="708"/>
        <v>6.305360351</v>
      </c>
      <c r="AR255" s="23">
        <f t="shared" ref="AR255:AR261" si="717">AI255/AA255</f>
        <v>195.53125</v>
      </c>
    </row>
    <row r="256" ht="15.75" customHeight="1">
      <c r="A256" s="21"/>
      <c r="B256" s="38">
        <v>8.0</v>
      </c>
      <c r="C256" s="38" t="s">
        <v>25</v>
      </c>
      <c r="D256" s="57">
        <v>32.0</v>
      </c>
      <c r="E256" s="40">
        <f>IFERROR(__xludf.DUMMYFUNCTION("COUNT(IMPORTRANGE(""https://docs.google.com/spreadsheets/d/1sqWX7UerdR9KR_duBzDNfjwbPG-3hLgV1LiN2ZVZ6Js/edit"",""1!d2:D33""))"),32.0)</f>
        <v>32</v>
      </c>
      <c r="F256" s="45">
        <f>IFERROR(__xludf.DUMMYFUNCTION("SUM(IMPORTRANGE(""https://docs.google.com/spreadsheets/d/1sqWX7UerdR9KR_duBzDNfjwbPG-3hLgV1LiN2ZVZ6Js/edit"",""1!Q2:Q33""))"),5963.536000000002)</f>
        <v>5963.536</v>
      </c>
      <c r="G256" s="40">
        <f>IFERROR(__xludf.DUMMYFUNCTION("IMPORTRANGE(""https://docs.google.com/spreadsheets/d/1sqWX7UerdR9KR_duBzDNfjwbPG-3hLgV1LiN2ZVZ6Js/edit"",""1!e40"")"),2444.0)</f>
        <v>2444</v>
      </c>
      <c r="H256" s="40">
        <f>IFERROR(__xludf.DUMMYFUNCTION("IMPORTRANGE(""https://docs.google.com/spreadsheets/d/1sqWX7UerdR9KR_duBzDNfjwbPG-3hLgV1LiN2ZVZ6Js/edit"",""1!e41"")"),331.0)</f>
        <v>331</v>
      </c>
      <c r="I256" s="40">
        <f t="shared" si="690"/>
        <v>2775</v>
      </c>
      <c r="J256" s="40">
        <f>IFERROR(__xludf.DUMMYFUNCTION("IMPORTRANGE(""https://docs.google.com/spreadsheets/d/1sqWX7UerdR9KR_duBzDNfjwbPG-3hLgV1LiN2ZVZ6Js/edit"",""1!e44"")"),3085.0)</f>
        <v>3085</v>
      </c>
      <c r="K256" s="40">
        <f>IFERROR(__xludf.DUMMYFUNCTION("IMPORTRANGE(""https://docs.google.com/spreadsheets/d/1sqWX7UerdR9KR_duBzDNfjwbPG-3hLgV1LiN2ZVZ6Js/edit"",""1!e45"")"),319.0)</f>
        <v>319</v>
      </c>
      <c r="L256" s="40">
        <f>J256+K256</f>
        <v>3404</v>
      </c>
      <c r="M256" s="40">
        <f t="shared" si="692"/>
        <v>6179</v>
      </c>
      <c r="N256" s="41">
        <f t="shared" si="693"/>
        <v>186.3605</v>
      </c>
      <c r="O256" s="38">
        <v>6622.0</v>
      </c>
      <c r="P256" s="42">
        <f t="shared" si="694"/>
        <v>0.9331017819</v>
      </c>
      <c r="Q256" s="43">
        <v>1.5</v>
      </c>
      <c r="R256" s="42">
        <f t="shared" si="695"/>
        <v>0.6907534948</v>
      </c>
      <c r="S256" s="44">
        <f t="shared" si="696"/>
        <v>1.036130242</v>
      </c>
      <c r="T256" s="43">
        <f>F256/23.84</f>
        <v>250.1483221</v>
      </c>
      <c r="U256" s="43">
        <f t="shared" si="697"/>
        <v>7.817135067</v>
      </c>
      <c r="V256" s="40">
        <f t="shared" si="698"/>
        <v>193.09375</v>
      </c>
      <c r="X256" s="31">
        <v>2.0</v>
      </c>
      <c r="Y256" s="31" t="s">
        <v>30</v>
      </c>
      <c r="Z256" s="31">
        <f t="shared" ref="Z256:AI256" si="709">SUM(D251)</f>
        <v>60</v>
      </c>
      <c r="AA256" s="32">
        <f t="shared" si="709"/>
        <v>59</v>
      </c>
      <c r="AB256" s="33">
        <f t="shared" si="709"/>
        <v>11739.692</v>
      </c>
      <c r="AC256" s="32">
        <f t="shared" si="709"/>
        <v>3754</v>
      </c>
      <c r="AD256" s="32">
        <f t="shared" si="709"/>
        <v>14</v>
      </c>
      <c r="AE256" s="32">
        <f t="shared" si="709"/>
        <v>3768</v>
      </c>
      <c r="AF256" s="32">
        <f t="shared" si="709"/>
        <v>5982</v>
      </c>
      <c r="AG256" s="32">
        <f t="shared" si="709"/>
        <v>0</v>
      </c>
      <c r="AH256" s="32">
        <f t="shared" si="709"/>
        <v>5982</v>
      </c>
      <c r="AI256" s="32">
        <f t="shared" si="709"/>
        <v>9750</v>
      </c>
      <c r="AJ256" s="34">
        <f t="shared" si="710"/>
        <v>198.9778305</v>
      </c>
      <c r="AK256" s="31">
        <f t="shared" si="711"/>
        <v>11164</v>
      </c>
      <c r="AL256" s="35">
        <f t="shared" si="712"/>
        <v>0.8733428879</v>
      </c>
      <c r="AM256" s="36">
        <f t="shared" si="713"/>
        <v>1.5</v>
      </c>
      <c r="AN256" s="35">
        <f t="shared" si="714"/>
        <v>0.5536772174</v>
      </c>
      <c r="AO256" s="37">
        <f t="shared" si="715"/>
        <v>0.8305158261</v>
      </c>
      <c r="AP256" s="36">
        <f t="shared" ref="AP256:AQ256" si="716">SUM(T251)</f>
        <v>396.5710232</v>
      </c>
      <c r="AQ256" s="36">
        <f t="shared" si="716"/>
        <v>6.721542766</v>
      </c>
      <c r="AR256" s="32">
        <f t="shared" si="717"/>
        <v>165.2542373</v>
      </c>
    </row>
    <row r="257" ht="15.75" customHeight="1">
      <c r="A257" s="21"/>
      <c r="B257" s="38">
        <v>9.0</v>
      </c>
      <c r="C257" s="38" t="s">
        <v>36</v>
      </c>
      <c r="D257" s="58">
        <v>30.0</v>
      </c>
      <c r="E257" s="40">
        <f>IFERROR(__xludf.DUMMYFUNCTION("COUNT(IMPORTRANGE(""https://docs.google.com/spreadsheets/d/1YNna43iTSqnwwbMJgTIPHSJEoDO8RGPRFg5pJCoQR_Y/edit"",""1!d2:d31""))"),29.0)</f>
        <v>29</v>
      </c>
      <c r="F257" s="45">
        <f>IFERROR(__xludf.DUMMYFUNCTION("SUM(IMPORTRANGE(""https://docs.google.com/spreadsheets/d/1YNna43iTSqnwwbMJgTIPHSJEoDO8RGPRFg5pJCoQR_Y/edit"",""1!Q2:Q31""))"),4875.344999999998)</f>
        <v>4875.345</v>
      </c>
      <c r="G257" s="40">
        <f>IFERROR(__xludf.DUMMYFUNCTION("IMPORTRANGE(""https://docs.google.com/spreadsheets/d/1YNna43iTSqnwwbMJgTIPHSJEoDO8RGPRFg5pJCoQR_Y/edit"",""1!e38"")"),1728.0)</f>
        <v>1728</v>
      </c>
      <c r="H257" s="40">
        <f>IFERROR(__xludf.DUMMYFUNCTION("IMPORTRANGE(""https://docs.google.com/spreadsheets/d/1YNna43iTSqnwwbMJgTIPHSJEoDO8RGPRFg5pJCoQR_Y/edit"",""1!e39"")"),0.0)</f>
        <v>0</v>
      </c>
      <c r="I257" s="40">
        <f t="shared" si="690"/>
        <v>1728</v>
      </c>
      <c r="J257" s="40">
        <f>IFERROR(__xludf.DUMMYFUNCTION("IMPORTRANGE(""https://docs.google.com/spreadsheets/d/1YNna43iTSqnwwbMJgTIPHSJEoDO8RGPRFg5pJCoQR_Y/edit"",""1!e42"")"),2407.0)</f>
        <v>2407</v>
      </c>
      <c r="K257" s="40">
        <f>IFERROR(__xludf.DUMMYFUNCTION("IMPORTRANGE(""https://docs.google.com/spreadsheets/d/1YNna43iTSqnwwbMJgTIPHSJEoDO8RGPRFg5pJCoQR_Y/edit"",""1!e43"")"),20.0)</f>
        <v>20</v>
      </c>
      <c r="L257" s="40">
        <f t="shared" ref="L257:L266" si="720">SUM(J257:K257)</f>
        <v>2427</v>
      </c>
      <c r="M257" s="40">
        <f t="shared" si="692"/>
        <v>4155</v>
      </c>
      <c r="N257" s="41">
        <f t="shared" si="693"/>
        <v>168.1153448</v>
      </c>
      <c r="O257" s="38">
        <v>4796.0</v>
      </c>
      <c r="P257" s="42">
        <f t="shared" si="694"/>
        <v>0.8663469558</v>
      </c>
      <c r="Q257" s="43">
        <v>1.5</v>
      </c>
      <c r="R257" s="42">
        <f t="shared" si="695"/>
        <v>0.5681649196</v>
      </c>
      <c r="S257" s="44">
        <f t="shared" si="696"/>
        <v>0.8522473794</v>
      </c>
      <c r="T257" s="43">
        <f>F257/37.414</f>
        <v>130.3080398</v>
      </c>
      <c r="U257" s="43">
        <f t="shared" si="697"/>
        <v>4.493380682</v>
      </c>
      <c r="V257" s="40">
        <f t="shared" si="698"/>
        <v>143.2758621</v>
      </c>
      <c r="X257" s="22">
        <v>3.0</v>
      </c>
      <c r="Y257" s="22" t="s">
        <v>34</v>
      </c>
      <c r="Z257" s="22">
        <f t="shared" ref="Z257:AI257" si="718">SUM(D253)</f>
        <v>40</v>
      </c>
      <c r="AA257" s="23">
        <f t="shared" si="718"/>
        <v>40</v>
      </c>
      <c r="AB257" s="24">
        <f t="shared" si="718"/>
        <v>8007.324</v>
      </c>
      <c r="AC257" s="23">
        <f t="shared" si="718"/>
        <v>2819</v>
      </c>
      <c r="AD257" s="23">
        <f t="shared" si="718"/>
        <v>0</v>
      </c>
      <c r="AE257" s="23">
        <f t="shared" si="718"/>
        <v>2819</v>
      </c>
      <c r="AF257" s="23">
        <f t="shared" si="718"/>
        <v>3504</v>
      </c>
      <c r="AG257" s="23">
        <f t="shared" si="718"/>
        <v>0</v>
      </c>
      <c r="AH257" s="23">
        <f t="shared" si="718"/>
        <v>3504</v>
      </c>
      <c r="AI257" s="23">
        <f t="shared" si="718"/>
        <v>6323</v>
      </c>
      <c r="AJ257" s="25">
        <f t="shared" si="710"/>
        <v>200.1831</v>
      </c>
      <c r="AK257" s="22">
        <f>SUM(O253)</f>
        <v>9354</v>
      </c>
      <c r="AL257" s="26">
        <f t="shared" si="712"/>
        <v>0.6759675005</v>
      </c>
      <c r="AM257" s="27">
        <f>SUM(Q253)</f>
        <v>1.5</v>
      </c>
      <c r="AN257" s="26">
        <f t="shared" si="714"/>
        <v>0.5264347157</v>
      </c>
      <c r="AO257" s="28">
        <f t="shared" si="715"/>
        <v>0.7896520735</v>
      </c>
      <c r="AP257" s="27">
        <f t="shared" ref="AP257:AQ257" si="719">SUM(T253)</f>
        <v>260.7144857</v>
      </c>
      <c r="AQ257" s="27">
        <f t="shared" si="719"/>
        <v>6.517862143</v>
      </c>
      <c r="AR257" s="23">
        <f t="shared" si="717"/>
        <v>158.075</v>
      </c>
    </row>
    <row r="258" ht="15.75" customHeight="1">
      <c r="A258" s="21"/>
      <c r="B258" s="38">
        <v>10.0</v>
      </c>
      <c r="C258" s="38" t="s">
        <v>37</v>
      </c>
      <c r="D258" s="39">
        <v>30.0</v>
      </c>
      <c r="E258" s="40">
        <f>IFERROR(__xludf.DUMMYFUNCTION("COUNT(IMPORTRANGE(""https://docs.google.com/spreadsheets/d/1913Df5BsXS_b-nClL8LOK5w0engQYTl1mPOiyngRtO0/edit"",""1!d2:d31""))"),28.0)</f>
        <v>28</v>
      </c>
      <c r="F258" s="45">
        <f>IFERROR(__xludf.DUMMYFUNCTION("SUM(IMPORTRANGE(""https://docs.google.com/spreadsheets/d/1913Df5BsXS_b-nClL8LOK5w0engQYTl1mPOiyngRtO0/edit"",""1!Q2:Q31""))"),5465.100000000002)</f>
        <v>5465.1</v>
      </c>
      <c r="G258" s="40">
        <f>IFERROR(__xludf.DUMMYFUNCTION("(IMPORTRANGE(""https://docs.google.com/spreadsheets/d/1913Df5BsXS_b-nClL8LOK5w0engQYTl1mPOiyngRtO0/edit"",""1!e38""))"),2135.0)</f>
        <v>2135</v>
      </c>
      <c r="H258" s="40">
        <f>IFERROR(__xludf.DUMMYFUNCTION("(IMPORTRANGE(""https://docs.google.com/spreadsheets/d/1913Df5BsXS_b-nClL8LOK5w0engQYTl1mPOiyngRtO0/edit"",""1!e39""))"),0.0)</f>
        <v>0</v>
      </c>
      <c r="I258" s="40">
        <f t="shared" si="690"/>
        <v>2135</v>
      </c>
      <c r="J258" s="40">
        <f>IFERROR(__xludf.DUMMYFUNCTION("(IMPORTRANGE(""https://docs.google.com/spreadsheets/d/1913Df5BsXS_b-nClL8LOK5w0engQYTl1mPOiyngRtO0/edit"",""1!e42""))"),3182.0)</f>
        <v>3182</v>
      </c>
      <c r="K258" s="40">
        <f>IFERROR(__xludf.DUMMYFUNCTION("(IMPORTRANGE(""https://docs.google.com/spreadsheets/d/1913Df5BsXS_b-nClL8LOK5w0engQYTl1mPOiyngRtO0/edit"",""1!e43""))"),0.0)</f>
        <v>0</v>
      </c>
      <c r="L258" s="40">
        <f t="shared" si="720"/>
        <v>3182</v>
      </c>
      <c r="M258" s="40">
        <f t="shared" si="692"/>
        <v>5317</v>
      </c>
      <c r="N258" s="41">
        <f t="shared" si="693"/>
        <v>195.1821429</v>
      </c>
      <c r="O258" s="38">
        <v>5887.0</v>
      </c>
      <c r="P258" s="42">
        <f t="shared" si="694"/>
        <v>0.9031764906</v>
      </c>
      <c r="Q258" s="43">
        <v>1.5</v>
      </c>
      <c r="R258" s="42">
        <f t="shared" si="695"/>
        <v>0.6486005136</v>
      </c>
      <c r="S258" s="44">
        <f t="shared" si="696"/>
        <v>0.9729007703</v>
      </c>
      <c r="T258" s="43">
        <f>F258/24.792</f>
        <v>220.4380445</v>
      </c>
      <c r="U258" s="43">
        <f t="shared" si="697"/>
        <v>7.872787305</v>
      </c>
      <c r="V258" s="40">
        <f t="shared" si="698"/>
        <v>189.8928571</v>
      </c>
      <c r="X258" s="31">
        <v>4.0</v>
      </c>
      <c r="Y258" s="31" t="s">
        <v>38</v>
      </c>
      <c r="Z258" s="31">
        <f t="shared" ref="Z258:AI258" si="721">SUM(D261)</f>
        <v>30</v>
      </c>
      <c r="AA258" s="32">
        <f t="shared" si="721"/>
        <v>30</v>
      </c>
      <c r="AB258" s="33">
        <f t="shared" si="721"/>
        <v>6034.986</v>
      </c>
      <c r="AC258" s="32">
        <f t="shared" si="721"/>
        <v>1876</v>
      </c>
      <c r="AD258" s="32">
        <f t="shared" si="721"/>
        <v>79</v>
      </c>
      <c r="AE258" s="32">
        <f t="shared" si="721"/>
        <v>1955</v>
      </c>
      <c r="AF258" s="32">
        <f t="shared" si="721"/>
        <v>2967</v>
      </c>
      <c r="AG258" s="32">
        <f t="shared" si="721"/>
        <v>140</v>
      </c>
      <c r="AH258" s="32">
        <f t="shared" si="721"/>
        <v>3107</v>
      </c>
      <c r="AI258" s="32">
        <f t="shared" si="721"/>
        <v>5062</v>
      </c>
      <c r="AJ258" s="34">
        <f t="shared" si="710"/>
        <v>201.1662</v>
      </c>
      <c r="AK258" s="31">
        <v>7324.0</v>
      </c>
      <c r="AL258" s="35">
        <f t="shared" si="712"/>
        <v>0.6911523758</v>
      </c>
      <c r="AM258" s="36">
        <f>SUM(Q261)</f>
        <v>1.5</v>
      </c>
      <c r="AN258" s="35">
        <f t="shared" si="714"/>
        <v>0.5591838435</v>
      </c>
      <c r="AO258" s="37">
        <f t="shared" si="715"/>
        <v>0.8387757652</v>
      </c>
      <c r="AP258" s="36">
        <f t="shared" ref="AP258:AQ258" si="722">SUM(T261)</f>
        <v>146.4624681</v>
      </c>
      <c r="AQ258" s="36">
        <f t="shared" si="722"/>
        <v>4.882082272</v>
      </c>
      <c r="AR258" s="32">
        <f t="shared" si="717"/>
        <v>168.7333333</v>
      </c>
    </row>
    <row r="259" ht="15.75" customHeight="1">
      <c r="A259" s="21"/>
      <c r="B259" s="38">
        <v>12.0</v>
      </c>
      <c r="C259" s="38" t="s">
        <v>39</v>
      </c>
      <c r="D259" s="39">
        <v>28.0</v>
      </c>
      <c r="E259" s="40">
        <f>IFERROR(__xludf.DUMMYFUNCTION("COUNT(IMPORTRANGE(""https://docs.google.com/spreadsheets/d/1wMeol_MpSIcocGxt3WZGl46mJ2tc80mANPvP_YzaP18/edit"",""1!d2:d29""))"),27.0)</f>
        <v>27</v>
      </c>
      <c r="F259" s="45">
        <f>IFERROR(__xludf.DUMMYFUNCTION("SUM(IMPORTRANGE(""https://docs.google.com/spreadsheets/d/1wMeol_MpSIcocGxt3WZGl46mJ2tc80mANPvP_YzaP18/edit"",""1!Q2:Q29""))"),5318.459)</f>
        <v>5318.459</v>
      </c>
      <c r="G259" s="40">
        <f>IFERROR(__xludf.DUMMYFUNCTION("IMPORTRANGE(""https://docs.google.com/spreadsheets/d/1wMeol_MpSIcocGxt3WZGl46mJ2tc80mANPvP_YzaP18/edit"",""1!e36"")"),1229.0)</f>
        <v>1229</v>
      </c>
      <c r="H259" s="40">
        <f>IFERROR(__xludf.DUMMYFUNCTION("(IMPORTRANGE(""https://docs.google.com/spreadsheets/d/1wMeol_MpSIcocGxt3WZGl46mJ2tc80mANPvP_YzaP18/edit"",""1!e37""))"),0.0)</f>
        <v>0</v>
      </c>
      <c r="I259" s="40">
        <f t="shared" si="690"/>
        <v>1229</v>
      </c>
      <c r="J259" s="40">
        <f>IFERROR(__xludf.DUMMYFUNCTION("IMPORTRANGE(""https://docs.google.com/spreadsheets/d/1wMeol_MpSIcocGxt3WZGl46mJ2tc80mANPvP_YzaP18/edit"",""1!e40"")"),1740.0)</f>
        <v>1740</v>
      </c>
      <c r="K259" s="40">
        <f>IFERROR(__xludf.DUMMYFUNCTION("IMPORTRANGE(""https://docs.google.com/spreadsheets/d/1wMeol_MpSIcocGxt3WZGl46mJ2tc80mANPvP_YzaP18/edit"",""1!e41"")"),0.0)</f>
        <v>0</v>
      </c>
      <c r="L259" s="40">
        <f t="shared" si="720"/>
        <v>1740</v>
      </c>
      <c r="M259" s="40">
        <f t="shared" si="692"/>
        <v>2969</v>
      </c>
      <c r="N259" s="41">
        <f t="shared" si="693"/>
        <v>196.979963</v>
      </c>
      <c r="O259" s="38">
        <v>3569.0</v>
      </c>
      <c r="P259" s="42">
        <f t="shared" si="694"/>
        <v>0.8318856823</v>
      </c>
      <c r="Q259" s="43">
        <v>1.5</v>
      </c>
      <c r="R259" s="42">
        <f t="shared" si="695"/>
        <v>0.3721629392</v>
      </c>
      <c r="S259" s="44">
        <f t="shared" si="696"/>
        <v>0.5582444088</v>
      </c>
      <c r="T259" s="43">
        <f>F259/21.463</f>
        <v>247.7966268</v>
      </c>
      <c r="U259" s="43">
        <f t="shared" si="697"/>
        <v>9.177652843</v>
      </c>
      <c r="V259" s="40">
        <f t="shared" si="698"/>
        <v>109.962963</v>
      </c>
      <c r="X259" s="31">
        <v>5.0</v>
      </c>
      <c r="Y259" s="31" t="s">
        <v>40</v>
      </c>
      <c r="Z259" s="31">
        <f t="shared" ref="Z259:AI259" si="723">SUM(D263)</f>
        <v>30</v>
      </c>
      <c r="AA259" s="32">
        <f t="shared" si="723"/>
        <v>30</v>
      </c>
      <c r="AB259" s="33">
        <f t="shared" si="723"/>
        <v>5660.157</v>
      </c>
      <c r="AC259" s="32">
        <f t="shared" si="723"/>
        <v>3382</v>
      </c>
      <c r="AD259" s="32">
        <f t="shared" si="723"/>
        <v>0</v>
      </c>
      <c r="AE259" s="32">
        <f t="shared" si="723"/>
        <v>3382</v>
      </c>
      <c r="AF259" s="32">
        <f t="shared" si="723"/>
        <v>3798</v>
      </c>
      <c r="AG259" s="32">
        <f t="shared" si="723"/>
        <v>0</v>
      </c>
      <c r="AH259" s="32">
        <f t="shared" si="723"/>
        <v>3798</v>
      </c>
      <c r="AI259" s="32">
        <f t="shared" si="723"/>
        <v>7180</v>
      </c>
      <c r="AJ259" s="34">
        <f t="shared" si="710"/>
        <v>188.6719</v>
      </c>
      <c r="AK259" s="31">
        <f t="shared" ref="AK259:AK260" si="726">SUM(O263)</f>
        <v>8239</v>
      </c>
      <c r="AL259" s="35">
        <f t="shared" si="712"/>
        <v>0.8714649836</v>
      </c>
      <c r="AM259" s="36">
        <f t="shared" ref="AM259:AM260" si="727">SUM(Q263)</f>
        <v>1.5</v>
      </c>
      <c r="AN259" s="35">
        <f t="shared" si="714"/>
        <v>0.8456773667</v>
      </c>
      <c r="AO259" s="37">
        <f t="shared" si="715"/>
        <v>1.26851605</v>
      </c>
      <c r="AP259" s="36">
        <f t="shared" ref="AP259:AQ259" si="724">SUM(T263)</f>
        <v>199</v>
      </c>
      <c r="AQ259" s="36">
        <f t="shared" si="724"/>
        <v>6.633333333</v>
      </c>
      <c r="AR259" s="32">
        <f t="shared" si="717"/>
        <v>239.3333333</v>
      </c>
    </row>
    <row r="260" ht="15.75" customHeight="1">
      <c r="A260" s="21"/>
      <c r="B260" s="38">
        <v>12.0</v>
      </c>
      <c r="C260" s="38" t="s">
        <v>41</v>
      </c>
      <c r="D260" s="39">
        <v>24.0</v>
      </c>
      <c r="E260" s="40">
        <f>IFERROR(__xludf.DUMMYFUNCTION("COUNT(IMPORTRANGE(""https://docs.google.com/spreadsheets/d/1sHk6_yuc4kORC_xnhEeazoemV_hVUQVqRpfoNae-PLk/edit"",""1!d2:d25""))"),24.0)</f>
        <v>24</v>
      </c>
      <c r="F260" s="45">
        <f>IFERROR(__xludf.DUMMYFUNCTION("SUM(IMPORTRANGE(""https://docs.google.com/spreadsheets/d/1sHk6_yuc4kORC_xnhEeazoemV_hVUQVqRpfoNae-PLk/edit"",""1!Q2:Q25""))"),4793.152000000001)</f>
        <v>4793.152</v>
      </c>
      <c r="G260" s="40">
        <f>IFERROR(__xludf.DUMMYFUNCTION("IMPORTRANGE(""https://docs.google.com/spreadsheets/d/1sHk6_yuc4kORC_xnhEeazoemV_hVUQVqRpfoNae-PLk/edit"",""1!e32"")"),1363.0)</f>
        <v>1363</v>
      </c>
      <c r="H260" s="40">
        <f>IFERROR(__xludf.DUMMYFUNCTION("IMPORTRANGE(""https://docs.google.com/spreadsheets/d/1sHk6_yuc4kORC_xnhEeazoemV_hVUQVqRpfoNae-PLk/edit"",""1!e33"")"),0.0)</f>
        <v>0</v>
      </c>
      <c r="I260" s="40">
        <f t="shared" si="690"/>
        <v>1363</v>
      </c>
      <c r="J260" s="40">
        <f>IFERROR(__xludf.DUMMYFUNCTION("IMPORTRANGE(""https://docs.google.com/spreadsheets/d/1sHk6_yuc4kORC_xnhEeazoemV_hVUQVqRpfoNae-PLk/edit"",""1!e36"")"),1818.0)</f>
        <v>1818</v>
      </c>
      <c r="K260" s="40">
        <f>IFERROR(__xludf.DUMMYFUNCTION("IMPORTRANGE(""https://docs.google.com/spreadsheets/d/1sHk6_yuc4kORC_xnhEeazoemV_hVUQVqRpfoNae-PLk/edit"",""1!e37"")"),0.0)</f>
        <v>0</v>
      </c>
      <c r="L260" s="40">
        <f t="shared" si="720"/>
        <v>1818</v>
      </c>
      <c r="M260" s="40">
        <f t="shared" si="692"/>
        <v>3181</v>
      </c>
      <c r="N260" s="41">
        <f t="shared" si="693"/>
        <v>199.7146667</v>
      </c>
      <c r="O260" s="38">
        <v>3801.0</v>
      </c>
      <c r="P260" s="42">
        <f t="shared" si="694"/>
        <v>0.8368850303</v>
      </c>
      <c r="Q260" s="43">
        <v>1.5</v>
      </c>
      <c r="R260" s="42">
        <f t="shared" si="695"/>
        <v>0.4424367653</v>
      </c>
      <c r="S260" s="44">
        <f t="shared" si="696"/>
        <v>0.663655148</v>
      </c>
      <c r="T260" s="43">
        <f>F260/29.628</f>
        <v>161.7777778</v>
      </c>
      <c r="U260" s="43">
        <f t="shared" si="697"/>
        <v>6.740740741</v>
      </c>
      <c r="V260" s="40">
        <f t="shared" si="698"/>
        <v>132.5416667</v>
      </c>
      <c r="X260" s="22">
        <v>6.0</v>
      </c>
      <c r="Y260" s="22" t="s">
        <v>42</v>
      </c>
      <c r="Z260" s="22">
        <f t="shared" ref="Z260:AI260" si="725">SUM(D264)</f>
        <v>33</v>
      </c>
      <c r="AA260" s="23">
        <f t="shared" si="725"/>
        <v>33</v>
      </c>
      <c r="AB260" s="24">
        <f t="shared" si="725"/>
        <v>6597.215</v>
      </c>
      <c r="AC260" s="23">
        <f t="shared" si="725"/>
        <v>3014</v>
      </c>
      <c r="AD260" s="23">
        <f t="shared" si="725"/>
        <v>234</v>
      </c>
      <c r="AE260" s="23">
        <f t="shared" si="725"/>
        <v>3248</v>
      </c>
      <c r="AF260" s="23">
        <f t="shared" si="725"/>
        <v>4605</v>
      </c>
      <c r="AG260" s="23">
        <f t="shared" si="725"/>
        <v>108</v>
      </c>
      <c r="AH260" s="23">
        <f t="shared" si="725"/>
        <v>4713</v>
      </c>
      <c r="AI260" s="23">
        <f t="shared" si="725"/>
        <v>7961</v>
      </c>
      <c r="AJ260" s="25">
        <f t="shared" si="710"/>
        <v>199.9156061</v>
      </c>
      <c r="AK260" s="22">
        <f t="shared" si="726"/>
        <v>9877</v>
      </c>
      <c r="AL260" s="26">
        <f t="shared" si="712"/>
        <v>0.8060139719</v>
      </c>
      <c r="AM260" s="27">
        <f t="shared" si="727"/>
        <v>1.5</v>
      </c>
      <c r="AN260" s="26">
        <f t="shared" si="714"/>
        <v>0.8044808807</v>
      </c>
      <c r="AO260" s="28">
        <f t="shared" si="715"/>
        <v>1.206721321</v>
      </c>
      <c r="AP260" s="27">
        <f t="shared" ref="AP260:AQ260" si="728">SUM(T264)</f>
        <v>252.2353279</v>
      </c>
      <c r="AQ260" s="27">
        <f t="shared" si="728"/>
        <v>7.643494783</v>
      </c>
      <c r="AR260" s="23">
        <f t="shared" si="717"/>
        <v>241.2424242</v>
      </c>
    </row>
    <row r="261" ht="15.75" customHeight="1">
      <c r="A261" s="21"/>
      <c r="B261" s="38">
        <v>13.0</v>
      </c>
      <c r="C261" s="38" t="s">
        <v>43</v>
      </c>
      <c r="D261" s="39">
        <v>30.0</v>
      </c>
      <c r="E261" s="40">
        <f>IFERROR(__xludf.DUMMYFUNCTION("COUNT(IMPORTRANGE(""https://docs.google.com/spreadsheets/d/1uGXvAN2jA6kmcEHUY4KqOHHewllZsujDdA6KVDfBCoA/edit"",""1!d2:d31""))"),30.0)</f>
        <v>30</v>
      </c>
      <c r="F261" s="45">
        <f>IFERROR(__xludf.DUMMYFUNCTION("SUM(IMPORTRANGE(""https://docs.google.com/spreadsheets/d/1uGXvAN2jA6kmcEHUY4KqOHHewllZsujDdA6KVDfBCoA/edit"",""1!Q2:Q31""))"),6034.986)</f>
        <v>6034.986</v>
      </c>
      <c r="G261" s="40">
        <f>IFERROR(__xludf.DUMMYFUNCTION("IMPORTRANGE(""https://docs.google.com/spreadsheets/d/1uGXvAN2jA6kmcEHUY4KqOHHewllZsujDdA6KVDfBCoA/edit"",""1!e38"")"),1876.0)</f>
        <v>1876</v>
      </c>
      <c r="H261" s="40">
        <f>IFERROR(__xludf.DUMMYFUNCTION("IMPORTRANGE(""https://docs.google.com/spreadsheets/d/1uGXvAN2jA6kmcEHUY4KqOHHewllZsujDdA6KVDfBCoA/edit"",""1!e39"")"),79.0)</f>
        <v>79</v>
      </c>
      <c r="I261" s="40">
        <f t="shared" si="690"/>
        <v>1955</v>
      </c>
      <c r="J261" s="40">
        <f>IFERROR(__xludf.DUMMYFUNCTION("IMPORTRANGE(""https://docs.google.com/spreadsheets/d/1uGXvAN2jA6kmcEHUY4KqOHHewllZsujDdA6KVDfBCoA/edit"",""1!e42"")"),2967.0)</f>
        <v>2967</v>
      </c>
      <c r="K261" s="40">
        <f>IFERROR(__xludf.DUMMYFUNCTION("IMPORTRANGE(""https://docs.google.com/spreadsheets/d/1uGXvAN2jA6kmcEHUY4KqOHHewllZsujDdA6KVDfBCoA/edit"",""1!e43"")"),140.0)</f>
        <v>140</v>
      </c>
      <c r="L261" s="40">
        <f t="shared" si="720"/>
        <v>3107</v>
      </c>
      <c r="M261" s="40">
        <f t="shared" si="692"/>
        <v>5062</v>
      </c>
      <c r="N261" s="41">
        <f t="shared" si="693"/>
        <v>201.1662</v>
      </c>
      <c r="O261" s="38">
        <v>8345.0</v>
      </c>
      <c r="P261" s="42">
        <f t="shared" si="694"/>
        <v>0.6065907729</v>
      </c>
      <c r="Q261" s="43">
        <v>1.5</v>
      </c>
      <c r="R261" s="42">
        <f t="shared" si="695"/>
        <v>0.5591838435</v>
      </c>
      <c r="S261" s="44">
        <f t="shared" si="696"/>
        <v>0.8387757652</v>
      </c>
      <c r="T261" s="43">
        <f>F261/41.205</f>
        <v>146.4624681</v>
      </c>
      <c r="U261" s="43">
        <f t="shared" si="697"/>
        <v>4.882082272</v>
      </c>
      <c r="V261" s="40">
        <f t="shared" si="698"/>
        <v>168.7333333</v>
      </c>
      <c r="X261" s="46" t="s">
        <v>33</v>
      </c>
      <c r="Y261" s="46">
        <v>6.0</v>
      </c>
      <c r="Z261" s="46">
        <f t="shared" ref="Z261:AI261" si="729">SUM(Z255:Z260)</f>
        <v>226</v>
      </c>
      <c r="AA261" s="47">
        <f t="shared" si="729"/>
        <v>224</v>
      </c>
      <c r="AB261" s="49">
        <f t="shared" si="729"/>
        <v>44273.509</v>
      </c>
      <c r="AC261" s="47">
        <f t="shared" si="729"/>
        <v>17564</v>
      </c>
      <c r="AD261" s="47">
        <f t="shared" si="729"/>
        <v>535</v>
      </c>
      <c r="AE261" s="47">
        <f t="shared" si="729"/>
        <v>18099</v>
      </c>
      <c r="AF261" s="47">
        <f t="shared" si="729"/>
        <v>24048</v>
      </c>
      <c r="AG261" s="47">
        <f t="shared" si="729"/>
        <v>386</v>
      </c>
      <c r="AH261" s="47">
        <f t="shared" si="729"/>
        <v>24434</v>
      </c>
      <c r="AI261" s="47">
        <f t="shared" si="729"/>
        <v>42533</v>
      </c>
      <c r="AJ261" s="49">
        <f t="shared" si="710"/>
        <v>197.6495938</v>
      </c>
      <c r="AK261" s="46">
        <f>SUM(AK255:AK260)</f>
        <v>53273</v>
      </c>
      <c r="AL261" s="50">
        <f t="shared" si="712"/>
        <v>0.7983969365</v>
      </c>
      <c r="AM261" s="51">
        <v>1.5</v>
      </c>
      <c r="AN261" s="50">
        <f t="shared" si="714"/>
        <v>0.6404582328</v>
      </c>
      <c r="AO261" s="52">
        <f t="shared" si="715"/>
        <v>0.9606873492</v>
      </c>
      <c r="AP261" s="51">
        <f>SUM(AP255:AP260)</f>
        <v>1456.754836</v>
      </c>
      <c r="AQ261" s="51">
        <f>AP261/AA261</f>
        <v>6.503369804</v>
      </c>
      <c r="AR261" s="47">
        <f t="shared" si="717"/>
        <v>189.8794643</v>
      </c>
    </row>
    <row r="262" ht="15.75" customHeight="1">
      <c r="A262" s="21"/>
      <c r="B262" s="38">
        <v>14.0</v>
      </c>
      <c r="C262" s="38" t="s">
        <v>27</v>
      </c>
      <c r="D262" s="39">
        <v>30.0</v>
      </c>
      <c r="E262" s="40">
        <f>IFERROR(__xludf.DUMMYFUNCTION("COUNT(IMPORTRANGE(""https://docs.google.com/spreadsheets/d/1iYtf3wkjJIgOL8ej0-L89wY8FLXKi6EiRbi9UqA1Bzw/edit"",""1!d2:d31""))"),29.0)</f>
        <v>29</v>
      </c>
      <c r="F262" s="45">
        <f>IFERROR(__xludf.DUMMYFUNCTION("SUM(IMPORTRANGE(""https://docs.google.com/spreadsheets/d/1iYtf3wkjJIgOL8ej0-L89wY8FLXKi6EiRbi9UqA1Bzw/edit"",""1!Q2:Q31""))"),5631.663000000001)</f>
        <v>5631.663</v>
      </c>
      <c r="G262" s="40">
        <f>IFERROR(__xludf.DUMMYFUNCTION("IMPORTRANGE(""https://docs.google.com/spreadsheets/d/1iYtf3wkjJIgOL8ej0-L89wY8FLXKi6EiRbi9UqA1Bzw/edit"",""1!e38"")"),2486.0)</f>
        <v>2486</v>
      </c>
      <c r="H262" s="40">
        <f>IFERROR(__xludf.DUMMYFUNCTION("IMPORTRANGE(""https://docs.google.com/spreadsheets/d/1iYtf3wkjJIgOL8ej0-L89wY8FLXKi6EiRbi9UqA1Bzw/edit"",""1!e39"")"),80.0)</f>
        <v>80</v>
      </c>
      <c r="I262" s="40">
        <f t="shared" si="690"/>
        <v>2566</v>
      </c>
      <c r="J262" s="40">
        <f>IFERROR(__xludf.DUMMYFUNCTION("IMPORTRANGE(""https://docs.google.com/spreadsheets/d/1iYtf3wkjJIgOL8ej0-L89wY8FLXKi6EiRbi9UqA1Bzw/edit"",""1!e42"")"),2945.0)</f>
        <v>2945</v>
      </c>
      <c r="K262" s="40">
        <f>IFERROR(__xludf.DUMMYFUNCTION("IMPORTRANGE(""https://docs.google.com/spreadsheets/d/1iYtf3wkjJIgOL8ej0-L89wY8FLXKi6EiRbi9UqA1Bzw/edit"",""1!e43"")"),88.0)</f>
        <v>88</v>
      </c>
      <c r="L262" s="40">
        <f t="shared" si="720"/>
        <v>3033</v>
      </c>
      <c r="M262" s="40">
        <f t="shared" si="692"/>
        <v>5599</v>
      </c>
      <c r="N262" s="41">
        <f t="shared" si="693"/>
        <v>194.1952759</v>
      </c>
      <c r="O262" s="38">
        <v>8101.0</v>
      </c>
      <c r="P262" s="42">
        <f t="shared" si="694"/>
        <v>0.6911492408</v>
      </c>
      <c r="Q262" s="43">
        <v>1.5</v>
      </c>
      <c r="R262" s="42">
        <f t="shared" si="695"/>
        <v>0.6628000764</v>
      </c>
      <c r="S262" s="44">
        <f t="shared" si="696"/>
        <v>0.9942001146</v>
      </c>
      <c r="T262" s="43">
        <f>F262/19.985</f>
        <v>281.7944959</v>
      </c>
      <c r="U262" s="43">
        <f t="shared" si="697"/>
        <v>9.717051582</v>
      </c>
      <c r="V262" s="40">
        <f t="shared" si="698"/>
        <v>193.0689655</v>
      </c>
      <c r="X262" s="59" t="s">
        <v>44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6"/>
    </row>
    <row r="263" ht="15.75" customHeight="1">
      <c r="A263" s="21"/>
      <c r="B263" s="38">
        <v>15.0</v>
      </c>
      <c r="C263" s="38" t="s">
        <v>40</v>
      </c>
      <c r="D263" s="39">
        <v>30.0</v>
      </c>
      <c r="E263" s="40">
        <f>IFERROR(__xludf.DUMMYFUNCTION("COUNT(IMPORTRANGE(""https://docs.google.com/spreadsheets/d/1Wdf8MsoDBzMSsrzOXwaGQzbVjVqOWfKSqYmbncevZgA/edit"",""1!d2:d31""))"),30.0)</f>
        <v>30</v>
      </c>
      <c r="F263" s="45">
        <f>IFERROR(__xludf.DUMMYFUNCTION("SUM(IMPORTRANGE(""https://docs.google.com/spreadsheets/d/1Wdf8MsoDBzMSsrzOXwaGQzbVjVqOWfKSqYmbncevZgA/edit"",""1!Q2:Q31""))"),5660.156999999998)</f>
        <v>5660.157</v>
      </c>
      <c r="G263" s="40">
        <f>IFERROR(__xludf.DUMMYFUNCTION("IMPORTRANGE(""https://docs.google.com/spreadsheets/d/1Wdf8MsoDBzMSsrzOXwaGQzbVjVqOWfKSqYmbncevZgA/edit"",""1!e38"")"),3382.0)</f>
        <v>3382</v>
      </c>
      <c r="H263" s="40">
        <f>IFERROR(__xludf.DUMMYFUNCTION("IMPORTRANGE(""https://docs.google.com/spreadsheets/d/1Wdf8MsoDBzMSsrzOXwaGQzbVjVqOWfKSqYmbncevZgA/edit"",""1!e39"")"),0.0)</f>
        <v>0</v>
      </c>
      <c r="I263" s="40">
        <f t="shared" si="690"/>
        <v>3382</v>
      </c>
      <c r="J263" s="40">
        <f>IFERROR(__xludf.DUMMYFUNCTION("IMPORTRANGE(""https://docs.google.com/spreadsheets/d/1Wdf8MsoDBzMSsrzOXwaGQzbVjVqOWfKSqYmbncevZgA/edit"",""1!e42"")"),3798.0)</f>
        <v>3798</v>
      </c>
      <c r="K263" s="40">
        <f>IFERROR(__xludf.DUMMYFUNCTION("IMPORTRANGE(""https://docs.google.com/spreadsheets/d/1Wdf8MsoDBzMSsrzOXwaGQzbVjVqOWfKSqYmbncevZgA/edit"",""1!e43"")"),0.0)</f>
        <v>0</v>
      </c>
      <c r="L263" s="40">
        <f t="shared" si="720"/>
        <v>3798</v>
      </c>
      <c r="M263" s="40">
        <f t="shared" si="692"/>
        <v>7180</v>
      </c>
      <c r="N263" s="41">
        <f t="shared" si="693"/>
        <v>188.6719</v>
      </c>
      <c r="O263" s="38">
        <v>8239.0</v>
      </c>
      <c r="P263" s="42">
        <f t="shared" si="694"/>
        <v>0.8714649836</v>
      </c>
      <c r="Q263" s="43">
        <v>1.5</v>
      </c>
      <c r="R263" s="42">
        <f t="shared" si="695"/>
        <v>0.8456773667</v>
      </c>
      <c r="S263" s="44">
        <f t="shared" si="696"/>
        <v>1.26851605</v>
      </c>
      <c r="T263" s="43">
        <f>F263/28.443</f>
        <v>199</v>
      </c>
      <c r="U263" s="43">
        <f t="shared" si="697"/>
        <v>6.633333333</v>
      </c>
      <c r="V263" s="40">
        <f t="shared" si="698"/>
        <v>239.3333333</v>
      </c>
      <c r="X263" s="14" t="s">
        <v>2</v>
      </c>
      <c r="Y263" s="14" t="s">
        <v>3</v>
      </c>
      <c r="Z263" s="14" t="s">
        <v>4</v>
      </c>
      <c r="AA263" s="14" t="s">
        <v>5</v>
      </c>
      <c r="AB263" s="15" t="s">
        <v>6</v>
      </c>
      <c r="AC263" s="14" t="s">
        <v>7</v>
      </c>
      <c r="AD263" s="14" t="s">
        <v>8</v>
      </c>
      <c r="AE263" s="14" t="s">
        <v>9</v>
      </c>
      <c r="AF263" s="14" t="s">
        <v>10</v>
      </c>
      <c r="AG263" s="14" t="s">
        <v>11</v>
      </c>
      <c r="AH263" s="14" t="s">
        <v>12</v>
      </c>
      <c r="AI263" s="14" t="s">
        <v>13</v>
      </c>
      <c r="AJ263" s="15" t="s">
        <v>14</v>
      </c>
      <c r="AK263" s="14" t="s">
        <v>15</v>
      </c>
      <c r="AL263" s="14" t="s">
        <v>16</v>
      </c>
      <c r="AM263" s="16" t="s">
        <v>17</v>
      </c>
      <c r="AN263" s="17" t="s">
        <v>18</v>
      </c>
      <c r="AO263" s="18" t="s">
        <v>19</v>
      </c>
      <c r="AP263" s="19" t="s">
        <v>20</v>
      </c>
      <c r="AQ263" s="19" t="s">
        <v>21</v>
      </c>
      <c r="AR263" s="20" t="s">
        <v>22</v>
      </c>
    </row>
    <row r="264" ht="15.75" customHeight="1">
      <c r="A264" s="21"/>
      <c r="B264" s="38">
        <v>16.0</v>
      </c>
      <c r="C264" s="38" t="s">
        <v>42</v>
      </c>
      <c r="D264" s="39">
        <v>33.0</v>
      </c>
      <c r="E264" s="40">
        <f>IFERROR(__xludf.DUMMYFUNCTION("COUNT(IMPORTRANGE(""https://docs.google.com/spreadsheets/d/1Z5uB5HbeAKcHmG4EOw3rf2J8NpyvDiha6RReERAMvA0/edit"",""1!d2:d34""))"),33.0)</f>
        <v>33</v>
      </c>
      <c r="F264" s="45">
        <f>IFERROR(__xludf.DUMMYFUNCTION("SUM(IMPORTRANGE(""https://docs.google.com/spreadsheets/d/1Z5uB5HbeAKcHmG4EOw3rf2J8NpyvDiha6RReERAMvA0/edit"",""1!Q2:Q34""))"),6597.214999999997)</f>
        <v>6597.215</v>
      </c>
      <c r="G264" s="40">
        <f>IFERROR(__xludf.DUMMYFUNCTION("IMPORTRANGE(""https://docs.google.com/spreadsheets/d/1Z5uB5HbeAKcHmG4EOw3rf2J8NpyvDiha6RReERAMvA0/edit"",""1!e41"")"),3014.0)</f>
        <v>3014</v>
      </c>
      <c r="H264" s="40">
        <f>IFERROR(__xludf.DUMMYFUNCTION("IMPORTRANGE(""https://docs.google.com/spreadsheets/d/1Z5uB5HbeAKcHmG4EOw3rf2J8NpyvDiha6RReERAMvA0/edit"",""1!e42"")"),234.0)</f>
        <v>234</v>
      </c>
      <c r="I264" s="40">
        <f t="shared" si="690"/>
        <v>3248</v>
      </c>
      <c r="J264" s="40">
        <f>IFERROR(__xludf.DUMMYFUNCTION("IMPORTRANGE(""https://docs.google.com/spreadsheets/d/1Z5uB5HbeAKcHmG4EOw3rf2J8NpyvDiha6RReERAMvA0/edit"",""1!e45"")"),4605.0)</f>
        <v>4605</v>
      </c>
      <c r="K264" s="40">
        <f>IFERROR(__xludf.DUMMYFUNCTION("IMPORTRANGE(""https://docs.google.com/spreadsheets/d/1Z5uB5HbeAKcHmG4EOw3rf2J8NpyvDiha6RReERAMvA0/edit"",""1!e46"")"),108.0)</f>
        <v>108</v>
      </c>
      <c r="L264" s="40">
        <f t="shared" si="720"/>
        <v>4713</v>
      </c>
      <c r="M264" s="40">
        <f t="shared" si="692"/>
        <v>7961</v>
      </c>
      <c r="N264" s="41">
        <f t="shared" si="693"/>
        <v>199.9156061</v>
      </c>
      <c r="O264" s="38">
        <v>9877.0</v>
      </c>
      <c r="P264" s="42">
        <f t="shared" si="694"/>
        <v>0.8060139719</v>
      </c>
      <c r="Q264" s="43">
        <v>1.5</v>
      </c>
      <c r="R264" s="42">
        <f t="shared" si="695"/>
        <v>0.8044808807</v>
      </c>
      <c r="S264" s="44">
        <f t="shared" si="696"/>
        <v>1.206721321</v>
      </c>
      <c r="T264" s="43">
        <f>F264/26.155</f>
        <v>252.2353279</v>
      </c>
      <c r="U264" s="43">
        <f t="shared" si="697"/>
        <v>7.643494783</v>
      </c>
      <c r="V264" s="40">
        <f t="shared" si="698"/>
        <v>241.2424242</v>
      </c>
      <c r="X264" s="31">
        <v>1.0</v>
      </c>
      <c r="Y264" s="31" t="s">
        <v>26</v>
      </c>
      <c r="Z264" s="31">
        <f t="shared" ref="Z264:AI264" si="730">SUM(D249)</f>
        <v>20</v>
      </c>
      <c r="AA264" s="32">
        <f t="shared" si="730"/>
        <v>20</v>
      </c>
      <c r="AB264" s="34">
        <f t="shared" si="730"/>
        <v>3935.295</v>
      </c>
      <c r="AC264" s="32">
        <f t="shared" si="730"/>
        <v>2229</v>
      </c>
      <c r="AD264" s="32">
        <f t="shared" si="730"/>
        <v>0</v>
      </c>
      <c r="AE264" s="32">
        <f t="shared" si="730"/>
        <v>2229</v>
      </c>
      <c r="AF264" s="32">
        <f t="shared" si="730"/>
        <v>2661</v>
      </c>
      <c r="AG264" s="32">
        <f t="shared" si="730"/>
        <v>47</v>
      </c>
      <c r="AH264" s="32">
        <f t="shared" si="730"/>
        <v>2708</v>
      </c>
      <c r="AI264" s="32">
        <f t="shared" si="730"/>
        <v>4937</v>
      </c>
      <c r="AJ264" s="34">
        <f t="shared" ref="AJ264:AJ270" si="733">AB264/AA264</f>
        <v>196.76475</v>
      </c>
      <c r="AK264" s="31">
        <f>SUM(O249)</f>
        <v>5161</v>
      </c>
      <c r="AL264" s="35">
        <f t="shared" ref="AL264:AL270" si="734">AI264/AK264</f>
        <v>0.9565975586</v>
      </c>
      <c r="AM264" s="36">
        <f>SUM(Q249)</f>
        <v>1.5</v>
      </c>
      <c r="AN264" s="35">
        <f t="shared" ref="AN264:AN270" si="735">AO264/AM264</f>
        <v>0.8363625429</v>
      </c>
      <c r="AO264" s="37">
        <f t="shared" ref="AO264:AO270" si="736">AI264/AB264</f>
        <v>1.254543814</v>
      </c>
      <c r="AP264" s="36">
        <f t="shared" ref="AP264:AQ264" si="731">SUM(T249)</f>
        <v>273</v>
      </c>
      <c r="AQ264" s="36">
        <f t="shared" si="731"/>
        <v>13.65</v>
      </c>
      <c r="AR264" s="32">
        <f t="shared" ref="AR264:AR270" si="738">AI264/AA264</f>
        <v>246.85</v>
      </c>
    </row>
    <row r="265" ht="15.75" customHeight="1">
      <c r="A265" s="21"/>
      <c r="B265" s="38">
        <v>17.0</v>
      </c>
      <c r="C265" s="38" t="s">
        <v>29</v>
      </c>
      <c r="D265" s="39">
        <v>30.0</v>
      </c>
      <c r="E265" s="40">
        <f>IFERROR(__xludf.DUMMYFUNCTION("COUNT(IMPORTRANGE(""https://docs.google.com/spreadsheets/d/1wfJqI0e9wVPqEQv3N6b8KgINjqI0OBECEyIFeY9j3i8/edit"",""1!d2:d31""))"),29.0)</f>
        <v>29</v>
      </c>
      <c r="F265" s="45">
        <f>IFERROR(__xludf.DUMMYFUNCTION("SUM(IMPORTRANGE(""https://docs.google.com/spreadsheets/d/1wfJqI0e9wVPqEQv3N6b8KgINjqI0OBECEyIFeY9j3i8/edit"",""1!Q2:Q31""))"),5722.055999999998)</f>
        <v>5722.056</v>
      </c>
      <c r="G265" s="40">
        <f>IFERROR(__xludf.DUMMYFUNCTION("IMPORTRANGE(""https://docs.google.com/spreadsheets/d/1wfJqI0e9wVPqEQv3N6b8KgINjqI0OBECEyIFeY9j3i8/edit"",""1!e38"")"),2610.0)</f>
        <v>2610</v>
      </c>
      <c r="H265" s="40">
        <f>IFERROR(__xludf.DUMMYFUNCTION("IMPORTRANGE(""https://docs.google.com/spreadsheets/d/1wfJqI0e9wVPqEQv3N6b8KgINjqI0OBECEyIFeY9j3i8/edit"",""1!e39"")"),0.0)</f>
        <v>0</v>
      </c>
      <c r="I265" s="40">
        <f t="shared" si="690"/>
        <v>2610</v>
      </c>
      <c r="J265" s="40">
        <f>IFERROR(__xludf.DUMMYFUNCTION("IMPORTRANGE(""https://docs.google.com/spreadsheets/d/1wfJqI0e9wVPqEQv3N6b8KgINjqI0OBECEyIFeY9j3i8/edit"",""1!e42"")"),4378.0)</f>
        <v>4378</v>
      </c>
      <c r="K265" s="40">
        <f>IFERROR(__xludf.DUMMYFUNCTION("IMPORTRANGE(""https://docs.google.com/spreadsheets/d/1wfJqI0e9wVPqEQv3N6b8KgINjqI0OBECEyIFeY9j3i8/edit"",""1!e43"")"),0.0)</f>
        <v>0</v>
      </c>
      <c r="L265" s="40">
        <f t="shared" si="720"/>
        <v>4378</v>
      </c>
      <c r="M265" s="40">
        <f t="shared" si="692"/>
        <v>6988</v>
      </c>
      <c r="N265" s="41">
        <f t="shared" si="693"/>
        <v>197.3122759</v>
      </c>
      <c r="O265" s="38">
        <v>9201.0</v>
      </c>
      <c r="P265" s="42">
        <f t="shared" si="694"/>
        <v>0.7594826649</v>
      </c>
      <c r="Q265" s="43">
        <v>1.5</v>
      </c>
      <c r="R265" s="42">
        <f t="shared" si="695"/>
        <v>0.8141595725</v>
      </c>
      <c r="S265" s="44">
        <f t="shared" si="696"/>
        <v>1.221239359</v>
      </c>
      <c r="T265" s="43">
        <f>F265/26.491</f>
        <v>216</v>
      </c>
      <c r="U265" s="43">
        <f t="shared" si="697"/>
        <v>7.448275862</v>
      </c>
      <c r="V265" s="40">
        <f t="shared" si="698"/>
        <v>240.9655172</v>
      </c>
      <c r="X265" s="31">
        <v>2.0</v>
      </c>
      <c r="Y265" s="31" t="s">
        <v>32</v>
      </c>
      <c r="Z265" s="31">
        <f t="shared" ref="Z265:AI265" si="732">SUM(D252)</f>
        <v>42</v>
      </c>
      <c r="AA265" s="32">
        <f t="shared" si="732"/>
        <v>42</v>
      </c>
      <c r="AB265" s="33">
        <f t="shared" si="732"/>
        <v>8240.662</v>
      </c>
      <c r="AC265" s="31">
        <f t="shared" si="732"/>
        <v>4515</v>
      </c>
      <c r="AD265" s="31">
        <f t="shared" si="732"/>
        <v>0</v>
      </c>
      <c r="AE265" s="32">
        <f t="shared" si="732"/>
        <v>4515</v>
      </c>
      <c r="AF265" s="31">
        <f t="shared" si="732"/>
        <v>5726</v>
      </c>
      <c r="AG265" s="31">
        <f t="shared" si="732"/>
        <v>0</v>
      </c>
      <c r="AH265" s="32">
        <f t="shared" si="732"/>
        <v>5726</v>
      </c>
      <c r="AI265" s="32">
        <f t="shared" si="732"/>
        <v>10241</v>
      </c>
      <c r="AJ265" s="34">
        <f t="shared" si="733"/>
        <v>196.2062381</v>
      </c>
      <c r="AK265" s="31">
        <f>SUM(O252)</f>
        <v>13817</v>
      </c>
      <c r="AL265" s="35">
        <f t="shared" si="734"/>
        <v>0.7411883911</v>
      </c>
      <c r="AM265" s="36">
        <f>SUM(Q252)</f>
        <v>1.5</v>
      </c>
      <c r="AN265" s="35">
        <f t="shared" si="735"/>
        <v>0.8284933096</v>
      </c>
      <c r="AO265" s="37">
        <f t="shared" si="736"/>
        <v>1.242739964</v>
      </c>
      <c r="AP265" s="36">
        <f t="shared" ref="AP265:AQ265" si="737">SUM(T252)</f>
        <v>328.4571725</v>
      </c>
      <c r="AQ265" s="36">
        <f t="shared" si="737"/>
        <v>7.820408868</v>
      </c>
      <c r="AR265" s="32">
        <f t="shared" si="738"/>
        <v>243.8333333</v>
      </c>
    </row>
    <row r="266" ht="15.75" customHeight="1">
      <c r="A266" s="21"/>
      <c r="B266" s="38">
        <v>18.0</v>
      </c>
      <c r="C266" s="38" t="s">
        <v>31</v>
      </c>
      <c r="D266" s="39">
        <v>15.0</v>
      </c>
      <c r="E266" s="40">
        <f>IFERROR(__xludf.DUMMYFUNCTION("COUNT(IMPORTRANGE(""https://docs.google.com/spreadsheets/d/1-y2KhTAo7d8kowgUuWUDfRQuRMUAFteRYEXorT3_wOs/edit"",""1!d2:d16""))"),14.0)</f>
        <v>14</v>
      </c>
      <c r="F266" s="41">
        <f>IFERROR(__xludf.DUMMYFUNCTION("SUM(IMPORTRANGE(""https://docs.google.com/spreadsheets/d/1-y2KhTAo7d8kowgUuWUDfRQuRMUAFteRYEXorT3_wOs/edit"",""1!Q2:Q16""))"),2520.9699999999993)</f>
        <v>2520.97</v>
      </c>
      <c r="G266" s="40">
        <f>IFERROR(__xludf.DUMMYFUNCTION("IMPORTRANGE(""https://docs.google.com/spreadsheets/d/1-y2KhTAo7d8kowgUuWUDfRQuRMUAFteRYEXorT3_wOs/edit"",""1!e23"")"),633.0)</f>
        <v>633</v>
      </c>
      <c r="H266" s="40">
        <f>IFERROR(__xludf.DUMMYFUNCTION("IMPORTRANGE(""https://docs.google.com/spreadsheets/d/1-y2KhTAo7d8kowgUuWUDfRQuRMUAFteRYEXorT3_wOs/edit"",""1!e24"")"),0.0)</f>
        <v>0</v>
      </c>
      <c r="I266" s="40">
        <f t="shared" si="690"/>
        <v>633</v>
      </c>
      <c r="J266" s="40">
        <f>IFERROR(__xludf.DUMMYFUNCTION("IMPORTRANGE(""https://docs.google.com/spreadsheets/d/1-y2KhTAo7d8kowgUuWUDfRQuRMUAFteRYEXorT3_wOs/edit"",""1!e27"")"),1148.0)</f>
        <v>1148</v>
      </c>
      <c r="K266" s="40">
        <f>IFERROR(__xludf.DUMMYFUNCTION("IMPORTRANGE(""https://docs.google.com/spreadsheets/d/1-y2KhTAo7d8kowgUuWUDfRQuRMUAFteRYEXorT3_wOs/edit"",""1!e28"")"),15.0)</f>
        <v>15</v>
      </c>
      <c r="L266" s="40">
        <f t="shared" si="720"/>
        <v>1163</v>
      </c>
      <c r="M266" s="40">
        <f t="shared" si="692"/>
        <v>1796</v>
      </c>
      <c r="N266" s="41">
        <f t="shared" si="693"/>
        <v>180.0692857</v>
      </c>
      <c r="O266" s="38">
        <v>2717.0</v>
      </c>
      <c r="P266" s="42">
        <f t="shared" si="694"/>
        <v>0.6610231873</v>
      </c>
      <c r="Q266" s="43">
        <v>1.5</v>
      </c>
      <c r="R266" s="42">
        <f t="shared" si="695"/>
        <v>0.4749494573</v>
      </c>
      <c r="S266" s="44">
        <f t="shared" si="696"/>
        <v>0.7124241859</v>
      </c>
      <c r="T266" s="43">
        <f>F266/43.465</f>
        <v>58</v>
      </c>
      <c r="U266" s="43">
        <f t="shared" si="697"/>
        <v>4.142857143</v>
      </c>
      <c r="V266" s="40">
        <f t="shared" si="698"/>
        <v>128.2857143</v>
      </c>
      <c r="X266" s="31">
        <v>3.0</v>
      </c>
      <c r="Y266" s="31" t="s">
        <v>36</v>
      </c>
      <c r="Z266" s="31">
        <f t="shared" ref="Z266:AI266" si="739">SUM(D257)</f>
        <v>30</v>
      </c>
      <c r="AA266" s="32">
        <f t="shared" si="739"/>
        <v>29</v>
      </c>
      <c r="AB266" s="33">
        <f t="shared" si="739"/>
        <v>4875.345</v>
      </c>
      <c r="AC266" s="32">
        <f t="shared" si="739"/>
        <v>1728</v>
      </c>
      <c r="AD266" s="32">
        <f t="shared" si="739"/>
        <v>0</v>
      </c>
      <c r="AE266" s="32">
        <f t="shared" si="739"/>
        <v>1728</v>
      </c>
      <c r="AF266" s="32">
        <f t="shared" si="739"/>
        <v>2407</v>
      </c>
      <c r="AG266" s="32">
        <f t="shared" si="739"/>
        <v>20</v>
      </c>
      <c r="AH266" s="32">
        <f t="shared" si="739"/>
        <v>2427</v>
      </c>
      <c r="AI266" s="32">
        <f t="shared" si="739"/>
        <v>4155</v>
      </c>
      <c r="AJ266" s="34">
        <f t="shared" si="733"/>
        <v>168.1153448</v>
      </c>
      <c r="AK266" s="31">
        <f t="shared" ref="AK266:AK269" si="743">SUM(O257)</f>
        <v>4796</v>
      </c>
      <c r="AL266" s="35">
        <f t="shared" si="734"/>
        <v>0.8663469558</v>
      </c>
      <c r="AM266" s="36">
        <f t="shared" ref="AM266:AM269" si="744">SUM(Q257)</f>
        <v>1.5</v>
      </c>
      <c r="AN266" s="35">
        <f t="shared" si="735"/>
        <v>0.5681649196</v>
      </c>
      <c r="AO266" s="37">
        <f t="shared" si="736"/>
        <v>0.8522473794</v>
      </c>
      <c r="AP266" s="36">
        <f t="shared" ref="AP266:AQ266" si="740">SUM(T257)</f>
        <v>130.3080398</v>
      </c>
      <c r="AQ266" s="36">
        <f t="shared" si="740"/>
        <v>4.493380682</v>
      </c>
      <c r="AR266" s="32">
        <f t="shared" si="738"/>
        <v>143.2758621</v>
      </c>
    </row>
    <row r="267" ht="15.75" customHeight="1">
      <c r="A267" s="21"/>
      <c r="B267" s="60" t="s">
        <v>33</v>
      </c>
      <c r="C267" s="60">
        <v>18.0</v>
      </c>
      <c r="D267" s="60">
        <f t="shared" ref="D267:M267" si="741">SUM(D249:D266)</f>
        <v>586</v>
      </c>
      <c r="E267" s="61">
        <f t="shared" si="741"/>
        <v>576</v>
      </c>
      <c r="F267" s="62">
        <f t="shared" si="741"/>
        <v>111449.623</v>
      </c>
      <c r="G267" s="61">
        <f t="shared" si="741"/>
        <v>41757</v>
      </c>
      <c r="H267" s="61">
        <f t="shared" si="741"/>
        <v>946</v>
      </c>
      <c r="I267" s="61">
        <f t="shared" si="741"/>
        <v>42703</v>
      </c>
      <c r="J267" s="61">
        <f t="shared" si="741"/>
        <v>57855</v>
      </c>
      <c r="K267" s="61">
        <f t="shared" si="741"/>
        <v>875</v>
      </c>
      <c r="L267" s="61">
        <f t="shared" si="741"/>
        <v>58730</v>
      </c>
      <c r="M267" s="61">
        <f t="shared" si="741"/>
        <v>101433</v>
      </c>
      <c r="N267" s="62">
        <f t="shared" si="693"/>
        <v>193.4889288</v>
      </c>
      <c r="O267" s="60">
        <f>SUM(O249:O266)</f>
        <v>126399</v>
      </c>
      <c r="P267" s="63">
        <f t="shared" si="694"/>
        <v>0.8024826146</v>
      </c>
      <c r="Q267" s="64">
        <v>1.5</v>
      </c>
      <c r="R267" s="63">
        <f t="shared" si="695"/>
        <v>0.6067494728</v>
      </c>
      <c r="S267" s="65">
        <f t="shared" si="696"/>
        <v>0.9101242092</v>
      </c>
      <c r="T267" s="64">
        <f>SUM(T249:T266)</f>
        <v>4122.022266</v>
      </c>
      <c r="U267" s="64">
        <f t="shared" si="697"/>
        <v>7.156288656</v>
      </c>
      <c r="V267" s="61">
        <f t="shared" si="698"/>
        <v>176.0989583</v>
      </c>
      <c r="X267" s="31">
        <v>4.0</v>
      </c>
      <c r="Y267" s="31" t="s">
        <v>37</v>
      </c>
      <c r="Z267" s="31">
        <f t="shared" ref="Z267:AI267" si="742">SUM(D258)</f>
        <v>30</v>
      </c>
      <c r="AA267" s="32">
        <f t="shared" si="742"/>
        <v>28</v>
      </c>
      <c r="AB267" s="33">
        <f t="shared" si="742"/>
        <v>5465.1</v>
      </c>
      <c r="AC267" s="32">
        <f t="shared" si="742"/>
        <v>2135</v>
      </c>
      <c r="AD267" s="32">
        <f t="shared" si="742"/>
        <v>0</v>
      </c>
      <c r="AE267" s="32">
        <f t="shared" si="742"/>
        <v>2135</v>
      </c>
      <c r="AF267" s="32">
        <f t="shared" si="742"/>
        <v>3182</v>
      </c>
      <c r="AG267" s="32">
        <f t="shared" si="742"/>
        <v>0</v>
      </c>
      <c r="AH267" s="32">
        <f t="shared" si="742"/>
        <v>3182</v>
      </c>
      <c r="AI267" s="32">
        <f t="shared" si="742"/>
        <v>5317</v>
      </c>
      <c r="AJ267" s="34">
        <f t="shared" si="733"/>
        <v>195.1821429</v>
      </c>
      <c r="AK267" s="31">
        <f t="shared" si="743"/>
        <v>5887</v>
      </c>
      <c r="AL267" s="35">
        <f t="shared" si="734"/>
        <v>0.9031764906</v>
      </c>
      <c r="AM267" s="36">
        <f t="shared" si="744"/>
        <v>1.5</v>
      </c>
      <c r="AN267" s="35">
        <f t="shared" si="735"/>
        <v>0.6486005136</v>
      </c>
      <c r="AO267" s="37">
        <f t="shared" si="736"/>
        <v>0.9729007703</v>
      </c>
      <c r="AP267" s="36">
        <f t="shared" ref="AP267:AQ267" si="745">SUM(T258)</f>
        <v>220.4380445</v>
      </c>
      <c r="AQ267" s="36">
        <f t="shared" si="745"/>
        <v>7.872787305</v>
      </c>
      <c r="AR267" s="32">
        <f t="shared" si="738"/>
        <v>189.8928571</v>
      </c>
    </row>
    <row r="268" ht="15.7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X268" s="31">
        <v>5.0</v>
      </c>
      <c r="Y268" s="31" t="s">
        <v>39</v>
      </c>
      <c r="Z268" s="31">
        <f t="shared" ref="Z268:AI268" si="746">SUM(D259)</f>
        <v>28</v>
      </c>
      <c r="AA268" s="32">
        <f t="shared" si="746"/>
        <v>27</v>
      </c>
      <c r="AB268" s="33">
        <f t="shared" si="746"/>
        <v>5318.459</v>
      </c>
      <c r="AC268" s="32">
        <f t="shared" si="746"/>
        <v>1229</v>
      </c>
      <c r="AD268" s="32">
        <f t="shared" si="746"/>
        <v>0</v>
      </c>
      <c r="AE268" s="32">
        <f t="shared" si="746"/>
        <v>1229</v>
      </c>
      <c r="AF268" s="32">
        <f t="shared" si="746"/>
        <v>1740</v>
      </c>
      <c r="AG268" s="32">
        <f t="shared" si="746"/>
        <v>0</v>
      </c>
      <c r="AH268" s="32">
        <f t="shared" si="746"/>
        <v>1740</v>
      </c>
      <c r="AI268" s="32">
        <f t="shared" si="746"/>
        <v>2969</v>
      </c>
      <c r="AJ268" s="34">
        <f t="shared" si="733"/>
        <v>196.979963</v>
      </c>
      <c r="AK268" s="31">
        <f t="shared" si="743"/>
        <v>3569</v>
      </c>
      <c r="AL268" s="35">
        <f t="shared" si="734"/>
        <v>0.8318856823</v>
      </c>
      <c r="AM268" s="36">
        <f t="shared" si="744"/>
        <v>1.5</v>
      </c>
      <c r="AN268" s="35">
        <f t="shared" si="735"/>
        <v>0.3721629392</v>
      </c>
      <c r="AO268" s="37">
        <f t="shared" si="736"/>
        <v>0.5582444088</v>
      </c>
      <c r="AP268" s="36">
        <f t="shared" ref="AP268:AQ268" si="747">SUM(T259)</f>
        <v>247.7966268</v>
      </c>
      <c r="AQ268" s="36">
        <f t="shared" si="747"/>
        <v>9.177652843</v>
      </c>
      <c r="AR268" s="32">
        <f t="shared" si="738"/>
        <v>109.962963</v>
      </c>
    </row>
    <row r="269" ht="15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X269" s="31">
        <v>6.0</v>
      </c>
      <c r="Y269" s="31" t="s">
        <v>41</v>
      </c>
      <c r="Z269" s="31">
        <f t="shared" ref="Z269:AI269" si="748">SUM(D260)</f>
        <v>24</v>
      </c>
      <c r="AA269" s="32">
        <f t="shared" si="748"/>
        <v>24</v>
      </c>
      <c r="AB269" s="33">
        <f t="shared" si="748"/>
        <v>4793.152</v>
      </c>
      <c r="AC269" s="32">
        <f t="shared" si="748"/>
        <v>1363</v>
      </c>
      <c r="AD269" s="32">
        <f t="shared" si="748"/>
        <v>0</v>
      </c>
      <c r="AE269" s="32">
        <f t="shared" si="748"/>
        <v>1363</v>
      </c>
      <c r="AF269" s="32">
        <f t="shared" si="748"/>
        <v>1818</v>
      </c>
      <c r="AG269" s="32">
        <f t="shared" si="748"/>
        <v>0</v>
      </c>
      <c r="AH269" s="32">
        <f t="shared" si="748"/>
        <v>1818</v>
      </c>
      <c r="AI269" s="32">
        <f t="shared" si="748"/>
        <v>3181</v>
      </c>
      <c r="AJ269" s="34">
        <f t="shared" si="733"/>
        <v>199.7146667</v>
      </c>
      <c r="AK269" s="31">
        <f t="shared" si="743"/>
        <v>3801</v>
      </c>
      <c r="AL269" s="35">
        <f t="shared" si="734"/>
        <v>0.8368850303</v>
      </c>
      <c r="AM269" s="36">
        <f t="shared" si="744"/>
        <v>1.5</v>
      </c>
      <c r="AN269" s="35">
        <f t="shared" si="735"/>
        <v>0.4424367653</v>
      </c>
      <c r="AO269" s="37">
        <f t="shared" si="736"/>
        <v>0.663655148</v>
      </c>
      <c r="AP269" s="36">
        <f t="shared" ref="AP269:AQ269" si="749">SUM(T260)</f>
        <v>161.7777778</v>
      </c>
      <c r="AQ269" s="36">
        <f t="shared" si="749"/>
        <v>6.740740741</v>
      </c>
      <c r="AR269" s="32">
        <f t="shared" si="738"/>
        <v>132.5416667</v>
      </c>
    </row>
    <row r="270" ht="15.75" customHeight="1">
      <c r="A270" s="1" t="s">
        <v>45</v>
      </c>
      <c r="D270" s="2"/>
      <c r="X270" s="46" t="s">
        <v>33</v>
      </c>
      <c r="Y270" s="46">
        <v>6.0</v>
      </c>
      <c r="Z270" s="46">
        <f t="shared" ref="Z270:AI270" si="750">SUM(Z264:Z269)</f>
        <v>174</v>
      </c>
      <c r="AA270" s="47">
        <f t="shared" si="750"/>
        <v>170</v>
      </c>
      <c r="AB270" s="49">
        <f t="shared" si="750"/>
        <v>32628.013</v>
      </c>
      <c r="AC270" s="47">
        <f t="shared" si="750"/>
        <v>13199</v>
      </c>
      <c r="AD270" s="47">
        <f t="shared" si="750"/>
        <v>0</v>
      </c>
      <c r="AE270" s="47">
        <f t="shared" si="750"/>
        <v>13199</v>
      </c>
      <c r="AF270" s="47">
        <f t="shared" si="750"/>
        <v>17534</v>
      </c>
      <c r="AG270" s="47">
        <f t="shared" si="750"/>
        <v>67</v>
      </c>
      <c r="AH270" s="47">
        <f t="shared" si="750"/>
        <v>17601</v>
      </c>
      <c r="AI270" s="47">
        <f t="shared" si="750"/>
        <v>30800</v>
      </c>
      <c r="AJ270" s="49">
        <f t="shared" si="733"/>
        <v>191.9294882</v>
      </c>
      <c r="AK270" s="46">
        <f>SUM(AK264:AK269)</f>
        <v>37031</v>
      </c>
      <c r="AL270" s="50">
        <f t="shared" si="734"/>
        <v>0.8317355729</v>
      </c>
      <c r="AM270" s="51">
        <v>1.5</v>
      </c>
      <c r="AN270" s="50">
        <f t="shared" si="735"/>
        <v>0.6293160829</v>
      </c>
      <c r="AO270" s="52">
        <f t="shared" si="736"/>
        <v>0.9439741243</v>
      </c>
      <c r="AP270" s="51">
        <f>SUM(AP264:AP269)</f>
        <v>1361.777661</v>
      </c>
      <c r="AQ270" s="51">
        <f>AP270/AA270</f>
        <v>8.010456831</v>
      </c>
      <c r="AR270" s="47">
        <f t="shared" si="738"/>
        <v>181.1764706</v>
      </c>
    </row>
    <row r="271" ht="15.75" customHeight="1">
      <c r="A271" s="1" t="s">
        <v>45</v>
      </c>
      <c r="D271" s="2"/>
      <c r="X271" s="66" t="s">
        <v>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6"/>
    </row>
    <row r="272" ht="15.75" customHeight="1">
      <c r="A272" s="7">
        <v>46276.0</v>
      </c>
      <c r="B272" s="8" t="s">
        <v>2</v>
      </c>
      <c r="C272" s="8" t="s">
        <v>3</v>
      </c>
      <c r="D272" s="8" t="s">
        <v>4</v>
      </c>
      <c r="E272" s="8" t="s">
        <v>5</v>
      </c>
      <c r="F272" s="9" t="s">
        <v>6</v>
      </c>
      <c r="G272" s="8" t="s">
        <v>7</v>
      </c>
      <c r="H272" s="8" t="s">
        <v>8</v>
      </c>
      <c r="I272" s="8" t="s">
        <v>9</v>
      </c>
      <c r="J272" s="8" t="s">
        <v>10</v>
      </c>
      <c r="K272" s="8" t="s">
        <v>11</v>
      </c>
      <c r="L272" s="8" t="s">
        <v>12</v>
      </c>
      <c r="M272" s="8" t="s">
        <v>13</v>
      </c>
      <c r="N272" s="9" t="s">
        <v>14</v>
      </c>
      <c r="O272" s="8" t="s">
        <v>15</v>
      </c>
      <c r="P272" s="8" t="s">
        <v>16</v>
      </c>
      <c r="Q272" s="8" t="s">
        <v>17</v>
      </c>
      <c r="R272" s="8" t="s">
        <v>18</v>
      </c>
      <c r="S272" s="11" t="s">
        <v>19</v>
      </c>
      <c r="T272" s="12" t="s">
        <v>20</v>
      </c>
      <c r="U272" s="12" t="s">
        <v>21</v>
      </c>
      <c r="V272" s="13" t="s">
        <v>22</v>
      </c>
      <c r="X272" s="14" t="s">
        <v>2</v>
      </c>
      <c r="Y272" s="14" t="s">
        <v>3</v>
      </c>
      <c r="Z272" s="14" t="s">
        <v>4</v>
      </c>
      <c r="AA272" s="14" t="s">
        <v>5</v>
      </c>
      <c r="AB272" s="15" t="s">
        <v>6</v>
      </c>
      <c r="AC272" s="14" t="s">
        <v>7</v>
      </c>
      <c r="AD272" s="14" t="s">
        <v>8</v>
      </c>
      <c r="AE272" s="14" t="s">
        <v>9</v>
      </c>
      <c r="AF272" s="14" t="s">
        <v>10</v>
      </c>
      <c r="AG272" s="14" t="s">
        <v>11</v>
      </c>
      <c r="AH272" s="14" t="s">
        <v>12</v>
      </c>
      <c r="AI272" s="14" t="s">
        <v>13</v>
      </c>
      <c r="AJ272" s="15" t="s">
        <v>14</v>
      </c>
      <c r="AK272" s="14" t="s">
        <v>15</v>
      </c>
      <c r="AL272" s="14" t="s">
        <v>16</v>
      </c>
      <c r="AM272" s="16" t="s">
        <v>17</v>
      </c>
      <c r="AN272" s="17" t="s">
        <v>18</v>
      </c>
      <c r="AO272" s="18" t="s">
        <v>19</v>
      </c>
      <c r="AP272" s="19" t="s">
        <v>20</v>
      </c>
      <c r="AQ272" s="19" t="s">
        <v>21</v>
      </c>
      <c r="AR272" s="20" t="s">
        <v>22</v>
      </c>
    </row>
    <row r="273" ht="15.7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X273" s="22">
        <v>1.0</v>
      </c>
      <c r="Y273" s="22" t="s">
        <v>23</v>
      </c>
      <c r="Z273" s="22">
        <f t="shared" ref="Z273:AI273" si="751">SUM(D281)</f>
        <v>35</v>
      </c>
      <c r="AA273" s="23">
        <f t="shared" si="751"/>
        <v>34</v>
      </c>
      <c r="AB273" s="24">
        <f t="shared" si="751"/>
        <v>6680.52</v>
      </c>
      <c r="AC273" s="23">
        <f t="shared" si="751"/>
        <v>1627</v>
      </c>
      <c r="AD273" s="23">
        <f t="shared" si="751"/>
        <v>0</v>
      </c>
      <c r="AE273" s="23">
        <f t="shared" si="751"/>
        <v>1627</v>
      </c>
      <c r="AF273" s="23">
        <f t="shared" si="751"/>
        <v>3262</v>
      </c>
      <c r="AG273" s="23">
        <f t="shared" si="751"/>
        <v>0</v>
      </c>
      <c r="AH273" s="23">
        <f t="shared" si="751"/>
        <v>3262</v>
      </c>
      <c r="AI273" s="23">
        <f t="shared" si="751"/>
        <v>4889</v>
      </c>
      <c r="AJ273" s="25">
        <f t="shared" ref="AJ273:AJ275" si="754">AB273/AA273</f>
        <v>196.4858824</v>
      </c>
      <c r="AK273" s="22">
        <f>SUM(O281)</f>
        <v>6853</v>
      </c>
      <c r="AL273" s="26">
        <f t="shared" ref="AL273:AL279" si="755">AI273/AK273</f>
        <v>0.7134101853</v>
      </c>
      <c r="AM273" s="27">
        <f t="shared" ref="AM273:AM275" si="756">SUM(Q281)</f>
        <v>1.5</v>
      </c>
      <c r="AN273" s="26">
        <f t="shared" ref="AN273:AN279" si="757">AO273/AM273</f>
        <v>0.4878861725</v>
      </c>
      <c r="AO273" s="28">
        <f t="shared" ref="AO273:AO279" si="758">AI273/AB273</f>
        <v>0.7318292588</v>
      </c>
      <c r="AP273" s="27">
        <f t="shared" ref="AP273:AQ273" si="752">SUM(T281)</f>
        <v>198</v>
      </c>
      <c r="AQ273" s="27">
        <f t="shared" si="752"/>
        <v>5.823529412</v>
      </c>
      <c r="AR273" s="23">
        <f t="shared" ref="AR273:AR279" si="760">AI273/AA273</f>
        <v>143.7941176</v>
      </c>
    </row>
    <row r="274" ht="15.7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X274" s="22">
        <v>2.0</v>
      </c>
      <c r="Y274" s="22" t="s">
        <v>24</v>
      </c>
      <c r="Z274" s="22">
        <f t="shared" ref="Z274:AI274" si="753">SUM(D282)</f>
        <v>44</v>
      </c>
      <c r="AA274" s="23">
        <f t="shared" si="753"/>
        <v>44</v>
      </c>
      <c r="AB274" s="24">
        <f t="shared" si="753"/>
        <v>8029.356</v>
      </c>
      <c r="AC274" s="23">
        <f t="shared" si="753"/>
        <v>1194</v>
      </c>
      <c r="AD274" s="23">
        <f t="shared" si="753"/>
        <v>0</v>
      </c>
      <c r="AE274" s="23">
        <f t="shared" si="753"/>
        <v>1194</v>
      </c>
      <c r="AF274" s="23">
        <f t="shared" si="753"/>
        <v>1455</v>
      </c>
      <c r="AG274" s="23">
        <f t="shared" si="753"/>
        <v>0</v>
      </c>
      <c r="AH274" s="23">
        <f t="shared" si="753"/>
        <v>1455</v>
      </c>
      <c r="AI274" s="23">
        <f t="shared" si="753"/>
        <v>2649</v>
      </c>
      <c r="AJ274" s="25">
        <f t="shared" si="754"/>
        <v>182.4853636</v>
      </c>
      <c r="AK274" s="22">
        <v>1580.0</v>
      </c>
      <c r="AL274" s="29">
        <f t="shared" si="755"/>
        <v>1.676582278</v>
      </c>
      <c r="AM274" s="27">
        <f t="shared" si="756"/>
        <v>1.5</v>
      </c>
      <c r="AN274" s="26">
        <f t="shared" si="757"/>
        <v>0.2199429195</v>
      </c>
      <c r="AO274" s="28">
        <f t="shared" si="758"/>
        <v>0.3299143792</v>
      </c>
      <c r="AP274" s="27">
        <f t="shared" ref="AP274:AQ274" si="759">SUM(T282)</f>
        <v>299.5469502</v>
      </c>
      <c r="AQ274" s="27">
        <f t="shared" si="759"/>
        <v>6.807885232</v>
      </c>
      <c r="AR274" s="23">
        <f t="shared" si="760"/>
        <v>60.20454545</v>
      </c>
    </row>
    <row r="275" ht="15.75" customHeight="1">
      <c r="A275" s="21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X275" s="31">
        <v>3.0</v>
      </c>
      <c r="Y275" s="31" t="s">
        <v>25</v>
      </c>
      <c r="Z275" s="31">
        <f t="shared" ref="Z275:AI275" si="761">SUM(D283)</f>
        <v>32</v>
      </c>
      <c r="AA275" s="32">
        <f t="shared" si="761"/>
        <v>32</v>
      </c>
      <c r="AB275" s="33">
        <f t="shared" si="761"/>
        <v>5963.536</v>
      </c>
      <c r="AC275" s="32">
        <f t="shared" si="761"/>
        <v>2444</v>
      </c>
      <c r="AD275" s="32">
        <f t="shared" si="761"/>
        <v>331</v>
      </c>
      <c r="AE275" s="32">
        <f t="shared" si="761"/>
        <v>2775</v>
      </c>
      <c r="AF275" s="32">
        <f t="shared" si="761"/>
        <v>3085</v>
      </c>
      <c r="AG275" s="32">
        <f t="shared" si="761"/>
        <v>319</v>
      </c>
      <c r="AH275" s="32">
        <f t="shared" si="761"/>
        <v>3404</v>
      </c>
      <c r="AI275" s="32">
        <f t="shared" si="761"/>
        <v>6179</v>
      </c>
      <c r="AJ275" s="34">
        <f t="shared" si="754"/>
        <v>186.3605</v>
      </c>
      <c r="AK275" s="31">
        <f>SUM(O283)</f>
        <v>6622</v>
      </c>
      <c r="AL275" s="35">
        <f t="shared" si="755"/>
        <v>0.9331017819</v>
      </c>
      <c r="AM275" s="36">
        <f t="shared" si="756"/>
        <v>1.5</v>
      </c>
      <c r="AN275" s="35">
        <f t="shared" si="757"/>
        <v>0.6907534948</v>
      </c>
      <c r="AO275" s="37">
        <f t="shared" si="758"/>
        <v>1.036130242</v>
      </c>
      <c r="AP275" s="36">
        <f t="shared" ref="AP275:AQ275" si="762">SUM(T283)</f>
        <v>250.1483221</v>
      </c>
      <c r="AQ275" s="36">
        <f t="shared" si="762"/>
        <v>7.817135067</v>
      </c>
      <c r="AR275" s="32">
        <f t="shared" si="760"/>
        <v>193.09375</v>
      </c>
    </row>
    <row r="276" ht="15.75" customHeight="1">
      <c r="A276" s="21"/>
      <c r="B276" s="38">
        <v>1.0</v>
      </c>
      <c r="C276" s="38" t="s">
        <v>26</v>
      </c>
      <c r="D276" s="39">
        <v>20.0</v>
      </c>
      <c r="E276" s="40">
        <f>IFERROR(__xludf.DUMMYFUNCTION("COUNT(IMPORTRANGE(""https://docs.google.com/spreadsheets/d/1F0NpMx7WhcgPgxTWpryY3Z1CGg56FL6aiL4mHs43w4E/edit"",""1!d2:d21""))"),20.0)</f>
        <v>20</v>
      </c>
      <c r="F276" s="41">
        <f>IFERROR(__xludf.DUMMYFUNCTION("SUM(IMPORTRANGE(""https://docs.google.com/spreadsheets/d/1F0NpMx7WhcgPgxTWpryY3Z1CGg56FL6aiL4mHs43w4E/edit"",""1!Q2:Q21""))"),3935.2949999999996)</f>
        <v>3935.295</v>
      </c>
      <c r="G276" s="40">
        <f>IFERROR(__xludf.DUMMYFUNCTION("IMPORTRANGE(""https://docs.google.com/spreadsheets/d/1F0NpMx7WhcgPgxTWpryY3Z1CGg56FL6aiL4mHs43w4E/edit"",""1!e28"")"),2229.0)</f>
        <v>2229</v>
      </c>
      <c r="H276" s="40">
        <f>IFERROR(__xludf.DUMMYFUNCTION("IMPORTRANGE(""https://docs.google.com/spreadsheets/d/1F0NpMx7WhcgPgxTWpryY3Z1CGg56FL6aiL4mHs43w4E/edit"",""1!e29"")"),0.0)</f>
        <v>0</v>
      </c>
      <c r="I276" s="40">
        <f t="shared" ref="I276:I293" si="765">SUM(G276:H276)</f>
        <v>2229</v>
      </c>
      <c r="J276" s="40">
        <f>IFERROR(__xludf.DUMMYFUNCTION("IMPORTRANGE(""https://docs.google.com/spreadsheets/d/1F0NpMx7WhcgPgxTWpryY3Z1CGg56FL6aiL4mHs43w4E/edit"",""1!e32"")"),2661.0)</f>
        <v>2661</v>
      </c>
      <c r="K276" s="40">
        <f>IFERROR(__xludf.DUMMYFUNCTION("IMPORTRANGE(""https://docs.google.com/spreadsheets/d/1F0NpMx7WhcgPgxTWpryY3Z1CGg56FL6aiL4mHs43w4E/edit"",""1!e33"")"),47.0)</f>
        <v>47</v>
      </c>
      <c r="L276" s="40">
        <f t="shared" ref="L276:L282" si="766">SUM(J276:K276)</f>
        <v>2708</v>
      </c>
      <c r="M276" s="40">
        <f t="shared" ref="M276:M293" si="767">SUM(I276+L276)</f>
        <v>4937</v>
      </c>
      <c r="N276" s="41">
        <f t="shared" ref="N276:N294" si="768">F276/E276</f>
        <v>196.76475</v>
      </c>
      <c r="O276" s="38">
        <v>5161.0</v>
      </c>
      <c r="P276" s="56">
        <f t="shared" ref="P276:P294" si="769">M276/O276</f>
        <v>0.9565975586</v>
      </c>
      <c r="Q276" s="43">
        <v>1.5</v>
      </c>
      <c r="R276" s="42">
        <f t="shared" ref="R276:R294" si="770">S276/Q276</f>
        <v>0.8363625429</v>
      </c>
      <c r="S276" s="44">
        <f t="shared" ref="S276:S294" si="771">M276/F276</f>
        <v>1.254543814</v>
      </c>
      <c r="T276" s="43">
        <f>F276/14.415</f>
        <v>273</v>
      </c>
      <c r="U276" s="43">
        <f t="shared" ref="U276:U294" si="772">T276/E276</f>
        <v>13.65</v>
      </c>
      <c r="V276" s="40">
        <f t="shared" ref="V276:V294" si="773">M276/E276</f>
        <v>246.85</v>
      </c>
      <c r="X276" s="22">
        <v>4.0</v>
      </c>
      <c r="Y276" s="22" t="s">
        <v>27</v>
      </c>
      <c r="Z276" s="22">
        <f t="shared" ref="Z276:AK276" si="763">SUM(D289)</f>
        <v>30</v>
      </c>
      <c r="AA276" s="23">
        <f t="shared" si="763"/>
        <v>29</v>
      </c>
      <c r="AB276" s="24">
        <f t="shared" si="763"/>
        <v>5631.663</v>
      </c>
      <c r="AC276" s="23">
        <f t="shared" si="763"/>
        <v>2486</v>
      </c>
      <c r="AD276" s="23">
        <f t="shared" si="763"/>
        <v>80</v>
      </c>
      <c r="AE276" s="23">
        <f t="shared" si="763"/>
        <v>2566</v>
      </c>
      <c r="AF276" s="23">
        <f t="shared" si="763"/>
        <v>2945</v>
      </c>
      <c r="AG276" s="23">
        <f t="shared" si="763"/>
        <v>88</v>
      </c>
      <c r="AH276" s="23">
        <f t="shared" si="763"/>
        <v>3033</v>
      </c>
      <c r="AI276" s="23">
        <f t="shared" si="763"/>
        <v>5599</v>
      </c>
      <c r="AJ276" s="25">
        <f t="shared" si="763"/>
        <v>194.1952759</v>
      </c>
      <c r="AK276" s="22">
        <f t="shared" si="763"/>
        <v>8101</v>
      </c>
      <c r="AL276" s="26">
        <f t="shared" si="755"/>
        <v>0.6911492408</v>
      </c>
      <c r="AM276" s="27">
        <f>SUM(Q289)</f>
        <v>1.5</v>
      </c>
      <c r="AN276" s="26">
        <f t="shared" si="757"/>
        <v>0.6628000764</v>
      </c>
      <c r="AO276" s="28">
        <f t="shared" si="758"/>
        <v>0.9942001146</v>
      </c>
      <c r="AP276" s="27">
        <f t="shared" ref="AP276:AQ276" si="764">SUM(T289)</f>
        <v>281.7944959</v>
      </c>
      <c r="AQ276" s="27">
        <f t="shared" si="764"/>
        <v>9.717051582</v>
      </c>
      <c r="AR276" s="23">
        <f t="shared" si="760"/>
        <v>193.0689655</v>
      </c>
    </row>
    <row r="277" ht="15.75" customHeight="1">
      <c r="A277" s="21"/>
      <c r="B277" s="38">
        <v>2.0</v>
      </c>
      <c r="C277" s="38" t="s">
        <v>28</v>
      </c>
      <c r="D277" s="39">
        <v>33.0</v>
      </c>
      <c r="E277" s="40">
        <f>IFERROR(__xludf.DUMMYFUNCTION("COUNT(IMPORTRANGE(""https://docs.google.com/spreadsheets/d/1H9vAqftAHb0OdeSGXHTnJFzoWUgpoH31sc0sHNN8y1o/edit"",""1!d2:d34""))"),32.0)</f>
        <v>32</v>
      </c>
      <c r="F277" s="41">
        <f>IFERROR(__xludf.DUMMYFUNCTION("SUM(IMPORTRANGE(""https://docs.google.com/spreadsheets/d/1H9vAqftAHb0OdeSGXHTnJFzoWUgpoH31sc0sHNN8y1o/edit"",""1!Q2:Q34""))"),6234.134999999998)</f>
        <v>6234.135</v>
      </c>
      <c r="G277" s="40">
        <f>IFERROR(__xludf.DUMMYFUNCTION("IMPORTRANGE(""https://docs.google.com/spreadsheets/d/1H9vAqftAHb0OdeSGXHTnJFzoWUgpoH31sc0sHNN8y1o/edit"",""1!e41"")"),2719.0)</f>
        <v>2719</v>
      </c>
      <c r="H277" s="40">
        <f>IFERROR(__xludf.DUMMYFUNCTION("IMPORTRANGE(""https://docs.google.com/spreadsheets/d/1H9vAqftAHb0OdeSGXHTnJFzoWUgpoH31sc0sHNN8y1o/edit"",""1!e42"")"),208.0)</f>
        <v>208</v>
      </c>
      <c r="I277" s="40">
        <f t="shared" si="765"/>
        <v>2927</v>
      </c>
      <c r="J277" s="40">
        <f>IFERROR(__xludf.DUMMYFUNCTION("IMPORTRANGE(""https://docs.google.com/spreadsheets/d/1H9vAqftAHb0OdeSGXHTnJFzoWUgpoH31sc0sHNN8y1o/edit"",""1!e45"")"),3192.0)</f>
        <v>3192</v>
      </c>
      <c r="K277" s="40">
        <f>IFERROR(__xludf.DUMMYFUNCTION("IMPORTRANGE(""https://docs.google.com/spreadsheets/d/1H9vAqftAHb0OdeSGXHTnJFzoWUgpoH31sc0sHNN8y1o/edit"",""1!e46"")"),138.0)</f>
        <v>138</v>
      </c>
      <c r="L277" s="40">
        <f t="shared" si="766"/>
        <v>3330</v>
      </c>
      <c r="M277" s="40">
        <f t="shared" si="767"/>
        <v>6257</v>
      </c>
      <c r="N277" s="41">
        <f t="shared" si="768"/>
        <v>194.8167188</v>
      </c>
      <c r="O277" s="38">
        <v>7315.0</v>
      </c>
      <c r="P277" s="42">
        <f t="shared" si="769"/>
        <v>0.8553656869</v>
      </c>
      <c r="Q277" s="43">
        <v>1.5</v>
      </c>
      <c r="R277" s="42">
        <f t="shared" si="770"/>
        <v>0.6691118067</v>
      </c>
      <c r="S277" s="44">
        <f t="shared" si="771"/>
        <v>1.00366771</v>
      </c>
      <c r="T277" s="43">
        <f>F277/30.897</f>
        <v>201.7715312</v>
      </c>
      <c r="U277" s="43">
        <f t="shared" si="772"/>
        <v>6.305360351</v>
      </c>
      <c r="V277" s="40">
        <f t="shared" si="773"/>
        <v>195.53125</v>
      </c>
      <c r="X277" s="22">
        <v>5.0</v>
      </c>
      <c r="Y277" s="22" t="s">
        <v>29</v>
      </c>
      <c r="Z277" s="22">
        <f t="shared" ref="Z277:AI277" si="774">SUM(D292)</f>
        <v>30</v>
      </c>
      <c r="AA277" s="23">
        <f t="shared" si="774"/>
        <v>29</v>
      </c>
      <c r="AB277" s="24">
        <f t="shared" si="774"/>
        <v>5722.056</v>
      </c>
      <c r="AC277" s="23">
        <f t="shared" si="774"/>
        <v>2610</v>
      </c>
      <c r="AD277" s="23">
        <f t="shared" si="774"/>
        <v>0</v>
      </c>
      <c r="AE277" s="23">
        <f t="shared" si="774"/>
        <v>2610</v>
      </c>
      <c r="AF277" s="23">
        <f t="shared" si="774"/>
        <v>4378</v>
      </c>
      <c r="AG277" s="23">
        <f t="shared" si="774"/>
        <v>0</v>
      </c>
      <c r="AH277" s="23">
        <f t="shared" si="774"/>
        <v>4378</v>
      </c>
      <c r="AI277" s="23">
        <f t="shared" si="774"/>
        <v>6988</v>
      </c>
      <c r="AJ277" s="25">
        <f t="shared" ref="AJ277:AJ279" si="777">AB277/AA277</f>
        <v>197.3122759</v>
      </c>
      <c r="AK277" s="22">
        <f t="shared" ref="AK277:AK278" si="778">SUM(O292)</f>
        <v>9201</v>
      </c>
      <c r="AL277" s="26">
        <f t="shared" si="755"/>
        <v>0.7594826649</v>
      </c>
      <c r="AM277" s="27">
        <f t="shared" ref="AM277:AM278" si="779">SUM(Q292)</f>
        <v>1.5</v>
      </c>
      <c r="AN277" s="26">
        <f t="shared" si="757"/>
        <v>0.8141595725</v>
      </c>
      <c r="AO277" s="28">
        <f t="shared" si="758"/>
        <v>1.221239359</v>
      </c>
      <c r="AP277" s="27">
        <f t="shared" ref="AP277:AQ277" si="775">SUM(T292)</f>
        <v>216</v>
      </c>
      <c r="AQ277" s="27">
        <f t="shared" si="775"/>
        <v>7.448275862</v>
      </c>
      <c r="AR277" s="23">
        <f t="shared" si="760"/>
        <v>240.9655172</v>
      </c>
    </row>
    <row r="278" ht="15.75" customHeight="1">
      <c r="A278" s="21"/>
      <c r="B278" s="38">
        <v>3.0</v>
      </c>
      <c r="C278" s="38" t="s">
        <v>30</v>
      </c>
      <c r="D278" s="39">
        <v>60.0</v>
      </c>
      <c r="E278" s="40">
        <f>IFERROR(__xludf.DUMMYFUNCTION("COUNT(IMPORTRANGE(""https://docs.google.com/spreadsheets/d/1EWN6nfpuVxbUE_9opjYCWaI7MTm5xsF6ssjklSbMZnA/edit"",""1!d2:d61""))"),59.0)</f>
        <v>59</v>
      </c>
      <c r="F278" s="45">
        <f>IFERROR(__xludf.DUMMYFUNCTION("SUM(IMPORTRANGE(""https://docs.google.com/spreadsheets/d/1EWN6nfpuVxbUE_9opjYCWaI7MTm5xsF6ssjklSbMZnA/edit"",""1!Q2:Q61""))"),11739.691999999988)</f>
        <v>11739.692</v>
      </c>
      <c r="G278" s="40">
        <f>IFERROR(__xludf.DUMMYFUNCTION("IMPORTRANGE(""https://docs.google.com/spreadsheets/d/1EWN6nfpuVxbUE_9opjYCWaI7MTm5xsF6ssjklSbMZnA/edit"",""1!e68"")"),3754.0)</f>
        <v>3754</v>
      </c>
      <c r="H278" s="40">
        <f>IFERROR(__xludf.DUMMYFUNCTION("IMPORTRANGE(""https://docs.google.com/spreadsheets/d/1EWN6nfpuVxbUE_9opjYCWaI7MTm5xsF6ssjklSbMZnA/edit"",""1!e69"")"),14.0)</f>
        <v>14</v>
      </c>
      <c r="I278" s="40">
        <f t="shared" si="765"/>
        <v>3768</v>
      </c>
      <c r="J278" s="40">
        <f>IFERROR(__xludf.DUMMYFUNCTION("IMPORTRANGE(""https://docs.google.com/spreadsheets/d/1EWN6nfpuVxbUE_9opjYCWaI7MTm5xsF6ssjklSbMZnA/edit"",""1!e72"")"),5982.0)</f>
        <v>5982</v>
      </c>
      <c r="K278" s="40">
        <f>IFERROR(__xludf.DUMMYFUNCTION("IMPORTRANGE(""https://docs.google.com/spreadsheets/d/1EWN6nfpuVxbUE_9opjYCWaI7MTm5xsF6ssjklSbMZnA/edit"",""1!e73"")"),0.0)</f>
        <v>0</v>
      </c>
      <c r="L278" s="40">
        <f t="shared" si="766"/>
        <v>5982</v>
      </c>
      <c r="M278" s="40">
        <f t="shared" si="767"/>
        <v>9750</v>
      </c>
      <c r="N278" s="41">
        <f t="shared" si="768"/>
        <v>198.9778305</v>
      </c>
      <c r="O278" s="38">
        <v>11164.0</v>
      </c>
      <c r="P278" s="42">
        <f t="shared" si="769"/>
        <v>0.8733428879</v>
      </c>
      <c r="Q278" s="43">
        <v>1.5</v>
      </c>
      <c r="R278" s="42">
        <f t="shared" si="770"/>
        <v>0.5536772174</v>
      </c>
      <c r="S278" s="44">
        <f t="shared" si="771"/>
        <v>0.8305158261</v>
      </c>
      <c r="T278" s="43">
        <f>F278/29.603</f>
        <v>396.5710232</v>
      </c>
      <c r="U278" s="43">
        <f t="shared" si="772"/>
        <v>6.721542766</v>
      </c>
      <c r="V278" s="40">
        <f t="shared" si="773"/>
        <v>165.2542373</v>
      </c>
      <c r="X278" s="22">
        <v>6.0</v>
      </c>
      <c r="Y278" s="22" t="s">
        <v>31</v>
      </c>
      <c r="Z278" s="22">
        <f t="shared" ref="Z278:AI278" si="776">SUM(D293)</f>
        <v>15</v>
      </c>
      <c r="AA278" s="23">
        <f t="shared" si="776"/>
        <v>14</v>
      </c>
      <c r="AB278" s="25">
        <f t="shared" si="776"/>
        <v>2520.97</v>
      </c>
      <c r="AC278" s="23">
        <f t="shared" si="776"/>
        <v>633</v>
      </c>
      <c r="AD278" s="23">
        <f t="shared" si="776"/>
        <v>0</v>
      </c>
      <c r="AE278" s="23">
        <f t="shared" si="776"/>
        <v>633</v>
      </c>
      <c r="AF278" s="23">
        <f t="shared" si="776"/>
        <v>1148</v>
      </c>
      <c r="AG278" s="23">
        <f t="shared" si="776"/>
        <v>15</v>
      </c>
      <c r="AH278" s="23">
        <f t="shared" si="776"/>
        <v>1163</v>
      </c>
      <c r="AI278" s="23">
        <f t="shared" si="776"/>
        <v>1796</v>
      </c>
      <c r="AJ278" s="25">
        <f t="shared" si="777"/>
        <v>180.0692857</v>
      </c>
      <c r="AK278" s="22">
        <f t="shared" si="778"/>
        <v>2717</v>
      </c>
      <c r="AL278" s="26">
        <f t="shared" si="755"/>
        <v>0.6610231873</v>
      </c>
      <c r="AM278" s="27">
        <f t="shared" si="779"/>
        <v>1.5</v>
      </c>
      <c r="AN278" s="26">
        <f t="shared" si="757"/>
        <v>0.4749494573</v>
      </c>
      <c r="AO278" s="28">
        <f t="shared" si="758"/>
        <v>0.7124241859</v>
      </c>
      <c r="AP278" s="27">
        <f t="shared" ref="AP278:AQ278" si="780">SUM(T293)</f>
        <v>58</v>
      </c>
      <c r="AQ278" s="27">
        <f t="shared" si="780"/>
        <v>4.142857143</v>
      </c>
      <c r="AR278" s="23">
        <f t="shared" si="760"/>
        <v>128.2857143</v>
      </c>
    </row>
    <row r="279" ht="15.75" customHeight="1">
      <c r="A279" s="21"/>
      <c r="B279" s="38">
        <v>4.0</v>
      </c>
      <c r="C279" s="38" t="s">
        <v>32</v>
      </c>
      <c r="D279" s="39">
        <v>42.0</v>
      </c>
      <c r="E279" s="40">
        <f>IFERROR(__xludf.DUMMYFUNCTION("COUNT(IMPORTRANGE(""https://docs.google.com/spreadsheets/d/1Rmar8QqWK4XOJ-eY6xMzkAfDSw0srEXcAw89ilArun8/edit"",""1!d2:d43""))"),42.0)</f>
        <v>42</v>
      </c>
      <c r="F279" s="45">
        <f>IFERROR(__xludf.DUMMYFUNCTION("SUM(IMPORTRANGE(""https://docs.google.com/spreadsheets/d/1Rmar8QqWK4XOJ-eY6xMzkAfDSw0srEXcAw89ilArun8/edit"",""1!Q2:Q43""))"),8240.661999999991)</f>
        <v>8240.662</v>
      </c>
      <c r="G279" s="38">
        <f>IFERROR(__xludf.DUMMYFUNCTION("IMPORTRANGE(""https://docs.google.com/spreadsheets/d/1Rmar8QqWK4XOJ-eY6xMzkAfDSw0srEXcAw89ilArun8/edit"",""1!e50"")"),4515.0)</f>
        <v>4515</v>
      </c>
      <c r="H279" s="38">
        <f>IFERROR(__xludf.DUMMYFUNCTION("IMPORTRANGE(""https://docs.google.com/spreadsheets/d/1Rmar8QqWK4XOJ-eY6xMzkAfDSw0srEXcAw89ilArun8/edit"",""1!e51"")"),0.0)</f>
        <v>0</v>
      </c>
      <c r="I279" s="40">
        <f t="shared" si="765"/>
        <v>4515</v>
      </c>
      <c r="J279" s="38">
        <f>IFERROR(__xludf.DUMMYFUNCTION("IMPORTRANGE(""https://docs.google.com/spreadsheets/d/1Rmar8QqWK4XOJ-eY6xMzkAfDSw0srEXcAw89ilArun8/edit"",""1!e54"")"),5726.0)</f>
        <v>5726</v>
      </c>
      <c r="K279" s="38">
        <f>IFERROR(__xludf.DUMMYFUNCTION("IMPORTRANGE(""https://docs.google.com/spreadsheets/d/1Rmar8QqWK4XOJ-eY6xMzkAfDSw0srEXcAw89ilArun8/edit"",""1!e55"")"),0.0)</f>
        <v>0</v>
      </c>
      <c r="L279" s="40">
        <f t="shared" si="766"/>
        <v>5726</v>
      </c>
      <c r="M279" s="40">
        <f t="shared" si="767"/>
        <v>10241</v>
      </c>
      <c r="N279" s="41">
        <f t="shared" si="768"/>
        <v>196.2062381</v>
      </c>
      <c r="O279" s="38">
        <v>13817.0</v>
      </c>
      <c r="P279" s="42">
        <f t="shared" si="769"/>
        <v>0.7411883911</v>
      </c>
      <c r="Q279" s="43">
        <v>1.5</v>
      </c>
      <c r="R279" s="42">
        <f t="shared" si="770"/>
        <v>0.8284933096</v>
      </c>
      <c r="S279" s="44">
        <f t="shared" si="771"/>
        <v>1.242739964</v>
      </c>
      <c r="T279" s="43">
        <f>F279/25.089</f>
        <v>328.4571725</v>
      </c>
      <c r="U279" s="43">
        <f t="shared" si="772"/>
        <v>7.820408868</v>
      </c>
      <c r="V279" s="40">
        <f t="shared" si="773"/>
        <v>243.8333333</v>
      </c>
      <c r="X279" s="46" t="s">
        <v>33</v>
      </c>
      <c r="Y279" s="46">
        <v>6.0</v>
      </c>
      <c r="Z279" s="46">
        <f t="shared" ref="Z279:AI279" si="781">SUM(Z273:Z278)</f>
        <v>186</v>
      </c>
      <c r="AA279" s="47">
        <f t="shared" si="781"/>
        <v>182</v>
      </c>
      <c r="AB279" s="48">
        <f t="shared" si="781"/>
        <v>34548.101</v>
      </c>
      <c r="AC279" s="47">
        <f t="shared" si="781"/>
        <v>10994</v>
      </c>
      <c r="AD279" s="47">
        <f t="shared" si="781"/>
        <v>411</v>
      </c>
      <c r="AE279" s="47">
        <f t="shared" si="781"/>
        <v>11405</v>
      </c>
      <c r="AF279" s="47">
        <f t="shared" si="781"/>
        <v>16273</v>
      </c>
      <c r="AG279" s="47">
        <f t="shared" si="781"/>
        <v>422</v>
      </c>
      <c r="AH279" s="47">
        <f t="shared" si="781"/>
        <v>16695</v>
      </c>
      <c r="AI279" s="47">
        <f t="shared" si="781"/>
        <v>28100</v>
      </c>
      <c r="AJ279" s="49">
        <f t="shared" si="777"/>
        <v>189.8247308</v>
      </c>
      <c r="AK279" s="46">
        <f>SUM(AK273:AK278)</f>
        <v>35074</v>
      </c>
      <c r="AL279" s="50">
        <f t="shared" si="755"/>
        <v>0.8011632548</v>
      </c>
      <c r="AM279" s="51">
        <v>1.5</v>
      </c>
      <c r="AN279" s="50">
        <f t="shared" si="757"/>
        <v>0.542239162</v>
      </c>
      <c r="AO279" s="52">
        <f t="shared" si="758"/>
        <v>0.8133587429</v>
      </c>
      <c r="AP279" s="51">
        <f>SUM(AP273:AP278)</f>
        <v>1303.489768</v>
      </c>
      <c r="AQ279" s="51">
        <f>AP279/AA279</f>
        <v>7.162031693</v>
      </c>
      <c r="AR279" s="47">
        <f t="shared" si="760"/>
        <v>154.3956044</v>
      </c>
    </row>
    <row r="280" ht="15.75" customHeight="1">
      <c r="A280" s="21"/>
      <c r="B280" s="38">
        <v>5.0</v>
      </c>
      <c r="C280" s="38" t="s">
        <v>34</v>
      </c>
      <c r="D280" s="39">
        <v>40.0</v>
      </c>
      <c r="E280" s="40">
        <f>IFERROR(__xludf.DUMMYFUNCTION("COUNT(IMPORTRANGE(""https://docs.google.com/spreadsheets/d/1u99JxAoytGQQ8GcjxXl38CGdyEWy5uIbuJJHnsotyvk/edit"",""1!d2:d41""))"),40.0)</f>
        <v>40</v>
      </c>
      <c r="F280" s="45">
        <f>IFERROR(__xludf.DUMMYFUNCTION("SUM(IMPORTRANGE(""https://docs.google.com/spreadsheets/d/1u99JxAoytGQQ8GcjxXl38CGdyEWy5uIbuJJHnsotyvk/edit"",""1!Q2:Q41""))"),8007.324000000002)</f>
        <v>8007.324</v>
      </c>
      <c r="G280" s="40">
        <f>IFERROR(__xludf.DUMMYFUNCTION("IMPORTRANGE(""https://docs.google.com/spreadsheets/d/1u99JxAoytGQQ8GcjxXl38CGdyEWy5uIbuJJHnsotyvk/edit"",""1!e48"")"),2819.0)</f>
        <v>2819</v>
      </c>
      <c r="H280" s="40">
        <f>IFERROR(__xludf.DUMMYFUNCTION("IMPORTRANGE(""https://docs.google.com/spreadsheets/d/1u99JxAoytGQQ8GcjxXl38CGdyEWy5uIbuJJHnsotyvk/edit"",""1!e49"")"),0.0)</f>
        <v>0</v>
      </c>
      <c r="I280" s="40">
        <f t="shared" si="765"/>
        <v>2819</v>
      </c>
      <c r="J280" s="40">
        <f>IFERROR(__xludf.DUMMYFUNCTION("IMPORTRANGE(""https://docs.google.com/spreadsheets/d/1u99JxAoytGQQ8GcjxXl38CGdyEWy5uIbuJJHnsotyvk/edit"",""1!e52"")"),3504.0)</f>
        <v>3504</v>
      </c>
      <c r="K280" s="40">
        <f>IFERROR(__xludf.DUMMYFUNCTION("IMPORTRANGE(""https://docs.google.com/spreadsheets/d/1u99JxAoytGQQ8GcjxXl38CGdyEWy5uIbuJJHnsotyvk/edit"",""1!e53"")"),0.0)</f>
        <v>0</v>
      </c>
      <c r="L280" s="40">
        <f t="shared" si="766"/>
        <v>3504</v>
      </c>
      <c r="M280" s="40">
        <f t="shared" si="767"/>
        <v>6323</v>
      </c>
      <c r="N280" s="41">
        <f t="shared" si="768"/>
        <v>200.1831</v>
      </c>
      <c r="O280" s="38">
        <v>9354.0</v>
      </c>
      <c r="P280" s="42">
        <f t="shared" si="769"/>
        <v>0.6759675005</v>
      </c>
      <c r="Q280" s="43">
        <v>1.5</v>
      </c>
      <c r="R280" s="42">
        <f t="shared" si="770"/>
        <v>0.5264347157</v>
      </c>
      <c r="S280" s="44">
        <f t="shared" si="771"/>
        <v>0.7896520735</v>
      </c>
      <c r="T280" s="43">
        <f>F280/30.713</f>
        <v>260.7144857</v>
      </c>
      <c r="U280" s="43">
        <f t="shared" si="772"/>
        <v>6.517862143</v>
      </c>
      <c r="V280" s="40">
        <f t="shared" si="773"/>
        <v>158.075</v>
      </c>
      <c r="X280" s="53" t="s">
        <v>35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6"/>
    </row>
    <row r="281" ht="15.75" customHeight="1">
      <c r="A281" s="21"/>
      <c r="B281" s="38">
        <v>6.0</v>
      </c>
      <c r="C281" s="38" t="s">
        <v>23</v>
      </c>
      <c r="D281" s="39">
        <v>35.0</v>
      </c>
      <c r="E281" s="40">
        <f>IFERROR(__xludf.DUMMYFUNCTION("COUNT(IMPORTRANGE(""https://docs.google.com/spreadsheets/d/1uVc-vnTn57HE53lwrUYNZP4sGKTXisrqOoZ-6EyvLzY/edit"",""1!d2:d36""))"),34.0)</f>
        <v>34</v>
      </c>
      <c r="F281" s="45">
        <f>IFERROR(__xludf.DUMMYFUNCTION("SUM(IMPORTRANGE(""https://docs.google.com/spreadsheets/d/1uVc-vnTn57HE53lwrUYNZP4sGKTXisrqOoZ-6EyvLzY/edit"",""1!Q2:Q36""))"),6680.519999999995)</f>
        <v>6680.52</v>
      </c>
      <c r="G281" s="40">
        <f>IFERROR(__xludf.DUMMYFUNCTION("IMPORTRANGE(""https://docs.google.com/spreadsheets/d/1uVc-vnTn57HE53lwrUYNZP4sGKTXisrqOoZ-6EyvLzY/edit"",""1!e43"")"),1627.0)</f>
        <v>1627</v>
      </c>
      <c r="H281" s="40">
        <f>IFERROR(__xludf.DUMMYFUNCTION("IMPORTRANGE(""https://docs.google.com/spreadsheets/d/1uVc-vnTn57HE53lwrUYNZP4sGKTXisrqOoZ-6EyvLzY/edit"",""1!e44"")"),0.0)</f>
        <v>0</v>
      </c>
      <c r="I281" s="40">
        <f t="shared" si="765"/>
        <v>1627</v>
      </c>
      <c r="J281" s="40">
        <f>IFERROR(__xludf.DUMMYFUNCTION("IMPORTRANGE(""https://docs.google.com/spreadsheets/d/1uVc-vnTn57HE53lwrUYNZP4sGKTXisrqOoZ-6EyvLzY/edit"",""1!e47"")"),3262.0)</f>
        <v>3262</v>
      </c>
      <c r="K281" s="40">
        <f>IFERROR(__xludf.DUMMYFUNCTION("IMPORTRANGE(""https://docs.google.com/spreadsheets/d/1uVc-vnTn57HE53lwrUYNZP4sGKTXisrqOoZ-6EyvLzY/edit"",""1!e48"")"),0.0)</f>
        <v>0</v>
      </c>
      <c r="L281" s="40">
        <f t="shared" si="766"/>
        <v>3262</v>
      </c>
      <c r="M281" s="40">
        <f t="shared" si="767"/>
        <v>4889</v>
      </c>
      <c r="N281" s="41">
        <f t="shared" si="768"/>
        <v>196.4858824</v>
      </c>
      <c r="O281" s="38">
        <v>6853.0</v>
      </c>
      <c r="P281" s="42">
        <f t="shared" si="769"/>
        <v>0.7134101853</v>
      </c>
      <c r="Q281" s="43">
        <v>1.5</v>
      </c>
      <c r="R281" s="42">
        <f t="shared" si="770"/>
        <v>0.4878861725</v>
      </c>
      <c r="S281" s="44">
        <f t="shared" si="771"/>
        <v>0.7318292588</v>
      </c>
      <c r="T281" s="43">
        <f>F281/33.74</f>
        <v>198</v>
      </c>
      <c r="U281" s="43">
        <f t="shared" si="772"/>
        <v>5.823529412</v>
      </c>
      <c r="V281" s="40">
        <f t="shared" si="773"/>
        <v>143.7941176</v>
      </c>
      <c r="X281" s="14" t="s">
        <v>2</v>
      </c>
      <c r="Y281" s="14" t="s">
        <v>3</v>
      </c>
      <c r="Z281" s="14" t="s">
        <v>4</v>
      </c>
      <c r="AA281" s="14" t="s">
        <v>5</v>
      </c>
      <c r="AB281" s="15" t="s">
        <v>6</v>
      </c>
      <c r="AC281" s="14" t="s">
        <v>7</v>
      </c>
      <c r="AD281" s="14" t="s">
        <v>8</v>
      </c>
      <c r="AE281" s="14" t="s">
        <v>9</v>
      </c>
      <c r="AF281" s="14" t="s">
        <v>10</v>
      </c>
      <c r="AG281" s="14" t="s">
        <v>11</v>
      </c>
      <c r="AH281" s="14" t="s">
        <v>12</v>
      </c>
      <c r="AI281" s="14" t="s">
        <v>13</v>
      </c>
      <c r="AJ281" s="15" t="s">
        <v>14</v>
      </c>
      <c r="AK281" s="14" t="s">
        <v>15</v>
      </c>
      <c r="AL281" s="14" t="s">
        <v>16</v>
      </c>
      <c r="AM281" s="16" t="s">
        <v>17</v>
      </c>
      <c r="AN281" s="17" t="s">
        <v>18</v>
      </c>
      <c r="AO281" s="18" t="s">
        <v>19</v>
      </c>
      <c r="AP281" s="19" t="s">
        <v>20</v>
      </c>
      <c r="AQ281" s="19" t="s">
        <v>21</v>
      </c>
      <c r="AR281" s="20" t="s">
        <v>22</v>
      </c>
    </row>
    <row r="282" ht="15.75" customHeight="1">
      <c r="A282" s="21"/>
      <c r="B282" s="38">
        <v>7.0</v>
      </c>
      <c r="C282" s="38" t="s">
        <v>24</v>
      </c>
      <c r="D282" s="39">
        <v>44.0</v>
      </c>
      <c r="E282" s="54">
        <f>IFERROR(__xludf.DUMMYFUNCTION("COUNT(IMPORTRANGE(""https://docs.google.com/spreadsheets/d/1iuPvivSypupo44l6GtmR-2qZ3za7cTk7KzsOVp_kv2c/edit"",""1!d2:d45""))"),44.0)</f>
        <v>44</v>
      </c>
      <c r="F282" s="55">
        <f>IFERROR(__xludf.DUMMYFUNCTION("SUM(IMPORTRANGE(""https://docs.google.com/spreadsheets/d/1iuPvivSypupo44l6GtmR-2qZ3za7cTk7KzsOVp_kv2c/edit"",""1!Q2:Q45""))"),8029.355999999994)</f>
        <v>8029.356</v>
      </c>
      <c r="G282" s="54">
        <f>IFERROR(__xludf.DUMMYFUNCTION("IMPORTRANGE(""https://docs.google.com/spreadsheets/d/1iuPvivSypupo44l6GtmR-2qZ3za7cTk7KzsOVp_kv2c/edit"",""1!e53"")"),1194.0)</f>
        <v>1194</v>
      </c>
      <c r="H282" s="54">
        <f>IFERROR(__xludf.DUMMYFUNCTION("IMPORTRANGE(""https://docs.google.com/spreadsheets/d/1iuPvivSypupo44l6GtmR-2qZ3za7cTk7KzsOVp_kv2c/edit"",""1!e54"")"),0.0)</f>
        <v>0</v>
      </c>
      <c r="I282" s="54">
        <f t="shared" si="765"/>
        <v>1194</v>
      </c>
      <c r="J282" s="54">
        <f>IFERROR(__xludf.DUMMYFUNCTION("IMPORTRANGE(""https://docs.google.com/spreadsheets/d/1iuPvivSypupo44l6GtmR-2qZ3za7cTk7KzsOVp_kv2c/edit"",""1!e57"")"),1455.0)</f>
        <v>1455</v>
      </c>
      <c r="K282" s="54">
        <f>IFERROR(__xludf.DUMMYFUNCTION("IMPORTRANGE(""https://docs.google.com/spreadsheets/d/1iuPvivSypupo44l6GtmR-2qZ3za7cTk7KzsOVp_kv2c/edit"",""1!e58"")"),0.0)</f>
        <v>0</v>
      </c>
      <c r="L282" s="40">
        <f t="shared" si="766"/>
        <v>1455</v>
      </c>
      <c r="M282" s="40">
        <f t="shared" si="767"/>
        <v>2649</v>
      </c>
      <c r="N282" s="41">
        <f t="shared" si="768"/>
        <v>182.4853636</v>
      </c>
      <c r="O282" s="38">
        <v>1580.0</v>
      </c>
      <c r="P282" s="56">
        <f t="shared" si="769"/>
        <v>1.676582278</v>
      </c>
      <c r="Q282" s="43">
        <v>1.5</v>
      </c>
      <c r="R282" s="42">
        <f t="shared" si="770"/>
        <v>0.2199429195</v>
      </c>
      <c r="S282" s="44">
        <f t="shared" si="771"/>
        <v>0.3299143792</v>
      </c>
      <c r="T282" s="43">
        <f>F282/26.805</f>
        <v>299.5469502</v>
      </c>
      <c r="U282" s="43">
        <f t="shared" si="772"/>
        <v>6.807885232</v>
      </c>
      <c r="V282" s="40">
        <f t="shared" si="773"/>
        <v>60.20454545</v>
      </c>
      <c r="X282" s="22">
        <v>1.0</v>
      </c>
      <c r="Y282" s="22" t="s">
        <v>28</v>
      </c>
      <c r="Z282" s="22">
        <f t="shared" ref="Z282:AI282" si="782">SUM(D277)</f>
        <v>33</v>
      </c>
      <c r="AA282" s="23">
        <f t="shared" si="782"/>
        <v>32</v>
      </c>
      <c r="AB282" s="25">
        <f t="shared" si="782"/>
        <v>6234.135</v>
      </c>
      <c r="AC282" s="23">
        <f t="shared" si="782"/>
        <v>2719</v>
      </c>
      <c r="AD282" s="23">
        <f t="shared" si="782"/>
        <v>208</v>
      </c>
      <c r="AE282" s="23">
        <f t="shared" si="782"/>
        <v>2927</v>
      </c>
      <c r="AF282" s="23">
        <f t="shared" si="782"/>
        <v>3192</v>
      </c>
      <c r="AG282" s="23">
        <f t="shared" si="782"/>
        <v>138</v>
      </c>
      <c r="AH282" s="23">
        <f t="shared" si="782"/>
        <v>3330</v>
      </c>
      <c r="AI282" s="23">
        <f t="shared" si="782"/>
        <v>6257</v>
      </c>
      <c r="AJ282" s="25">
        <f t="shared" ref="AJ282:AJ288" si="785">AB282/AA282</f>
        <v>194.8167188</v>
      </c>
      <c r="AK282" s="22">
        <f t="shared" ref="AK282:AK283" si="786">SUM(O277)</f>
        <v>7315</v>
      </c>
      <c r="AL282" s="26">
        <f t="shared" ref="AL282:AL288" si="787">AI282/AK282</f>
        <v>0.8553656869</v>
      </c>
      <c r="AM282" s="27">
        <f t="shared" ref="AM282:AM283" si="788">SUM(Q277)</f>
        <v>1.5</v>
      </c>
      <c r="AN282" s="26">
        <f t="shared" ref="AN282:AN288" si="789">AO282/AM282</f>
        <v>0.6691118067</v>
      </c>
      <c r="AO282" s="28">
        <f t="shared" ref="AO282:AO288" si="790">AI282/AB282</f>
        <v>1.00366771</v>
      </c>
      <c r="AP282" s="27">
        <f t="shared" ref="AP282:AQ282" si="783">SUM(T277)</f>
        <v>201.7715312</v>
      </c>
      <c r="AQ282" s="27">
        <f t="shared" si="783"/>
        <v>6.305360351</v>
      </c>
      <c r="AR282" s="23">
        <f t="shared" ref="AR282:AR288" si="792">AI282/AA282</f>
        <v>195.53125</v>
      </c>
    </row>
    <row r="283" ht="15.75" customHeight="1">
      <c r="A283" s="21"/>
      <c r="B283" s="38">
        <v>8.0</v>
      </c>
      <c r="C283" s="38" t="s">
        <v>25</v>
      </c>
      <c r="D283" s="57">
        <v>32.0</v>
      </c>
      <c r="E283" s="40">
        <f>IFERROR(__xludf.DUMMYFUNCTION("COUNT(IMPORTRANGE(""https://docs.google.com/spreadsheets/d/1sqWX7UerdR9KR_duBzDNfjwbPG-3hLgV1LiN2ZVZ6Js/edit"",""1!d2:D33""))"),32.0)</f>
        <v>32</v>
      </c>
      <c r="F283" s="45">
        <f>IFERROR(__xludf.DUMMYFUNCTION("SUM(IMPORTRANGE(""https://docs.google.com/spreadsheets/d/1sqWX7UerdR9KR_duBzDNfjwbPG-3hLgV1LiN2ZVZ6Js/edit"",""1!Q2:Q33""))"),5963.536000000002)</f>
        <v>5963.536</v>
      </c>
      <c r="G283" s="40">
        <f>IFERROR(__xludf.DUMMYFUNCTION("IMPORTRANGE(""https://docs.google.com/spreadsheets/d/1sqWX7UerdR9KR_duBzDNfjwbPG-3hLgV1LiN2ZVZ6Js/edit"",""1!e40"")"),2444.0)</f>
        <v>2444</v>
      </c>
      <c r="H283" s="40">
        <f>IFERROR(__xludf.DUMMYFUNCTION("IMPORTRANGE(""https://docs.google.com/spreadsheets/d/1sqWX7UerdR9KR_duBzDNfjwbPG-3hLgV1LiN2ZVZ6Js/edit"",""1!e41"")"),331.0)</f>
        <v>331</v>
      </c>
      <c r="I283" s="40">
        <f t="shared" si="765"/>
        <v>2775</v>
      </c>
      <c r="J283" s="40">
        <f>IFERROR(__xludf.DUMMYFUNCTION("IMPORTRANGE(""https://docs.google.com/spreadsheets/d/1sqWX7UerdR9KR_duBzDNfjwbPG-3hLgV1LiN2ZVZ6Js/edit"",""1!e44"")"),3085.0)</f>
        <v>3085</v>
      </c>
      <c r="K283" s="40">
        <f>IFERROR(__xludf.DUMMYFUNCTION("IMPORTRANGE(""https://docs.google.com/spreadsheets/d/1sqWX7UerdR9KR_duBzDNfjwbPG-3hLgV1LiN2ZVZ6Js/edit"",""1!e45"")"),319.0)</f>
        <v>319</v>
      </c>
      <c r="L283" s="40">
        <f>J283+K283</f>
        <v>3404</v>
      </c>
      <c r="M283" s="40">
        <f t="shared" si="767"/>
        <v>6179</v>
      </c>
      <c r="N283" s="41">
        <f t="shared" si="768"/>
        <v>186.3605</v>
      </c>
      <c r="O283" s="38">
        <v>6622.0</v>
      </c>
      <c r="P283" s="42">
        <f t="shared" si="769"/>
        <v>0.9331017819</v>
      </c>
      <c r="Q283" s="43">
        <v>1.5</v>
      </c>
      <c r="R283" s="42">
        <f t="shared" si="770"/>
        <v>0.6907534948</v>
      </c>
      <c r="S283" s="44">
        <f t="shared" si="771"/>
        <v>1.036130242</v>
      </c>
      <c r="T283" s="43">
        <f>F283/23.84</f>
        <v>250.1483221</v>
      </c>
      <c r="U283" s="43">
        <f t="shared" si="772"/>
        <v>7.817135067</v>
      </c>
      <c r="V283" s="40">
        <f t="shared" si="773"/>
        <v>193.09375</v>
      </c>
      <c r="X283" s="31">
        <v>2.0</v>
      </c>
      <c r="Y283" s="31" t="s">
        <v>30</v>
      </c>
      <c r="Z283" s="31">
        <f t="shared" ref="Z283:AI283" si="784">SUM(D278)</f>
        <v>60</v>
      </c>
      <c r="AA283" s="32">
        <f t="shared" si="784"/>
        <v>59</v>
      </c>
      <c r="AB283" s="33">
        <f t="shared" si="784"/>
        <v>11739.692</v>
      </c>
      <c r="AC283" s="32">
        <f t="shared" si="784"/>
        <v>3754</v>
      </c>
      <c r="AD283" s="32">
        <f t="shared" si="784"/>
        <v>14</v>
      </c>
      <c r="AE283" s="32">
        <f t="shared" si="784"/>
        <v>3768</v>
      </c>
      <c r="AF283" s="32">
        <f t="shared" si="784"/>
        <v>5982</v>
      </c>
      <c r="AG283" s="32">
        <f t="shared" si="784"/>
        <v>0</v>
      </c>
      <c r="AH283" s="32">
        <f t="shared" si="784"/>
        <v>5982</v>
      </c>
      <c r="AI283" s="32">
        <f t="shared" si="784"/>
        <v>9750</v>
      </c>
      <c r="AJ283" s="34">
        <f t="shared" si="785"/>
        <v>198.9778305</v>
      </c>
      <c r="AK283" s="31">
        <f t="shared" si="786"/>
        <v>11164</v>
      </c>
      <c r="AL283" s="35">
        <f t="shared" si="787"/>
        <v>0.8733428879</v>
      </c>
      <c r="AM283" s="36">
        <f t="shared" si="788"/>
        <v>1.5</v>
      </c>
      <c r="AN283" s="35">
        <f t="shared" si="789"/>
        <v>0.5536772174</v>
      </c>
      <c r="AO283" s="37">
        <f t="shared" si="790"/>
        <v>0.8305158261</v>
      </c>
      <c r="AP283" s="36">
        <f t="shared" ref="AP283:AQ283" si="791">SUM(T278)</f>
        <v>396.5710232</v>
      </c>
      <c r="AQ283" s="36">
        <f t="shared" si="791"/>
        <v>6.721542766</v>
      </c>
      <c r="AR283" s="32">
        <f t="shared" si="792"/>
        <v>165.2542373</v>
      </c>
    </row>
    <row r="284" ht="15.75" customHeight="1">
      <c r="A284" s="21"/>
      <c r="B284" s="38">
        <v>9.0</v>
      </c>
      <c r="C284" s="38" t="s">
        <v>36</v>
      </c>
      <c r="D284" s="58">
        <v>30.0</v>
      </c>
      <c r="E284" s="40">
        <f>IFERROR(__xludf.DUMMYFUNCTION("COUNT(IMPORTRANGE(""https://docs.google.com/spreadsheets/d/1YNna43iTSqnwwbMJgTIPHSJEoDO8RGPRFg5pJCoQR_Y/edit"",""1!d2:d31""))"),29.0)</f>
        <v>29</v>
      </c>
      <c r="F284" s="45">
        <f>IFERROR(__xludf.DUMMYFUNCTION("SUM(IMPORTRANGE(""https://docs.google.com/spreadsheets/d/1YNna43iTSqnwwbMJgTIPHSJEoDO8RGPRFg5pJCoQR_Y/edit"",""1!Q2:Q31""))"),4875.344999999998)</f>
        <v>4875.345</v>
      </c>
      <c r="G284" s="40">
        <f>IFERROR(__xludf.DUMMYFUNCTION("IMPORTRANGE(""https://docs.google.com/spreadsheets/d/1YNna43iTSqnwwbMJgTIPHSJEoDO8RGPRFg5pJCoQR_Y/edit"",""1!e38"")"),1728.0)</f>
        <v>1728</v>
      </c>
      <c r="H284" s="40">
        <f>IFERROR(__xludf.DUMMYFUNCTION("IMPORTRANGE(""https://docs.google.com/spreadsheets/d/1YNna43iTSqnwwbMJgTIPHSJEoDO8RGPRFg5pJCoQR_Y/edit"",""1!e39"")"),0.0)</f>
        <v>0</v>
      </c>
      <c r="I284" s="40">
        <f t="shared" si="765"/>
        <v>1728</v>
      </c>
      <c r="J284" s="40">
        <f>IFERROR(__xludf.DUMMYFUNCTION("IMPORTRANGE(""https://docs.google.com/spreadsheets/d/1YNna43iTSqnwwbMJgTIPHSJEoDO8RGPRFg5pJCoQR_Y/edit"",""1!e42"")"),2407.0)</f>
        <v>2407</v>
      </c>
      <c r="K284" s="40">
        <f>IFERROR(__xludf.DUMMYFUNCTION("IMPORTRANGE(""https://docs.google.com/spreadsheets/d/1YNna43iTSqnwwbMJgTIPHSJEoDO8RGPRFg5pJCoQR_Y/edit"",""1!e43"")"),20.0)</f>
        <v>20</v>
      </c>
      <c r="L284" s="40">
        <f t="shared" ref="L284:L293" si="795">SUM(J284:K284)</f>
        <v>2427</v>
      </c>
      <c r="M284" s="40">
        <f t="shared" si="767"/>
        <v>4155</v>
      </c>
      <c r="N284" s="41">
        <f t="shared" si="768"/>
        <v>168.1153448</v>
      </c>
      <c r="O284" s="38">
        <v>4796.0</v>
      </c>
      <c r="P284" s="42">
        <f t="shared" si="769"/>
        <v>0.8663469558</v>
      </c>
      <c r="Q284" s="43">
        <v>1.5</v>
      </c>
      <c r="R284" s="42">
        <f t="shared" si="770"/>
        <v>0.5681649196</v>
      </c>
      <c r="S284" s="44">
        <f t="shared" si="771"/>
        <v>0.8522473794</v>
      </c>
      <c r="T284" s="43">
        <f>F284/37.414</f>
        <v>130.3080398</v>
      </c>
      <c r="U284" s="43">
        <f t="shared" si="772"/>
        <v>4.493380682</v>
      </c>
      <c r="V284" s="40">
        <f t="shared" si="773"/>
        <v>143.2758621</v>
      </c>
      <c r="X284" s="22">
        <v>3.0</v>
      </c>
      <c r="Y284" s="22" t="s">
        <v>34</v>
      </c>
      <c r="Z284" s="22">
        <f t="shared" ref="Z284:AI284" si="793">SUM(D280)</f>
        <v>40</v>
      </c>
      <c r="AA284" s="23">
        <f t="shared" si="793"/>
        <v>40</v>
      </c>
      <c r="AB284" s="24">
        <f t="shared" si="793"/>
        <v>8007.324</v>
      </c>
      <c r="AC284" s="23">
        <f t="shared" si="793"/>
        <v>2819</v>
      </c>
      <c r="AD284" s="23">
        <f t="shared" si="793"/>
        <v>0</v>
      </c>
      <c r="AE284" s="23">
        <f t="shared" si="793"/>
        <v>2819</v>
      </c>
      <c r="AF284" s="23">
        <f t="shared" si="793"/>
        <v>3504</v>
      </c>
      <c r="AG284" s="23">
        <f t="shared" si="793"/>
        <v>0</v>
      </c>
      <c r="AH284" s="23">
        <f t="shared" si="793"/>
        <v>3504</v>
      </c>
      <c r="AI284" s="23">
        <f t="shared" si="793"/>
        <v>6323</v>
      </c>
      <c r="AJ284" s="25">
        <f t="shared" si="785"/>
        <v>200.1831</v>
      </c>
      <c r="AK284" s="22">
        <f>SUM(O280)</f>
        <v>9354</v>
      </c>
      <c r="AL284" s="26">
        <f t="shared" si="787"/>
        <v>0.6759675005</v>
      </c>
      <c r="AM284" s="27">
        <f>SUM(Q280)</f>
        <v>1.5</v>
      </c>
      <c r="AN284" s="26">
        <f t="shared" si="789"/>
        <v>0.5264347157</v>
      </c>
      <c r="AO284" s="28">
        <f t="shared" si="790"/>
        <v>0.7896520735</v>
      </c>
      <c r="AP284" s="27">
        <f t="shared" ref="AP284:AQ284" si="794">SUM(T280)</f>
        <v>260.7144857</v>
      </c>
      <c r="AQ284" s="27">
        <f t="shared" si="794"/>
        <v>6.517862143</v>
      </c>
      <c r="AR284" s="23">
        <f t="shared" si="792"/>
        <v>158.075</v>
      </c>
    </row>
    <row r="285" ht="15.75" customHeight="1">
      <c r="A285" s="21"/>
      <c r="B285" s="38">
        <v>10.0</v>
      </c>
      <c r="C285" s="38" t="s">
        <v>37</v>
      </c>
      <c r="D285" s="39">
        <v>30.0</v>
      </c>
      <c r="E285" s="40">
        <f>IFERROR(__xludf.DUMMYFUNCTION("COUNT(IMPORTRANGE(""https://docs.google.com/spreadsheets/d/1913Df5BsXS_b-nClL8LOK5w0engQYTl1mPOiyngRtO0/edit"",""1!d2:d31""))"),28.0)</f>
        <v>28</v>
      </c>
      <c r="F285" s="45">
        <f>IFERROR(__xludf.DUMMYFUNCTION("SUM(IMPORTRANGE(""https://docs.google.com/spreadsheets/d/1913Df5BsXS_b-nClL8LOK5w0engQYTl1mPOiyngRtO0/edit"",""1!Q2:Q31""))"),5465.100000000002)</f>
        <v>5465.1</v>
      </c>
      <c r="G285" s="40">
        <f>IFERROR(__xludf.DUMMYFUNCTION("(IMPORTRANGE(""https://docs.google.com/spreadsheets/d/1913Df5BsXS_b-nClL8LOK5w0engQYTl1mPOiyngRtO0/edit"",""1!e38""))"),2135.0)</f>
        <v>2135</v>
      </c>
      <c r="H285" s="40">
        <f>IFERROR(__xludf.DUMMYFUNCTION("(IMPORTRANGE(""https://docs.google.com/spreadsheets/d/1913Df5BsXS_b-nClL8LOK5w0engQYTl1mPOiyngRtO0/edit"",""1!e39""))"),0.0)</f>
        <v>0</v>
      </c>
      <c r="I285" s="40">
        <f t="shared" si="765"/>
        <v>2135</v>
      </c>
      <c r="J285" s="40">
        <f>IFERROR(__xludf.DUMMYFUNCTION("(IMPORTRANGE(""https://docs.google.com/spreadsheets/d/1913Df5BsXS_b-nClL8LOK5w0engQYTl1mPOiyngRtO0/edit"",""1!e42""))"),3182.0)</f>
        <v>3182</v>
      </c>
      <c r="K285" s="40">
        <f>IFERROR(__xludf.DUMMYFUNCTION("(IMPORTRANGE(""https://docs.google.com/spreadsheets/d/1913Df5BsXS_b-nClL8LOK5w0engQYTl1mPOiyngRtO0/edit"",""1!e43""))"),0.0)</f>
        <v>0</v>
      </c>
      <c r="L285" s="40">
        <f t="shared" si="795"/>
        <v>3182</v>
      </c>
      <c r="M285" s="40">
        <f t="shared" si="767"/>
        <v>5317</v>
      </c>
      <c r="N285" s="41">
        <f t="shared" si="768"/>
        <v>195.1821429</v>
      </c>
      <c r="O285" s="38">
        <v>5887.0</v>
      </c>
      <c r="P285" s="42">
        <f t="shared" si="769"/>
        <v>0.9031764906</v>
      </c>
      <c r="Q285" s="43">
        <v>1.5</v>
      </c>
      <c r="R285" s="42">
        <f t="shared" si="770"/>
        <v>0.6486005136</v>
      </c>
      <c r="S285" s="44">
        <f t="shared" si="771"/>
        <v>0.9729007703</v>
      </c>
      <c r="T285" s="43">
        <f>F285/24.792</f>
        <v>220.4380445</v>
      </c>
      <c r="U285" s="43">
        <f t="shared" si="772"/>
        <v>7.872787305</v>
      </c>
      <c r="V285" s="40">
        <f t="shared" si="773"/>
        <v>189.8928571</v>
      </c>
      <c r="X285" s="31">
        <v>4.0</v>
      </c>
      <c r="Y285" s="31" t="s">
        <v>38</v>
      </c>
      <c r="Z285" s="31">
        <f t="shared" ref="Z285:AI285" si="796">SUM(D288)</f>
        <v>30</v>
      </c>
      <c r="AA285" s="32">
        <f t="shared" si="796"/>
        <v>30</v>
      </c>
      <c r="AB285" s="33">
        <f t="shared" si="796"/>
        <v>6034.986</v>
      </c>
      <c r="AC285" s="32">
        <f t="shared" si="796"/>
        <v>1876</v>
      </c>
      <c r="AD285" s="32">
        <f t="shared" si="796"/>
        <v>79</v>
      </c>
      <c r="AE285" s="32">
        <f t="shared" si="796"/>
        <v>1955</v>
      </c>
      <c r="AF285" s="32">
        <f t="shared" si="796"/>
        <v>2967</v>
      </c>
      <c r="AG285" s="32">
        <f t="shared" si="796"/>
        <v>140</v>
      </c>
      <c r="AH285" s="32">
        <f t="shared" si="796"/>
        <v>3107</v>
      </c>
      <c r="AI285" s="32">
        <f t="shared" si="796"/>
        <v>5062</v>
      </c>
      <c r="AJ285" s="34">
        <f t="shared" si="785"/>
        <v>201.1662</v>
      </c>
      <c r="AK285" s="31">
        <v>7324.0</v>
      </c>
      <c r="AL285" s="35">
        <f t="shared" si="787"/>
        <v>0.6911523758</v>
      </c>
      <c r="AM285" s="36">
        <f>SUM(Q288)</f>
        <v>1.5</v>
      </c>
      <c r="AN285" s="35">
        <f t="shared" si="789"/>
        <v>0.5591838435</v>
      </c>
      <c r="AO285" s="37">
        <f t="shared" si="790"/>
        <v>0.8387757652</v>
      </c>
      <c r="AP285" s="36">
        <f t="shared" ref="AP285:AQ285" si="797">SUM(T288)</f>
        <v>146.4624681</v>
      </c>
      <c r="AQ285" s="36">
        <f t="shared" si="797"/>
        <v>4.882082272</v>
      </c>
      <c r="AR285" s="32">
        <f t="shared" si="792"/>
        <v>168.7333333</v>
      </c>
    </row>
    <row r="286" ht="15.75" customHeight="1">
      <c r="A286" s="21"/>
      <c r="B286" s="38">
        <v>12.0</v>
      </c>
      <c r="C286" s="38" t="s">
        <v>39</v>
      </c>
      <c r="D286" s="39">
        <v>28.0</v>
      </c>
      <c r="E286" s="40">
        <f>IFERROR(__xludf.DUMMYFUNCTION("COUNT(IMPORTRANGE(""https://docs.google.com/spreadsheets/d/1wMeol_MpSIcocGxt3WZGl46mJ2tc80mANPvP_YzaP18/edit"",""1!d2:d29""))"),27.0)</f>
        <v>27</v>
      </c>
      <c r="F286" s="45">
        <f>IFERROR(__xludf.DUMMYFUNCTION("SUM(IMPORTRANGE(""https://docs.google.com/spreadsheets/d/1wMeol_MpSIcocGxt3WZGl46mJ2tc80mANPvP_YzaP18/edit"",""1!Q2:Q29""))"),5318.459)</f>
        <v>5318.459</v>
      </c>
      <c r="G286" s="40">
        <f>IFERROR(__xludf.DUMMYFUNCTION("IMPORTRANGE(""https://docs.google.com/spreadsheets/d/1wMeol_MpSIcocGxt3WZGl46mJ2tc80mANPvP_YzaP18/edit"",""1!e36"")"),1229.0)</f>
        <v>1229</v>
      </c>
      <c r="H286" s="40">
        <f>IFERROR(__xludf.DUMMYFUNCTION("(IMPORTRANGE(""https://docs.google.com/spreadsheets/d/1wMeol_MpSIcocGxt3WZGl46mJ2tc80mANPvP_YzaP18/edit"",""1!e37""))"),0.0)</f>
        <v>0</v>
      </c>
      <c r="I286" s="40">
        <f t="shared" si="765"/>
        <v>1229</v>
      </c>
      <c r="J286" s="40">
        <f>IFERROR(__xludf.DUMMYFUNCTION("IMPORTRANGE(""https://docs.google.com/spreadsheets/d/1wMeol_MpSIcocGxt3WZGl46mJ2tc80mANPvP_YzaP18/edit"",""1!e40"")"),1740.0)</f>
        <v>1740</v>
      </c>
      <c r="K286" s="40">
        <f>IFERROR(__xludf.DUMMYFUNCTION("IMPORTRANGE(""https://docs.google.com/spreadsheets/d/1wMeol_MpSIcocGxt3WZGl46mJ2tc80mANPvP_YzaP18/edit"",""1!e41"")"),0.0)</f>
        <v>0</v>
      </c>
      <c r="L286" s="40">
        <f t="shared" si="795"/>
        <v>1740</v>
      </c>
      <c r="M286" s="40">
        <f t="shared" si="767"/>
        <v>2969</v>
      </c>
      <c r="N286" s="41">
        <f t="shared" si="768"/>
        <v>196.979963</v>
      </c>
      <c r="O286" s="38">
        <v>3569.0</v>
      </c>
      <c r="P286" s="42">
        <f t="shared" si="769"/>
        <v>0.8318856823</v>
      </c>
      <c r="Q286" s="43">
        <v>1.5</v>
      </c>
      <c r="R286" s="42">
        <f t="shared" si="770"/>
        <v>0.3721629392</v>
      </c>
      <c r="S286" s="44">
        <f t="shared" si="771"/>
        <v>0.5582444088</v>
      </c>
      <c r="T286" s="43">
        <f>F286/21.463</f>
        <v>247.7966268</v>
      </c>
      <c r="U286" s="43">
        <f t="shared" si="772"/>
        <v>9.177652843</v>
      </c>
      <c r="V286" s="40">
        <f t="shared" si="773"/>
        <v>109.962963</v>
      </c>
      <c r="X286" s="31">
        <v>5.0</v>
      </c>
      <c r="Y286" s="31" t="s">
        <v>40</v>
      </c>
      <c r="Z286" s="31">
        <f t="shared" ref="Z286:AI286" si="798">SUM(D290)</f>
        <v>30</v>
      </c>
      <c r="AA286" s="32">
        <f t="shared" si="798"/>
        <v>30</v>
      </c>
      <c r="AB286" s="33">
        <f t="shared" si="798"/>
        <v>5660.157</v>
      </c>
      <c r="AC286" s="32">
        <f t="shared" si="798"/>
        <v>3382</v>
      </c>
      <c r="AD286" s="32">
        <f t="shared" si="798"/>
        <v>0</v>
      </c>
      <c r="AE286" s="32">
        <f t="shared" si="798"/>
        <v>3382</v>
      </c>
      <c r="AF286" s="32">
        <f t="shared" si="798"/>
        <v>3798</v>
      </c>
      <c r="AG286" s="32">
        <f t="shared" si="798"/>
        <v>0</v>
      </c>
      <c r="AH286" s="32">
        <f t="shared" si="798"/>
        <v>3798</v>
      </c>
      <c r="AI286" s="32">
        <f t="shared" si="798"/>
        <v>7180</v>
      </c>
      <c r="AJ286" s="34">
        <f t="shared" si="785"/>
        <v>188.6719</v>
      </c>
      <c r="AK286" s="31">
        <f t="shared" ref="AK286:AK287" si="801">SUM(O290)</f>
        <v>8239</v>
      </c>
      <c r="AL286" s="35">
        <f t="shared" si="787"/>
        <v>0.8714649836</v>
      </c>
      <c r="AM286" s="36">
        <f t="shared" ref="AM286:AM287" si="802">SUM(Q290)</f>
        <v>1.5</v>
      </c>
      <c r="AN286" s="35">
        <f t="shared" si="789"/>
        <v>0.8456773667</v>
      </c>
      <c r="AO286" s="37">
        <f t="shared" si="790"/>
        <v>1.26851605</v>
      </c>
      <c r="AP286" s="36">
        <f t="shared" ref="AP286:AQ286" si="799">SUM(T290)</f>
        <v>199</v>
      </c>
      <c r="AQ286" s="36">
        <f t="shared" si="799"/>
        <v>6.633333333</v>
      </c>
      <c r="AR286" s="32">
        <f t="shared" si="792"/>
        <v>239.3333333</v>
      </c>
    </row>
    <row r="287" ht="15.75" customHeight="1">
      <c r="A287" s="21"/>
      <c r="B287" s="38">
        <v>12.0</v>
      </c>
      <c r="C287" s="38" t="s">
        <v>41</v>
      </c>
      <c r="D287" s="39">
        <v>24.0</v>
      </c>
      <c r="E287" s="40">
        <f>IFERROR(__xludf.DUMMYFUNCTION("COUNT(IMPORTRANGE(""https://docs.google.com/spreadsheets/d/1sHk6_yuc4kORC_xnhEeazoemV_hVUQVqRpfoNae-PLk/edit"",""1!d2:d25""))"),24.0)</f>
        <v>24</v>
      </c>
      <c r="F287" s="45">
        <f>IFERROR(__xludf.DUMMYFUNCTION("SUM(IMPORTRANGE(""https://docs.google.com/spreadsheets/d/1sHk6_yuc4kORC_xnhEeazoemV_hVUQVqRpfoNae-PLk/edit"",""1!Q2:Q25""))"),4793.152000000001)</f>
        <v>4793.152</v>
      </c>
      <c r="G287" s="40">
        <f>IFERROR(__xludf.DUMMYFUNCTION("IMPORTRANGE(""https://docs.google.com/spreadsheets/d/1sHk6_yuc4kORC_xnhEeazoemV_hVUQVqRpfoNae-PLk/edit"",""1!e32"")"),1363.0)</f>
        <v>1363</v>
      </c>
      <c r="H287" s="40">
        <f>IFERROR(__xludf.DUMMYFUNCTION("IMPORTRANGE(""https://docs.google.com/spreadsheets/d/1sHk6_yuc4kORC_xnhEeazoemV_hVUQVqRpfoNae-PLk/edit"",""1!e33"")"),0.0)</f>
        <v>0</v>
      </c>
      <c r="I287" s="40">
        <f t="shared" si="765"/>
        <v>1363</v>
      </c>
      <c r="J287" s="40">
        <f>IFERROR(__xludf.DUMMYFUNCTION("IMPORTRANGE(""https://docs.google.com/spreadsheets/d/1sHk6_yuc4kORC_xnhEeazoemV_hVUQVqRpfoNae-PLk/edit"",""1!e36"")"),1818.0)</f>
        <v>1818</v>
      </c>
      <c r="K287" s="40">
        <f>IFERROR(__xludf.DUMMYFUNCTION("IMPORTRANGE(""https://docs.google.com/spreadsheets/d/1sHk6_yuc4kORC_xnhEeazoemV_hVUQVqRpfoNae-PLk/edit"",""1!e37"")"),0.0)</f>
        <v>0</v>
      </c>
      <c r="L287" s="40">
        <f t="shared" si="795"/>
        <v>1818</v>
      </c>
      <c r="M287" s="40">
        <f t="shared" si="767"/>
        <v>3181</v>
      </c>
      <c r="N287" s="41">
        <f t="shared" si="768"/>
        <v>199.7146667</v>
      </c>
      <c r="O287" s="38">
        <v>3801.0</v>
      </c>
      <c r="P287" s="42">
        <f t="shared" si="769"/>
        <v>0.8368850303</v>
      </c>
      <c r="Q287" s="43">
        <v>1.5</v>
      </c>
      <c r="R287" s="42">
        <f t="shared" si="770"/>
        <v>0.4424367653</v>
      </c>
      <c r="S287" s="44">
        <f t="shared" si="771"/>
        <v>0.663655148</v>
      </c>
      <c r="T287" s="43">
        <f>F287/29.628</f>
        <v>161.7777778</v>
      </c>
      <c r="U287" s="43">
        <f t="shared" si="772"/>
        <v>6.740740741</v>
      </c>
      <c r="V287" s="40">
        <f t="shared" si="773"/>
        <v>132.5416667</v>
      </c>
      <c r="X287" s="22">
        <v>6.0</v>
      </c>
      <c r="Y287" s="22" t="s">
        <v>42</v>
      </c>
      <c r="Z287" s="22">
        <f t="shared" ref="Z287:AI287" si="800">SUM(D291)</f>
        <v>33</v>
      </c>
      <c r="AA287" s="23">
        <f t="shared" si="800"/>
        <v>33</v>
      </c>
      <c r="AB287" s="24">
        <f t="shared" si="800"/>
        <v>6597.215</v>
      </c>
      <c r="AC287" s="23">
        <f t="shared" si="800"/>
        <v>3014</v>
      </c>
      <c r="AD287" s="23">
        <f t="shared" si="800"/>
        <v>234</v>
      </c>
      <c r="AE287" s="23">
        <f t="shared" si="800"/>
        <v>3248</v>
      </c>
      <c r="AF287" s="23">
        <f t="shared" si="800"/>
        <v>4605</v>
      </c>
      <c r="AG287" s="23">
        <f t="shared" si="800"/>
        <v>108</v>
      </c>
      <c r="AH287" s="23">
        <f t="shared" si="800"/>
        <v>4713</v>
      </c>
      <c r="AI287" s="23">
        <f t="shared" si="800"/>
        <v>7961</v>
      </c>
      <c r="AJ287" s="25">
        <f t="shared" si="785"/>
        <v>199.9156061</v>
      </c>
      <c r="AK287" s="22">
        <f t="shared" si="801"/>
        <v>9877</v>
      </c>
      <c r="AL287" s="26">
        <f t="shared" si="787"/>
        <v>0.8060139719</v>
      </c>
      <c r="AM287" s="27">
        <f t="shared" si="802"/>
        <v>1.5</v>
      </c>
      <c r="AN287" s="26">
        <f t="shared" si="789"/>
        <v>0.8044808807</v>
      </c>
      <c r="AO287" s="28">
        <f t="shared" si="790"/>
        <v>1.206721321</v>
      </c>
      <c r="AP287" s="27">
        <f t="shared" ref="AP287:AQ287" si="803">SUM(T291)</f>
        <v>252.2353279</v>
      </c>
      <c r="AQ287" s="27">
        <f t="shared" si="803"/>
        <v>7.643494783</v>
      </c>
      <c r="AR287" s="23">
        <f t="shared" si="792"/>
        <v>241.2424242</v>
      </c>
    </row>
    <row r="288" ht="15.75" customHeight="1">
      <c r="A288" s="21"/>
      <c r="B288" s="38">
        <v>13.0</v>
      </c>
      <c r="C288" s="38" t="s">
        <v>43</v>
      </c>
      <c r="D288" s="39">
        <v>30.0</v>
      </c>
      <c r="E288" s="40">
        <f>IFERROR(__xludf.DUMMYFUNCTION("COUNT(IMPORTRANGE(""https://docs.google.com/spreadsheets/d/1uGXvAN2jA6kmcEHUY4KqOHHewllZsujDdA6KVDfBCoA/edit"",""1!d2:d31""))"),30.0)</f>
        <v>30</v>
      </c>
      <c r="F288" s="45">
        <f>IFERROR(__xludf.DUMMYFUNCTION("SUM(IMPORTRANGE(""https://docs.google.com/spreadsheets/d/1uGXvAN2jA6kmcEHUY4KqOHHewllZsujDdA6KVDfBCoA/edit"",""1!Q2:Q31""))"),6034.986)</f>
        <v>6034.986</v>
      </c>
      <c r="G288" s="40">
        <f>IFERROR(__xludf.DUMMYFUNCTION("IMPORTRANGE(""https://docs.google.com/spreadsheets/d/1uGXvAN2jA6kmcEHUY4KqOHHewllZsujDdA6KVDfBCoA/edit"",""1!e38"")"),1876.0)</f>
        <v>1876</v>
      </c>
      <c r="H288" s="40">
        <f>IFERROR(__xludf.DUMMYFUNCTION("IMPORTRANGE(""https://docs.google.com/spreadsheets/d/1uGXvAN2jA6kmcEHUY4KqOHHewllZsujDdA6KVDfBCoA/edit"",""1!e39"")"),79.0)</f>
        <v>79</v>
      </c>
      <c r="I288" s="40">
        <f t="shared" si="765"/>
        <v>1955</v>
      </c>
      <c r="J288" s="40">
        <f>IFERROR(__xludf.DUMMYFUNCTION("IMPORTRANGE(""https://docs.google.com/spreadsheets/d/1uGXvAN2jA6kmcEHUY4KqOHHewllZsujDdA6KVDfBCoA/edit"",""1!e42"")"),2967.0)</f>
        <v>2967</v>
      </c>
      <c r="K288" s="40">
        <f>IFERROR(__xludf.DUMMYFUNCTION("IMPORTRANGE(""https://docs.google.com/spreadsheets/d/1uGXvAN2jA6kmcEHUY4KqOHHewllZsujDdA6KVDfBCoA/edit"",""1!e43"")"),140.0)</f>
        <v>140</v>
      </c>
      <c r="L288" s="40">
        <f t="shared" si="795"/>
        <v>3107</v>
      </c>
      <c r="M288" s="40">
        <f t="shared" si="767"/>
        <v>5062</v>
      </c>
      <c r="N288" s="41">
        <f t="shared" si="768"/>
        <v>201.1662</v>
      </c>
      <c r="O288" s="38">
        <v>8345.0</v>
      </c>
      <c r="P288" s="42">
        <f t="shared" si="769"/>
        <v>0.6065907729</v>
      </c>
      <c r="Q288" s="43">
        <v>1.5</v>
      </c>
      <c r="R288" s="42">
        <f t="shared" si="770"/>
        <v>0.5591838435</v>
      </c>
      <c r="S288" s="44">
        <f t="shared" si="771"/>
        <v>0.8387757652</v>
      </c>
      <c r="T288" s="43">
        <f>F288/41.205</f>
        <v>146.4624681</v>
      </c>
      <c r="U288" s="43">
        <f t="shared" si="772"/>
        <v>4.882082272</v>
      </c>
      <c r="V288" s="40">
        <f t="shared" si="773"/>
        <v>168.7333333</v>
      </c>
      <c r="X288" s="46" t="s">
        <v>33</v>
      </c>
      <c r="Y288" s="46">
        <v>6.0</v>
      </c>
      <c r="Z288" s="46">
        <f t="shared" ref="Z288:AI288" si="804">SUM(Z282:Z287)</f>
        <v>226</v>
      </c>
      <c r="AA288" s="47">
        <f t="shared" si="804"/>
        <v>224</v>
      </c>
      <c r="AB288" s="49">
        <f t="shared" si="804"/>
        <v>44273.509</v>
      </c>
      <c r="AC288" s="47">
        <f t="shared" si="804"/>
        <v>17564</v>
      </c>
      <c r="AD288" s="47">
        <f t="shared" si="804"/>
        <v>535</v>
      </c>
      <c r="AE288" s="47">
        <f t="shared" si="804"/>
        <v>18099</v>
      </c>
      <c r="AF288" s="47">
        <f t="shared" si="804"/>
        <v>24048</v>
      </c>
      <c r="AG288" s="47">
        <f t="shared" si="804"/>
        <v>386</v>
      </c>
      <c r="AH288" s="47">
        <f t="shared" si="804"/>
        <v>24434</v>
      </c>
      <c r="AI288" s="47">
        <f t="shared" si="804"/>
        <v>42533</v>
      </c>
      <c r="AJ288" s="49">
        <f t="shared" si="785"/>
        <v>197.6495938</v>
      </c>
      <c r="AK288" s="46">
        <f>SUM(AK282:AK287)</f>
        <v>53273</v>
      </c>
      <c r="AL288" s="50">
        <f t="shared" si="787"/>
        <v>0.7983969365</v>
      </c>
      <c r="AM288" s="51">
        <v>1.5</v>
      </c>
      <c r="AN288" s="50">
        <f t="shared" si="789"/>
        <v>0.6404582328</v>
      </c>
      <c r="AO288" s="52">
        <f t="shared" si="790"/>
        <v>0.9606873492</v>
      </c>
      <c r="AP288" s="51">
        <f>SUM(AP282:AP287)</f>
        <v>1456.754836</v>
      </c>
      <c r="AQ288" s="51">
        <f>AP288/AA288</f>
        <v>6.503369804</v>
      </c>
      <c r="AR288" s="47">
        <f t="shared" si="792"/>
        <v>189.8794643</v>
      </c>
    </row>
    <row r="289" ht="15.75" customHeight="1">
      <c r="A289" s="21"/>
      <c r="B289" s="38">
        <v>14.0</v>
      </c>
      <c r="C289" s="38" t="s">
        <v>27</v>
      </c>
      <c r="D289" s="39">
        <v>30.0</v>
      </c>
      <c r="E289" s="40">
        <f>IFERROR(__xludf.DUMMYFUNCTION("COUNT(IMPORTRANGE(""https://docs.google.com/spreadsheets/d/1iYtf3wkjJIgOL8ej0-L89wY8FLXKi6EiRbi9UqA1Bzw/edit"",""1!d2:d31""))"),29.0)</f>
        <v>29</v>
      </c>
      <c r="F289" s="45">
        <f>IFERROR(__xludf.DUMMYFUNCTION("SUM(IMPORTRANGE(""https://docs.google.com/spreadsheets/d/1iYtf3wkjJIgOL8ej0-L89wY8FLXKi6EiRbi9UqA1Bzw/edit"",""1!Q2:Q31""))"),5631.663000000001)</f>
        <v>5631.663</v>
      </c>
      <c r="G289" s="40">
        <f>IFERROR(__xludf.DUMMYFUNCTION("IMPORTRANGE(""https://docs.google.com/spreadsheets/d/1iYtf3wkjJIgOL8ej0-L89wY8FLXKi6EiRbi9UqA1Bzw/edit"",""1!e38"")"),2486.0)</f>
        <v>2486</v>
      </c>
      <c r="H289" s="40">
        <f>IFERROR(__xludf.DUMMYFUNCTION("IMPORTRANGE(""https://docs.google.com/spreadsheets/d/1iYtf3wkjJIgOL8ej0-L89wY8FLXKi6EiRbi9UqA1Bzw/edit"",""1!e39"")"),80.0)</f>
        <v>80</v>
      </c>
      <c r="I289" s="40">
        <f t="shared" si="765"/>
        <v>2566</v>
      </c>
      <c r="J289" s="40">
        <f>IFERROR(__xludf.DUMMYFUNCTION("IMPORTRANGE(""https://docs.google.com/spreadsheets/d/1iYtf3wkjJIgOL8ej0-L89wY8FLXKi6EiRbi9UqA1Bzw/edit"",""1!e42"")"),2945.0)</f>
        <v>2945</v>
      </c>
      <c r="K289" s="40">
        <f>IFERROR(__xludf.DUMMYFUNCTION("IMPORTRANGE(""https://docs.google.com/spreadsheets/d/1iYtf3wkjJIgOL8ej0-L89wY8FLXKi6EiRbi9UqA1Bzw/edit"",""1!e43"")"),88.0)</f>
        <v>88</v>
      </c>
      <c r="L289" s="40">
        <f t="shared" si="795"/>
        <v>3033</v>
      </c>
      <c r="M289" s="40">
        <f t="shared" si="767"/>
        <v>5599</v>
      </c>
      <c r="N289" s="41">
        <f t="shared" si="768"/>
        <v>194.1952759</v>
      </c>
      <c r="O289" s="38">
        <v>8101.0</v>
      </c>
      <c r="P289" s="42">
        <f t="shared" si="769"/>
        <v>0.6911492408</v>
      </c>
      <c r="Q289" s="43">
        <v>1.5</v>
      </c>
      <c r="R289" s="42">
        <f t="shared" si="770"/>
        <v>0.6628000764</v>
      </c>
      <c r="S289" s="44">
        <f t="shared" si="771"/>
        <v>0.9942001146</v>
      </c>
      <c r="T289" s="43">
        <f>F289/19.985</f>
        <v>281.7944959</v>
      </c>
      <c r="U289" s="43">
        <f t="shared" si="772"/>
        <v>9.717051582</v>
      </c>
      <c r="V289" s="40">
        <f t="shared" si="773"/>
        <v>193.0689655</v>
      </c>
      <c r="X289" s="59" t="s">
        <v>44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6"/>
    </row>
    <row r="290" ht="15.75" customHeight="1">
      <c r="A290" s="21"/>
      <c r="B290" s="38">
        <v>15.0</v>
      </c>
      <c r="C290" s="38" t="s">
        <v>40</v>
      </c>
      <c r="D290" s="39">
        <v>30.0</v>
      </c>
      <c r="E290" s="40">
        <f>IFERROR(__xludf.DUMMYFUNCTION("COUNT(IMPORTRANGE(""https://docs.google.com/spreadsheets/d/1Wdf8MsoDBzMSsrzOXwaGQzbVjVqOWfKSqYmbncevZgA/edit"",""1!d2:d31""))"),30.0)</f>
        <v>30</v>
      </c>
      <c r="F290" s="45">
        <f>IFERROR(__xludf.DUMMYFUNCTION("SUM(IMPORTRANGE(""https://docs.google.com/spreadsheets/d/1Wdf8MsoDBzMSsrzOXwaGQzbVjVqOWfKSqYmbncevZgA/edit"",""1!Q2:Q31""))"),5660.156999999998)</f>
        <v>5660.157</v>
      </c>
      <c r="G290" s="40">
        <f>IFERROR(__xludf.DUMMYFUNCTION("IMPORTRANGE(""https://docs.google.com/spreadsheets/d/1Wdf8MsoDBzMSsrzOXwaGQzbVjVqOWfKSqYmbncevZgA/edit"",""1!e38"")"),3382.0)</f>
        <v>3382</v>
      </c>
      <c r="H290" s="40">
        <f>IFERROR(__xludf.DUMMYFUNCTION("IMPORTRANGE(""https://docs.google.com/spreadsheets/d/1Wdf8MsoDBzMSsrzOXwaGQzbVjVqOWfKSqYmbncevZgA/edit"",""1!e39"")"),0.0)</f>
        <v>0</v>
      </c>
      <c r="I290" s="40">
        <f t="shared" si="765"/>
        <v>3382</v>
      </c>
      <c r="J290" s="40">
        <f>IFERROR(__xludf.DUMMYFUNCTION("IMPORTRANGE(""https://docs.google.com/spreadsheets/d/1Wdf8MsoDBzMSsrzOXwaGQzbVjVqOWfKSqYmbncevZgA/edit"",""1!e42"")"),3798.0)</f>
        <v>3798</v>
      </c>
      <c r="K290" s="40">
        <f>IFERROR(__xludf.DUMMYFUNCTION("IMPORTRANGE(""https://docs.google.com/spreadsheets/d/1Wdf8MsoDBzMSsrzOXwaGQzbVjVqOWfKSqYmbncevZgA/edit"",""1!e43"")"),0.0)</f>
        <v>0</v>
      </c>
      <c r="L290" s="40">
        <f t="shared" si="795"/>
        <v>3798</v>
      </c>
      <c r="M290" s="40">
        <f t="shared" si="767"/>
        <v>7180</v>
      </c>
      <c r="N290" s="41">
        <f t="shared" si="768"/>
        <v>188.6719</v>
      </c>
      <c r="O290" s="38">
        <v>8239.0</v>
      </c>
      <c r="P290" s="42">
        <f t="shared" si="769"/>
        <v>0.8714649836</v>
      </c>
      <c r="Q290" s="43">
        <v>1.5</v>
      </c>
      <c r="R290" s="42">
        <f t="shared" si="770"/>
        <v>0.8456773667</v>
      </c>
      <c r="S290" s="44">
        <f t="shared" si="771"/>
        <v>1.26851605</v>
      </c>
      <c r="T290" s="43">
        <f>F290/28.443</f>
        <v>199</v>
      </c>
      <c r="U290" s="43">
        <f t="shared" si="772"/>
        <v>6.633333333</v>
      </c>
      <c r="V290" s="40">
        <f t="shared" si="773"/>
        <v>239.3333333</v>
      </c>
      <c r="X290" s="14" t="s">
        <v>2</v>
      </c>
      <c r="Y290" s="14" t="s">
        <v>3</v>
      </c>
      <c r="Z290" s="14" t="s">
        <v>4</v>
      </c>
      <c r="AA290" s="14" t="s">
        <v>5</v>
      </c>
      <c r="AB290" s="15" t="s">
        <v>6</v>
      </c>
      <c r="AC290" s="14" t="s">
        <v>7</v>
      </c>
      <c r="AD290" s="14" t="s">
        <v>8</v>
      </c>
      <c r="AE290" s="14" t="s">
        <v>9</v>
      </c>
      <c r="AF290" s="14" t="s">
        <v>10</v>
      </c>
      <c r="AG290" s="14" t="s">
        <v>11</v>
      </c>
      <c r="AH290" s="14" t="s">
        <v>12</v>
      </c>
      <c r="AI290" s="14" t="s">
        <v>13</v>
      </c>
      <c r="AJ290" s="15" t="s">
        <v>14</v>
      </c>
      <c r="AK290" s="14" t="s">
        <v>15</v>
      </c>
      <c r="AL290" s="14" t="s">
        <v>16</v>
      </c>
      <c r="AM290" s="16" t="s">
        <v>17</v>
      </c>
      <c r="AN290" s="17" t="s">
        <v>18</v>
      </c>
      <c r="AO290" s="18" t="s">
        <v>19</v>
      </c>
      <c r="AP290" s="19" t="s">
        <v>20</v>
      </c>
      <c r="AQ290" s="19" t="s">
        <v>21</v>
      </c>
      <c r="AR290" s="20" t="s">
        <v>22</v>
      </c>
    </row>
    <row r="291" ht="15.75" customHeight="1">
      <c r="A291" s="21"/>
      <c r="B291" s="38">
        <v>16.0</v>
      </c>
      <c r="C291" s="38" t="s">
        <v>42</v>
      </c>
      <c r="D291" s="39">
        <v>33.0</v>
      </c>
      <c r="E291" s="40">
        <f>IFERROR(__xludf.DUMMYFUNCTION("COUNT(IMPORTRANGE(""https://docs.google.com/spreadsheets/d/1Z5uB5HbeAKcHmG4EOw3rf2J8NpyvDiha6RReERAMvA0/edit"",""1!d2:d34""))"),33.0)</f>
        <v>33</v>
      </c>
      <c r="F291" s="45">
        <f>IFERROR(__xludf.DUMMYFUNCTION("SUM(IMPORTRANGE(""https://docs.google.com/spreadsheets/d/1Z5uB5HbeAKcHmG4EOw3rf2J8NpyvDiha6RReERAMvA0/edit"",""1!Q2:Q34""))"),6597.214999999997)</f>
        <v>6597.215</v>
      </c>
      <c r="G291" s="40">
        <f>IFERROR(__xludf.DUMMYFUNCTION("IMPORTRANGE(""https://docs.google.com/spreadsheets/d/1Z5uB5HbeAKcHmG4EOw3rf2J8NpyvDiha6RReERAMvA0/edit"",""1!e41"")"),3014.0)</f>
        <v>3014</v>
      </c>
      <c r="H291" s="40">
        <f>IFERROR(__xludf.DUMMYFUNCTION("IMPORTRANGE(""https://docs.google.com/spreadsheets/d/1Z5uB5HbeAKcHmG4EOw3rf2J8NpyvDiha6RReERAMvA0/edit"",""1!e42"")"),234.0)</f>
        <v>234</v>
      </c>
      <c r="I291" s="40">
        <f t="shared" si="765"/>
        <v>3248</v>
      </c>
      <c r="J291" s="40">
        <f>IFERROR(__xludf.DUMMYFUNCTION("IMPORTRANGE(""https://docs.google.com/spreadsheets/d/1Z5uB5HbeAKcHmG4EOw3rf2J8NpyvDiha6RReERAMvA0/edit"",""1!e45"")"),4605.0)</f>
        <v>4605</v>
      </c>
      <c r="K291" s="40">
        <f>IFERROR(__xludf.DUMMYFUNCTION("IMPORTRANGE(""https://docs.google.com/spreadsheets/d/1Z5uB5HbeAKcHmG4EOw3rf2J8NpyvDiha6RReERAMvA0/edit"",""1!e46"")"),108.0)</f>
        <v>108</v>
      </c>
      <c r="L291" s="40">
        <f t="shared" si="795"/>
        <v>4713</v>
      </c>
      <c r="M291" s="40">
        <f t="shared" si="767"/>
        <v>7961</v>
      </c>
      <c r="N291" s="41">
        <f t="shared" si="768"/>
        <v>199.9156061</v>
      </c>
      <c r="O291" s="38">
        <v>9877.0</v>
      </c>
      <c r="P291" s="42">
        <f t="shared" si="769"/>
        <v>0.8060139719</v>
      </c>
      <c r="Q291" s="43">
        <v>1.5</v>
      </c>
      <c r="R291" s="42">
        <f t="shared" si="770"/>
        <v>0.8044808807</v>
      </c>
      <c r="S291" s="44">
        <f t="shared" si="771"/>
        <v>1.206721321</v>
      </c>
      <c r="T291" s="43">
        <f>F291/26.155</f>
        <v>252.2353279</v>
      </c>
      <c r="U291" s="43">
        <f t="shared" si="772"/>
        <v>7.643494783</v>
      </c>
      <c r="V291" s="40">
        <f t="shared" si="773"/>
        <v>241.2424242</v>
      </c>
      <c r="X291" s="31">
        <v>1.0</v>
      </c>
      <c r="Y291" s="31" t="s">
        <v>26</v>
      </c>
      <c r="Z291" s="31">
        <f t="shared" ref="Z291:AI291" si="805">SUM(D276)</f>
        <v>20</v>
      </c>
      <c r="AA291" s="32">
        <f t="shared" si="805"/>
        <v>20</v>
      </c>
      <c r="AB291" s="34">
        <f t="shared" si="805"/>
        <v>3935.295</v>
      </c>
      <c r="AC291" s="32">
        <f t="shared" si="805"/>
        <v>2229</v>
      </c>
      <c r="AD291" s="32">
        <f t="shared" si="805"/>
        <v>0</v>
      </c>
      <c r="AE291" s="32">
        <f t="shared" si="805"/>
        <v>2229</v>
      </c>
      <c r="AF291" s="32">
        <f t="shared" si="805"/>
        <v>2661</v>
      </c>
      <c r="AG291" s="32">
        <f t="shared" si="805"/>
        <v>47</v>
      </c>
      <c r="AH291" s="32">
        <f t="shared" si="805"/>
        <v>2708</v>
      </c>
      <c r="AI291" s="32">
        <f t="shared" si="805"/>
        <v>4937</v>
      </c>
      <c r="AJ291" s="34">
        <f t="shared" ref="AJ291:AJ297" si="808">AB291/AA291</f>
        <v>196.76475</v>
      </c>
      <c r="AK291" s="31">
        <f>SUM(O276)</f>
        <v>5161</v>
      </c>
      <c r="AL291" s="67">
        <f t="shared" ref="AL291:AL297" si="809">AI291/AK291</f>
        <v>0.9565975586</v>
      </c>
      <c r="AM291" s="36">
        <f>SUM(Q276)</f>
        <v>1.5</v>
      </c>
      <c r="AN291" s="35">
        <f t="shared" ref="AN291:AN297" si="810">AO291/AM291</f>
        <v>0.8363625429</v>
      </c>
      <c r="AO291" s="37">
        <f t="shared" ref="AO291:AO297" si="811">AI291/AB291</f>
        <v>1.254543814</v>
      </c>
      <c r="AP291" s="36">
        <f t="shared" ref="AP291:AQ291" si="806">SUM(T276)</f>
        <v>273</v>
      </c>
      <c r="AQ291" s="36">
        <f t="shared" si="806"/>
        <v>13.65</v>
      </c>
      <c r="AR291" s="32">
        <f t="shared" ref="AR291:AR297" si="813">AI291/AA291</f>
        <v>246.85</v>
      </c>
    </row>
    <row r="292" ht="15.75" customHeight="1">
      <c r="A292" s="21"/>
      <c r="B292" s="38">
        <v>17.0</v>
      </c>
      <c r="C292" s="38" t="s">
        <v>29</v>
      </c>
      <c r="D292" s="39">
        <v>30.0</v>
      </c>
      <c r="E292" s="40">
        <f>IFERROR(__xludf.DUMMYFUNCTION("COUNT(IMPORTRANGE(""https://docs.google.com/spreadsheets/d/1wfJqI0e9wVPqEQv3N6b8KgINjqI0OBECEyIFeY9j3i8/edit"",""1!d2:d31""))"),29.0)</f>
        <v>29</v>
      </c>
      <c r="F292" s="45">
        <f>IFERROR(__xludf.DUMMYFUNCTION("SUM(IMPORTRANGE(""https://docs.google.com/spreadsheets/d/1wfJqI0e9wVPqEQv3N6b8KgINjqI0OBECEyIFeY9j3i8/edit"",""1!Q2:Q31""))"),5722.055999999998)</f>
        <v>5722.056</v>
      </c>
      <c r="G292" s="40">
        <f>IFERROR(__xludf.DUMMYFUNCTION("IMPORTRANGE(""https://docs.google.com/spreadsheets/d/1wfJqI0e9wVPqEQv3N6b8KgINjqI0OBECEyIFeY9j3i8/edit"",""1!e38"")"),2610.0)</f>
        <v>2610</v>
      </c>
      <c r="H292" s="40">
        <f>IFERROR(__xludf.DUMMYFUNCTION("IMPORTRANGE(""https://docs.google.com/spreadsheets/d/1wfJqI0e9wVPqEQv3N6b8KgINjqI0OBECEyIFeY9j3i8/edit"",""1!e39"")"),0.0)</f>
        <v>0</v>
      </c>
      <c r="I292" s="40">
        <f t="shared" si="765"/>
        <v>2610</v>
      </c>
      <c r="J292" s="40">
        <f>IFERROR(__xludf.DUMMYFUNCTION("IMPORTRANGE(""https://docs.google.com/spreadsheets/d/1wfJqI0e9wVPqEQv3N6b8KgINjqI0OBECEyIFeY9j3i8/edit"",""1!e42"")"),4378.0)</f>
        <v>4378</v>
      </c>
      <c r="K292" s="40">
        <f>IFERROR(__xludf.DUMMYFUNCTION("IMPORTRANGE(""https://docs.google.com/spreadsheets/d/1wfJqI0e9wVPqEQv3N6b8KgINjqI0OBECEyIFeY9j3i8/edit"",""1!e43"")"),0.0)</f>
        <v>0</v>
      </c>
      <c r="L292" s="40">
        <f t="shared" si="795"/>
        <v>4378</v>
      </c>
      <c r="M292" s="40">
        <f t="shared" si="767"/>
        <v>6988</v>
      </c>
      <c r="N292" s="41">
        <f t="shared" si="768"/>
        <v>197.3122759</v>
      </c>
      <c r="O292" s="38">
        <v>9201.0</v>
      </c>
      <c r="P292" s="42">
        <f t="shared" si="769"/>
        <v>0.7594826649</v>
      </c>
      <c r="Q292" s="43">
        <v>1.5</v>
      </c>
      <c r="R292" s="42">
        <f t="shared" si="770"/>
        <v>0.8141595725</v>
      </c>
      <c r="S292" s="44">
        <f t="shared" si="771"/>
        <v>1.221239359</v>
      </c>
      <c r="T292" s="43">
        <f>F292/26.491</f>
        <v>216</v>
      </c>
      <c r="U292" s="43">
        <f t="shared" si="772"/>
        <v>7.448275862</v>
      </c>
      <c r="V292" s="40">
        <f t="shared" si="773"/>
        <v>240.9655172</v>
      </c>
      <c r="X292" s="31">
        <v>2.0</v>
      </c>
      <c r="Y292" s="31" t="s">
        <v>32</v>
      </c>
      <c r="Z292" s="31">
        <f t="shared" ref="Z292:AI292" si="807">SUM(D279)</f>
        <v>42</v>
      </c>
      <c r="AA292" s="32">
        <f t="shared" si="807"/>
        <v>42</v>
      </c>
      <c r="AB292" s="33">
        <f t="shared" si="807"/>
        <v>8240.662</v>
      </c>
      <c r="AC292" s="31">
        <f t="shared" si="807"/>
        <v>4515</v>
      </c>
      <c r="AD292" s="31">
        <f t="shared" si="807"/>
        <v>0</v>
      </c>
      <c r="AE292" s="32">
        <f t="shared" si="807"/>
        <v>4515</v>
      </c>
      <c r="AF292" s="31">
        <f t="shared" si="807"/>
        <v>5726</v>
      </c>
      <c r="AG292" s="31">
        <f t="shared" si="807"/>
        <v>0</v>
      </c>
      <c r="AH292" s="32">
        <f t="shared" si="807"/>
        <v>5726</v>
      </c>
      <c r="AI292" s="32">
        <f t="shared" si="807"/>
        <v>10241</v>
      </c>
      <c r="AJ292" s="34">
        <f t="shared" si="808"/>
        <v>196.2062381</v>
      </c>
      <c r="AK292" s="31">
        <f>SUM(O279)</f>
        <v>13817</v>
      </c>
      <c r="AL292" s="35">
        <f t="shared" si="809"/>
        <v>0.7411883911</v>
      </c>
      <c r="AM292" s="36">
        <f>SUM(Q279)</f>
        <v>1.5</v>
      </c>
      <c r="AN292" s="35">
        <f t="shared" si="810"/>
        <v>0.8284933096</v>
      </c>
      <c r="AO292" s="37">
        <f t="shared" si="811"/>
        <v>1.242739964</v>
      </c>
      <c r="AP292" s="36">
        <f t="shared" ref="AP292:AQ292" si="812">SUM(T279)</f>
        <v>328.4571725</v>
      </c>
      <c r="AQ292" s="36">
        <f t="shared" si="812"/>
        <v>7.820408868</v>
      </c>
      <c r="AR292" s="32">
        <f t="shared" si="813"/>
        <v>243.8333333</v>
      </c>
    </row>
    <row r="293" ht="15.75" customHeight="1">
      <c r="A293" s="21"/>
      <c r="B293" s="38">
        <v>18.0</v>
      </c>
      <c r="C293" s="38" t="s">
        <v>31</v>
      </c>
      <c r="D293" s="39">
        <v>15.0</v>
      </c>
      <c r="E293" s="40">
        <f>IFERROR(__xludf.DUMMYFUNCTION("COUNT(IMPORTRANGE(""https://docs.google.com/spreadsheets/d/1-y2KhTAo7d8kowgUuWUDfRQuRMUAFteRYEXorT3_wOs/edit"",""1!d2:d16""))"),14.0)</f>
        <v>14</v>
      </c>
      <c r="F293" s="41">
        <f>IFERROR(__xludf.DUMMYFUNCTION("SUM(IMPORTRANGE(""https://docs.google.com/spreadsheets/d/1-y2KhTAo7d8kowgUuWUDfRQuRMUAFteRYEXorT3_wOs/edit"",""1!Q2:Q16""))"),2520.9699999999993)</f>
        <v>2520.97</v>
      </c>
      <c r="G293" s="40">
        <f>IFERROR(__xludf.DUMMYFUNCTION("IMPORTRANGE(""https://docs.google.com/spreadsheets/d/1-y2KhTAo7d8kowgUuWUDfRQuRMUAFteRYEXorT3_wOs/edit"",""1!e23"")"),633.0)</f>
        <v>633</v>
      </c>
      <c r="H293" s="40">
        <f>IFERROR(__xludf.DUMMYFUNCTION("IMPORTRANGE(""https://docs.google.com/spreadsheets/d/1-y2KhTAo7d8kowgUuWUDfRQuRMUAFteRYEXorT3_wOs/edit"",""1!e24"")"),0.0)</f>
        <v>0</v>
      </c>
      <c r="I293" s="40">
        <f t="shared" si="765"/>
        <v>633</v>
      </c>
      <c r="J293" s="40">
        <f>IFERROR(__xludf.DUMMYFUNCTION("IMPORTRANGE(""https://docs.google.com/spreadsheets/d/1-y2KhTAo7d8kowgUuWUDfRQuRMUAFteRYEXorT3_wOs/edit"",""1!e27"")"),1148.0)</f>
        <v>1148</v>
      </c>
      <c r="K293" s="40">
        <f>IFERROR(__xludf.DUMMYFUNCTION("IMPORTRANGE(""https://docs.google.com/spreadsheets/d/1-y2KhTAo7d8kowgUuWUDfRQuRMUAFteRYEXorT3_wOs/edit"",""1!e28"")"),15.0)</f>
        <v>15</v>
      </c>
      <c r="L293" s="40">
        <f t="shared" si="795"/>
        <v>1163</v>
      </c>
      <c r="M293" s="40">
        <f t="shared" si="767"/>
        <v>1796</v>
      </c>
      <c r="N293" s="41">
        <f t="shared" si="768"/>
        <v>180.0692857</v>
      </c>
      <c r="O293" s="38">
        <v>2717.0</v>
      </c>
      <c r="P293" s="42">
        <f t="shared" si="769"/>
        <v>0.6610231873</v>
      </c>
      <c r="Q293" s="43">
        <v>1.5</v>
      </c>
      <c r="R293" s="42">
        <f t="shared" si="770"/>
        <v>0.4749494573</v>
      </c>
      <c r="S293" s="44">
        <f t="shared" si="771"/>
        <v>0.7124241859</v>
      </c>
      <c r="T293" s="43">
        <f>F293/43.465</f>
        <v>58</v>
      </c>
      <c r="U293" s="43">
        <f t="shared" si="772"/>
        <v>4.142857143</v>
      </c>
      <c r="V293" s="40">
        <f t="shared" si="773"/>
        <v>128.2857143</v>
      </c>
      <c r="X293" s="31">
        <v>3.0</v>
      </c>
      <c r="Y293" s="31" t="s">
        <v>36</v>
      </c>
      <c r="Z293" s="31">
        <f t="shared" ref="Z293:AI293" si="814">SUM(D284)</f>
        <v>30</v>
      </c>
      <c r="AA293" s="32">
        <f t="shared" si="814"/>
        <v>29</v>
      </c>
      <c r="AB293" s="33">
        <f t="shared" si="814"/>
        <v>4875.345</v>
      </c>
      <c r="AC293" s="32">
        <f t="shared" si="814"/>
        <v>1728</v>
      </c>
      <c r="AD293" s="32">
        <f t="shared" si="814"/>
        <v>0</v>
      </c>
      <c r="AE293" s="32">
        <f t="shared" si="814"/>
        <v>1728</v>
      </c>
      <c r="AF293" s="32">
        <f t="shared" si="814"/>
        <v>2407</v>
      </c>
      <c r="AG293" s="32">
        <f t="shared" si="814"/>
        <v>20</v>
      </c>
      <c r="AH293" s="32">
        <f t="shared" si="814"/>
        <v>2427</v>
      </c>
      <c r="AI293" s="32">
        <f t="shared" si="814"/>
        <v>4155</v>
      </c>
      <c r="AJ293" s="34">
        <f t="shared" si="808"/>
        <v>168.1153448</v>
      </c>
      <c r="AK293" s="31">
        <f t="shared" ref="AK293:AK296" si="818">SUM(O284)</f>
        <v>4796</v>
      </c>
      <c r="AL293" s="35">
        <f t="shared" si="809"/>
        <v>0.8663469558</v>
      </c>
      <c r="AM293" s="36">
        <f t="shared" ref="AM293:AM296" si="819">SUM(Q284)</f>
        <v>1.5</v>
      </c>
      <c r="AN293" s="35">
        <f t="shared" si="810"/>
        <v>0.5681649196</v>
      </c>
      <c r="AO293" s="37">
        <f t="shared" si="811"/>
        <v>0.8522473794</v>
      </c>
      <c r="AP293" s="36">
        <f t="shared" ref="AP293:AQ293" si="815">SUM(T284)</f>
        <v>130.3080398</v>
      </c>
      <c r="AQ293" s="36">
        <f t="shared" si="815"/>
        <v>4.493380682</v>
      </c>
      <c r="AR293" s="32">
        <f t="shared" si="813"/>
        <v>143.2758621</v>
      </c>
    </row>
    <row r="294" ht="15.75" customHeight="1">
      <c r="A294" s="21"/>
      <c r="B294" s="60" t="s">
        <v>33</v>
      </c>
      <c r="C294" s="60">
        <v>18.0</v>
      </c>
      <c r="D294" s="60">
        <f t="shared" ref="D294:M294" si="816">SUM(D276:D293)</f>
        <v>586</v>
      </c>
      <c r="E294" s="61">
        <f t="shared" si="816"/>
        <v>576</v>
      </c>
      <c r="F294" s="62">
        <f t="shared" si="816"/>
        <v>111449.623</v>
      </c>
      <c r="G294" s="61">
        <f t="shared" si="816"/>
        <v>41757</v>
      </c>
      <c r="H294" s="61">
        <f t="shared" si="816"/>
        <v>946</v>
      </c>
      <c r="I294" s="61">
        <f t="shared" si="816"/>
        <v>42703</v>
      </c>
      <c r="J294" s="61">
        <f t="shared" si="816"/>
        <v>57855</v>
      </c>
      <c r="K294" s="61">
        <f t="shared" si="816"/>
        <v>875</v>
      </c>
      <c r="L294" s="61">
        <f t="shared" si="816"/>
        <v>58730</v>
      </c>
      <c r="M294" s="61">
        <f t="shared" si="816"/>
        <v>101433</v>
      </c>
      <c r="N294" s="62">
        <f t="shared" si="768"/>
        <v>193.4889288</v>
      </c>
      <c r="O294" s="60">
        <f>SUM(O276:O293)</f>
        <v>126399</v>
      </c>
      <c r="P294" s="63">
        <f t="shared" si="769"/>
        <v>0.8024826146</v>
      </c>
      <c r="Q294" s="64">
        <v>1.5</v>
      </c>
      <c r="R294" s="63">
        <f t="shared" si="770"/>
        <v>0.6067494728</v>
      </c>
      <c r="S294" s="65">
        <f t="shared" si="771"/>
        <v>0.9101242092</v>
      </c>
      <c r="T294" s="64">
        <f>SUM(T276:T293)</f>
        <v>4122.022266</v>
      </c>
      <c r="U294" s="64">
        <f t="shared" si="772"/>
        <v>7.156288656</v>
      </c>
      <c r="V294" s="61">
        <f t="shared" si="773"/>
        <v>176.0989583</v>
      </c>
      <c r="X294" s="31">
        <v>4.0</v>
      </c>
      <c r="Y294" s="31" t="s">
        <v>37</v>
      </c>
      <c r="Z294" s="31">
        <f t="shared" ref="Z294:AI294" si="817">SUM(D285)</f>
        <v>30</v>
      </c>
      <c r="AA294" s="32">
        <f t="shared" si="817"/>
        <v>28</v>
      </c>
      <c r="AB294" s="33">
        <f t="shared" si="817"/>
        <v>5465.1</v>
      </c>
      <c r="AC294" s="32">
        <f t="shared" si="817"/>
        <v>2135</v>
      </c>
      <c r="AD294" s="32">
        <f t="shared" si="817"/>
        <v>0</v>
      </c>
      <c r="AE294" s="32">
        <f t="shared" si="817"/>
        <v>2135</v>
      </c>
      <c r="AF294" s="32">
        <f t="shared" si="817"/>
        <v>3182</v>
      </c>
      <c r="AG294" s="32">
        <f t="shared" si="817"/>
        <v>0</v>
      </c>
      <c r="AH294" s="32">
        <f t="shared" si="817"/>
        <v>3182</v>
      </c>
      <c r="AI294" s="32">
        <f t="shared" si="817"/>
        <v>5317</v>
      </c>
      <c r="AJ294" s="34">
        <f t="shared" si="808"/>
        <v>195.1821429</v>
      </c>
      <c r="AK294" s="31">
        <f t="shared" si="818"/>
        <v>5887</v>
      </c>
      <c r="AL294" s="35">
        <f t="shared" si="809"/>
        <v>0.9031764906</v>
      </c>
      <c r="AM294" s="36">
        <f t="shared" si="819"/>
        <v>1.5</v>
      </c>
      <c r="AN294" s="35">
        <f t="shared" si="810"/>
        <v>0.6486005136</v>
      </c>
      <c r="AO294" s="37">
        <f t="shared" si="811"/>
        <v>0.9729007703</v>
      </c>
      <c r="AP294" s="36">
        <f t="shared" ref="AP294:AQ294" si="820">SUM(T285)</f>
        <v>220.4380445</v>
      </c>
      <c r="AQ294" s="36">
        <f t="shared" si="820"/>
        <v>7.872787305</v>
      </c>
      <c r="AR294" s="32">
        <f t="shared" si="813"/>
        <v>189.8928571</v>
      </c>
    </row>
    <row r="295" ht="15.7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X295" s="31">
        <v>5.0</v>
      </c>
      <c r="Y295" s="31" t="s">
        <v>39</v>
      </c>
      <c r="Z295" s="31">
        <f t="shared" ref="Z295:AI295" si="821">SUM(D286)</f>
        <v>28</v>
      </c>
      <c r="AA295" s="32">
        <f t="shared" si="821"/>
        <v>27</v>
      </c>
      <c r="AB295" s="33">
        <f t="shared" si="821"/>
        <v>5318.459</v>
      </c>
      <c r="AC295" s="32">
        <f t="shared" si="821"/>
        <v>1229</v>
      </c>
      <c r="AD295" s="32">
        <f t="shared" si="821"/>
        <v>0</v>
      </c>
      <c r="AE295" s="32">
        <f t="shared" si="821"/>
        <v>1229</v>
      </c>
      <c r="AF295" s="32">
        <f t="shared" si="821"/>
        <v>1740</v>
      </c>
      <c r="AG295" s="32">
        <f t="shared" si="821"/>
        <v>0</v>
      </c>
      <c r="AH295" s="32">
        <f t="shared" si="821"/>
        <v>1740</v>
      </c>
      <c r="AI295" s="32">
        <f t="shared" si="821"/>
        <v>2969</v>
      </c>
      <c r="AJ295" s="34">
        <f t="shared" si="808"/>
        <v>196.979963</v>
      </c>
      <c r="AK295" s="31">
        <f t="shared" si="818"/>
        <v>3569</v>
      </c>
      <c r="AL295" s="35">
        <f t="shared" si="809"/>
        <v>0.8318856823</v>
      </c>
      <c r="AM295" s="36">
        <f t="shared" si="819"/>
        <v>1.5</v>
      </c>
      <c r="AN295" s="35">
        <f t="shared" si="810"/>
        <v>0.3721629392</v>
      </c>
      <c r="AO295" s="37">
        <f t="shared" si="811"/>
        <v>0.5582444088</v>
      </c>
      <c r="AP295" s="36">
        <f t="shared" ref="AP295:AQ295" si="822">SUM(T286)</f>
        <v>247.7966268</v>
      </c>
      <c r="AQ295" s="36">
        <f t="shared" si="822"/>
        <v>9.177652843</v>
      </c>
      <c r="AR295" s="32">
        <f t="shared" si="813"/>
        <v>109.962963</v>
      </c>
    </row>
    <row r="296" ht="15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X296" s="31">
        <v>6.0</v>
      </c>
      <c r="Y296" s="31" t="s">
        <v>41</v>
      </c>
      <c r="Z296" s="31">
        <f t="shared" ref="Z296:AI296" si="823">SUM(D287)</f>
        <v>24</v>
      </c>
      <c r="AA296" s="32">
        <f t="shared" si="823"/>
        <v>24</v>
      </c>
      <c r="AB296" s="33">
        <f t="shared" si="823"/>
        <v>4793.152</v>
      </c>
      <c r="AC296" s="32">
        <f t="shared" si="823"/>
        <v>1363</v>
      </c>
      <c r="AD296" s="32">
        <f t="shared" si="823"/>
        <v>0</v>
      </c>
      <c r="AE296" s="32">
        <f t="shared" si="823"/>
        <v>1363</v>
      </c>
      <c r="AF296" s="32">
        <f t="shared" si="823"/>
        <v>1818</v>
      </c>
      <c r="AG296" s="32">
        <f t="shared" si="823"/>
        <v>0</v>
      </c>
      <c r="AH296" s="32">
        <f t="shared" si="823"/>
        <v>1818</v>
      </c>
      <c r="AI296" s="32">
        <f t="shared" si="823"/>
        <v>3181</v>
      </c>
      <c r="AJ296" s="34">
        <f t="shared" si="808"/>
        <v>199.7146667</v>
      </c>
      <c r="AK296" s="31">
        <f t="shared" si="818"/>
        <v>3801</v>
      </c>
      <c r="AL296" s="35">
        <f t="shared" si="809"/>
        <v>0.8368850303</v>
      </c>
      <c r="AM296" s="36">
        <f t="shared" si="819"/>
        <v>1.5</v>
      </c>
      <c r="AN296" s="35">
        <f t="shared" si="810"/>
        <v>0.4424367653</v>
      </c>
      <c r="AO296" s="37">
        <f t="shared" si="811"/>
        <v>0.663655148</v>
      </c>
      <c r="AP296" s="36">
        <f t="shared" ref="AP296:AQ296" si="824">SUM(T287)</f>
        <v>161.7777778</v>
      </c>
      <c r="AQ296" s="36">
        <f t="shared" si="824"/>
        <v>6.740740741</v>
      </c>
      <c r="AR296" s="32">
        <f t="shared" si="813"/>
        <v>132.5416667</v>
      </c>
    </row>
    <row r="297" ht="15.75" customHeight="1">
      <c r="A297" s="1" t="s">
        <v>45</v>
      </c>
      <c r="D297" s="2"/>
      <c r="X297" s="46" t="s">
        <v>33</v>
      </c>
      <c r="Y297" s="46">
        <v>6.0</v>
      </c>
      <c r="Z297" s="46">
        <f t="shared" ref="Z297:AI297" si="825">SUM(Z291:Z296)</f>
        <v>174</v>
      </c>
      <c r="AA297" s="47">
        <f t="shared" si="825"/>
        <v>170</v>
      </c>
      <c r="AB297" s="49">
        <f t="shared" si="825"/>
        <v>32628.013</v>
      </c>
      <c r="AC297" s="47">
        <f t="shared" si="825"/>
        <v>13199</v>
      </c>
      <c r="AD297" s="47">
        <f t="shared" si="825"/>
        <v>0</v>
      </c>
      <c r="AE297" s="47">
        <f t="shared" si="825"/>
        <v>13199</v>
      </c>
      <c r="AF297" s="47">
        <f t="shared" si="825"/>
        <v>17534</v>
      </c>
      <c r="AG297" s="47">
        <f t="shared" si="825"/>
        <v>67</v>
      </c>
      <c r="AH297" s="47">
        <f t="shared" si="825"/>
        <v>17601</v>
      </c>
      <c r="AI297" s="47">
        <f t="shared" si="825"/>
        <v>30800</v>
      </c>
      <c r="AJ297" s="49">
        <f t="shared" si="808"/>
        <v>191.9294882</v>
      </c>
      <c r="AK297" s="46">
        <f>SUM(AK291:AK296)</f>
        <v>37031</v>
      </c>
      <c r="AL297" s="50">
        <f t="shared" si="809"/>
        <v>0.8317355729</v>
      </c>
      <c r="AM297" s="51">
        <v>1.5</v>
      </c>
      <c r="AN297" s="50">
        <f t="shared" si="810"/>
        <v>0.6293160829</v>
      </c>
      <c r="AO297" s="52">
        <f t="shared" si="811"/>
        <v>0.9439741243</v>
      </c>
      <c r="AP297" s="51">
        <f>SUM(AP291:AP296)</f>
        <v>1361.777661</v>
      </c>
      <c r="AQ297" s="51">
        <f>AP297/AA297</f>
        <v>8.010456831</v>
      </c>
      <c r="AR297" s="47">
        <f t="shared" si="813"/>
        <v>181.1764706</v>
      </c>
    </row>
    <row r="298" ht="15.75" customHeight="1">
      <c r="A298" s="1" t="s">
        <v>45</v>
      </c>
      <c r="D298" s="2"/>
      <c r="X298" s="66" t="s">
        <v>1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6"/>
    </row>
    <row r="299" ht="15.75" customHeight="1">
      <c r="A299" s="10">
        <v>46277.0</v>
      </c>
      <c r="B299" s="8" t="s">
        <v>2</v>
      </c>
      <c r="C299" s="8" t="s">
        <v>3</v>
      </c>
      <c r="D299" s="8" t="s">
        <v>4</v>
      </c>
      <c r="E299" s="8" t="s">
        <v>5</v>
      </c>
      <c r="F299" s="9" t="s">
        <v>6</v>
      </c>
      <c r="G299" s="8" t="s">
        <v>7</v>
      </c>
      <c r="H299" s="8" t="s">
        <v>8</v>
      </c>
      <c r="I299" s="8" t="s">
        <v>9</v>
      </c>
      <c r="J299" s="8" t="s">
        <v>10</v>
      </c>
      <c r="K299" s="8" t="s">
        <v>11</v>
      </c>
      <c r="L299" s="8" t="s">
        <v>12</v>
      </c>
      <c r="M299" s="8" t="s">
        <v>13</v>
      </c>
      <c r="N299" s="9" t="s">
        <v>14</v>
      </c>
      <c r="O299" s="8" t="s">
        <v>15</v>
      </c>
      <c r="P299" s="8" t="s">
        <v>16</v>
      </c>
      <c r="Q299" s="8" t="s">
        <v>17</v>
      </c>
      <c r="R299" s="8" t="s">
        <v>18</v>
      </c>
      <c r="S299" s="11" t="s">
        <v>19</v>
      </c>
      <c r="T299" s="12" t="s">
        <v>20</v>
      </c>
      <c r="U299" s="12" t="s">
        <v>21</v>
      </c>
      <c r="V299" s="13" t="s">
        <v>22</v>
      </c>
      <c r="X299" s="14" t="s">
        <v>2</v>
      </c>
      <c r="Y299" s="14" t="s">
        <v>3</v>
      </c>
      <c r="Z299" s="14" t="s">
        <v>4</v>
      </c>
      <c r="AA299" s="14" t="s">
        <v>5</v>
      </c>
      <c r="AB299" s="15" t="s">
        <v>6</v>
      </c>
      <c r="AC299" s="14" t="s">
        <v>7</v>
      </c>
      <c r="AD299" s="14" t="s">
        <v>8</v>
      </c>
      <c r="AE299" s="14" t="s">
        <v>9</v>
      </c>
      <c r="AF299" s="14" t="s">
        <v>10</v>
      </c>
      <c r="AG299" s="14" t="s">
        <v>11</v>
      </c>
      <c r="AH299" s="14" t="s">
        <v>12</v>
      </c>
      <c r="AI299" s="14" t="s">
        <v>13</v>
      </c>
      <c r="AJ299" s="15" t="s">
        <v>14</v>
      </c>
      <c r="AK299" s="14" t="s">
        <v>15</v>
      </c>
      <c r="AL299" s="14" t="s">
        <v>16</v>
      </c>
      <c r="AM299" s="16" t="s">
        <v>17</v>
      </c>
      <c r="AN299" s="17" t="s">
        <v>18</v>
      </c>
      <c r="AO299" s="18" t="s">
        <v>19</v>
      </c>
      <c r="AP299" s="19" t="s">
        <v>20</v>
      </c>
      <c r="AQ299" s="19" t="s">
        <v>21</v>
      </c>
      <c r="AR299" s="20" t="s">
        <v>22</v>
      </c>
    </row>
    <row r="300" ht="15.7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X300" s="22">
        <v>1.0</v>
      </c>
      <c r="Y300" s="22" t="s">
        <v>23</v>
      </c>
      <c r="Z300" s="22">
        <f t="shared" ref="Z300:AI300" si="826">SUM(D308)</f>
        <v>28</v>
      </c>
      <c r="AA300" s="23">
        <f t="shared" si="826"/>
        <v>34</v>
      </c>
      <c r="AB300" s="24">
        <f t="shared" si="826"/>
        <v>6680.52</v>
      </c>
      <c r="AC300" s="23">
        <f t="shared" si="826"/>
        <v>1627</v>
      </c>
      <c r="AD300" s="23">
        <f t="shared" si="826"/>
        <v>0</v>
      </c>
      <c r="AE300" s="23">
        <f t="shared" si="826"/>
        <v>1627</v>
      </c>
      <c r="AF300" s="23">
        <f t="shared" si="826"/>
        <v>3262</v>
      </c>
      <c r="AG300" s="23">
        <f t="shared" si="826"/>
        <v>0</v>
      </c>
      <c r="AH300" s="23">
        <f t="shared" si="826"/>
        <v>3262</v>
      </c>
      <c r="AI300" s="23">
        <f t="shared" si="826"/>
        <v>4889</v>
      </c>
      <c r="AJ300" s="25">
        <f t="shared" ref="AJ300:AJ302" si="829">AB300/AA300</f>
        <v>196.4858824</v>
      </c>
      <c r="AK300" s="22">
        <f>SUM(O308)</f>
        <v>6853</v>
      </c>
      <c r="AL300" s="26">
        <f t="shared" ref="AL300:AL306" si="830">AI300/AK300</f>
        <v>0.7134101853</v>
      </c>
      <c r="AM300" s="27">
        <f t="shared" ref="AM300:AM302" si="831">SUM(Q308)</f>
        <v>1.5</v>
      </c>
      <c r="AN300" s="26">
        <f t="shared" ref="AN300:AN306" si="832">AO300/AM300</f>
        <v>0.4878861725</v>
      </c>
      <c r="AO300" s="28">
        <f t="shared" ref="AO300:AO306" si="833">AI300/AB300</f>
        <v>0.7318292588</v>
      </c>
      <c r="AP300" s="27">
        <f t="shared" ref="AP300:AQ300" si="827">SUM(T308)</f>
        <v>198</v>
      </c>
      <c r="AQ300" s="27">
        <f t="shared" si="827"/>
        <v>5.823529412</v>
      </c>
      <c r="AR300" s="23">
        <f t="shared" ref="AR300:AR306" si="835">AI300/AA300</f>
        <v>143.7941176</v>
      </c>
    </row>
    <row r="301" ht="15.7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X301" s="22">
        <v>2.0</v>
      </c>
      <c r="Y301" s="22" t="s">
        <v>24</v>
      </c>
      <c r="Z301" s="22">
        <f t="shared" ref="Z301:AI301" si="828">SUM(D309)</f>
        <v>37</v>
      </c>
      <c r="AA301" s="23">
        <f t="shared" si="828"/>
        <v>44</v>
      </c>
      <c r="AB301" s="24">
        <f t="shared" si="828"/>
        <v>8029.356</v>
      </c>
      <c r="AC301" s="23">
        <f t="shared" si="828"/>
        <v>1194</v>
      </c>
      <c r="AD301" s="23">
        <f t="shared" si="828"/>
        <v>0</v>
      </c>
      <c r="AE301" s="23">
        <f t="shared" si="828"/>
        <v>1194</v>
      </c>
      <c r="AF301" s="23">
        <f t="shared" si="828"/>
        <v>1455</v>
      </c>
      <c r="AG301" s="23">
        <f t="shared" si="828"/>
        <v>0</v>
      </c>
      <c r="AH301" s="23">
        <f t="shared" si="828"/>
        <v>1455</v>
      </c>
      <c r="AI301" s="23">
        <f t="shared" si="828"/>
        <v>2649</v>
      </c>
      <c r="AJ301" s="25">
        <f t="shared" si="829"/>
        <v>182.4853636</v>
      </c>
      <c r="AK301" s="22">
        <v>1580.0</v>
      </c>
      <c r="AL301" s="29">
        <f t="shared" si="830"/>
        <v>1.676582278</v>
      </c>
      <c r="AM301" s="27">
        <f t="shared" si="831"/>
        <v>1.5</v>
      </c>
      <c r="AN301" s="26">
        <f t="shared" si="832"/>
        <v>0.2199429195</v>
      </c>
      <c r="AO301" s="28">
        <f t="shared" si="833"/>
        <v>0.3299143792</v>
      </c>
      <c r="AP301" s="27">
        <f t="shared" ref="AP301:AQ301" si="834">SUM(T309)</f>
        <v>299.5469502</v>
      </c>
      <c r="AQ301" s="27">
        <f t="shared" si="834"/>
        <v>6.807885232</v>
      </c>
      <c r="AR301" s="23">
        <f t="shared" si="835"/>
        <v>60.20454545</v>
      </c>
    </row>
    <row r="302" ht="15.75" customHeight="1">
      <c r="A302" s="21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X302" s="31">
        <v>3.0</v>
      </c>
      <c r="Y302" s="31" t="s">
        <v>25</v>
      </c>
      <c r="Z302" s="31">
        <f t="shared" ref="Z302:AI302" si="836">SUM(D310)</f>
        <v>27</v>
      </c>
      <c r="AA302" s="32">
        <f t="shared" si="836"/>
        <v>32</v>
      </c>
      <c r="AB302" s="33">
        <f t="shared" si="836"/>
        <v>5963.536</v>
      </c>
      <c r="AC302" s="32">
        <f t="shared" si="836"/>
        <v>2444</v>
      </c>
      <c r="AD302" s="32">
        <f t="shared" si="836"/>
        <v>331</v>
      </c>
      <c r="AE302" s="32">
        <f t="shared" si="836"/>
        <v>2775</v>
      </c>
      <c r="AF302" s="32">
        <f t="shared" si="836"/>
        <v>3085</v>
      </c>
      <c r="AG302" s="32">
        <f t="shared" si="836"/>
        <v>319</v>
      </c>
      <c r="AH302" s="32">
        <f t="shared" si="836"/>
        <v>3404</v>
      </c>
      <c r="AI302" s="32">
        <f t="shared" si="836"/>
        <v>6179</v>
      </c>
      <c r="AJ302" s="34">
        <f t="shared" si="829"/>
        <v>186.3605</v>
      </c>
      <c r="AK302" s="31">
        <f>SUM(O310)</f>
        <v>6622</v>
      </c>
      <c r="AL302" s="35">
        <f t="shared" si="830"/>
        <v>0.9331017819</v>
      </c>
      <c r="AM302" s="36">
        <f t="shared" si="831"/>
        <v>1.5</v>
      </c>
      <c r="AN302" s="35">
        <f t="shared" si="832"/>
        <v>0.6907534948</v>
      </c>
      <c r="AO302" s="37">
        <f t="shared" si="833"/>
        <v>1.036130242</v>
      </c>
      <c r="AP302" s="36">
        <f t="shared" ref="AP302:AQ302" si="837">SUM(T310)</f>
        <v>250.1483221</v>
      </c>
      <c r="AQ302" s="36">
        <f t="shared" si="837"/>
        <v>7.817135067</v>
      </c>
      <c r="AR302" s="32">
        <f t="shared" si="835"/>
        <v>193.09375</v>
      </c>
    </row>
    <row r="303" ht="15.75" customHeight="1">
      <c r="A303" s="21"/>
      <c r="B303" s="38">
        <v>1.0</v>
      </c>
      <c r="C303" s="38" t="s">
        <v>26</v>
      </c>
      <c r="D303" s="39">
        <v>16.0</v>
      </c>
      <c r="E303" s="40">
        <f>IFERROR(__xludf.DUMMYFUNCTION("COUNT(IMPORTRANGE(""https://docs.google.com/spreadsheets/d/1F0NpMx7WhcgPgxTWpryY3Z1CGg56FL6aiL4mHs43w4E/edit"",""1!d2:d21""))"),20.0)</f>
        <v>20</v>
      </c>
      <c r="F303" s="41">
        <f>IFERROR(__xludf.DUMMYFUNCTION("SUM(IMPORTRANGE(""https://docs.google.com/spreadsheets/d/1F0NpMx7WhcgPgxTWpryY3Z1CGg56FL6aiL4mHs43w4E/edit"",""1!Q2:Q21""))"),3935.2949999999996)</f>
        <v>3935.295</v>
      </c>
      <c r="G303" s="40">
        <f>IFERROR(__xludf.DUMMYFUNCTION("IMPORTRANGE(""https://docs.google.com/spreadsheets/d/1F0NpMx7WhcgPgxTWpryY3Z1CGg56FL6aiL4mHs43w4E/edit"",""1!e28"")"),2229.0)</f>
        <v>2229</v>
      </c>
      <c r="H303" s="40">
        <f>IFERROR(__xludf.DUMMYFUNCTION("IMPORTRANGE(""https://docs.google.com/spreadsheets/d/1F0NpMx7WhcgPgxTWpryY3Z1CGg56FL6aiL4mHs43w4E/edit"",""1!e29"")"),0.0)</f>
        <v>0</v>
      </c>
      <c r="I303" s="40">
        <f t="shared" ref="I303:I320" si="840">SUM(G303:H303)</f>
        <v>2229</v>
      </c>
      <c r="J303" s="40">
        <f>IFERROR(__xludf.DUMMYFUNCTION("IMPORTRANGE(""https://docs.google.com/spreadsheets/d/1F0NpMx7WhcgPgxTWpryY3Z1CGg56FL6aiL4mHs43w4E/edit"",""1!e32"")"),2661.0)</f>
        <v>2661</v>
      </c>
      <c r="K303" s="40">
        <f>IFERROR(__xludf.DUMMYFUNCTION("IMPORTRANGE(""https://docs.google.com/spreadsheets/d/1F0NpMx7WhcgPgxTWpryY3Z1CGg56FL6aiL4mHs43w4E/edit"",""1!e33"")"),47.0)</f>
        <v>47</v>
      </c>
      <c r="L303" s="40">
        <f t="shared" ref="L303:L309" si="841">SUM(J303:K303)</f>
        <v>2708</v>
      </c>
      <c r="M303" s="40">
        <f t="shared" ref="M303:M320" si="842">SUM(I303+L303)</f>
        <v>4937</v>
      </c>
      <c r="N303" s="41">
        <f t="shared" ref="N303:N321" si="843">F303/E303</f>
        <v>196.76475</v>
      </c>
      <c r="O303" s="38">
        <v>5161.0</v>
      </c>
      <c r="P303" s="56">
        <f t="shared" ref="P303:P321" si="844">M303/O303</f>
        <v>0.9565975586</v>
      </c>
      <c r="Q303" s="43">
        <v>1.5</v>
      </c>
      <c r="R303" s="42">
        <f t="shared" ref="R303:R321" si="845">S303/Q303</f>
        <v>0.8363625429</v>
      </c>
      <c r="S303" s="44">
        <f t="shared" ref="S303:S321" si="846">M303/F303</f>
        <v>1.254543814</v>
      </c>
      <c r="T303" s="43">
        <f>F303/14.415</f>
        <v>273</v>
      </c>
      <c r="U303" s="43">
        <f t="shared" ref="U303:U321" si="847">T303/E303</f>
        <v>13.65</v>
      </c>
      <c r="V303" s="40">
        <f t="shared" ref="V303:V321" si="848">M303/E303</f>
        <v>246.85</v>
      </c>
      <c r="X303" s="22">
        <v>4.0</v>
      </c>
      <c r="Y303" s="22" t="s">
        <v>27</v>
      </c>
      <c r="Z303" s="22">
        <f t="shared" ref="Z303:AK303" si="838">SUM(D316)</f>
        <v>24</v>
      </c>
      <c r="AA303" s="23">
        <f t="shared" si="838"/>
        <v>29</v>
      </c>
      <c r="AB303" s="24">
        <f t="shared" si="838"/>
        <v>5631.663</v>
      </c>
      <c r="AC303" s="23">
        <f t="shared" si="838"/>
        <v>2486</v>
      </c>
      <c r="AD303" s="23">
        <f t="shared" si="838"/>
        <v>80</v>
      </c>
      <c r="AE303" s="23">
        <f t="shared" si="838"/>
        <v>2566</v>
      </c>
      <c r="AF303" s="23">
        <f t="shared" si="838"/>
        <v>2945</v>
      </c>
      <c r="AG303" s="23">
        <f t="shared" si="838"/>
        <v>88</v>
      </c>
      <c r="AH303" s="23">
        <f t="shared" si="838"/>
        <v>3033</v>
      </c>
      <c r="AI303" s="23">
        <f t="shared" si="838"/>
        <v>5599</v>
      </c>
      <c r="AJ303" s="25">
        <f t="shared" si="838"/>
        <v>194.1952759</v>
      </c>
      <c r="AK303" s="22">
        <f t="shared" si="838"/>
        <v>8101</v>
      </c>
      <c r="AL303" s="26">
        <f t="shared" si="830"/>
        <v>0.6911492408</v>
      </c>
      <c r="AM303" s="27">
        <f>SUM(Q316)</f>
        <v>1.5</v>
      </c>
      <c r="AN303" s="26">
        <f t="shared" si="832"/>
        <v>0.6628000764</v>
      </c>
      <c r="AO303" s="28">
        <f t="shared" si="833"/>
        <v>0.9942001146</v>
      </c>
      <c r="AP303" s="27">
        <f t="shared" ref="AP303:AQ303" si="839">SUM(T316)</f>
        <v>281.7944959</v>
      </c>
      <c r="AQ303" s="27">
        <f t="shared" si="839"/>
        <v>9.717051582</v>
      </c>
      <c r="AR303" s="23">
        <f t="shared" si="835"/>
        <v>193.0689655</v>
      </c>
    </row>
    <row r="304" ht="15.75" customHeight="1">
      <c r="A304" s="21"/>
      <c r="B304" s="38">
        <v>2.0</v>
      </c>
      <c r="C304" s="38" t="s">
        <v>28</v>
      </c>
      <c r="D304" s="39">
        <v>26.0</v>
      </c>
      <c r="E304" s="40">
        <f>IFERROR(__xludf.DUMMYFUNCTION("COUNT(IMPORTRANGE(""https://docs.google.com/spreadsheets/d/1H9vAqftAHb0OdeSGXHTnJFzoWUgpoH31sc0sHNN8y1o/edit"",""1!d2:d34""))"),32.0)</f>
        <v>32</v>
      </c>
      <c r="F304" s="41">
        <f>IFERROR(__xludf.DUMMYFUNCTION("SUM(IMPORTRANGE(""https://docs.google.com/spreadsheets/d/1H9vAqftAHb0OdeSGXHTnJFzoWUgpoH31sc0sHNN8y1o/edit"",""1!Q2:Q34""))"),6234.134999999998)</f>
        <v>6234.135</v>
      </c>
      <c r="G304" s="40">
        <f>IFERROR(__xludf.DUMMYFUNCTION("IMPORTRANGE(""https://docs.google.com/spreadsheets/d/1H9vAqftAHb0OdeSGXHTnJFzoWUgpoH31sc0sHNN8y1o/edit"",""1!e41"")"),2719.0)</f>
        <v>2719</v>
      </c>
      <c r="H304" s="40">
        <f>IFERROR(__xludf.DUMMYFUNCTION("IMPORTRANGE(""https://docs.google.com/spreadsheets/d/1H9vAqftAHb0OdeSGXHTnJFzoWUgpoH31sc0sHNN8y1o/edit"",""1!e42"")"),208.0)</f>
        <v>208</v>
      </c>
      <c r="I304" s="40">
        <f t="shared" si="840"/>
        <v>2927</v>
      </c>
      <c r="J304" s="40">
        <f>IFERROR(__xludf.DUMMYFUNCTION("IMPORTRANGE(""https://docs.google.com/spreadsheets/d/1H9vAqftAHb0OdeSGXHTnJFzoWUgpoH31sc0sHNN8y1o/edit"",""1!e45"")"),3192.0)</f>
        <v>3192</v>
      </c>
      <c r="K304" s="40">
        <f>IFERROR(__xludf.DUMMYFUNCTION("IMPORTRANGE(""https://docs.google.com/spreadsheets/d/1H9vAqftAHb0OdeSGXHTnJFzoWUgpoH31sc0sHNN8y1o/edit"",""1!e46"")"),138.0)</f>
        <v>138</v>
      </c>
      <c r="L304" s="40">
        <f t="shared" si="841"/>
        <v>3330</v>
      </c>
      <c r="M304" s="40">
        <f t="shared" si="842"/>
        <v>6257</v>
      </c>
      <c r="N304" s="41">
        <f t="shared" si="843"/>
        <v>194.8167188</v>
      </c>
      <c r="O304" s="38">
        <v>7315.0</v>
      </c>
      <c r="P304" s="42">
        <f t="shared" si="844"/>
        <v>0.8553656869</v>
      </c>
      <c r="Q304" s="43">
        <v>1.5</v>
      </c>
      <c r="R304" s="42">
        <f t="shared" si="845"/>
        <v>0.6691118067</v>
      </c>
      <c r="S304" s="44">
        <f t="shared" si="846"/>
        <v>1.00366771</v>
      </c>
      <c r="T304" s="43">
        <f>F304/30.897</f>
        <v>201.7715312</v>
      </c>
      <c r="U304" s="43">
        <f t="shared" si="847"/>
        <v>6.305360351</v>
      </c>
      <c r="V304" s="40">
        <f t="shared" si="848"/>
        <v>195.53125</v>
      </c>
      <c r="X304" s="22">
        <v>5.0</v>
      </c>
      <c r="Y304" s="22" t="s">
        <v>29</v>
      </c>
      <c r="Z304" s="22">
        <f t="shared" ref="Z304:AI304" si="849">SUM(D319)</f>
        <v>24</v>
      </c>
      <c r="AA304" s="23">
        <f t="shared" si="849"/>
        <v>29</v>
      </c>
      <c r="AB304" s="24">
        <f t="shared" si="849"/>
        <v>5722.056</v>
      </c>
      <c r="AC304" s="23">
        <f t="shared" si="849"/>
        <v>2610</v>
      </c>
      <c r="AD304" s="23">
        <f t="shared" si="849"/>
        <v>0</v>
      </c>
      <c r="AE304" s="23">
        <f t="shared" si="849"/>
        <v>2610</v>
      </c>
      <c r="AF304" s="23">
        <f t="shared" si="849"/>
        <v>4378</v>
      </c>
      <c r="AG304" s="23">
        <f t="shared" si="849"/>
        <v>0</v>
      </c>
      <c r="AH304" s="23">
        <f t="shared" si="849"/>
        <v>4378</v>
      </c>
      <c r="AI304" s="23">
        <f t="shared" si="849"/>
        <v>6988</v>
      </c>
      <c r="AJ304" s="25">
        <f t="shared" ref="AJ304:AJ306" si="852">AB304/AA304</f>
        <v>197.3122759</v>
      </c>
      <c r="AK304" s="22">
        <f t="shared" ref="AK304:AK305" si="853">SUM(O319)</f>
        <v>9201</v>
      </c>
      <c r="AL304" s="26">
        <f t="shared" si="830"/>
        <v>0.7594826649</v>
      </c>
      <c r="AM304" s="27">
        <f t="shared" ref="AM304:AM305" si="854">SUM(Q319)</f>
        <v>1.5</v>
      </c>
      <c r="AN304" s="26">
        <f t="shared" si="832"/>
        <v>0.8141595725</v>
      </c>
      <c r="AO304" s="28">
        <f t="shared" si="833"/>
        <v>1.221239359</v>
      </c>
      <c r="AP304" s="27">
        <f t="shared" ref="AP304:AQ304" si="850">SUM(T319)</f>
        <v>216</v>
      </c>
      <c r="AQ304" s="27">
        <f t="shared" si="850"/>
        <v>7.448275862</v>
      </c>
      <c r="AR304" s="23">
        <f t="shared" si="835"/>
        <v>240.9655172</v>
      </c>
    </row>
    <row r="305" ht="15.75" customHeight="1">
      <c r="A305" s="21"/>
      <c r="B305" s="38">
        <v>3.0</v>
      </c>
      <c r="C305" s="38" t="s">
        <v>30</v>
      </c>
      <c r="D305" s="39">
        <v>48.0</v>
      </c>
      <c r="E305" s="40">
        <f>IFERROR(__xludf.DUMMYFUNCTION("COUNT(IMPORTRANGE(""https://docs.google.com/spreadsheets/d/1EWN6nfpuVxbUE_9opjYCWaI7MTm5xsF6ssjklSbMZnA/edit"",""1!d2:d61""))"),59.0)</f>
        <v>59</v>
      </c>
      <c r="F305" s="45">
        <f>IFERROR(__xludf.DUMMYFUNCTION("SUM(IMPORTRANGE(""https://docs.google.com/spreadsheets/d/1EWN6nfpuVxbUE_9opjYCWaI7MTm5xsF6ssjklSbMZnA/edit"",""1!Q2:Q61""))"),11739.691999999988)</f>
        <v>11739.692</v>
      </c>
      <c r="G305" s="40">
        <f>IFERROR(__xludf.DUMMYFUNCTION("IMPORTRANGE(""https://docs.google.com/spreadsheets/d/1EWN6nfpuVxbUE_9opjYCWaI7MTm5xsF6ssjklSbMZnA/edit"",""1!e68"")"),3754.0)</f>
        <v>3754</v>
      </c>
      <c r="H305" s="40">
        <f>IFERROR(__xludf.DUMMYFUNCTION("IMPORTRANGE(""https://docs.google.com/spreadsheets/d/1EWN6nfpuVxbUE_9opjYCWaI7MTm5xsF6ssjklSbMZnA/edit"",""1!e69"")"),14.0)</f>
        <v>14</v>
      </c>
      <c r="I305" s="40">
        <f t="shared" si="840"/>
        <v>3768</v>
      </c>
      <c r="J305" s="40">
        <f>IFERROR(__xludf.DUMMYFUNCTION("IMPORTRANGE(""https://docs.google.com/spreadsheets/d/1EWN6nfpuVxbUE_9opjYCWaI7MTm5xsF6ssjklSbMZnA/edit"",""1!e72"")"),5982.0)</f>
        <v>5982</v>
      </c>
      <c r="K305" s="40">
        <f>IFERROR(__xludf.DUMMYFUNCTION("IMPORTRANGE(""https://docs.google.com/spreadsheets/d/1EWN6nfpuVxbUE_9opjYCWaI7MTm5xsF6ssjklSbMZnA/edit"",""1!e73"")"),0.0)</f>
        <v>0</v>
      </c>
      <c r="L305" s="40">
        <f t="shared" si="841"/>
        <v>5982</v>
      </c>
      <c r="M305" s="40">
        <f t="shared" si="842"/>
        <v>9750</v>
      </c>
      <c r="N305" s="41">
        <f t="shared" si="843"/>
        <v>198.9778305</v>
      </c>
      <c r="O305" s="38">
        <v>11164.0</v>
      </c>
      <c r="P305" s="42">
        <f t="shared" si="844"/>
        <v>0.8733428879</v>
      </c>
      <c r="Q305" s="43">
        <v>1.5</v>
      </c>
      <c r="R305" s="42">
        <f t="shared" si="845"/>
        <v>0.5536772174</v>
      </c>
      <c r="S305" s="44">
        <f t="shared" si="846"/>
        <v>0.8305158261</v>
      </c>
      <c r="T305" s="43">
        <f>F305/29.603</f>
        <v>396.5710232</v>
      </c>
      <c r="U305" s="43">
        <f t="shared" si="847"/>
        <v>6.721542766</v>
      </c>
      <c r="V305" s="40">
        <f t="shared" si="848"/>
        <v>165.2542373</v>
      </c>
      <c r="X305" s="22">
        <v>6.0</v>
      </c>
      <c r="Y305" s="22" t="s">
        <v>31</v>
      </c>
      <c r="Z305" s="22">
        <f t="shared" ref="Z305:AI305" si="851">SUM(D320)</f>
        <v>12</v>
      </c>
      <c r="AA305" s="23">
        <f t="shared" si="851"/>
        <v>14</v>
      </c>
      <c r="AB305" s="25">
        <f t="shared" si="851"/>
        <v>2520.97</v>
      </c>
      <c r="AC305" s="23">
        <f t="shared" si="851"/>
        <v>633</v>
      </c>
      <c r="AD305" s="23">
        <f t="shared" si="851"/>
        <v>0</v>
      </c>
      <c r="AE305" s="23">
        <f t="shared" si="851"/>
        <v>633</v>
      </c>
      <c r="AF305" s="23">
        <f t="shared" si="851"/>
        <v>1148</v>
      </c>
      <c r="AG305" s="23">
        <f t="shared" si="851"/>
        <v>15</v>
      </c>
      <c r="AH305" s="23">
        <f t="shared" si="851"/>
        <v>1163</v>
      </c>
      <c r="AI305" s="23">
        <f t="shared" si="851"/>
        <v>1796</v>
      </c>
      <c r="AJ305" s="25">
        <f t="shared" si="852"/>
        <v>180.0692857</v>
      </c>
      <c r="AK305" s="22">
        <f t="shared" si="853"/>
        <v>2717</v>
      </c>
      <c r="AL305" s="26">
        <f t="shared" si="830"/>
        <v>0.6610231873</v>
      </c>
      <c r="AM305" s="27">
        <f t="shared" si="854"/>
        <v>1.5</v>
      </c>
      <c r="AN305" s="26">
        <f t="shared" si="832"/>
        <v>0.4749494573</v>
      </c>
      <c r="AO305" s="28">
        <f t="shared" si="833"/>
        <v>0.7124241859</v>
      </c>
      <c r="AP305" s="27">
        <f t="shared" ref="AP305:AQ305" si="855">SUM(T320)</f>
        <v>58</v>
      </c>
      <c r="AQ305" s="27">
        <f t="shared" si="855"/>
        <v>4.142857143</v>
      </c>
      <c r="AR305" s="23">
        <f t="shared" si="835"/>
        <v>128.2857143</v>
      </c>
    </row>
    <row r="306" ht="15.75" customHeight="1">
      <c r="A306" s="21"/>
      <c r="B306" s="38">
        <v>4.0</v>
      </c>
      <c r="C306" s="38" t="s">
        <v>32</v>
      </c>
      <c r="D306" s="39">
        <v>33.0</v>
      </c>
      <c r="E306" s="40">
        <f>IFERROR(__xludf.DUMMYFUNCTION("COUNT(IMPORTRANGE(""https://docs.google.com/spreadsheets/d/1Rmar8QqWK4XOJ-eY6xMzkAfDSw0srEXcAw89ilArun8/edit"",""1!d2:d43""))"),42.0)</f>
        <v>42</v>
      </c>
      <c r="F306" s="45">
        <f>IFERROR(__xludf.DUMMYFUNCTION("SUM(IMPORTRANGE(""https://docs.google.com/spreadsheets/d/1Rmar8QqWK4XOJ-eY6xMzkAfDSw0srEXcAw89ilArun8/edit"",""1!Q2:Q43""))"),8240.661999999991)</f>
        <v>8240.662</v>
      </c>
      <c r="G306" s="38">
        <f>IFERROR(__xludf.DUMMYFUNCTION("IMPORTRANGE(""https://docs.google.com/spreadsheets/d/1Rmar8QqWK4XOJ-eY6xMzkAfDSw0srEXcAw89ilArun8/edit"",""1!e50"")"),4515.0)</f>
        <v>4515</v>
      </c>
      <c r="H306" s="38">
        <f>IFERROR(__xludf.DUMMYFUNCTION("IMPORTRANGE(""https://docs.google.com/spreadsheets/d/1Rmar8QqWK4XOJ-eY6xMzkAfDSw0srEXcAw89ilArun8/edit"",""1!e51"")"),0.0)</f>
        <v>0</v>
      </c>
      <c r="I306" s="40">
        <f t="shared" si="840"/>
        <v>4515</v>
      </c>
      <c r="J306" s="38">
        <f>IFERROR(__xludf.DUMMYFUNCTION("IMPORTRANGE(""https://docs.google.com/spreadsheets/d/1Rmar8QqWK4XOJ-eY6xMzkAfDSw0srEXcAw89ilArun8/edit"",""1!e54"")"),5726.0)</f>
        <v>5726</v>
      </c>
      <c r="K306" s="38">
        <f>IFERROR(__xludf.DUMMYFUNCTION("IMPORTRANGE(""https://docs.google.com/spreadsheets/d/1Rmar8QqWK4XOJ-eY6xMzkAfDSw0srEXcAw89ilArun8/edit"",""1!e55"")"),0.0)</f>
        <v>0</v>
      </c>
      <c r="L306" s="40">
        <f t="shared" si="841"/>
        <v>5726</v>
      </c>
      <c r="M306" s="40">
        <f t="shared" si="842"/>
        <v>10241</v>
      </c>
      <c r="N306" s="41">
        <f t="shared" si="843"/>
        <v>196.2062381</v>
      </c>
      <c r="O306" s="38">
        <v>13817.0</v>
      </c>
      <c r="P306" s="42">
        <f t="shared" si="844"/>
        <v>0.7411883911</v>
      </c>
      <c r="Q306" s="43">
        <v>1.5</v>
      </c>
      <c r="R306" s="42">
        <f t="shared" si="845"/>
        <v>0.8284933096</v>
      </c>
      <c r="S306" s="44">
        <f t="shared" si="846"/>
        <v>1.242739964</v>
      </c>
      <c r="T306" s="43">
        <f>F306/25.089</f>
        <v>328.4571725</v>
      </c>
      <c r="U306" s="43">
        <f t="shared" si="847"/>
        <v>7.820408868</v>
      </c>
      <c r="V306" s="40">
        <f t="shared" si="848"/>
        <v>243.8333333</v>
      </c>
      <c r="X306" s="68" t="s">
        <v>33</v>
      </c>
      <c r="Y306" s="46">
        <v>6.0</v>
      </c>
      <c r="Z306" s="46">
        <f t="shared" ref="Z306:AI306" si="856">SUM(Z300:Z305)</f>
        <v>152</v>
      </c>
      <c r="AA306" s="47">
        <f t="shared" si="856"/>
        <v>182</v>
      </c>
      <c r="AB306" s="48">
        <f t="shared" si="856"/>
        <v>34548.101</v>
      </c>
      <c r="AC306" s="47">
        <f t="shared" si="856"/>
        <v>10994</v>
      </c>
      <c r="AD306" s="47">
        <f t="shared" si="856"/>
        <v>411</v>
      </c>
      <c r="AE306" s="47">
        <f t="shared" si="856"/>
        <v>11405</v>
      </c>
      <c r="AF306" s="47">
        <f t="shared" si="856"/>
        <v>16273</v>
      </c>
      <c r="AG306" s="47">
        <f t="shared" si="856"/>
        <v>422</v>
      </c>
      <c r="AH306" s="47">
        <f t="shared" si="856"/>
        <v>16695</v>
      </c>
      <c r="AI306" s="47">
        <f t="shared" si="856"/>
        <v>28100</v>
      </c>
      <c r="AJ306" s="49">
        <f t="shared" si="852"/>
        <v>189.8247308</v>
      </c>
      <c r="AK306" s="46">
        <f>SUM(AK300:AK305)</f>
        <v>35074</v>
      </c>
      <c r="AL306" s="50">
        <f t="shared" si="830"/>
        <v>0.8011632548</v>
      </c>
      <c r="AM306" s="51">
        <v>1.5</v>
      </c>
      <c r="AN306" s="50">
        <f t="shared" si="832"/>
        <v>0.542239162</v>
      </c>
      <c r="AO306" s="52">
        <f t="shared" si="833"/>
        <v>0.8133587429</v>
      </c>
      <c r="AP306" s="51">
        <f>SUM(AP300:AP305)</f>
        <v>1303.489768</v>
      </c>
      <c r="AQ306" s="51">
        <f>AP306/AA306</f>
        <v>7.162031693</v>
      </c>
      <c r="AR306" s="47">
        <f t="shared" si="835"/>
        <v>154.3956044</v>
      </c>
    </row>
    <row r="307" ht="15.75" customHeight="1">
      <c r="A307" s="21"/>
      <c r="B307" s="38">
        <v>5.0</v>
      </c>
      <c r="C307" s="38" t="s">
        <v>34</v>
      </c>
      <c r="D307" s="39">
        <v>32.0</v>
      </c>
      <c r="E307" s="40">
        <f>IFERROR(__xludf.DUMMYFUNCTION("COUNT(IMPORTRANGE(""https://docs.google.com/spreadsheets/d/1u99JxAoytGQQ8GcjxXl38CGdyEWy5uIbuJJHnsotyvk/edit"",""1!d2:d41""))"),40.0)</f>
        <v>40</v>
      </c>
      <c r="F307" s="45">
        <f>IFERROR(__xludf.DUMMYFUNCTION("SUM(IMPORTRANGE(""https://docs.google.com/spreadsheets/d/1u99JxAoytGQQ8GcjxXl38CGdyEWy5uIbuJJHnsotyvk/edit"",""1!Q2:Q41""))"),8007.324000000002)</f>
        <v>8007.324</v>
      </c>
      <c r="G307" s="40">
        <f>IFERROR(__xludf.DUMMYFUNCTION("IMPORTRANGE(""https://docs.google.com/spreadsheets/d/1u99JxAoytGQQ8GcjxXl38CGdyEWy5uIbuJJHnsotyvk/edit"",""1!e48"")"),2819.0)</f>
        <v>2819</v>
      </c>
      <c r="H307" s="40">
        <f>IFERROR(__xludf.DUMMYFUNCTION("IMPORTRANGE(""https://docs.google.com/spreadsheets/d/1u99JxAoytGQQ8GcjxXl38CGdyEWy5uIbuJJHnsotyvk/edit"",""1!e49"")"),0.0)</f>
        <v>0</v>
      </c>
      <c r="I307" s="40">
        <f t="shared" si="840"/>
        <v>2819</v>
      </c>
      <c r="J307" s="40">
        <f>IFERROR(__xludf.DUMMYFUNCTION("IMPORTRANGE(""https://docs.google.com/spreadsheets/d/1u99JxAoytGQQ8GcjxXl38CGdyEWy5uIbuJJHnsotyvk/edit"",""1!e52"")"),3504.0)</f>
        <v>3504</v>
      </c>
      <c r="K307" s="40">
        <f>IFERROR(__xludf.DUMMYFUNCTION("IMPORTRANGE(""https://docs.google.com/spreadsheets/d/1u99JxAoytGQQ8GcjxXl38CGdyEWy5uIbuJJHnsotyvk/edit"",""1!e53"")"),0.0)</f>
        <v>0</v>
      </c>
      <c r="L307" s="40">
        <f t="shared" si="841"/>
        <v>3504</v>
      </c>
      <c r="M307" s="40">
        <f t="shared" si="842"/>
        <v>6323</v>
      </c>
      <c r="N307" s="41">
        <f t="shared" si="843"/>
        <v>200.1831</v>
      </c>
      <c r="O307" s="38">
        <v>9354.0</v>
      </c>
      <c r="P307" s="42">
        <f t="shared" si="844"/>
        <v>0.6759675005</v>
      </c>
      <c r="Q307" s="43">
        <v>1.5</v>
      </c>
      <c r="R307" s="42">
        <f t="shared" si="845"/>
        <v>0.5264347157</v>
      </c>
      <c r="S307" s="44">
        <f t="shared" si="846"/>
        <v>0.7896520735</v>
      </c>
      <c r="T307" s="43">
        <f>F307/30.713</f>
        <v>260.7144857</v>
      </c>
      <c r="U307" s="43">
        <f t="shared" si="847"/>
        <v>6.517862143</v>
      </c>
      <c r="V307" s="40">
        <f t="shared" si="848"/>
        <v>158.075</v>
      </c>
      <c r="X307" s="53" t="s">
        <v>35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6"/>
    </row>
    <row r="308" ht="15.75" customHeight="1">
      <c r="A308" s="21"/>
      <c r="B308" s="38">
        <v>6.0</v>
      </c>
      <c r="C308" s="38" t="s">
        <v>23</v>
      </c>
      <c r="D308" s="39">
        <v>28.0</v>
      </c>
      <c r="E308" s="40">
        <f>IFERROR(__xludf.DUMMYFUNCTION("COUNT(IMPORTRANGE(""https://docs.google.com/spreadsheets/d/1uVc-vnTn57HE53lwrUYNZP4sGKTXisrqOoZ-6EyvLzY/edit"",""1!d2:d36""))"),34.0)</f>
        <v>34</v>
      </c>
      <c r="F308" s="45">
        <f>IFERROR(__xludf.DUMMYFUNCTION("SUM(IMPORTRANGE(""https://docs.google.com/spreadsheets/d/1uVc-vnTn57HE53lwrUYNZP4sGKTXisrqOoZ-6EyvLzY/edit"",""1!Q2:Q36""))"),6680.519999999995)</f>
        <v>6680.52</v>
      </c>
      <c r="G308" s="40">
        <f>IFERROR(__xludf.DUMMYFUNCTION("IMPORTRANGE(""https://docs.google.com/spreadsheets/d/1uVc-vnTn57HE53lwrUYNZP4sGKTXisrqOoZ-6EyvLzY/edit"",""1!e43"")"),1627.0)</f>
        <v>1627</v>
      </c>
      <c r="H308" s="40">
        <f>IFERROR(__xludf.DUMMYFUNCTION("IMPORTRANGE(""https://docs.google.com/spreadsheets/d/1uVc-vnTn57HE53lwrUYNZP4sGKTXisrqOoZ-6EyvLzY/edit"",""1!e44"")"),0.0)</f>
        <v>0</v>
      </c>
      <c r="I308" s="40">
        <f t="shared" si="840"/>
        <v>1627</v>
      </c>
      <c r="J308" s="40">
        <f>IFERROR(__xludf.DUMMYFUNCTION("IMPORTRANGE(""https://docs.google.com/spreadsheets/d/1uVc-vnTn57HE53lwrUYNZP4sGKTXisrqOoZ-6EyvLzY/edit"",""1!e47"")"),3262.0)</f>
        <v>3262</v>
      </c>
      <c r="K308" s="40">
        <f>IFERROR(__xludf.DUMMYFUNCTION("IMPORTRANGE(""https://docs.google.com/spreadsheets/d/1uVc-vnTn57HE53lwrUYNZP4sGKTXisrqOoZ-6EyvLzY/edit"",""1!e48"")"),0.0)</f>
        <v>0</v>
      </c>
      <c r="L308" s="40">
        <f t="shared" si="841"/>
        <v>3262</v>
      </c>
      <c r="M308" s="40">
        <f t="shared" si="842"/>
        <v>4889</v>
      </c>
      <c r="N308" s="41">
        <f t="shared" si="843"/>
        <v>196.4858824</v>
      </c>
      <c r="O308" s="38">
        <v>6853.0</v>
      </c>
      <c r="P308" s="42">
        <f t="shared" si="844"/>
        <v>0.7134101853</v>
      </c>
      <c r="Q308" s="43">
        <v>1.5</v>
      </c>
      <c r="R308" s="42">
        <f t="shared" si="845"/>
        <v>0.4878861725</v>
      </c>
      <c r="S308" s="44">
        <f t="shared" si="846"/>
        <v>0.7318292588</v>
      </c>
      <c r="T308" s="43">
        <f>F308/33.74</f>
        <v>198</v>
      </c>
      <c r="U308" s="43">
        <f t="shared" si="847"/>
        <v>5.823529412</v>
      </c>
      <c r="V308" s="40">
        <f t="shared" si="848"/>
        <v>143.7941176</v>
      </c>
      <c r="X308" s="14" t="s">
        <v>2</v>
      </c>
      <c r="Y308" s="14" t="s">
        <v>3</v>
      </c>
      <c r="Z308" s="14" t="s">
        <v>4</v>
      </c>
      <c r="AA308" s="14" t="s">
        <v>5</v>
      </c>
      <c r="AB308" s="15" t="s">
        <v>6</v>
      </c>
      <c r="AC308" s="14" t="s">
        <v>7</v>
      </c>
      <c r="AD308" s="14" t="s">
        <v>8</v>
      </c>
      <c r="AE308" s="14" t="s">
        <v>9</v>
      </c>
      <c r="AF308" s="14" t="s">
        <v>10</v>
      </c>
      <c r="AG308" s="14" t="s">
        <v>11</v>
      </c>
      <c r="AH308" s="14" t="s">
        <v>12</v>
      </c>
      <c r="AI308" s="14" t="s">
        <v>13</v>
      </c>
      <c r="AJ308" s="15" t="s">
        <v>14</v>
      </c>
      <c r="AK308" s="14" t="s">
        <v>15</v>
      </c>
      <c r="AL308" s="14" t="s">
        <v>16</v>
      </c>
      <c r="AM308" s="16" t="s">
        <v>17</v>
      </c>
      <c r="AN308" s="17" t="s">
        <v>18</v>
      </c>
      <c r="AO308" s="18" t="s">
        <v>19</v>
      </c>
      <c r="AP308" s="19" t="s">
        <v>20</v>
      </c>
      <c r="AQ308" s="19" t="s">
        <v>21</v>
      </c>
      <c r="AR308" s="20" t="s">
        <v>22</v>
      </c>
    </row>
    <row r="309" ht="15.75" customHeight="1">
      <c r="A309" s="21"/>
      <c r="B309" s="38">
        <v>7.0</v>
      </c>
      <c r="C309" s="38" t="s">
        <v>24</v>
      </c>
      <c r="D309" s="39">
        <v>37.0</v>
      </c>
      <c r="E309" s="54">
        <f>IFERROR(__xludf.DUMMYFUNCTION("COUNT(IMPORTRANGE(""https://docs.google.com/spreadsheets/d/1iuPvivSypupo44l6GtmR-2qZ3za7cTk7KzsOVp_kv2c/edit"",""1!d2:d45""))"),44.0)</f>
        <v>44</v>
      </c>
      <c r="F309" s="55">
        <f>IFERROR(__xludf.DUMMYFUNCTION("SUM(IMPORTRANGE(""https://docs.google.com/spreadsheets/d/1iuPvivSypupo44l6GtmR-2qZ3za7cTk7KzsOVp_kv2c/edit"",""1!Q2:Q45""))"),8029.355999999994)</f>
        <v>8029.356</v>
      </c>
      <c r="G309" s="54">
        <f>IFERROR(__xludf.DUMMYFUNCTION("IMPORTRANGE(""https://docs.google.com/spreadsheets/d/1iuPvivSypupo44l6GtmR-2qZ3za7cTk7KzsOVp_kv2c/edit"",""1!e53"")"),1194.0)</f>
        <v>1194</v>
      </c>
      <c r="H309" s="54">
        <f>IFERROR(__xludf.DUMMYFUNCTION("IMPORTRANGE(""https://docs.google.com/spreadsheets/d/1iuPvivSypupo44l6GtmR-2qZ3za7cTk7KzsOVp_kv2c/edit"",""1!e54"")"),0.0)</f>
        <v>0</v>
      </c>
      <c r="I309" s="54">
        <f t="shared" si="840"/>
        <v>1194</v>
      </c>
      <c r="J309" s="54">
        <f>IFERROR(__xludf.DUMMYFUNCTION("IMPORTRANGE(""https://docs.google.com/spreadsheets/d/1iuPvivSypupo44l6GtmR-2qZ3za7cTk7KzsOVp_kv2c/edit"",""1!e57"")"),1455.0)</f>
        <v>1455</v>
      </c>
      <c r="K309" s="54">
        <f>IFERROR(__xludf.DUMMYFUNCTION("IMPORTRANGE(""https://docs.google.com/spreadsheets/d/1iuPvivSypupo44l6GtmR-2qZ3za7cTk7KzsOVp_kv2c/edit"",""1!e58"")"),0.0)</f>
        <v>0</v>
      </c>
      <c r="L309" s="40">
        <f t="shared" si="841"/>
        <v>1455</v>
      </c>
      <c r="M309" s="40">
        <f t="shared" si="842"/>
        <v>2649</v>
      </c>
      <c r="N309" s="41">
        <f t="shared" si="843"/>
        <v>182.4853636</v>
      </c>
      <c r="O309" s="38">
        <v>1580.0</v>
      </c>
      <c r="P309" s="56">
        <f t="shared" si="844"/>
        <v>1.676582278</v>
      </c>
      <c r="Q309" s="43">
        <v>1.5</v>
      </c>
      <c r="R309" s="42">
        <f t="shared" si="845"/>
        <v>0.2199429195</v>
      </c>
      <c r="S309" s="44">
        <f t="shared" si="846"/>
        <v>0.3299143792</v>
      </c>
      <c r="T309" s="43">
        <f>F309/26.805</f>
        <v>299.5469502</v>
      </c>
      <c r="U309" s="43">
        <f t="shared" si="847"/>
        <v>6.807885232</v>
      </c>
      <c r="V309" s="40">
        <f t="shared" si="848"/>
        <v>60.20454545</v>
      </c>
      <c r="X309" s="22">
        <v>1.0</v>
      </c>
      <c r="Y309" s="22" t="s">
        <v>28</v>
      </c>
      <c r="Z309" s="22">
        <f t="shared" ref="Z309:AI309" si="857">SUM(D304)</f>
        <v>26</v>
      </c>
      <c r="AA309" s="23">
        <f t="shared" si="857"/>
        <v>32</v>
      </c>
      <c r="AB309" s="25">
        <f t="shared" si="857"/>
        <v>6234.135</v>
      </c>
      <c r="AC309" s="23">
        <f t="shared" si="857"/>
        <v>2719</v>
      </c>
      <c r="AD309" s="23">
        <f t="shared" si="857"/>
        <v>208</v>
      </c>
      <c r="AE309" s="23">
        <f t="shared" si="857"/>
        <v>2927</v>
      </c>
      <c r="AF309" s="23">
        <f t="shared" si="857"/>
        <v>3192</v>
      </c>
      <c r="AG309" s="23">
        <f t="shared" si="857"/>
        <v>138</v>
      </c>
      <c r="AH309" s="23">
        <f t="shared" si="857"/>
        <v>3330</v>
      </c>
      <c r="AI309" s="23">
        <f t="shared" si="857"/>
        <v>6257</v>
      </c>
      <c r="AJ309" s="25">
        <f t="shared" ref="AJ309:AJ315" si="860">AB309/AA309</f>
        <v>194.8167188</v>
      </c>
      <c r="AK309" s="22">
        <f t="shared" ref="AK309:AK310" si="861">SUM(O304)</f>
        <v>7315</v>
      </c>
      <c r="AL309" s="26">
        <f t="shared" ref="AL309:AL315" si="862">AI309/AK309</f>
        <v>0.8553656869</v>
      </c>
      <c r="AM309" s="27">
        <f t="shared" ref="AM309:AM310" si="863">SUM(Q304)</f>
        <v>1.5</v>
      </c>
      <c r="AN309" s="26">
        <f t="shared" ref="AN309:AN315" si="864">AO309/AM309</f>
        <v>0.6691118067</v>
      </c>
      <c r="AO309" s="28">
        <f t="shared" ref="AO309:AO315" si="865">AI309/AB309</f>
        <v>1.00366771</v>
      </c>
      <c r="AP309" s="27">
        <f t="shared" ref="AP309:AQ309" si="858">SUM(T304)</f>
        <v>201.7715312</v>
      </c>
      <c r="AQ309" s="27">
        <f t="shared" si="858"/>
        <v>6.305360351</v>
      </c>
      <c r="AR309" s="23">
        <f t="shared" ref="AR309:AR315" si="867">AI309/AA309</f>
        <v>195.53125</v>
      </c>
    </row>
    <row r="310" ht="15.75" customHeight="1">
      <c r="A310" s="21"/>
      <c r="B310" s="38">
        <v>8.0</v>
      </c>
      <c r="C310" s="38" t="s">
        <v>25</v>
      </c>
      <c r="D310" s="57">
        <v>27.0</v>
      </c>
      <c r="E310" s="40">
        <f>IFERROR(__xludf.DUMMYFUNCTION("COUNT(IMPORTRANGE(""https://docs.google.com/spreadsheets/d/1sqWX7UerdR9KR_duBzDNfjwbPG-3hLgV1LiN2ZVZ6Js/edit"",""1!d2:D33""))"),32.0)</f>
        <v>32</v>
      </c>
      <c r="F310" s="45">
        <f>IFERROR(__xludf.DUMMYFUNCTION("SUM(IMPORTRANGE(""https://docs.google.com/spreadsheets/d/1sqWX7UerdR9KR_duBzDNfjwbPG-3hLgV1LiN2ZVZ6Js/edit"",""1!Q2:Q33""))"),5963.536000000002)</f>
        <v>5963.536</v>
      </c>
      <c r="G310" s="40">
        <f>IFERROR(__xludf.DUMMYFUNCTION("IMPORTRANGE(""https://docs.google.com/spreadsheets/d/1sqWX7UerdR9KR_duBzDNfjwbPG-3hLgV1LiN2ZVZ6Js/edit"",""1!e40"")"),2444.0)</f>
        <v>2444</v>
      </c>
      <c r="H310" s="40">
        <f>IFERROR(__xludf.DUMMYFUNCTION("IMPORTRANGE(""https://docs.google.com/spreadsheets/d/1sqWX7UerdR9KR_duBzDNfjwbPG-3hLgV1LiN2ZVZ6Js/edit"",""1!e41"")"),331.0)</f>
        <v>331</v>
      </c>
      <c r="I310" s="40">
        <f t="shared" si="840"/>
        <v>2775</v>
      </c>
      <c r="J310" s="40">
        <f>IFERROR(__xludf.DUMMYFUNCTION("IMPORTRANGE(""https://docs.google.com/spreadsheets/d/1sqWX7UerdR9KR_duBzDNfjwbPG-3hLgV1LiN2ZVZ6Js/edit"",""1!e44"")"),3085.0)</f>
        <v>3085</v>
      </c>
      <c r="K310" s="40">
        <f>IFERROR(__xludf.DUMMYFUNCTION("IMPORTRANGE(""https://docs.google.com/spreadsheets/d/1sqWX7UerdR9KR_duBzDNfjwbPG-3hLgV1LiN2ZVZ6Js/edit"",""1!e45"")"),319.0)</f>
        <v>319</v>
      </c>
      <c r="L310" s="40">
        <f>J310+K310</f>
        <v>3404</v>
      </c>
      <c r="M310" s="40">
        <f t="shared" si="842"/>
        <v>6179</v>
      </c>
      <c r="N310" s="41">
        <f t="shared" si="843"/>
        <v>186.3605</v>
      </c>
      <c r="O310" s="38">
        <v>6622.0</v>
      </c>
      <c r="P310" s="42">
        <f t="shared" si="844"/>
        <v>0.9331017819</v>
      </c>
      <c r="Q310" s="43">
        <v>1.5</v>
      </c>
      <c r="R310" s="42">
        <f t="shared" si="845"/>
        <v>0.6907534948</v>
      </c>
      <c r="S310" s="44">
        <f t="shared" si="846"/>
        <v>1.036130242</v>
      </c>
      <c r="T310" s="43">
        <f>F310/23.84</f>
        <v>250.1483221</v>
      </c>
      <c r="U310" s="43">
        <f t="shared" si="847"/>
        <v>7.817135067</v>
      </c>
      <c r="V310" s="40">
        <f t="shared" si="848"/>
        <v>193.09375</v>
      </c>
      <c r="X310" s="31">
        <v>2.0</v>
      </c>
      <c r="Y310" s="31" t="s">
        <v>30</v>
      </c>
      <c r="Z310" s="31">
        <f t="shared" ref="Z310:AI310" si="859">SUM(D305)</f>
        <v>48</v>
      </c>
      <c r="AA310" s="32">
        <f t="shared" si="859"/>
        <v>59</v>
      </c>
      <c r="AB310" s="33">
        <f t="shared" si="859"/>
        <v>11739.692</v>
      </c>
      <c r="AC310" s="32">
        <f t="shared" si="859"/>
        <v>3754</v>
      </c>
      <c r="AD310" s="32">
        <f t="shared" si="859"/>
        <v>14</v>
      </c>
      <c r="AE310" s="32">
        <f t="shared" si="859"/>
        <v>3768</v>
      </c>
      <c r="AF310" s="32">
        <f t="shared" si="859"/>
        <v>5982</v>
      </c>
      <c r="AG310" s="32">
        <f t="shared" si="859"/>
        <v>0</v>
      </c>
      <c r="AH310" s="32">
        <f t="shared" si="859"/>
        <v>5982</v>
      </c>
      <c r="AI310" s="32">
        <f t="shared" si="859"/>
        <v>9750</v>
      </c>
      <c r="AJ310" s="34">
        <f t="shared" si="860"/>
        <v>198.9778305</v>
      </c>
      <c r="AK310" s="31">
        <f t="shared" si="861"/>
        <v>11164</v>
      </c>
      <c r="AL310" s="35">
        <f t="shared" si="862"/>
        <v>0.8733428879</v>
      </c>
      <c r="AM310" s="36">
        <f t="shared" si="863"/>
        <v>1.5</v>
      </c>
      <c r="AN310" s="35">
        <f t="shared" si="864"/>
        <v>0.5536772174</v>
      </c>
      <c r="AO310" s="37">
        <f t="shared" si="865"/>
        <v>0.8305158261</v>
      </c>
      <c r="AP310" s="36">
        <f t="shared" ref="AP310:AQ310" si="866">SUM(T305)</f>
        <v>396.5710232</v>
      </c>
      <c r="AQ310" s="36">
        <f t="shared" si="866"/>
        <v>6.721542766</v>
      </c>
      <c r="AR310" s="32">
        <f t="shared" si="867"/>
        <v>165.2542373</v>
      </c>
    </row>
    <row r="311" ht="15.75" customHeight="1">
      <c r="A311" s="21"/>
      <c r="B311" s="38">
        <v>9.0</v>
      </c>
      <c r="C311" s="38" t="s">
        <v>36</v>
      </c>
      <c r="D311" s="58">
        <v>24.0</v>
      </c>
      <c r="E311" s="40">
        <f>IFERROR(__xludf.DUMMYFUNCTION("COUNT(IMPORTRANGE(""https://docs.google.com/spreadsheets/d/1YNna43iTSqnwwbMJgTIPHSJEoDO8RGPRFg5pJCoQR_Y/edit"",""1!d2:d31""))"),29.0)</f>
        <v>29</v>
      </c>
      <c r="F311" s="45">
        <f>IFERROR(__xludf.DUMMYFUNCTION("SUM(IMPORTRANGE(""https://docs.google.com/spreadsheets/d/1YNna43iTSqnwwbMJgTIPHSJEoDO8RGPRFg5pJCoQR_Y/edit"",""1!Q2:Q31""))"),4875.344999999998)</f>
        <v>4875.345</v>
      </c>
      <c r="G311" s="40">
        <f>IFERROR(__xludf.DUMMYFUNCTION("IMPORTRANGE(""https://docs.google.com/spreadsheets/d/1YNna43iTSqnwwbMJgTIPHSJEoDO8RGPRFg5pJCoQR_Y/edit"",""1!e38"")"),1728.0)</f>
        <v>1728</v>
      </c>
      <c r="H311" s="40">
        <f>IFERROR(__xludf.DUMMYFUNCTION("IMPORTRANGE(""https://docs.google.com/spreadsheets/d/1YNna43iTSqnwwbMJgTIPHSJEoDO8RGPRFg5pJCoQR_Y/edit"",""1!e39"")"),0.0)</f>
        <v>0</v>
      </c>
      <c r="I311" s="40">
        <f t="shared" si="840"/>
        <v>1728</v>
      </c>
      <c r="J311" s="40">
        <f>IFERROR(__xludf.DUMMYFUNCTION("IMPORTRANGE(""https://docs.google.com/spreadsheets/d/1YNna43iTSqnwwbMJgTIPHSJEoDO8RGPRFg5pJCoQR_Y/edit"",""1!e42"")"),2407.0)</f>
        <v>2407</v>
      </c>
      <c r="K311" s="40">
        <f>IFERROR(__xludf.DUMMYFUNCTION("IMPORTRANGE(""https://docs.google.com/spreadsheets/d/1YNna43iTSqnwwbMJgTIPHSJEoDO8RGPRFg5pJCoQR_Y/edit"",""1!e43"")"),20.0)</f>
        <v>20</v>
      </c>
      <c r="L311" s="40">
        <f t="shared" ref="L311:L320" si="870">SUM(J311:K311)</f>
        <v>2427</v>
      </c>
      <c r="M311" s="40">
        <f t="shared" si="842"/>
        <v>4155</v>
      </c>
      <c r="N311" s="41">
        <f t="shared" si="843"/>
        <v>168.1153448</v>
      </c>
      <c r="O311" s="38">
        <v>4796.0</v>
      </c>
      <c r="P311" s="42">
        <f t="shared" si="844"/>
        <v>0.8663469558</v>
      </c>
      <c r="Q311" s="43">
        <v>1.5</v>
      </c>
      <c r="R311" s="42">
        <f t="shared" si="845"/>
        <v>0.5681649196</v>
      </c>
      <c r="S311" s="44">
        <f t="shared" si="846"/>
        <v>0.8522473794</v>
      </c>
      <c r="T311" s="43">
        <f>F311/37.414</f>
        <v>130.3080398</v>
      </c>
      <c r="U311" s="43">
        <f t="shared" si="847"/>
        <v>4.493380682</v>
      </c>
      <c r="V311" s="40">
        <f t="shared" si="848"/>
        <v>143.2758621</v>
      </c>
      <c r="X311" s="22">
        <v>3.0</v>
      </c>
      <c r="Y311" s="22" t="s">
        <v>34</v>
      </c>
      <c r="Z311" s="22">
        <f t="shared" ref="Z311:AI311" si="868">SUM(D307)</f>
        <v>32</v>
      </c>
      <c r="AA311" s="23">
        <f t="shared" si="868"/>
        <v>40</v>
      </c>
      <c r="AB311" s="24">
        <f t="shared" si="868"/>
        <v>8007.324</v>
      </c>
      <c r="AC311" s="23">
        <f t="shared" si="868"/>
        <v>2819</v>
      </c>
      <c r="AD311" s="23">
        <f t="shared" si="868"/>
        <v>0</v>
      </c>
      <c r="AE311" s="23">
        <f t="shared" si="868"/>
        <v>2819</v>
      </c>
      <c r="AF311" s="23">
        <f t="shared" si="868"/>
        <v>3504</v>
      </c>
      <c r="AG311" s="23">
        <f t="shared" si="868"/>
        <v>0</v>
      </c>
      <c r="AH311" s="23">
        <f t="shared" si="868"/>
        <v>3504</v>
      </c>
      <c r="AI311" s="23">
        <f t="shared" si="868"/>
        <v>6323</v>
      </c>
      <c r="AJ311" s="25">
        <f t="shared" si="860"/>
        <v>200.1831</v>
      </c>
      <c r="AK311" s="22">
        <f>SUM(O307)</f>
        <v>9354</v>
      </c>
      <c r="AL311" s="26">
        <f t="shared" si="862"/>
        <v>0.6759675005</v>
      </c>
      <c r="AM311" s="27">
        <f>SUM(Q307)</f>
        <v>1.5</v>
      </c>
      <c r="AN311" s="26">
        <f t="shared" si="864"/>
        <v>0.5264347157</v>
      </c>
      <c r="AO311" s="28">
        <f t="shared" si="865"/>
        <v>0.7896520735</v>
      </c>
      <c r="AP311" s="27">
        <f t="shared" ref="AP311:AQ311" si="869">SUM(T307)</f>
        <v>260.7144857</v>
      </c>
      <c r="AQ311" s="27">
        <f t="shared" si="869"/>
        <v>6.517862143</v>
      </c>
      <c r="AR311" s="23">
        <f t="shared" si="867"/>
        <v>158.075</v>
      </c>
    </row>
    <row r="312" ht="15.75" customHeight="1">
      <c r="A312" s="21"/>
      <c r="B312" s="38">
        <v>10.0</v>
      </c>
      <c r="C312" s="38" t="s">
        <v>37</v>
      </c>
      <c r="D312" s="39">
        <v>24.0</v>
      </c>
      <c r="E312" s="40">
        <f>IFERROR(__xludf.DUMMYFUNCTION("COUNT(IMPORTRANGE(""https://docs.google.com/spreadsheets/d/1913Df5BsXS_b-nClL8LOK5w0engQYTl1mPOiyngRtO0/edit"",""1!d2:d31""))"),28.0)</f>
        <v>28</v>
      </c>
      <c r="F312" s="45">
        <f>IFERROR(__xludf.DUMMYFUNCTION("SUM(IMPORTRANGE(""https://docs.google.com/spreadsheets/d/1913Df5BsXS_b-nClL8LOK5w0engQYTl1mPOiyngRtO0/edit"",""1!Q2:Q31""))"),5465.100000000002)</f>
        <v>5465.1</v>
      </c>
      <c r="G312" s="40">
        <f>IFERROR(__xludf.DUMMYFUNCTION("(IMPORTRANGE(""https://docs.google.com/spreadsheets/d/1913Df5BsXS_b-nClL8LOK5w0engQYTl1mPOiyngRtO0/edit"",""1!e38""))"),2135.0)</f>
        <v>2135</v>
      </c>
      <c r="H312" s="40">
        <f>IFERROR(__xludf.DUMMYFUNCTION("(IMPORTRANGE(""https://docs.google.com/spreadsheets/d/1913Df5BsXS_b-nClL8LOK5w0engQYTl1mPOiyngRtO0/edit"",""1!e39""))"),0.0)</f>
        <v>0</v>
      </c>
      <c r="I312" s="40">
        <f t="shared" si="840"/>
        <v>2135</v>
      </c>
      <c r="J312" s="40">
        <f>IFERROR(__xludf.DUMMYFUNCTION("(IMPORTRANGE(""https://docs.google.com/spreadsheets/d/1913Df5BsXS_b-nClL8LOK5w0engQYTl1mPOiyngRtO0/edit"",""1!e42""))"),3182.0)</f>
        <v>3182</v>
      </c>
      <c r="K312" s="40">
        <f>IFERROR(__xludf.DUMMYFUNCTION("(IMPORTRANGE(""https://docs.google.com/spreadsheets/d/1913Df5BsXS_b-nClL8LOK5w0engQYTl1mPOiyngRtO0/edit"",""1!e43""))"),0.0)</f>
        <v>0</v>
      </c>
      <c r="L312" s="40">
        <f t="shared" si="870"/>
        <v>3182</v>
      </c>
      <c r="M312" s="40">
        <f t="shared" si="842"/>
        <v>5317</v>
      </c>
      <c r="N312" s="41">
        <f t="shared" si="843"/>
        <v>195.1821429</v>
      </c>
      <c r="O312" s="38">
        <v>5887.0</v>
      </c>
      <c r="P312" s="42">
        <f t="shared" si="844"/>
        <v>0.9031764906</v>
      </c>
      <c r="Q312" s="43">
        <v>1.5</v>
      </c>
      <c r="R312" s="42">
        <f t="shared" si="845"/>
        <v>0.6486005136</v>
      </c>
      <c r="S312" s="44">
        <f t="shared" si="846"/>
        <v>0.9729007703</v>
      </c>
      <c r="T312" s="43">
        <f>F312/24.792</f>
        <v>220.4380445</v>
      </c>
      <c r="U312" s="43">
        <f t="shared" si="847"/>
        <v>7.872787305</v>
      </c>
      <c r="V312" s="40">
        <f t="shared" si="848"/>
        <v>189.8928571</v>
      </c>
      <c r="X312" s="31">
        <v>4.0</v>
      </c>
      <c r="Y312" s="31" t="s">
        <v>38</v>
      </c>
      <c r="Z312" s="31">
        <f t="shared" ref="Z312:AI312" si="871">SUM(D315)</f>
        <v>24</v>
      </c>
      <c r="AA312" s="32">
        <f t="shared" si="871"/>
        <v>30</v>
      </c>
      <c r="AB312" s="33">
        <f t="shared" si="871"/>
        <v>6034.986</v>
      </c>
      <c r="AC312" s="32">
        <f t="shared" si="871"/>
        <v>1876</v>
      </c>
      <c r="AD312" s="32">
        <f t="shared" si="871"/>
        <v>79</v>
      </c>
      <c r="AE312" s="32">
        <f t="shared" si="871"/>
        <v>1955</v>
      </c>
      <c r="AF312" s="32">
        <f t="shared" si="871"/>
        <v>2967</v>
      </c>
      <c r="AG312" s="32">
        <f t="shared" si="871"/>
        <v>140</v>
      </c>
      <c r="AH312" s="32">
        <f t="shared" si="871"/>
        <v>3107</v>
      </c>
      <c r="AI312" s="32">
        <f t="shared" si="871"/>
        <v>5062</v>
      </c>
      <c r="AJ312" s="34">
        <f t="shared" si="860"/>
        <v>201.1662</v>
      </c>
      <c r="AK312" s="31">
        <v>7324.0</v>
      </c>
      <c r="AL312" s="35">
        <f t="shared" si="862"/>
        <v>0.6911523758</v>
      </c>
      <c r="AM312" s="36">
        <f>SUM(Q315)</f>
        <v>1.5</v>
      </c>
      <c r="AN312" s="35">
        <f t="shared" si="864"/>
        <v>0.5591838435</v>
      </c>
      <c r="AO312" s="37">
        <f t="shared" si="865"/>
        <v>0.8387757652</v>
      </c>
      <c r="AP312" s="36">
        <f t="shared" ref="AP312:AQ312" si="872">SUM(T315)</f>
        <v>146.4624681</v>
      </c>
      <c r="AQ312" s="36">
        <f t="shared" si="872"/>
        <v>4.882082272</v>
      </c>
      <c r="AR312" s="32">
        <f t="shared" si="867"/>
        <v>168.7333333</v>
      </c>
    </row>
    <row r="313" ht="15.75" customHeight="1">
      <c r="A313" s="21"/>
      <c r="B313" s="38">
        <v>12.0</v>
      </c>
      <c r="C313" s="38" t="s">
        <v>39</v>
      </c>
      <c r="D313" s="39">
        <v>22.0</v>
      </c>
      <c r="E313" s="40">
        <f>IFERROR(__xludf.DUMMYFUNCTION("COUNT(IMPORTRANGE(""https://docs.google.com/spreadsheets/d/1wMeol_MpSIcocGxt3WZGl46mJ2tc80mANPvP_YzaP18/edit"",""1!d2:d29""))"),27.0)</f>
        <v>27</v>
      </c>
      <c r="F313" s="45">
        <f>IFERROR(__xludf.DUMMYFUNCTION("SUM(IMPORTRANGE(""https://docs.google.com/spreadsheets/d/1wMeol_MpSIcocGxt3WZGl46mJ2tc80mANPvP_YzaP18/edit"",""1!Q2:Q29""))"),5318.459)</f>
        <v>5318.459</v>
      </c>
      <c r="G313" s="40">
        <f>IFERROR(__xludf.DUMMYFUNCTION("IMPORTRANGE(""https://docs.google.com/spreadsheets/d/1wMeol_MpSIcocGxt3WZGl46mJ2tc80mANPvP_YzaP18/edit"",""1!e36"")"),1229.0)</f>
        <v>1229</v>
      </c>
      <c r="H313" s="40">
        <f>IFERROR(__xludf.DUMMYFUNCTION("(IMPORTRANGE(""https://docs.google.com/spreadsheets/d/1wMeol_MpSIcocGxt3WZGl46mJ2tc80mANPvP_YzaP18/edit"",""1!e37""))"),0.0)</f>
        <v>0</v>
      </c>
      <c r="I313" s="40">
        <f t="shared" si="840"/>
        <v>1229</v>
      </c>
      <c r="J313" s="40">
        <f>IFERROR(__xludf.DUMMYFUNCTION("IMPORTRANGE(""https://docs.google.com/spreadsheets/d/1wMeol_MpSIcocGxt3WZGl46mJ2tc80mANPvP_YzaP18/edit"",""1!e40"")"),1740.0)</f>
        <v>1740</v>
      </c>
      <c r="K313" s="40">
        <f>IFERROR(__xludf.DUMMYFUNCTION("IMPORTRANGE(""https://docs.google.com/spreadsheets/d/1wMeol_MpSIcocGxt3WZGl46mJ2tc80mANPvP_YzaP18/edit"",""1!e41"")"),0.0)</f>
        <v>0</v>
      </c>
      <c r="L313" s="40">
        <f t="shared" si="870"/>
        <v>1740</v>
      </c>
      <c r="M313" s="40">
        <f t="shared" si="842"/>
        <v>2969</v>
      </c>
      <c r="N313" s="41">
        <f t="shared" si="843"/>
        <v>196.979963</v>
      </c>
      <c r="O313" s="38">
        <v>3569.0</v>
      </c>
      <c r="P313" s="42">
        <f t="shared" si="844"/>
        <v>0.8318856823</v>
      </c>
      <c r="Q313" s="43">
        <v>1.5</v>
      </c>
      <c r="R313" s="42">
        <f t="shared" si="845"/>
        <v>0.3721629392</v>
      </c>
      <c r="S313" s="44">
        <f t="shared" si="846"/>
        <v>0.5582444088</v>
      </c>
      <c r="T313" s="43">
        <f>F313/21.463</f>
        <v>247.7966268</v>
      </c>
      <c r="U313" s="43">
        <f t="shared" si="847"/>
        <v>9.177652843</v>
      </c>
      <c r="V313" s="40">
        <f t="shared" si="848"/>
        <v>109.962963</v>
      </c>
      <c r="X313" s="31">
        <v>5.0</v>
      </c>
      <c r="Y313" s="31" t="s">
        <v>40</v>
      </c>
      <c r="Z313" s="31">
        <f t="shared" ref="Z313:AI313" si="873">SUM(D317)</f>
        <v>24</v>
      </c>
      <c r="AA313" s="32">
        <f t="shared" si="873"/>
        <v>30</v>
      </c>
      <c r="AB313" s="33">
        <f t="shared" si="873"/>
        <v>5660.157</v>
      </c>
      <c r="AC313" s="32">
        <f t="shared" si="873"/>
        <v>3382</v>
      </c>
      <c r="AD313" s="32">
        <f t="shared" si="873"/>
        <v>0</v>
      </c>
      <c r="AE313" s="32">
        <f t="shared" si="873"/>
        <v>3382</v>
      </c>
      <c r="AF313" s="32">
        <f t="shared" si="873"/>
        <v>3798</v>
      </c>
      <c r="AG313" s="32">
        <f t="shared" si="873"/>
        <v>0</v>
      </c>
      <c r="AH313" s="32">
        <f t="shared" si="873"/>
        <v>3798</v>
      </c>
      <c r="AI313" s="32">
        <f t="shared" si="873"/>
        <v>7180</v>
      </c>
      <c r="AJ313" s="34">
        <f t="shared" si="860"/>
        <v>188.6719</v>
      </c>
      <c r="AK313" s="31">
        <f t="shared" ref="AK313:AK314" si="876">SUM(O317)</f>
        <v>8239</v>
      </c>
      <c r="AL313" s="35">
        <f t="shared" si="862"/>
        <v>0.8714649836</v>
      </c>
      <c r="AM313" s="36">
        <f t="shared" ref="AM313:AM314" si="877">SUM(Q317)</f>
        <v>1.5</v>
      </c>
      <c r="AN313" s="35">
        <f t="shared" si="864"/>
        <v>0.8456773667</v>
      </c>
      <c r="AO313" s="37">
        <f t="shared" si="865"/>
        <v>1.26851605</v>
      </c>
      <c r="AP313" s="36">
        <f t="shared" ref="AP313:AQ313" si="874">SUM(T317)</f>
        <v>199</v>
      </c>
      <c r="AQ313" s="36">
        <f t="shared" si="874"/>
        <v>6.633333333</v>
      </c>
      <c r="AR313" s="32">
        <f t="shared" si="867"/>
        <v>239.3333333</v>
      </c>
    </row>
    <row r="314" ht="15.75" customHeight="1">
      <c r="A314" s="21"/>
      <c r="B314" s="38">
        <v>12.0</v>
      </c>
      <c r="C314" s="38" t="s">
        <v>41</v>
      </c>
      <c r="D314" s="39">
        <v>20.0</v>
      </c>
      <c r="E314" s="40">
        <f>IFERROR(__xludf.DUMMYFUNCTION("COUNT(IMPORTRANGE(""https://docs.google.com/spreadsheets/d/1sHk6_yuc4kORC_xnhEeazoemV_hVUQVqRpfoNae-PLk/edit"",""1!d2:d25""))"),24.0)</f>
        <v>24</v>
      </c>
      <c r="F314" s="45">
        <f>IFERROR(__xludf.DUMMYFUNCTION("SUM(IMPORTRANGE(""https://docs.google.com/spreadsheets/d/1sHk6_yuc4kORC_xnhEeazoemV_hVUQVqRpfoNae-PLk/edit"",""1!Q2:Q25""))"),4793.152000000001)</f>
        <v>4793.152</v>
      </c>
      <c r="G314" s="40">
        <f>IFERROR(__xludf.DUMMYFUNCTION("IMPORTRANGE(""https://docs.google.com/spreadsheets/d/1sHk6_yuc4kORC_xnhEeazoemV_hVUQVqRpfoNae-PLk/edit"",""1!e32"")"),1363.0)</f>
        <v>1363</v>
      </c>
      <c r="H314" s="40">
        <f>IFERROR(__xludf.DUMMYFUNCTION("IMPORTRANGE(""https://docs.google.com/spreadsheets/d/1sHk6_yuc4kORC_xnhEeazoemV_hVUQVqRpfoNae-PLk/edit"",""1!e33"")"),0.0)</f>
        <v>0</v>
      </c>
      <c r="I314" s="40">
        <f t="shared" si="840"/>
        <v>1363</v>
      </c>
      <c r="J314" s="40">
        <f>IFERROR(__xludf.DUMMYFUNCTION("IMPORTRANGE(""https://docs.google.com/spreadsheets/d/1sHk6_yuc4kORC_xnhEeazoemV_hVUQVqRpfoNae-PLk/edit"",""1!e36"")"),1818.0)</f>
        <v>1818</v>
      </c>
      <c r="K314" s="40">
        <f>IFERROR(__xludf.DUMMYFUNCTION("IMPORTRANGE(""https://docs.google.com/spreadsheets/d/1sHk6_yuc4kORC_xnhEeazoemV_hVUQVqRpfoNae-PLk/edit"",""1!e37"")"),0.0)</f>
        <v>0</v>
      </c>
      <c r="L314" s="40">
        <f t="shared" si="870"/>
        <v>1818</v>
      </c>
      <c r="M314" s="40">
        <f t="shared" si="842"/>
        <v>3181</v>
      </c>
      <c r="N314" s="41">
        <f t="shared" si="843"/>
        <v>199.7146667</v>
      </c>
      <c r="O314" s="38">
        <v>3801.0</v>
      </c>
      <c r="P314" s="42">
        <f t="shared" si="844"/>
        <v>0.8368850303</v>
      </c>
      <c r="Q314" s="43">
        <v>1.5</v>
      </c>
      <c r="R314" s="42">
        <f t="shared" si="845"/>
        <v>0.4424367653</v>
      </c>
      <c r="S314" s="44">
        <f t="shared" si="846"/>
        <v>0.663655148</v>
      </c>
      <c r="T314" s="43">
        <f>F314/29.628</f>
        <v>161.7777778</v>
      </c>
      <c r="U314" s="43">
        <f t="shared" si="847"/>
        <v>6.740740741</v>
      </c>
      <c r="V314" s="40">
        <f t="shared" si="848"/>
        <v>132.5416667</v>
      </c>
      <c r="X314" s="22">
        <v>6.0</v>
      </c>
      <c r="Y314" s="22" t="s">
        <v>42</v>
      </c>
      <c r="Z314" s="22">
        <f t="shared" ref="Z314:AI314" si="875">SUM(D318)</f>
        <v>26</v>
      </c>
      <c r="AA314" s="23">
        <f t="shared" si="875"/>
        <v>33</v>
      </c>
      <c r="AB314" s="24">
        <f t="shared" si="875"/>
        <v>6597.215</v>
      </c>
      <c r="AC314" s="23">
        <f t="shared" si="875"/>
        <v>3014</v>
      </c>
      <c r="AD314" s="23">
        <f t="shared" si="875"/>
        <v>234</v>
      </c>
      <c r="AE314" s="23">
        <f t="shared" si="875"/>
        <v>3248</v>
      </c>
      <c r="AF314" s="23">
        <f t="shared" si="875"/>
        <v>4605</v>
      </c>
      <c r="AG314" s="23">
        <f t="shared" si="875"/>
        <v>108</v>
      </c>
      <c r="AH314" s="23">
        <f t="shared" si="875"/>
        <v>4713</v>
      </c>
      <c r="AI314" s="23">
        <f t="shared" si="875"/>
        <v>7961</v>
      </c>
      <c r="AJ314" s="25">
        <f t="shared" si="860"/>
        <v>199.9156061</v>
      </c>
      <c r="AK314" s="22">
        <f t="shared" si="876"/>
        <v>9877</v>
      </c>
      <c r="AL314" s="26">
        <f t="shared" si="862"/>
        <v>0.8060139719</v>
      </c>
      <c r="AM314" s="27">
        <f t="shared" si="877"/>
        <v>1.5</v>
      </c>
      <c r="AN314" s="26">
        <f t="shared" si="864"/>
        <v>0.8044808807</v>
      </c>
      <c r="AO314" s="28">
        <f t="shared" si="865"/>
        <v>1.206721321</v>
      </c>
      <c r="AP314" s="27">
        <f t="shared" ref="AP314:AQ314" si="878">SUM(T318)</f>
        <v>252.2353279</v>
      </c>
      <c r="AQ314" s="27">
        <f t="shared" si="878"/>
        <v>7.643494783</v>
      </c>
      <c r="AR314" s="23">
        <f t="shared" si="867"/>
        <v>241.2424242</v>
      </c>
    </row>
    <row r="315" ht="15.75" customHeight="1">
      <c r="A315" s="21"/>
      <c r="B315" s="38">
        <v>13.0</v>
      </c>
      <c r="C315" s="38" t="s">
        <v>43</v>
      </c>
      <c r="D315" s="39">
        <v>24.0</v>
      </c>
      <c r="E315" s="40">
        <f>IFERROR(__xludf.DUMMYFUNCTION("COUNT(IMPORTRANGE(""https://docs.google.com/spreadsheets/d/1uGXvAN2jA6kmcEHUY4KqOHHewllZsujDdA6KVDfBCoA/edit"",""1!d2:d31""))"),30.0)</f>
        <v>30</v>
      </c>
      <c r="F315" s="45">
        <f>IFERROR(__xludf.DUMMYFUNCTION("SUM(IMPORTRANGE(""https://docs.google.com/spreadsheets/d/1uGXvAN2jA6kmcEHUY4KqOHHewllZsujDdA6KVDfBCoA/edit"",""1!Q2:Q31""))"),6034.986)</f>
        <v>6034.986</v>
      </c>
      <c r="G315" s="40">
        <f>IFERROR(__xludf.DUMMYFUNCTION("IMPORTRANGE(""https://docs.google.com/spreadsheets/d/1uGXvAN2jA6kmcEHUY4KqOHHewllZsujDdA6KVDfBCoA/edit"",""1!e38"")"),1876.0)</f>
        <v>1876</v>
      </c>
      <c r="H315" s="40">
        <f>IFERROR(__xludf.DUMMYFUNCTION("IMPORTRANGE(""https://docs.google.com/spreadsheets/d/1uGXvAN2jA6kmcEHUY4KqOHHewllZsujDdA6KVDfBCoA/edit"",""1!e39"")"),79.0)</f>
        <v>79</v>
      </c>
      <c r="I315" s="40">
        <f t="shared" si="840"/>
        <v>1955</v>
      </c>
      <c r="J315" s="40">
        <f>IFERROR(__xludf.DUMMYFUNCTION("IMPORTRANGE(""https://docs.google.com/spreadsheets/d/1uGXvAN2jA6kmcEHUY4KqOHHewllZsujDdA6KVDfBCoA/edit"",""1!e42"")"),2967.0)</f>
        <v>2967</v>
      </c>
      <c r="K315" s="40">
        <f>IFERROR(__xludf.DUMMYFUNCTION("IMPORTRANGE(""https://docs.google.com/spreadsheets/d/1uGXvAN2jA6kmcEHUY4KqOHHewllZsujDdA6KVDfBCoA/edit"",""1!e43"")"),140.0)</f>
        <v>140</v>
      </c>
      <c r="L315" s="40">
        <f t="shared" si="870"/>
        <v>3107</v>
      </c>
      <c r="M315" s="40">
        <f t="shared" si="842"/>
        <v>5062</v>
      </c>
      <c r="N315" s="41">
        <f t="shared" si="843"/>
        <v>201.1662</v>
      </c>
      <c r="O315" s="38">
        <v>8345.0</v>
      </c>
      <c r="P315" s="42">
        <f t="shared" si="844"/>
        <v>0.6065907729</v>
      </c>
      <c r="Q315" s="43">
        <v>1.5</v>
      </c>
      <c r="R315" s="42">
        <f t="shared" si="845"/>
        <v>0.5591838435</v>
      </c>
      <c r="S315" s="44">
        <f t="shared" si="846"/>
        <v>0.8387757652</v>
      </c>
      <c r="T315" s="43">
        <f>F315/41.205</f>
        <v>146.4624681</v>
      </c>
      <c r="U315" s="43">
        <f t="shared" si="847"/>
        <v>4.882082272</v>
      </c>
      <c r="V315" s="40">
        <f t="shared" si="848"/>
        <v>168.7333333</v>
      </c>
      <c r="X315" s="46" t="s">
        <v>33</v>
      </c>
      <c r="Y315" s="46">
        <v>6.0</v>
      </c>
      <c r="Z315" s="46">
        <f t="shared" ref="Z315:AI315" si="879">SUM(Z309:Z314)</f>
        <v>180</v>
      </c>
      <c r="AA315" s="47">
        <f t="shared" si="879"/>
        <v>224</v>
      </c>
      <c r="AB315" s="49">
        <f t="shared" si="879"/>
        <v>44273.509</v>
      </c>
      <c r="AC315" s="47">
        <f t="shared" si="879"/>
        <v>17564</v>
      </c>
      <c r="AD315" s="47">
        <f t="shared" si="879"/>
        <v>535</v>
      </c>
      <c r="AE315" s="47">
        <f t="shared" si="879"/>
        <v>18099</v>
      </c>
      <c r="AF315" s="47">
        <f t="shared" si="879"/>
        <v>24048</v>
      </c>
      <c r="AG315" s="47">
        <f t="shared" si="879"/>
        <v>386</v>
      </c>
      <c r="AH315" s="47">
        <f t="shared" si="879"/>
        <v>24434</v>
      </c>
      <c r="AI315" s="47">
        <f t="shared" si="879"/>
        <v>42533</v>
      </c>
      <c r="AJ315" s="49">
        <f t="shared" si="860"/>
        <v>197.6495938</v>
      </c>
      <c r="AK315" s="46">
        <f>SUM(AK309:AK314)</f>
        <v>53273</v>
      </c>
      <c r="AL315" s="50">
        <f t="shared" si="862"/>
        <v>0.7983969365</v>
      </c>
      <c r="AM315" s="51">
        <v>1.5</v>
      </c>
      <c r="AN315" s="50">
        <f t="shared" si="864"/>
        <v>0.6404582328</v>
      </c>
      <c r="AO315" s="52">
        <f t="shared" si="865"/>
        <v>0.9606873492</v>
      </c>
      <c r="AP315" s="51">
        <f>SUM(AP309:AP314)</f>
        <v>1456.754836</v>
      </c>
      <c r="AQ315" s="51">
        <f>AP315/AA315</f>
        <v>6.503369804</v>
      </c>
      <c r="AR315" s="47">
        <f t="shared" si="867"/>
        <v>189.8794643</v>
      </c>
    </row>
    <row r="316" ht="15.75" customHeight="1">
      <c r="A316" s="21"/>
      <c r="B316" s="38">
        <v>14.0</v>
      </c>
      <c r="C316" s="38" t="s">
        <v>27</v>
      </c>
      <c r="D316" s="39">
        <v>24.0</v>
      </c>
      <c r="E316" s="40">
        <f>IFERROR(__xludf.DUMMYFUNCTION("COUNT(IMPORTRANGE(""https://docs.google.com/spreadsheets/d/1iYtf3wkjJIgOL8ej0-L89wY8FLXKi6EiRbi9UqA1Bzw/edit"",""1!d2:d31""))"),29.0)</f>
        <v>29</v>
      </c>
      <c r="F316" s="45">
        <f>IFERROR(__xludf.DUMMYFUNCTION("SUM(IMPORTRANGE(""https://docs.google.com/spreadsheets/d/1iYtf3wkjJIgOL8ej0-L89wY8FLXKi6EiRbi9UqA1Bzw/edit"",""1!Q2:Q31""))"),5631.663000000001)</f>
        <v>5631.663</v>
      </c>
      <c r="G316" s="40">
        <f>IFERROR(__xludf.DUMMYFUNCTION("IMPORTRANGE(""https://docs.google.com/spreadsheets/d/1iYtf3wkjJIgOL8ej0-L89wY8FLXKi6EiRbi9UqA1Bzw/edit"",""1!e38"")"),2486.0)</f>
        <v>2486</v>
      </c>
      <c r="H316" s="40">
        <f>IFERROR(__xludf.DUMMYFUNCTION("IMPORTRANGE(""https://docs.google.com/spreadsheets/d/1iYtf3wkjJIgOL8ej0-L89wY8FLXKi6EiRbi9UqA1Bzw/edit"",""1!e39"")"),80.0)</f>
        <v>80</v>
      </c>
      <c r="I316" s="40">
        <f t="shared" si="840"/>
        <v>2566</v>
      </c>
      <c r="J316" s="40">
        <f>IFERROR(__xludf.DUMMYFUNCTION("IMPORTRANGE(""https://docs.google.com/spreadsheets/d/1iYtf3wkjJIgOL8ej0-L89wY8FLXKi6EiRbi9UqA1Bzw/edit"",""1!e42"")"),2945.0)</f>
        <v>2945</v>
      </c>
      <c r="K316" s="40">
        <f>IFERROR(__xludf.DUMMYFUNCTION("IMPORTRANGE(""https://docs.google.com/spreadsheets/d/1iYtf3wkjJIgOL8ej0-L89wY8FLXKi6EiRbi9UqA1Bzw/edit"",""1!e43"")"),88.0)</f>
        <v>88</v>
      </c>
      <c r="L316" s="40">
        <f t="shared" si="870"/>
        <v>3033</v>
      </c>
      <c r="M316" s="40">
        <f t="shared" si="842"/>
        <v>5599</v>
      </c>
      <c r="N316" s="41">
        <f t="shared" si="843"/>
        <v>194.1952759</v>
      </c>
      <c r="O316" s="38">
        <v>8101.0</v>
      </c>
      <c r="P316" s="42">
        <f t="shared" si="844"/>
        <v>0.6911492408</v>
      </c>
      <c r="Q316" s="43">
        <v>1.5</v>
      </c>
      <c r="R316" s="42">
        <f t="shared" si="845"/>
        <v>0.6628000764</v>
      </c>
      <c r="S316" s="44">
        <f t="shared" si="846"/>
        <v>0.9942001146</v>
      </c>
      <c r="T316" s="43">
        <f>F316/19.985</f>
        <v>281.7944959</v>
      </c>
      <c r="U316" s="43">
        <f t="shared" si="847"/>
        <v>9.717051582</v>
      </c>
      <c r="V316" s="40">
        <f t="shared" si="848"/>
        <v>193.0689655</v>
      </c>
      <c r="X316" s="59" t="s">
        <v>44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6"/>
    </row>
    <row r="317" ht="15.75" customHeight="1">
      <c r="A317" s="21"/>
      <c r="B317" s="38">
        <v>15.0</v>
      </c>
      <c r="C317" s="38" t="s">
        <v>40</v>
      </c>
      <c r="D317" s="39">
        <v>24.0</v>
      </c>
      <c r="E317" s="40">
        <f>IFERROR(__xludf.DUMMYFUNCTION("COUNT(IMPORTRANGE(""https://docs.google.com/spreadsheets/d/1Wdf8MsoDBzMSsrzOXwaGQzbVjVqOWfKSqYmbncevZgA/edit"",""1!d2:d31""))"),30.0)</f>
        <v>30</v>
      </c>
      <c r="F317" s="45">
        <f>IFERROR(__xludf.DUMMYFUNCTION("SUM(IMPORTRANGE(""https://docs.google.com/spreadsheets/d/1Wdf8MsoDBzMSsrzOXwaGQzbVjVqOWfKSqYmbncevZgA/edit"",""1!Q2:Q31""))"),5660.156999999998)</f>
        <v>5660.157</v>
      </c>
      <c r="G317" s="40">
        <f>IFERROR(__xludf.DUMMYFUNCTION("IMPORTRANGE(""https://docs.google.com/spreadsheets/d/1Wdf8MsoDBzMSsrzOXwaGQzbVjVqOWfKSqYmbncevZgA/edit"",""1!e38"")"),3382.0)</f>
        <v>3382</v>
      </c>
      <c r="H317" s="40">
        <f>IFERROR(__xludf.DUMMYFUNCTION("IMPORTRANGE(""https://docs.google.com/spreadsheets/d/1Wdf8MsoDBzMSsrzOXwaGQzbVjVqOWfKSqYmbncevZgA/edit"",""1!e39"")"),0.0)</f>
        <v>0</v>
      </c>
      <c r="I317" s="40">
        <f t="shared" si="840"/>
        <v>3382</v>
      </c>
      <c r="J317" s="40">
        <f>IFERROR(__xludf.DUMMYFUNCTION("IMPORTRANGE(""https://docs.google.com/spreadsheets/d/1Wdf8MsoDBzMSsrzOXwaGQzbVjVqOWfKSqYmbncevZgA/edit"",""1!e42"")"),3798.0)</f>
        <v>3798</v>
      </c>
      <c r="K317" s="40">
        <f>IFERROR(__xludf.DUMMYFUNCTION("IMPORTRANGE(""https://docs.google.com/spreadsheets/d/1Wdf8MsoDBzMSsrzOXwaGQzbVjVqOWfKSqYmbncevZgA/edit"",""1!e43"")"),0.0)</f>
        <v>0</v>
      </c>
      <c r="L317" s="40">
        <f t="shared" si="870"/>
        <v>3798</v>
      </c>
      <c r="M317" s="40">
        <f t="shared" si="842"/>
        <v>7180</v>
      </c>
      <c r="N317" s="41">
        <f t="shared" si="843"/>
        <v>188.6719</v>
      </c>
      <c r="O317" s="38">
        <v>8239.0</v>
      </c>
      <c r="P317" s="42">
        <f t="shared" si="844"/>
        <v>0.8714649836</v>
      </c>
      <c r="Q317" s="43">
        <v>1.5</v>
      </c>
      <c r="R317" s="42">
        <f t="shared" si="845"/>
        <v>0.8456773667</v>
      </c>
      <c r="S317" s="44">
        <f t="shared" si="846"/>
        <v>1.26851605</v>
      </c>
      <c r="T317" s="43">
        <f>F317/28.443</f>
        <v>199</v>
      </c>
      <c r="U317" s="43">
        <f t="shared" si="847"/>
        <v>6.633333333</v>
      </c>
      <c r="V317" s="40">
        <f t="shared" si="848"/>
        <v>239.3333333</v>
      </c>
      <c r="X317" s="14" t="s">
        <v>2</v>
      </c>
      <c r="Y317" s="14" t="s">
        <v>3</v>
      </c>
      <c r="Z317" s="14" t="s">
        <v>4</v>
      </c>
      <c r="AA317" s="14" t="s">
        <v>5</v>
      </c>
      <c r="AB317" s="15" t="s">
        <v>6</v>
      </c>
      <c r="AC317" s="14" t="s">
        <v>7</v>
      </c>
      <c r="AD317" s="14" t="s">
        <v>8</v>
      </c>
      <c r="AE317" s="14" t="s">
        <v>9</v>
      </c>
      <c r="AF317" s="14" t="s">
        <v>10</v>
      </c>
      <c r="AG317" s="14" t="s">
        <v>11</v>
      </c>
      <c r="AH317" s="14" t="s">
        <v>12</v>
      </c>
      <c r="AI317" s="14" t="s">
        <v>13</v>
      </c>
      <c r="AJ317" s="15" t="s">
        <v>14</v>
      </c>
      <c r="AK317" s="14" t="s">
        <v>15</v>
      </c>
      <c r="AL317" s="14" t="s">
        <v>16</v>
      </c>
      <c r="AM317" s="16" t="s">
        <v>17</v>
      </c>
      <c r="AN317" s="17" t="s">
        <v>18</v>
      </c>
      <c r="AO317" s="18" t="s">
        <v>19</v>
      </c>
      <c r="AP317" s="19" t="s">
        <v>20</v>
      </c>
      <c r="AQ317" s="19" t="s">
        <v>21</v>
      </c>
      <c r="AR317" s="20" t="s">
        <v>22</v>
      </c>
    </row>
    <row r="318" ht="15.75" customHeight="1">
      <c r="A318" s="21"/>
      <c r="B318" s="38">
        <v>16.0</v>
      </c>
      <c r="C318" s="38" t="s">
        <v>42</v>
      </c>
      <c r="D318" s="39">
        <v>26.0</v>
      </c>
      <c r="E318" s="40">
        <f>IFERROR(__xludf.DUMMYFUNCTION("COUNT(IMPORTRANGE(""https://docs.google.com/spreadsheets/d/1Z5uB5HbeAKcHmG4EOw3rf2J8NpyvDiha6RReERAMvA0/edit"",""1!d2:d34""))"),33.0)</f>
        <v>33</v>
      </c>
      <c r="F318" s="45">
        <f>IFERROR(__xludf.DUMMYFUNCTION("SUM(IMPORTRANGE(""https://docs.google.com/spreadsheets/d/1Z5uB5HbeAKcHmG4EOw3rf2J8NpyvDiha6RReERAMvA0/edit"",""1!Q2:Q34""))"),6597.214999999997)</f>
        <v>6597.215</v>
      </c>
      <c r="G318" s="40">
        <f>IFERROR(__xludf.DUMMYFUNCTION("IMPORTRANGE(""https://docs.google.com/spreadsheets/d/1Z5uB5HbeAKcHmG4EOw3rf2J8NpyvDiha6RReERAMvA0/edit"",""1!e41"")"),3014.0)</f>
        <v>3014</v>
      </c>
      <c r="H318" s="40">
        <f>IFERROR(__xludf.DUMMYFUNCTION("IMPORTRANGE(""https://docs.google.com/spreadsheets/d/1Z5uB5HbeAKcHmG4EOw3rf2J8NpyvDiha6RReERAMvA0/edit"",""1!e42"")"),234.0)</f>
        <v>234</v>
      </c>
      <c r="I318" s="40">
        <f t="shared" si="840"/>
        <v>3248</v>
      </c>
      <c r="J318" s="40">
        <f>IFERROR(__xludf.DUMMYFUNCTION("IMPORTRANGE(""https://docs.google.com/spreadsheets/d/1Z5uB5HbeAKcHmG4EOw3rf2J8NpyvDiha6RReERAMvA0/edit"",""1!e45"")"),4605.0)</f>
        <v>4605</v>
      </c>
      <c r="K318" s="40">
        <f>IFERROR(__xludf.DUMMYFUNCTION("IMPORTRANGE(""https://docs.google.com/spreadsheets/d/1Z5uB5HbeAKcHmG4EOw3rf2J8NpyvDiha6RReERAMvA0/edit"",""1!e46"")"),108.0)</f>
        <v>108</v>
      </c>
      <c r="L318" s="40">
        <f t="shared" si="870"/>
        <v>4713</v>
      </c>
      <c r="M318" s="40">
        <f t="shared" si="842"/>
        <v>7961</v>
      </c>
      <c r="N318" s="41">
        <f t="shared" si="843"/>
        <v>199.9156061</v>
      </c>
      <c r="O318" s="38">
        <v>9877.0</v>
      </c>
      <c r="P318" s="42">
        <f t="shared" si="844"/>
        <v>0.8060139719</v>
      </c>
      <c r="Q318" s="43">
        <v>1.5</v>
      </c>
      <c r="R318" s="42">
        <f t="shared" si="845"/>
        <v>0.8044808807</v>
      </c>
      <c r="S318" s="44">
        <f t="shared" si="846"/>
        <v>1.206721321</v>
      </c>
      <c r="T318" s="43">
        <f>F318/26.155</f>
        <v>252.2353279</v>
      </c>
      <c r="U318" s="43">
        <f t="shared" si="847"/>
        <v>7.643494783</v>
      </c>
      <c r="V318" s="40">
        <f t="shared" si="848"/>
        <v>241.2424242</v>
      </c>
      <c r="X318" s="31">
        <v>1.0</v>
      </c>
      <c r="Y318" s="31" t="s">
        <v>26</v>
      </c>
      <c r="Z318" s="31">
        <f t="shared" ref="Z318:AI318" si="880">SUM(D303)</f>
        <v>16</v>
      </c>
      <c r="AA318" s="32">
        <f t="shared" si="880"/>
        <v>20</v>
      </c>
      <c r="AB318" s="34">
        <f t="shared" si="880"/>
        <v>3935.295</v>
      </c>
      <c r="AC318" s="32">
        <f t="shared" si="880"/>
        <v>2229</v>
      </c>
      <c r="AD318" s="32">
        <f t="shared" si="880"/>
        <v>0</v>
      </c>
      <c r="AE318" s="32">
        <f t="shared" si="880"/>
        <v>2229</v>
      </c>
      <c r="AF318" s="32">
        <f t="shared" si="880"/>
        <v>2661</v>
      </c>
      <c r="AG318" s="32">
        <f t="shared" si="880"/>
        <v>47</v>
      </c>
      <c r="AH318" s="32">
        <f t="shared" si="880"/>
        <v>2708</v>
      </c>
      <c r="AI318" s="32">
        <f t="shared" si="880"/>
        <v>4937</v>
      </c>
      <c r="AJ318" s="34">
        <f t="shared" ref="AJ318:AJ324" si="883">AB318/AA318</f>
        <v>196.76475</v>
      </c>
      <c r="AK318" s="31">
        <f>SUM(O303)</f>
        <v>5161</v>
      </c>
      <c r="AL318" s="67">
        <f t="shared" ref="AL318:AL324" si="884">AI318/AK318</f>
        <v>0.9565975586</v>
      </c>
      <c r="AM318" s="36">
        <f>SUM(Q303)</f>
        <v>1.5</v>
      </c>
      <c r="AN318" s="35">
        <f t="shared" ref="AN318:AN324" si="885">AO318/AM318</f>
        <v>0.8363625429</v>
      </c>
      <c r="AO318" s="37">
        <f t="shared" ref="AO318:AO324" si="886">AI318/AB318</f>
        <v>1.254543814</v>
      </c>
      <c r="AP318" s="36">
        <f t="shared" ref="AP318:AQ318" si="881">SUM(T303)</f>
        <v>273</v>
      </c>
      <c r="AQ318" s="36">
        <f t="shared" si="881"/>
        <v>13.65</v>
      </c>
      <c r="AR318" s="32">
        <f t="shared" ref="AR318:AR324" si="888">AI318/AA318</f>
        <v>246.85</v>
      </c>
    </row>
    <row r="319" ht="15.75" customHeight="1">
      <c r="A319" s="21"/>
      <c r="B319" s="38">
        <v>17.0</v>
      </c>
      <c r="C319" s="38" t="s">
        <v>29</v>
      </c>
      <c r="D319" s="39">
        <v>24.0</v>
      </c>
      <c r="E319" s="40">
        <f>IFERROR(__xludf.DUMMYFUNCTION("COUNT(IMPORTRANGE(""https://docs.google.com/spreadsheets/d/1wfJqI0e9wVPqEQv3N6b8KgINjqI0OBECEyIFeY9j3i8/edit"",""1!d2:d31""))"),29.0)</f>
        <v>29</v>
      </c>
      <c r="F319" s="45">
        <f>IFERROR(__xludf.DUMMYFUNCTION("SUM(IMPORTRANGE(""https://docs.google.com/spreadsheets/d/1wfJqI0e9wVPqEQv3N6b8KgINjqI0OBECEyIFeY9j3i8/edit"",""1!Q2:Q31""))"),5722.055999999998)</f>
        <v>5722.056</v>
      </c>
      <c r="G319" s="40">
        <f>IFERROR(__xludf.DUMMYFUNCTION("IMPORTRANGE(""https://docs.google.com/spreadsheets/d/1wfJqI0e9wVPqEQv3N6b8KgINjqI0OBECEyIFeY9j3i8/edit"",""1!e38"")"),2610.0)</f>
        <v>2610</v>
      </c>
      <c r="H319" s="40">
        <f>IFERROR(__xludf.DUMMYFUNCTION("IMPORTRANGE(""https://docs.google.com/spreadsheets/d/1wfJqI0e9wVPqEQv3N6b8KgINjqI0OBECEyIFeY9j3i8/edit"",""1!e39"")"),0.0)</f>
        <v>0</v>
      </c>
      <c r="I319" s="40">
        <f t="shared" si="840"/>
        <v>2610</v>
      </c>
      <c r="J319" s="40">
        <f>IFERROR(__xludf.DUMMYFUNCTION("IMPORTRANGE(""https://docs.google.com/spreadsheets/d/1wfJqI0e9wVPqEQv3N6b8KgINjqI0OBECEyIFeY9j3i8/edit"",""1!e42"")"),4378.0)</f>
        <v>4378</v>
      </c>
      <c r="K319" s="40">
        <f>IFERROR(__xludf.DUMMYFUNCTION("IMPORTRANGE(""https://docs.google.com/spreadsheets/d/1wfJqI0e9wVPqEQv3N6b8KgINjqI0OBECEyIFeY9j3i8/edit"",""1!e43"")"),0.0)</f>
        <v>0</v>
      </c>
      <c r="L319" s="40">
        <f t="shared" si="870"/>
        <v>4378</v>
      </c>
      <c r="M319" s="40">
        <f t="shared" si="842"/>
        <v>6988</v>
      </c>
      <c r="N319" s="41">
        <f t="shared" si="843"/>
        <v>197.3122759</v>
      </c>
      <c r="O319" s="38">
        <v>9201.0</v>
      </c>
      <c r="P319" s="42">
        <f t="shared" si="844"/>
        <v>0.7594826649</v>
      </c>
      <c r="Q319" s="43">
        <v>1.5</v>
      </c>
      <c r="R319" s="42">
        <f t="shared" si="845"/>
        <v>0.8141595725</v>
      </c>
      <c r="S319" s="44">
        <f t="shared" si="846"/>
        <v>1.221239359</v>
      </c>
      <c r="T319" s="43">
        <f>F319/26.491</f>
        <v>216</v>
      </c>
      <c r="U319" s="43">
        <f t="shared" si="847"/>
        <v>7.448275862</v>
      </c>
      <c r="V319" s="40">
        <f t="shared" si="848"/>
        <v>240.9655172</v>
      </c>
      <c r="X319" s="31">
        <v>2.0</v>
      </c>
      <c r="Y319" s="31" t="s">
        <v>32</v>
      </c>
      <c r="Z319" s="31">
        <f t="shared" ref="Z319:AI319" si="882">SUM(D306)</f>
        <v>33</v>
      </c>
      <c r="AA319" s="32">
        <f t="shared" si="882"/>
        <v>42</v>
      </c>
      <c r="AB319" s="33">
        <f t="shared" si="882"/>
        <v>8240.662</v>
      </c>
      <c r="AC319" s="31">
        <f t="shared" si="882"/>
        <v>4515</v>
      </c>
      <c r="AD319" s="31">
        <f t="shared" si="882"/>
        <v>0</v>
      </c>
      <c r="AE319" s="32">
        <f t="shared" si="882"/>
        <v>4515</v>
      </c>
      <c r="AF319" s="31">
        <f t="shared" si="882"/>
        <v>5726</v>
      </c>
      <c r="AG319" s="31">
        <f t="shared" si="882"/>
        <v>0</v>
      </c>
      <c r="AH319" s="32">
        <f t="shared" si="882"/>
        <v>5726</v>
      </c>
      <c r="AI319" s="32">
        <f t="shared" si="882"/>
        <v>10241</v>
      </c>
      <c r="AJ319" s="34">
        <f t="shared" si="883"/>
        <v>196.2062381</v>
      </c>
      <c r="AK319" s="31">
        <f>SUM(O306)</f>
        <v>13817</v>
      </c>
      <c r="AL319" s="35">
        <f t="shared" si="884"/>
        <v>0.7411883911</v>
      </c>
      <c r="AM319" s="36">
        <f>SUM(Q306)</f>
        <v>1.5</v>
      </c>
      <c r="AN319" s="35">
        <f t="shared" si="885"/>
        <v>0.8284933096</v>
      </c>
      <c r="AO319" s="37">
        <f t="shared" si="886"/>
        <v>1.242739964</v>
      </c>
      <c r="AP319" s="36">
        <f t="shared" ref="AP319:AQ319" si="887">SUM(T306)</f>
        <v>328.4571725</v>
      </c>
      <c r="AQ319" s="36">
        <f t="shared" si="887"/>
        <v>7.820408868</v>
      </c>
      <c r="AR319" s="32">
        <f t="shared" si="888"/>
        <v>243.8333333</v>
      </c>
    </row>
    <row r="320" ht="15.75" customHeight="1">
      <c r="A320" s="21"/>
      <c r="B320" s="38">
        <v>18.0</v>
      </c>
      <c r="C320" s="38" t="s">
        <v>31</v>
      </c>
      <c r="D320" s="39">
        <v>12.0</v>
      </c>
      <c r="E320" s="40">
        <f>IFERROR(__xludf.DUMMYFUNCTION("COUNT(IMPORTRANGE(""https://docs.google.com/spreadsheets/d/1-y2KhTAo7d8kowgUuWUDfRQuRMUAFteRYEXorT3_wOs/edit"",""1!d2:d16""))"),14.0)</f>
        <v>14</v>
      </c>
      <c r="F320" s="41">
        <f>IFERROR(__xludf.DUMMYFUNCTION("SUM(IMPORTRANGE(""https://docs.google.com/spreadsheets/d/1-y2KhTAo7d8kowgUuWUDfRQuRMUAFteRYEXorT3_wOs/edit"",""1!Q2:Q16""))"),2520.9699999999993)</f>
        <v>2520.97</v>
      </c>
      <c r="G320" s="40">
        <f>IFERROR(__xludf.DUMMYFUNCTION("IMPORTRANGE(""https://docs.google.com/spreadsheets/d/1-y2KhTAo7d8kowgUuWUDfRQuRMUAFteRYEXorT3_wOs/edit"",""1!e23"")"),633.0)</f>
        <v>633</v>
      </c>
      <c r="H320" s="40">
        <f>IFERROR(__xludf.DUMMYFUNCTION("IMPORTRANGE(""https://docs.google.com/spreadsheets/d/1-y2KhTAo7d8kowgUuWUDfRQuRMUAFteRYEXorT3_wOs/edit"",""1!e24"")"),0.0)</f>
        <v>0</v>
      </c>
      <c r="I320" s="40">
        <f t="shared" si="840"/>
        <v>633</v>
      </c>
      <c r="J320" s="40">
        <f>IFERROR(__xludf.DUMMYFUNCTION("IMPORTRANGE(""https://docs.google.com/spreadsheets/d/1-y2KhTAo7d8kowgUuWUDfRQuRMUAFteRYEXorT3_wOs/edit"",""1!e27"")"),1148.0)</f>
        <v>1148</v>
      </c>
      <c r="K320" s="40">
        <f>IFERROR(__xludf.DUMMYFUNCTION("IMPORTRANGE(""https://docs.google.com/spreadsheets/d/1-y2KhTAo7d8kowgUuWUDfRQuRMUAFteRYEXorT3_wOs/edit"",""1!e28"")"),15.0)</f>
        <v>15</v>
      </c>
      <c r="L320" s="40">
        <f t="shared" si="870"/>
        <v>1163</v>
      </c>
      <c r="M320" s="40">
        <f t="shared" si="842"/>
        <v>1796</v>
      </c>
      <c r="N320" s="41">
        <f t="shared" si="843"/>
        <v>180.0692857</v>
      </c>
      <c r="O320" s="38">
        <v>2717.0</v>
      </c>
      <c r="P320" s="42">
        <f t="shared" si="844"/>
        <v>0.6610231873</v>
      </c>
      <c r="Q320" s="43">
        <v>1.5</v>
      </c>
      <c r="R320" s="42">
        <f t="shared" si="845"/>
        <v>0.4749494573</v>
      </c>
      <c r="S320" s="44">
        <f t="shared" si="846"/>
        <v>0.7124241859</v>
      </c>
      <c r="T320" s="43">
        <f>F320/43.465</f>
        <v>58</v>
      </c>
      <c r="U320" s="43">
        <f t="shared" si="847"/>
        <v>4.142857143</v>
      </c>
      <c r="V320" s="40">
        <f t="shared" si="848"/>
        <v>128.2857143</v>
      </c>
      <c r="X320" s="31">
        <v>3.0</v>
      </c>
      <c r="Y320" s="31" t="s">
        <v>36</v>
      </c>
      <c r="Z320" s="31">
        <f t="shared" ref="Z320:AI320" si="889">SUM(D311)</f>
        <v>24</v>
      </c>
      <c r="AA320" s="32">
        <f t="shared" si="889"/>
        <v>29</v>
      </c>
      <c r="AB320" s="33">
        <f t="shared" si="889"/>
        <v>4875.345</v>
      </c>
      <c r="AC320" s="32">
        <f t="shared" si="889"/>
        <v>1728</v>
      </c>
      <c r="AD320" s="32">
        <f t="shared" si="889"/>
        <v>0</v>
      </c>
      <c r="AE320" s="32">
        <f t="shared" si="889"/>
        <v>1728</v>
      </c>
      <c r="AF320" s="32">
        <f t="shared" si="889"/>
        <v>2407</v>
      </c>
      <c r="AG320" s="32">
        <f t="shared" si="889"/>
        <v>20</v>
      </c>
      <c r="AH320" s="32">
        <f t="shared" si="889"/>
        <v>2427</v>
      </c>
      <c r="AI320" s="32">
        <f t="shared" si="889"/>
        <v>4155</v>
      </c>
      <c r="AJ320" s="34">
        <f t="shared" si="883"/>
        <v>168.1153448</v>
      </c>
      <c r="AK320" s="31">
        <f t="shared" ref="AK320:AK323" si="893">SUM(O311)</f>
        <v>4796</v>
      </c>
      <c r="AL320" s="35">
        <f t="shared" si="884"/>
        <v>0.8663469558</v>
      </c>
      <c r="AM320" s="36">
        <f t="shared" ref="AM320:AM323" si="894">SUM(Q311)</f>
        <v>1.5</v>
      </c>
      <c r="AN320" s="35">
        <f t="shared" si="885"/>
        <v>0.5681649196</v>
      </c>
      <c r="AO320" s="37">
        <f t="shared" si="886"/>
        <v>0.8522473794</v>
      </c>
      <c r="AP320" s="36">
        <f t="shared" ref="AP320:AQ320" si="890">SUM(T311)</f>
        <v>130.3080398</v>
      </c>
      <c r="AQ320" s="36">
        <f t="shared" si="890"/>
        <v>4.493380682</v>
      </c>
      <c r="AR320" s="32">
        <f t="shared" si="888"/>
        <v>143.2758621</v>
      </c>
    </row>
    <row r="321" ht="15.75" customHeight="1">
      <c r="A321" s="21"/>
      <c r="B321" s="60" t="s">
        <v>33</v>
      </c>
      <c r="C321" s="60">
        <v>18.0</v>
      </c>
      <c r="D321" s="60">
        <f t="shared" ref="D321:M321" si="891">SUM(D303:D320)</f>
        <v>471</v>
      </c>
      <c r="E321" s="61">
        <f t="shared" si="891"/>
        <v>576</v>
      </c>
      <c r="F321" s="62">
        <f t="shared" si="891"/>
        <v>111449.623</v>
      </c>
      <c r="G321" s="61">
        <f t="shared" si="891"/>
        <v>41757</v>
      </c>
      <c r="H321" s="61">
        <f t="shared" si="891"/>
        <v>946</v>
      </c>
      <c r="I321" s="61">
        <f t="shared" si="891"/>
        <v>42703</v>
      </c>
      <c r="J321" s="61">
        <f t="shared" si="891"/>
        <v>57855</v>
      </c>
      <c r="K321" s="61">
        <f t="shared" si="891"/>
        <v>875</v>
      </c>
      <c r="L321" s="61">
        <f t="shared" si="891"/>
        <v>58730</v>
      </c>
      <c r="M321" s="61">
        <f t="shared" si="891"/>
        <v>101433</v>
      </c>
      <c r="N321" s="62">
        <f t="shared" si="843"/>
        <v>193.4889288</v>
      </c>
      <c r="O321" s="60">
        <f>SUM(O303:O320)</f>
        <v>126399</v>
      </c>
      <c r="P321" s="63">
        <f t="shared" si="844"/>
        <v>0.8024826146</v>
      </c>
      <c r="Q321" s="64">
        <v>1.5</v>
      </c>
      <c r="R321" s="63">
        <f t="shared" si="845"/>
        <v>0.6067494728</v>
      </c>
      <c r="S321" s="65">
        <f t="shared" si="846"/>
        <v>0.9101242092</v>
      </c>
      <c r="T321" s="64">
        <f>SUM(T303:T320)</f>
        <v>4122.022266</v>
      </c>
      <c r="U321" s="64">
        <f t="shared" si="847"/>
        <v>7.156288656</v>
      </c>
      <c r="V321" s="61">
        <f t="shared" si="848"/>
        <v>176.0989583</v>
      </c>
      <c r="X321" s="31">
        <v>4.0</v>
      </c>
      <c r="Y321" s="31" t="s">
        <v>37</v>
      </c>
      <c r="Z321" s="31">
        <f t="shared" ref="Z321:AI321" si="892">SUM(D312)</f>
        <v>24</v>
      </c>
      <c r="AA321" s="32">
        <f t="shared" si="892"/>
        <v>28</v>
      </c>
      <c r="AB321" s="33">
        <f t="shared" si="892"/>
        <v>5465.1</v>
      </c>
      <c r="AC321" s="32">
        <f t="shared" si="892"/>
        <v>2135</v>
      </c>
      <c r="AD321" s="32">
        <f t="shared" si="892"/>
        <v>0</v>
      </c>
      <c r="AE321" s="32">
        <f t="shared" si="892"/>
        <v>2135</v>
      </c>
      <c r="AF321" s="32">
        <f t="shared" si="892"/>
        <v>3182</v>
      </c>
      <c r="AG321" s="32">
        <f t="shared" si="892"/>
        <v>0</v>
      </c>
      <c r="AH321" s="32">
        <f t="shared" si="892"/>
        <v>3182</v>
      </c>
      <c r="AI321" s="32">
        <f t="shared" si="892"/>
        <v>5317</v>
      </c>
      <c r="AJ321" s="34">
        <f t="shared" si="883"/>
        <v>195.1821429</v>
      </c>
      <c r="AK321" s="31">
        <f t="shared" si="893"/>
        <v>5887</v>
      </c>
      <c r="AL321" s="35">
        <f t="shared" si="884"/>
        <v>0.9031764906</v>
      </c>
      <c r="AM321" s="36">
        <f t="shared" si="894"/>
        <v>1.5</v>
      </c>
      <c r="AN321" s="35">
        <f t="shared" si="885"/>
        <v>0.6486005136</v>
      </c>
      <c r="AO321" s="37">
        <f t="shared" si="886"/>
        <v>0.9729007703</v>
      </c>
      <c r="AP321" s="36">
        <f t="shared" ref="AP321:AQ321" si="895">SUM(T312)</f>
        <v>220.4380445</v>
      </c>
      <c r="AQ321" s="36">
        <f t="shared" si="895"/>
        <v>7.872787305</v>
      </c>
      <c r="AR321" s="32">
        <f t="shared" si="888"/>
        <v>189.8928571</v>
      </c>
    </row>
    <row r="322" ht="15.7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X322" s="31">
        <v>5.0</v>
      </c>
      <c r="Y322" s="31" t="s">
        <v>39</v>
      </c>
      <c r="Z322" s="31">
        <f t="shared" ref="Z322:AI322" si="896">SUM(D313)</f>
        <v>22</v>
      </c>
      <c r="AA322" s="32">
        <f t="shared" si="896"/>
        <v>27</v>
      </c>
      <c r="AB322" s="33">
        <f t="shared" si="896"/>
        <v>5318.459</v>
      </c>
      <c r="AC322" s="32">
        <f t="shared" si="896"/>
        <v>1229</v>
      </c>
      <c r="AD322" s="32">
        <f t="shared" si="896"/>
        <v>0</v>
      </c>
      <c r="AE322" s="32">
        <f t="shared" si="896"/>
        <v>1229</v>
      </c>
      <c r="AF322" s="32">
        <f t="shared" si="896"/>
        <v>1740</v>
      </c>
      <c r="AG322" s="32">
        <f t="shared" si="896"/>
        <v>0</v>
      </c>
      <c r="AH322" s="32">
        <f t="shared" si="896"/>
        <v>1740</v>
      </c>
      <c r="AI322" s="32">
        <f t="shared" si="896"/>
        <v>2969</v>
      </c>
      <c r="AJ322" s="34">
        <f t="shared" si="883"/>
        <v>196.979963</v>
      </c>
      <c r="AK322" s="31">
        <f t="shared" si="893"/>
        <v>3569</v>
      </c>
      <c r="AL322" s="35">
        <f t="shared" si="884"/>
        <v>0.8318856823</v>
      </c>
      <c r="AM322" s="36">
        <f t="shared" si="894"/>
        <v>1.5</v>
      </c>
      <c r="AN322" s="35">
        <f t="shared" si="885"/>
        <v>0.3721629392</v>
      </c>
      <c r="AO322" s="37">
        <f t="shared" si="886"/>
        <v>0.5582444088</v>
      </c>
      <c r="AP322" s="36">
        <f t="shared" ref="AP322:AQ322" si="897">SUM(T313)</f>
        <v>247.7966268</v>
      </c>
      <c r="AQ322" s="36">
        <f t="shared" si="897"/>
        <v>9.177652843</v>
      </c>
      <c r="AR322" s="32">
        <f t="shared" si="888"/>
        <v>109.962963</v>
      </c>
    </row>
    <row r="323" ht="15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X323" s="31">
        <v>6.0</v>
      </c>
      <c r="Y323" s="31" t="s">
        <v>41</v>
      </c>
      <c r="Z323" s="31">
        <f t="shared" ref="Z323:AI323" si="898">SUM(D314)</f>
        <v>20</v>
      </c>
      <c r="AA323" s="32">
        <f t="shared" si="898"/>
        <v>24</v>
      </c>
      <c r="AB323" s="33">
        <f t="shared" si="898"/>
        <v>4793.152</v>
      </c>
      <c r="AC323" s="32">
        <f t="shared" si="898"/>
        <v>1363</v>
      </c>
      <c r="AD323" s="32">
        <f t="shared" si="898"/>
        <v>0</v>
      </c>
      <c r="AE323" s="32">
        <f t="shared" si="898"/>
        <v>1363</v>
      </c>
      <c r="AF323" s="32">
        <f t="shared" si="898"/>
        <v>1818</v>
      </c>
      <c r="AG323" s="32">
        <f t="shared" si="898"/>
        <v>0</v>
      </c>
      <c r="AH323" s="32">
        <f t="shared" si="898"/>
        <v>1818</v>
      </c>
      <c r="AI323" s="32">
        <f t="shared" si="898"/>
        <v>3181</v>
      </c>
      <c r="AJ323" s="34">
        <f t="shared" si="883"/>
        <v>199.7146667</v>
      </c>
      <c r="AK323" s="31">
        <f t="shared" si="893"/>
        <v>3801</v>
      </c>
      <c r="AL323" s="35">
        <f t="shared" si="884"/>
        <v>0.8368850303</v>
      </c>
      <c r="AM323" s="36">
        <f t="shared" si="894"/>
        <v>1.5</v>
      </c>
      <c r="AN323" s="35">
        <f t="shared" si="885"/>
        <v>0.4424367653</v>
      </c>
      <c r="AO323" s="37">
        <f t="shared" si="886"/>
        <v>0.663655148</v>
      </c>
      <c r="AP323" s="36">
        <f t="shared" ref="AP323:AQ323" si="899">SUM(T314)</f>
        <v>161.7777778</v>
      </c>
      <c r="AQ323" s="36">
        <f t="shared" si="899"/>
        <v>6.740740741</v>
      </c>
      <c r="AR323" s="32">
        <f t="shared" si="888"/>
        <v>132.5416667</v>
      </c>
    </row>
    <row r="324" ht="15.75" customHeight="1">
      <c r="A324" s="1" t="s">
        <v>45</v>
      </c>
      <c r="D324" s="2"/>
      <c r="X324" s="46" t="s">
        <v>33</v>
      </c>
      <c r="Y324" s="46">
        <v>6.0</v>
      </c>
      <c r="Z324" s="46">
        <f t="shared" ref="Z324:AI324" si="900">SUM(Z318:Z323)</f>
        <v>139</v>
      </c>
      <c r="AA324" s="47">
        <f t="shared" si="900"/>
        <v>170</v>
      </c>
      <c r="AB324" s="49">
        <f t="shared" si="900"/>
        <v>32628.013</v>
      </c>
      <c r="AC324" s="47">
        <f t="shared" si="900"/>
        <v>13199</v>
      </c>
      <c r="AD324" s="47">
        <f t="shared" si="900"/>
        <v>0</v>
      </c>
      <c r="AE324" s="47">
        <f t="shared" si="900"/>
        <v>13199</v>
      </c>
      <c r="AF324" s="47">
        <f t="shared" si="900"/>
        <v>17534</v>
      </c>
      <c r="AG324" s="47">
        <f t="shared" si="900"/>
        <v>67</v>
      </c>
      <c r="AH324" s="47">
        <f t="shared" si="900"/>
        <v>17601</v>
      </c>
      <c r="AI324" s="47">
        <f t="shared" si="900"/>
        <v>30800</v>
      </c>
      <c r="AJ324" s="49">
        <f t="shared" si="883"/>
        <v>191.9294882</v>
      </c>
      <c r="AK324" s="46">
        <f>SUM(AK318:AK323)</f>
        <v>37031</v>
      </c>
      <c r="AL324" s="50">
        <f t="shared" si="884"/>
        <v>0.8317355729</v>
      </c>
      <c r="AM324" s="51">
        <v>1.5</v>
      </c>
      <c r="AN324" s="50">
        <f t="shared" si="885"/>
        <v>0.6293160829</v>
      </c>
      <c r="AO324" s="52">
        <f t="shared" si="886"/>
        <v>0.9439741243</v>
      </c>
      <c r="AP324" s="51">
        <f>SUM(AP318:AP323)</f>
        <v>1361.777661</v>
      </c>
      <c r="AQ324" s="51">
        <f>AP324/AA324</f>
        <v>8.010456831</v>
      </c>
      <c r="AR324" s="47">
        <f t="shared" si="888"/>
        <v>181.1764706</v>
      </c>
    </row>
    <row r="325" ht="15.75" customHeight="1">
      <c r="A325" s="1" t="s">
        <v>45</v>
      </c>
      <c r="D325" s="2"/>
      <c r="X325" s="66" t="s">
        <v>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6"/>
    </row>
    <row r="326" ht="15.75" customHeight="1">
      <c r="A326" s="10">
        <v>46278.0</v>
      </c>
      <c r="B326" s="8" t="s">
        <v>2</v>
      </c>
      <c r="C326" s="8" t="s">
        <v>3</v>
      </c>
      <c r="D326" s="8" t="s">
        <v>4</v>
      </c>
      <c r="E326" s="8" t="s">
        <v>5</v>
      </c>
      <c r="F326" s="9" t="s">
        <v>6</v>
      </c>
      <c r="G326" s="8" t="s">
        <v>7</v>
      </c>
      <c r="H326" s="8" t="s">
        <v>8</v>
      </c>
      <c r="I326" s="8" t="s">
        <v>9</v>
      </c>
      <c r="J326" s="8" t="s">
        <v>10</v>
      </c>
      <c r="K326" s="8" t="s">
        <v>11</v>
      </c>
      <c r="L326" s="8" t="s">
        <v>12</v>
      </c>
      <c r="M326" s="8" t="s">
        <v>13</v>
      </c>
      <c r="N326" s="9" t="s">
        <v>14</v>
      </c>
      <c r="O326" s="8" t="s">
        <v>15</v>
      </c>
      <c r="P326" s="8" t="s">
        <v>16</v>
      </c>
      <c r="Q326" s="8" t="s">
        <v>17</v>
      </c>
      <c r="R326" s="8" t="s">
        <v>18</v>
      </c>
      <c r="S326" s="11" t="s">
        <v>19</v>
      </c>
      <c r="T326" s="12" t="s">
        <v>20</v>
      </c>
      <c r="U326" s="12" t="s">
        <v>21</v>
      </c>
      <c r="V326" s="13" t="s">
        <v>22</v>
      </c>
      <c r="X326" s="14" t="s">
        <v>2</v>
      </c>
      <c r="Y326" s="14" t="s">
        <v>3</v>
      </c>
      <c r="Z326" s="14" t="s">
        <v>4</v>
      </c>
      <c r="AA326" s="14" t="s">
        <v>5</v>
      </c>
      <c r="AB326" s="15" t="s">
        <v>6</v>
      </c>
      <c r="AC326" s="14" t="s">
        <v>7</v>
      </c>
      <c r="AD326" s="14" t="s">
        <v>8</v>
      </c>
      <c r="AE326" s="14" t="s">
        <v>9</v>
      </c>
      <c r="AF326" s="14" t="s">
        <v>10</v>
      </c>
      <c r="AG326" s="14" t="s">
        <v>11</v>
      </c>
      <c r="AH326" s="14" t="s">
        <v>12</v>
      </c>
      <c r="AI326" s="14" t="s">
        <v>13</v>
      </c>
      <c r="AJ326" s="15" t="s">
        <v>14</v>
      </c>
      <c r="AK326" s="14" t="s">
        <v>15</v>
      </c>
      <c r="AL326" s="14" t="s">
        <v>16</v>
      </c>
      <c r="AM326" s="16" t="s">
        <v>17</v>
      </c>
      <c r="AN326" s="17" t="s">
        <v>18</v>
      </c>
      <c r="AO326" s="18" t="s">
        <v>19</v>
      </c>
      <c r="AP326" s="19" t="s">
        <v>20</v>
      </c>
      <c r="AQ326" s="19" t="s">
        <v>21</v>
      </c>
      <c r="AR326" s="20" t="s">
        <v>22</v>
      </c>
    </row>
    <row r="327" ht="15.7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X327" s="22">
        <v>1.0</v>
      </c>
      <c r="Y327" s="22" t="s">
        <v>23</v>
      </c>
      <c r="Z327" s="22">
        <f t="shared" ref="Z327:AI327" si="901">SUM(D335)</f>
        <v>26</v>
      </c>
      <c r="AA327" s="23">
        <f t="shared" si="901"/>
        <v>34</v>
      </c>
      <c r="AB327" s="24">
        <f t="shared" si="901"/>
        <v>6680.52</v>
      </c>
      <c r="AC327" s="23">
        <f t="shared" si="901"/>
        <v>1627</v>
      </c>
      <c r="AD327" s="23">
        <f t="shared" si="901"/>
        <v>0</v>
      </c>
      <c r="AE327" s="23">
        <f t="shared" si="901"/>
        <v>1627</v>
      </c>
      <c r="AF327" s="23">
        <f t="shared" si="901"/>
        <v>3262</v>
      </c>
      <c r="AG327" s="23">
        <f t="shared" si="901"/>
        <v>0</v>
      </c>
      <c r="AH327" s="23">
        <f t="shared" si="901"/>
        <v>3262</v>
      </c>
      <c r="AI327" s="23">
        <f t="shared" si="901"/>
        <v>4889</v>
      </c>
      <c r="AJ327" s="25">
        <f t="shared" ref="AJ327:AJ329" si="904">AB327/AA327</f>
        <v>196.4858824</v>
      </c>
      <c r="AK327" s="22">
        <f>SUM(O335)</f>
        <v>6853</v>
      </c>
      <c r="AL327" s="26">
        <f t="shared" ref="AL327:AL333" si="905">AI327/AK327</f>
        <v>0.7134101853</v>
      </c>
      <c r="AM327" s="27">
        <f t="shared" ref="AM327:AM329" si="906">SUM(Q335)</f>
        <v>1.5</v>
      </c>
      <c r="AN327" s="26">
        <f t="shared" ref="AN327:AN333" si="907">AO327/AM327</f>
        <v>0.4878861725</v>
      </c>
      <c r="AO327" s="28">
        <f t="shared" ref="AO327:AO333" si="908">AI327/AB327</f>
        <v>0.7318292588</v>
      </c>
      <c r="AP327" s="27">
        <f t="shared" ref="AP327:AQ327" si="902">SUM(T335)</f>
        <v>198</v>
      </c>
      <c r="AQ327" s="27">
        <f t="shared" si="902"/>
        <v>5.823529412</v>
      </c>
      <c r="AR327" s="23">
        <f t="shared" ref="AR327:AR333" si="910">AI327/AA327</f>
        <v>143.7941176</v>
      </c>
    </row>
    <row r="328" ht="15.7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X328" s="22">
        <v>2.0</v>
      </c>
      <c r="Y328" s="22" t="s">
        <v>24</v>
      </c>
      <c r="Z328" s="22">
        <f t="shared" ref="Z328:AI328" si="903">SUM(D336)</f>
        <v>35</v>
      </c>
      <c r="AA328" s="23">
        <f t="shared" si="903"/>
        <v>44</v>
      </c>
      <c r="AB328" s="24">
        <f t="shared" si="903"/>
        <v>8029.356</v>
      </c>
      <c r="AC328" s="23">
        <f t="shared" si="903"/>
        <v>1194</v>
      </c>
      <c r="AD328" s="23">
        <f t="shared" si="903"/>
        <v>0</v>
      </c>
      <c r="AE328" s="23">
        <f t="shared" si="903"/>
        <v>1194</v>
      </c>
      <c r="AF328" s="23">
        <f t="shared" si="903"/>
        <v>1455</v>
      </c>
      <c r="AG328" s="23">
        <f t="shared" si="903"/>
        <v>0</v>
      </c>
      <c r="AH328" s="23">
        <f t="shared" si="903"/>
        <v>1455</v>
      </c>
      <c r="AI328" s="23">
        <f t="shared" si="903"/>
        <v>2649</v>
      </c>
      <c r="AJ328" s="25">
        <f t="shared" si="904"/>
        <v>182.4853636</v>
      </c>
      <c r="AK328" s="22">
        <v>1580.0</v>
      </c>
      <c r="AL328" s="29">
        <f t="shared" si="905"/>
        <v>1.676582278</v>
      </c>
      <c r="AM328" s="27">
        <f t="shared" si="906"/>
        <v>1.5</v>
      </c>
      <c r="AN328" s="26">
        <f t="shared" si="907"/>
        <v>0.2199429195</v>
      </c>
      <c r="AO328" s="28">
        <f t="shared" si="908"/>
        <v>0.3299143792</v>
      </c>
      <c r="AP328" s="27">
        <f t="shared" ref="AP328:AQ328" si="909">SUM(T336)</f>
        <v>299.5469502</v>
      </c>
      <c r="AQ328" s="27">
        <f t="shared" si="909"/>
        <v>6.807885232</v>
      </c>
      <c r="AR328" s="23">
        <f t="shared" si="910"/>
        <v>60.20454545</v>
      </c>
    </row>
    <row r="329" ht="15.75" customHeight="1">
      <c r="A329" s="21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X329" s="31">
        <v>3.0</v>
      </c>
      <c r="Y329" s="31" t="s">
        <v>25</v>
      </c>
      <c r="Z329" s="31">
        <f t="shared" ref="Z329:AI329" si="911">SUM(D337)</f>
        <v>26</v>
      </c>
      <c r="AA329" s="32">
        <f t="shared" si="911"/>
        <v>32</v>
      </c>
      <c r="AB329" s="33">
        <f t="shared" si="911"/>
        <v>5963.536</v>
      </c>
      <c r="AC329" s="32">
        <f t="shared" si="911"/>
        <v>2444</v>
      </c>
      <c r="AD329" s="32">
        <f t="shared" si="911"/>
        <v>331</v>
      </c>
      <c r="AE329" s="32">
        <f t="shared" si="911"/>
        <v>2775</v>
      </c>
      <c r="AF329" s="32">
        <f t="shared" si="911"/>
        <v>3085</v>
      </c>
      <c r="AG329" s="32">
        <f t="shared" si="911"/>
        <v>319</v>
      </c>
      <c r="AH329" s="32">
        <f t="shared" si="911"/>
        <v>3404</v>
      </c>
      <c r="AI329" s="32">
        <f t="shared" si="911"/>
        <v>6179</v>
      </c>
      <c r="AJ329" s="34">
        <f t="shared" si="904"/>
        <v>186.3605</v>
      </c>
      <c r="AK329" s="31">
        <f>SUM(O337)</f>
        <v>6622</v>
      </c>
      <c r="AL329" s="35">
        <f t="shared" si="905"/>
        <v>0.9331017819</v>
      </c>
      <c r="AM329" s="36">
        <f t="shared" si="906"/>
        <v>1.5</v>
      </c>
      <c r="AN329" s="35">
        <f t="shared" si="907"/>
        <v>0.6907534948</v>
      </c>
      <c r="AO329" s="37">
        <f t="shared" si="908"/>
        <v>1.036130242</v>
      </c>
      <c r="AP329" s="36">
        <f t="shared" ref="AP329:AQ329" si="912">SUM(T337)</f>
        <v>250.1483221</v>
      </c>
      <c r="AQ329" s="36">
        <f t="shared" si="912"/>
        <v>7.817135067</v>
      </c>
      <c r="AR329" s="32">
        <f t="shared" si="910"/>
        <v>193.09375</v>
      </c>
    </row>
    <row r="330" ht="15.75" customHeight="1">
      <c r="A330" s="21"/>
      <c r="B330" s="38">
        <v>1.0</v>
      </c>
      <c r="C330" s="38" t="s">
        <v>26</v>
      </c>
      <c r="D330" s="39">
        <v>15.0</v>
      </c>
      <c r="E330" s="40">
        <f>IFERROR(__xludf.DUMMYFUNCTION("COUNT(IMPORTRANGE(""https://docs.google.com/spreadsheets/d/1F0NpMx7WhcgPgxTWpryY3Z1CGg56FL6aiL4mHs43w4E/edit"",""1!d2:d21""))"),20.0)</f>
        <v>20</v>
      </c>
      <c r="F330" s="41">
        <f>IFERROR(__xludf.DUMMYFUNCTION("SUM(IMPORTRANGE(""https://docs.google.com/spreadsheets/d/1F0NpMx7WhcgPgxTWpryY3Z1CGg56FL6aiL4mHs43w4E/edit"",""1!Q2:Q21""))"),3935.2949999999996)</f>
        <v>3935.295</v>
      </c>
      <c r="G330" s="40">
        <f>IFERROR(__xludf.DUMMYFUNCTION("IMPORTRANGE(""https://docs.google.com/spreadsheets/d/1F0NpMx7WhcgPgxTWpryY3Z1CGg56FL6aiL4mHs43w4E/edit"",""1!e28"")"),2229.0)</f>
        <v>2229</v>
      </c>
      <c r="H330" s="40">
        <f>IFERROR(__xludf.DUMMYFUNCTION("IMPORTRANGE(""https://docs.google.com/spreadsheets/d/1F0NpMx7WhcgPgxTWpryY3Z1CGg56FL6aiL4mHs43w4E/edit"",""1!e29"")"),0.0)</f>
        <v>0</v>
      </c>
      <c r="I330" s="40">
        <f t="shared" ref="I330:I347" si="915">SUM(G330:H330)</f>
        <v>2229</v>
      </c>
      <c r="J330" s="40">
        <f>IFERROR(__xludf.DUMMYFUNCTION("IMPORTRANGE(""https://docs.google.com/spreadsheets/d/1F0NpMx7WhcgPgxTWpryY3Z1CGg56FL6aiL4mHs43w4E/edit"",""1!e32"")"),2661.0)</f>
        <v>2661</v>
      </c>
      <c r="K330" s="40">
        <f>IFERROR(__xludf.DUMMYFUNCTION("IMPORTRANGE(""https://docs.google.com/spreadsheets/d/1F0NpMx7WhcgPgxTWpryY3Z1CGg56FL6aiL4mHs43w4E/edit"",""1!e33"")"),47.0)</f>
        <v>47</v>
      </c>
      <c r="L330" s="40">
        <f t="shared" ref="L330:L336" si="916">SUM(J330:K330)</f>
        <v>2708</v>
      </c>
      <c r="M330" s="40">
        <f t="shared" ref="M330:M347" si="917">SUM(I330+L330)</f>
        <v>4937</v>
      </c>
      <c r="N330" s="41">
        <f t="shared" ref="N330:N348" si="918">F330/E330</f>
        <v>196.76475</v>
      </c>
      <c r="O330" s="38">
        <v>5161.0</v>
      </c>
      <c r="P330" s="42">
        <f t="shared" ref="P330:P348" si="919">M330/O330</f>
        <v>0.9565975586</v>
      </c>
      <c r="Q330" s="43">
        <v>1.5</v>
      </c>
      <c r="R330" s="42">
        <f t="shared" ref="R330:R348" si="920">S330/Q330</f>
        <v>0.8363625429</v>
      </c>
      <c r="S330" s="44">
        <f t="shared" ref="S330:S348" si="921">M330/F330</f>
        <v>1.254543814</v>
      </c>
      <c r="T330" s="43">
        <f>F330/14.415</f>
        <v>273</v>
      </c>
      <c r="U330" s="43">
        <f t="shared" ref="U330:U348" si="922">T330/E330</f>
        <v>13.65</v>
      </c>
      <c r="V330" s="40">
        <f t="shared" ref="V330:V348" si="923">M330/E330</f>
        <v>246.85</v>
      </c>
      <c r="X330" s="22">
        <v>4.0</v>
      </c>
      <c r="Y330" s="22" t="s">
        <v>27</v>
      </c>
      <c r="Z330" s="22">
        <f t="shared" ref="Z330:AK330" si="913">SUM(D343)</f>
        <v>23</v>
      </c>
      <c r="AA330" s="23">
        <f t="shared" si="913"/>
        <v>29</v>
      </c>
      <c r="AB330" s="24">
        <f t="shared" si="913"/>
        <v>5631.663</v>
      </c>
      <c r="AC330" s="23">
        <f t="shared" si="913"/>
        <v>2486</v>
      </c>
      <c r="AD330" s="23">
        <f t="shared" si="913"/>
        <v>80</v>
      </c>
      <c r="AE330" s="23">
        <f t="shared" si="913"/>
        <v>2566</v>
      </c>
      <c r="AF330" s="23">
        <f t="shared" si="913"/>
        <v>2945</v>
      </c>
      <c r="AG330" s="23">
        <f t="shared" si="913"/>
        <v>88</v>
      </c>
      <c r="AH330" s="23">
        <f t="shared" si="913"/>
        <v>3033</v>
      </c>
      <c r="AI330" s="23">
        <f t="shared" si="913"/>
        <v>5599</v>
      </c>
      <c r="AJ330" s="25">
        <f t="shared" si="913"/>
        <v>194.1952759</v>
      </c>
      <c r="AK330" s="22">
        <f t="shared" si="913"/>
        <v>8101</v>
      </c>
      <c r="AL330" s="26">
        <f t="shared" si="905"/>
        <v>0.6911492408</v>
      </c>
      <c r="AM330" s="27">
        <f>SUM(Q343)</f>
        <v>1.5</v>
      </c>
      <c r="AN330" s="26">
        <f t="shared" si="907"/>
        <v>0.6628000764</v>
      </c>
      <c r="AO330" s="28">
        <f t="shared" si="908"/>
        <v>0.9942001146</v>
      </c>
      <c r="AP330" s="27">
        <f t="shared" ref="AP330:AQ330" si="914">SUM(T343)</f>
        <v>281.7944959</v>
      </c>
      <c r="AQ330" s="27">
        <f t="shared" si="914"/>
        <v>9.717051582</v>
      </c>
      <c r="AR330" s="23">
        <f t="shared" si="910"/>
        <v>193.0689655</v>
      </c>
    </row>
    <row r="331" ht="15.75" customHeight="1">
      <c r="A331" s="21"/>
      <c r="B331" s="38">
        <v>2.0</v>
      </c>
      <c r="C331" s="38" t="s">
        <v>28</v>
      </c>
      <c r="D331" s="39">
        <v>24.0</v>
      </c>
      <c r="E331" s="40">
        <f>IFERROR(__xludf.DUMMYFUNCTION("COUNT(IMPORTRANGE(""https://docs.google.com/spreadsheets/d/1H9vAqftAHb0OdeSGXHTnJFzoWUgpoH31sc0sHNN8y1o/edit"",""1!d2:d34""))"),32.0)</f>
        <v>32</v>
      </c>
      <c r="F331" s="41">
        <f>IFERROR(__xludf.DUMMYFUNCTION("SUM(IMPORTRANGE(""https://docs.google.com/spreadsheets/d/1H9vAqftAHb0OdeSGXHTnJFzoWUgpoH31sc0sHNN8y1o/edit"",""1!Q2:Q34""))"),6234.134999999998)</f>
        <v>6234.135</v>
      </c>
      <c r="G331" s="40">
        <f>IFERROR(__xludf.DUMMYFUNCTION("IMPORTRANGE(""https://docs.google.com/spreadsheets/d/1H9vAqftAHb0OdeSGXHTnJFzoWUgpoH31sc0sHNN8y1o/edit"",""1!e41"")"),2719.0)</f>
        <v>2719</v>
      </c>
      <c r="H331" s="40">
        <f>IFERROR(__xludf.DUMMYFUNCTION("IMPORTRANGE(""https://docs.google.com/spreadsheets/d/1H9vAqftAHb0OdeSGXHTnJFzoWUgpoH31sc0sHNN8y1o/edit"",""1!e42"")"),208.0)</f>
        <v>208</v>
      </c>
      <c r="I331" s="40">
        <f t="shared" si="915"/>
        <v>2927</v>
      </c>
      <c r="J331" s="40">
        <f>IFERROR(__xludf.DUMMYFUNCTION("IMPORTRANGE(""https://docs.google.com/spreadsheets/d/1H9vAqftAHb0OdeSGXHTnJFzoWUgpoH31sc0sHNN8y1o/edit"",""1!e45"")"),3192.0)</f>
        <v>3192</v>
      </c>
      <c r="K331" s="40">
        <f>IFERROR(__xludf.DUMMYFUNCTION("IMPORTRANGE(""https://docs.google.com/spreadsheets/d/1H9vAqftAHb0OdeSGXHTnJFzoWUgpoH31sc0sHNN8y1o/edit"",""1!e46"")"),138.0)</f>
        <v>138</v>
      </c>
      <c r="L331" s="40">
        <f t="shared" si="916"/>
        <v>3330</v>
      </c>
      <c r="M331" s="40">
        <f t="shared" si="917"/>
        <v>6257</v>
      </c>
      <c r="N331" s="41">
        <f t="shared" si="918"/>
        <v>194.8167188</v>
      </c>
      <c r="O331" s="38">
        <v>7315.0</v>
      </c>
      <c r="P331" s="42">
        <f t="shared" si="919"/>
        <v>0.8553656869</v>
      </c>
      <c r="Q331" s="43">
        <v>1.5</v>
      </c>
      <c r="R331" s="42">
        <f t="shared" si="920"/>
        <v>0.6691118067</v>
      </c>
      <c r="S331" s="44">
        <f t="shared" si="921"/>
        <v>1.00366771</v>
      </c>
      <c r="T331" s="43">
        <f>F331/30.897</f>
        <v>201.7715312</v>
      </c>
      <c r="U331" s="43">
        <f t="shared" si="922"/>
        <v>6.305360351</v>
      </c>
      <c r="V331" s="40">
        <f t="shared" si="923"/>
        <v>195.53125</v>
      </c>
      <c r="X331" s="22">
        <v>5.0</v>
      </c>
      <c r="Y331" s="22" t="s">
        <v>29</v>
      </c>
      <c r="Z331" s="22">
        <f t="shared" ref="Z331:AI331" si="924">SUM(D346)</f>
        <v>23</v>
      </c>
      <c r="AA331" s="23">
        <f t="shared" si="924"/>
        <v>29</v>
      </c>
      <c r="AB331" s="24">
        <f t="shared" si="924"/>
        <v>5722.056</v>
      </c>
      <c r="AC331" s="23">
        <f t="shared" si="924"/>
        <v>2610</v>
      </c>
      <c r="AD331" s="23">
        <f t="shared" si="924"/>
        <v>0</v>
      </c>
      <c r="AE331" s="23">
        <f t="shared" si="924"/>
        <v>2610</v>
      </c>
      <c r="AF331" s="23">
        <f t="shared" si="924"/>
        <v>4378</v>
      </c>
      <c r="AG331" s="23">
        <f t="shared" si="924"/>
        <v>0</v>
      </c>
      <c r="AH331" s="23">
        <f t="shared" si="924"/>
        <v>4378</v>
      </c>
      <c r="AI331" s="23">
        <f t="shared" si="924"/>
        <v>6988</v>
      </c>
      <c r="AJ331" s="25">
        <f t="shared" ref="AJ331:AJ333" si="927">AB331/AA331</f>
        <v>197.3122759</v>
      </c>
      <c r="AK331" s="22">
        <f t="shared" ref="AK331:AK332" si="928">SUM(O346)</f>
        <v>9201</v>
      </c>
      <c r="AL331" s="26">
        <f t="shared" si="905"/>
        <v>0.7594826649</v>
      </c>
      <c r="AM331" s="27">
        <f t="shared" ref="AM331:AM332" si="929">SUM(Q346)</f>
        <v>1.5</v>
      </c>
      <c r="AN331" s="26">
        <f t="shared" si="907"/>
        <v>0.8141595725</v>
      </c>
      <c r="AO331" s="28">
        <f t="shared" si="908"/>
        <v>1.221239359</v>
      </c>
      <c r="AP331" s="27">
        <f t="shared" ref="AP331:AQ331" si="925">SUM(T346)</f>
        <v>216</v>
      </c>
      <c r="AQ331" s="27">
        <f t="shared" si="925"/>
        <v>7.448275862</v>
      </c>
      <c r="AR331" s="23">
        <f t="shared" si="910"/>
        <v>240.9655172</v>
      </c>
    </row>
    <row r="332" ht="15.75" customHeight="1">
      <c r="A332" s="21"/>
      <c r="B332" s="38">
        <v>3.0</v>
      </c>
      <c r="C332" s="38" t="s">
        <v>30</v>
      </c>
      <c r="D332" s="39">
        <v>45.0</v>
      </c>
      <c r="E332" s="40">
        <f>IFERROR(__xludf.DUMMYFUNCTION("COUNT(IMPORTRANGE(""https://docs.google.com/spreadsheets/d/1EWN6nfpuVxbUE_9opjYCWaI7MTm5xsF6ssjklSbMZnA/edit"",""1!d2:d61""))"),59.0)</f>
        <v>59</v>
      </c>
      <c r="F332" s="45">
        <f>IFERROR(__xludf.DUMMYFUNCTION("SUM(IMPORTRANGE(""https://docs.google.com/spreadsheets/d/1EWN6nfpuVxbUE_9opjYCWaI7MTm5xsF6ssjklSbMZnA/edit"",""1!Q2:Q61""))"),11739.691999999988)</f>
        <v>11739.692</v>
      </c>
      <c r="G332" s="40">
        <f>IFERROR(__xludf.DUMMYFUNCTION("IMPORTRANGE(""https://docs.google.com/spreadsheets/d/1EWN6nfpuVxbUE_9opjYCWaI7MTm5xsF6ssjklSbMZnA/edit"",""1!e68"")"),3754.0)</f>
        <v>3754</v>
      </c>
      <c r="H332" s="40">
        <f>IFERROR(__xludf.DUMMYFUNCTION("IMPORTRANGE(""https://docs.google.com/spreadsheets/d/1EWN6nfpuVxbUE_9opjYCWaI7MTm5xsF6ssjklSbMZnA/edit"",""1!e69"")"),14.0)</f>
        <v>14</v>
      </c>
      <c r="I332" s="40">
        <f t="shared" si="915"/>
        <v>3768</v>
      </c>
      <c r="J332" s="40">
        <f>IFERROR(__xludf.DUMMYFUNCTION("IMPORTRANGE(""https://docs.google.com/spreadsheets/d/1EWN6nfpuVxbUE_9opjYCWaI7MTm5xsF6ssjklSbMZnA/edit"",""1!e72"")"),5982.0)</f>
        <v>5982</v>
      </c>
      <c r="K332" s="40">
        <f>IFERROR(__xludf.DUMMYFUNCTION("IMPORTRANGE(""https://docs.google.com/spreadsheets/d/1EWN6nfpuVxbUE_9opjYCWaI7MTm5xsF6ssjklSbMZnA/edit"",""1!e73"")"),0.0)</f>
        <v>0</v>
      </c>
      <c r="L332" s="40">
        <f t="shared" si="916"/>
        <v>5982</v>
      </c>
      <c r="M332" s="40">
        <f t="shared" si="917"/>
        <v>9750</v>
      </c>
      <c r="N332" s="41">
        <f t="shared" si="918"/>
        <v>198.9778305</v>
      </c>
      <c r="O332" s="38">
        <v>11164.0</v>
      </c>
      <c r="P332" s="42">
        <f t="shared" si="919"/>
        <v>0.8733428879</v>
      </c>
      <c r="Q332" s="43">
        <v>1.5</v>
      </c>
      <c r="R332" s="42">
        <f t="shared" si="920"/>
        <v>0.5536772174</v>
      </c>
      <c r="S332" s="44">
        <f t="shared" si="921"/>
        <v>0.8305158261</v>
      </c>
      <c r="T332" s="43">
        <f>F332/29.603</f>
        <v>396.5710232</v>
      </c>
      <c r="U332" s="43">
        <f t="shared" si="922"/>
        <v>6.721542766</v>
      </c>
      <c r="V332" s="40">
        <f t="shared" si="923"/>
        <v>165.2542373</v>
      </c>
      <c r="X332" s="22">
        <v>6.0</v>
      </c>
      <c r="Y332" s="22" t="s">
        <v>31</v>
      </c>
      <c r="Z332" s="22">
        <f t="shared" ref="Z332:AI332" si="926">SUM(D347)</f>
        <v>11</v>
      </c>
      <c r="AA332" s="23">
        <f t="shared" si="926"/>
        <v>14</v>
      </c>
      <c r="AB332" s="25">
        <f t="shared" si="926"/>
        <v>2520.97</v>
      </c>
      <c r="AC332" s="23">
        <f t="shared" si="926"/>
        <v>633</v>
      </c>
      <c r="AD332" s="23">
        <f t="shared" si="926"/>
        <v>0</v>
      </c>
      <c r="AE332" s="23">
        <f t="shared" si="926"/>
        <v>633</v>
      </c>
      <c r="AF332" s="23">
        <f t="shared" si="926"/>
        <v>1148</v>
      </c>
      <c r="AG332" s="23">
        <f t="shared" si="926"/>
        <v>15</v>
      </c>
      <c r="AH332" s="23">
        <f t="shared" si="926"/>
        <v>1163</v>
      </c>
      <c r="AI332" s="23">
        <f t="shared" si="926"/>
        <v>1796</v>
      </c>
      <c r="AJ332" s="25">
        <f t="shared" si="927"/>
        <v>180.0692857</v>
      </c>
      <c r="AK332" s="22">
        <f t="shared" si="928"/>
        <v>2717</v>
      </c>
      <c r="AL332" s="26">
        <f t="shared" si="905"/>
        <v>0.6610231873</v>
      </c>
      <c r="AM332" s="27">
        <f t="shared" si="929"/>
        <v>1.5</v>
      </c>
      <c r="AN332" s="26">
        <f t="shared" si="907"/>
        <v>0.4749494573</v>
      </c>
      <c r="AO332" s="28">
        <f t="shared" si="908"/>
        <v>0.7124241859</v>
      </c>
      <c r="AP332" s="27">
        <f t="shared" ref="AP332:AQ332" si="930">SUM(T347)</f>
        <v>58</v>
      </c>
      <c r="AQ332" s="27">
        <f t="shared" si="930"/>
        <v>4.142857143</v>
      </c>
      <c r="AR332" s="23">
        <f t="shared" si="910"/>
        <v>128.2857143</v>
      </c>
    </row>
    <row r="333" ht="15.75" customHeight="1">
      <c r="A333" s="21"/>
      <c r="B333" s="38">
        <v>4.0</v>
      </c>
      <c r="C333" s="38" t="s">
        <v>32</v>
      </c>
      <c r="D333" s="39">
        <v>32.0</v>
      </c>
      <c r="E333" s="40">
        <f>IFERROR(__xludf.DUMMYFUNCTION("COUNT(IMPORTRANGE(""https://docs.google.com/spreadsheets/d/1Rmar8QqWK4XOJ-eY6xMzkAfDSw0srEXcAw89ilArun8/edit"",""1!d2:d43""))"),42.0)</f>
        <v>42</v>
      </c>
      <c r="F333" s="45">
        <f>IFERROR(__xludf.DUMMYFUNCTION("SUM(IMPORTRANGE(""https://docs.google.com/spreadsheets/d/1Rmar8QqWK4XOJ-eY6xMzkAfDSw0srEXcAw89ilArun8/edit"",""1!Q2:Q43""))"),8240.661999999991)</f>
        <v>8240.662</v>
      </c>
      <c r="G333" s="38">
        <f>IFERROR(__xludf.DUMMYFUNCTION("IMPORTRANGE(""https://docs.google.com/spreadsheets/d/1Rmar8QqWK4XOJ-eY6xMzkAfDSw0srEXcAw89ilArun8/edit"",""1!e50"")"),4515.0)</f>
        <v>4515</v>
      </c>
      <c r="H333" s="38">
        <f>IFERROR(__xludf.DUMMYFUNCTION("IMPORTRANGE(""https://docs.google.com/spreadsheets/d/1Rmar8QqWK4XOJ-eY6xMzkAfDSw0srEXcAw89ilArun8/edit"",""1!e51"")"),0.0)</f>
        <v>0</v>
      </c>
      <c r="I333" s="40">
        <f t="shared" si="915"/>
        <v>4515</v>
      </c>
      <c r="J333" s="38">
        <f>IFERROR(__xludf.DUMMYFUNCTION("IMPORTRANGE(""https://docs.google.com/spreadsheets/d/1Rmar8QqWK4XOJ-eY6xMzkAfDSw0srEXcAw89ilArun8/edit"",""1!e54"")"),5726.0)</f>
        <v>5726</v>
      </c>
      <c r="K333" s="38">
        <f>IFERROR(__xludf.DUMMYFUNCTION("IMPORTRANGE(""https://docs.google.com/spreadsheets/d/1Rmar8QqWK4XOJ-eY6xMzkAfDSw0srEXcAw89ilArun8/edit"",""1!e55"")"),0.0)</f>
        <v>0</v>
      </c>
      <c r="L333" s="40">
        <f t="shared" si="916"/>
        <v>5726</v>
      </c>
      <c r="M333" s="40">
        <f t="shared" si="917"/>
        <v>10241</v>
      </c>
      <c r="N333" s="41">
        <f t="shared" si="918"/>
        <v>196.2062381</v>
      </c>
      <c r="O333" s="38">
        <v>13817.0</v>
      </c>
      <c r="P333" s="42">
        <f t="shared" si="919"/>
        <v>0.7411883911</v>
      </c>
      <c r="Q333" s="43">
        <v>1.5</v>
      </c>
      <c r="R333" s="42">
        <f t="shared" si="920"/>
        <v>0.8284933096</v>
      </c>
      <c r="S333" s="44">
        <f t="shared" si="921"/>
        <v>1.242739964</v>
      </c>
      <c r="T333" s="43">
        <f>F333/25.089</f>
        <v>328.4571725</v>
      </c>
      <c r="U333" s="43">
        <f t="shared" si="922"/>
        <v>7.820408868</v>
      </c>
      <c r="V333" s="40">
        <f t="shared" si="923"/>
        <v>243.8333333</v>
      </c>
      <c r="X333" s="46" t="s">
        <v>33</v>
      </c>
      <c r="Y333" s="46">
        <v>6.0</v>
      </c>
      <c r="Z333" s="46">
        <f t="shared" ref="Z333:AI333" si="931">SUM(Z327:Z332)</f>
        <v>144</v>
      </c>
      <c r="AA333" s="47">
        <f t="shared" si="931"/>
        <v>182</v>
      </c>
      <c r="AB333" s="48">
        <f t="shared" si="931"/>
        <v>34548.101</v>
      </c>
      <c r="AC333" s="47">
        <f t="shared" si="931"/>
        <v>10994</v>
      </c>
      <c r="AD333" s="47">
        <f t="shared" si="931"/>
        <v>411</v>
      </c>
      <c r="AE333" s="47">
        <f t="shared" si="931"/>
        <v>11405</v>
      </c>
      <c r="AF333" s="47">
        <f t="shared" si="931"/>
        <v>16273</v>
      </c>
      <c r="AG333" s="47">
        <f t="shared" si="931"/>
        <v>422</v>
      </c>
      <c r="AH333" s="47">
        <f t="shared" si="931"/>
        <v>16695</v>
      </c>
      <c r="AI333" s="47">
        <f t="shared" si="931"/>
        <v>28100</v>
      </c>
      <c r="AJ333" s="49">
        <f t="shared" si="927"/>
        <v>189.8247308</v>
      </c>
      <c r="AK333" s="46">
        <f>SUM(AK327:AK332)</f>
        <v>35074</v>
      </c>
      <c r="AL333" s="50">
        <f t="shared" si="905"/>
        <v>0.8011632548</v>
      </c>
      <c r="AM333" s="51">
        <v>1.5</v>
      </c>
      <c r="AN333" s="50">
        <f t="shared" si="907"/>
        <v>0.542239162</v>
      </c>
      <c r="AO333" s="52">
        <f t="shared" si="908"/>
        <v>0.8133587429</v>
      </c>
      <c r="AP333" s="51">
        <f>SUM(AP327:AP332)</f>
        <v>1303.489768</v>
      </c>
      <c r="AQ333" s="51">
        <f>AP333/AA333</f>
        <v>7.162031693</v>
      </c>
      <c r="AR333" s="47">
        <f t="shared" si="910"/>
        <v>154.3956044</v>
      </c>
    </row>
    <row r="334" ht="15.75" customHeight="1">
      <c r="A334" s="21"/>
      <c r="B334" s="38">
        <v>5.0</v>
      </c>
      <c r="C334" s="38" t="s">
        <v>34</v>
      </c>
      <c r="D334" s="39">
        <v>30.0</v>
      </c>
      <c r="E334" s="40">
        <f>IFERROR(__xludf.DUMMYFUNCTION("COUNT(IMPORTRANGE(""https://docs.google.com/spreadsheets/d/1u99JxAoytGQQ8GcjxXl38CGdyEWy5uIbuJJHnsotyvk/edit"",""1!d2:d41""))"),40.0)</f>
        <v>40</v>
      </c>
      <c r="F334" s="45">
        <f>IFERROR(__xludf.DUMMYFUNCTION("SUM(IMPORTRANGE(""https://docs.google.com/spreadsheets/d/1u99JxAoytGQQ8GcjxXl38CGdyEWy5uIbuJJHnsotyvk/edit"",""1!Q2:Q41""))"),8007.324000000002)</f>
        <v>8007.324</v>
      </c>
      <c r="G334" s="40">
        <f>IFERROR(__xludf.DUMMYFUNCTION("IMPORTRANGE(""https://docs.google.com/spreadsheets/d/1u99JxAoytGQQ8GcjxXl38CGdyEWy5uIbuJJHnsotyvk/edit"",""1!e48"")"),2819.0)</f>
        <v>2819</v>
      </c>
      <c r="H334" s="40">
        <f>IFERROR(__xludf.DUMMYFUNCTION("IMPORTRANGE(""https://docs.google.com/spreadsheets/d/1u99JxAoytGQQ8GcjxXl38CGdyEWy5uIbuJJHnsotyvk/edit"",""1!e49"")"),0.0)</f>
        <v>0</v>
      </c>
      <c r="I334" s="40">
        <f t="shared" si="915"/>
        <v>2819</v>
      </c>
      <c r="J334" s="40">
        <f>IFERROR(__xludf.DUMMYFUNCTION("IMPORTRANGE(""https://docs.google.com/spreadsheets/d/1u99JxAoytGQQ8GcjxXl38CGdyEWy5uIbuJJHnsotyvk/edit"",""1!e52"")"),3504.0)</f>
        <v>3504</v>
      </c>
      <c r="K334" s="40">
        <f>IFERROR(__xludf.DUMMYFUNCTION("IMPORTRANGE(""https://docs.google.com/spreadsheets/d/1u99JxAoytGQQ8GcjxXl38CGdyEWy5uIbuJJHnsotyvk/edit"",""1!e53"")"),0.0)</f>
        <v>0</v>
      </c>
      <c r="L334" s="40">
        <f t="shared" si="916"/>
        <v>3504</v>
      </c>
      <c r="M334" s="40">
        <f t="shared" si="917"/>
        <v>6323</v>
      </c>
      <c r="N334" s="41">
        <f t="shared" si="918"/>
        <v>200.1831</v>
      </c>
      <c r="O334" s="38">
        <v>9354.0</v>
      </c>
      <c r="P334" s="42">
        <f t="shared" si="919"/>
        <v>0.6759675005</v>
      </c>
      <c r="Q334" s="43">
        <v>1.5</v>
      </c>
      <c r="R334" s="42">
        <f t="shared" si="920"/>
        <v>0.5264347157</v>
      </c>
      <c r="S334" s="44">
        <f t="shared" si="921"/>
        <v>0.7896520735</v>
      </c>
      <c r="T334" s="43">
        <f>F334/30.713</f>
        <v>260.7144857</v>
      </c>
      <c r="U334" s="43">
        <f t="shared" si="922"/>
        <v>6.517862143</v>
      </c>
      <c r="V334" s="40">
        <f t="shared" si="923"/>
        <v>158.075</v>
      </c>
      <c r="X334" s="53" t="s">
        <v>35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6"/>
    </row>
    <row r="335" ht="15.75" customHeight="1">
      <c r="A335" s="21"/>
      <c r="B335" s="38">
        <v>6.0</v>
      </c>
      <c r="C335" s="38" t="s">
        <v>23</v>
      </c>
      <c r="D335" s="39">
        <v>26.0</v>
      </c>
      <c r="E335" s="40">
        <f>IFERROR(__xludf.DUMMYFUNCTION("COUNT(IMPORTRANGE(""https://docs.google.com/spreadsheets/d/1uVc-vnTn57HE53lwrUYNZP4sGKTXisrqOoZ-6EyvLzY/edit"",""1!d2:d36""))"),34.0)</f>
        <v>34</v>
      </c>
      <c r="F335" s="45">
        <f>IFERROR(__xludf.DUMMYFUNCTION("SUM(IMPORTRANGE(""https://docs.google.com/spreadsheets/d/1uVc-vnTn57HE53lwrUYNZP4sGKTXisrqOoZ-6EyvLzY/edit"",""1!Q2:Q36""))"),6680.519999999995)</f>
        <v>6680.52</v>
      </c>
      <c r="G335" s="40">
        <f>IFERROR(__xludf.DUMMYFUNCTION("IMPORTRANGE(""https://docs.google.com/spreadsheets/d/1uVc-vnTn57HE53lwrUYNZP4sGKTXisrqOoZ-6EyvLzY/edit"",""1!e43"")"),1627.0)</f>
        <v>1627</v>
      </c>
      <c r="H335" s="40">
        <f>IFERROR(__xludf.DUMMYFUNCTION("IMPORTRANGE(""https://docs.google.com/spreadsheets/d/1uVc-vnTn57HE53lwrUYNZP4sGKTXisrqOoZ-6EyvLzY/edit"",""1!e44"")"),0.0)</f>
        <v>0</v>
      </c>
      <c r="I335" s="40">
        <f t="shared" si="915"/>
        <v>1627</v>
      </c>
      <c r="J335" s="40">
        <f>IFERROR(__xludf.DUMMYFUNCTION("IMPORTRANGE(""https://docs.google.com/spreadsheets/d/1uVc-vnTn57HE53lwrUYNZP4sGKTXisrqOoZ-6EyvLzY/edit"",""1!e47"")"),3262.0)</f>
        <v>3262</v>
      </c>
      <c r="K335" s="40">
        <f>IFERROR(__xludf.DUMMYFUNCTION("IMPORTRANGE(""https://docs.google.com/spreadsheets/d/1uVc-vnTn57HE53lwrUYNZP4sGKTXisrqOoZ-6EyvLzY/edit"",""1!e48"")"),0.0)</f>
        <v>0</v>
      </c>
      <c r="L335" s="40">
        <f t="shared" si="916"/>
        <v>3262</v>
      </c>
      <c r="M335" s="40">
        <f t="shared" si="917"/>
        <v>4889</v>
      </c>
      <c r="N335" s="41">
        <f t="shared" si="918"/>
        <v>196.4858824</v>
      </c>
      <c r="O335" s="38">
        <v>6853.0</v>
      </c>
      <c r="P335" s="42">
        <f t="shared" si="919"/>
        <v>0.7134101853</v>
      </c>
      <c r="Q335" s="43">
        <v>1.5</v>
      </c>
      <c r="R335" s="42">
        <f t="shared" si="920"/>
        <v>0.4878861725</v>
      </c>
      <c r="S335" s="44">
        <f t="shared" si="921"/>
        <v>0.7318292588</v>
      </c>
      <c r="T335" s="43">
        <f>F335/33.74</f>
        <v>198</v>
      </c>
      <c r="U335" s="43">
        <f t="shared" si="922"/>
        <v>5.823529412</v>
      </c>
      <c r="V335" s="40">
        <f t="shared" si="923"/>
        <v>143.7941176</v>
      </c>
      <c r="X335" s="14" t="s">
        <v>2</v>
      </c>
      <c r="Y335" s="14" t="s">
        <v>3</v>
      </c>
      <c r="Z335" s="14" t="s">
        <v>4</v>
      </c>
      <c r="AA335" s="14" t="s">
        <v>5</v>
      </c>
      <c r="AB335" s="15" t="s">
        <v>6</v>
      </c>
      <c r="AC335" s="14" t="s">
        <v>7</v>
      </c>
      <c r="AD335" s="14" t="s">
        <v>8</v>
      </c>
      <c r="AE335" s="14" t="s">
        <v>9</v>
      </c>
      <c r="AF335" s="14" t="s">
        <v>10</v>
      </c>
      <c r="AG335" s="14" t="s">
        <v>11</v>
      </c>
      <c r="AH335" s="14" t="s">
        <v>12</v>
      </c>
      <c r="AI335" s="14" t="s">
        <v>13</v>
      </c>
      <c r="AJ335" s="15" t="s">
        <v>14</v>
      </c>
      <c r="AK335" s="14" t="s">
        <v>15</v>
      </c>
      <c r="AL335" s="14" t="s">
        <v>16</v>
      </c>
      <c r="AM335" s="16" t="s">
        <v>17</v>
      </c>
      <c r="AN335" s="17" t="s">
        <v>18</v>
      </c>
      <c r="AO335" s="18" t="s">
        <v>19</v>
      </c>
      <c r="AP335" s="19" t="s">
        <v>20</v>
      </c>
      <c r="AQ335" s="19" t="s">
        <v>21</v>
      </c>
      <c r="AR335" s="20" t="s">
        <v>22</v>
      </c>
    </row>
    <row r="336" ht="15.75" customHeight="1">
      <c r="A336" s="21"/>
      <c r="B336" s="38">
        <v>7.0</v>
      </c>
      <c r="C336" s="38" t="s">
        <v>24</v>
      </c>
      <c r="D336" s="39">
        <v>35.0</v>
      </c>
      <c r="E336" s="54">
        <f>IFERROR(__xludf.DUMMYFUNCTION("COUNT(IMPORTRANGE(""https://docs.google.com/spreadsheets/d/1iuPvivSypupo44l6GtmR-2qZ3za7cTk7KzsOVp_kv2c/edit"",""1!d2:d45""))"),44.0)</f>
        <v>44</v>
      </c>
      <c r="F336" s="55">
        <f>IFERROR(__xludf.DUMMYFUNCTION("SUM(IMPORTRANGE(""https://docs.google.com/spreadsheets/d/1iuPvivSypupo44l6GtmR-2qZ3za7cTk7KzsOVp_kv2c/edit"",""1!Q2:Q45""))"),8029.355999999994)</f>
        <v>8029.356</v>
      </c>
      <c r="G336" s="54">
        <f>IFERROR(__xludf.DUMMYFUNCTION("IMPORTRANGE(""https://docs.google.com/spreadsheets/d/1iuPvivSypupo44l6GtmR-2qZ3za7cTk7KzsOVp_kv2c/edit"",""1!e53"")"),1194.0)</f>
        <v>1194</v>
      </c>
      <c r="H336" s="54">
        <f>IFERROR(__xludf.DUMMYFUNCTION("IMPORTRANGE(""https://docs.google.com/spreadsheets/d/1iuPvivSypupo44l6GtmR-2qZ3za7cTk7KzsOVp_kv2c/edit"",""1!e54"")"),0.0)</f>
        <v>0</v>
      </c>
      <c r="I336" s="54">
        <f t="shared" si="915"/>
        <v>1194</v>
      </c>
      <c r="J336" s="54">
        <f>IFERROR(__xludf.DUMMYFUNCTION("IMPORTRANGE(""https://docs.google.com/spreadsheets/d/1iuPvivSypupo44l6GtmR-2qZ3za7cTk7KzsOVp_kv2c/edit"",""1!e57"")"),1455.0)</f>
        <v>1455</v>
      </c>
      <c r="K336" s="54">
        <f>IFERROR(__xludf.DUMMYFUNCTION("IMPORTRANGE(""https://docs.google.com/spreadsheets/d/1iuPvivSypupo44l6GtmR-2qZ3za7cTk7KzsOVp_kv2c/edit"",""1!e58"")"),0.0)</f>
        <v>0</v>
      </c>
      <c r="L336" s="40">
        <f t="shared" si="916"/>
        <v>1455</v>
      </c>
      <c r="M336" s="40">
        <f t="shared" si="917"/>
        <v>2649</v>
      </c>
      <c r="N336" s="41">
        <f t="shared" si="918"/>
        <v>182.4853636</v>
      </c>
      <c r="O336" s="38">
        <v>1580.0</v>
      </c>
      <c r="P336" s="56">
        <f t="shared" si="919"/>
        <v>1.676582278</v>
      </c>
      <c r="Q336" s="43">
        <v>1.5</v>
      </c>
      <c r="R336" s="42">
        <f t="shared" si="920"/>
        <v>0.2199429195</v>
      </c>
      <c r="S336" s="44">
        <f t="shared" si="921"/>
        <v>0.3299143792</v>
      </c>
      <c r="T336" s="43">
        <f>F336/26.805</f>
        <v>299.5469502</v>
      </c>
      <c r="U336" s="43">
        <f t="shared" si="922"/>
        <v>6.807885232</v>
      </c>
      <c r="V336" s="40">
        <f t="shared" si="923"/>
        <v>60.20454545</v>
      </c>
      <c r="X336" s="22">
        <v>1.0</v>
      </c>
      <c r="Y336" s="22" t="s">
        <v>28</v>
      </c>
      <c r="Z336" s="22">
        <f t="shared" ref="Z336:AI336" si="932">SUM(D331)</f>
        <v>24</v>
      </c>
      <c r="AA336" s="23">
        <f t="shared" si="932"/>
        <v>32</v>
      </c>
      <c r="AB336" s="25">
        <f t="shared" si="932"/>
        <v>6234.135</v>
      </c>
      <c r="AC336" s="23">
        <f t="shared" si="932"/>
        <v>2719</v>
      </c>
      <c r="AD336" s="23">
        <f t="shared" si="932"/>
        <v>208</v>
      </c>
      <c r="AE336" s="23">
        <f t="shared" si="932"/>
        <v>2927</v>
      </c>
      <c r="AF336" s="23">
        <f t="shared" si="932"/>
        <v>3192</v>
      </c>
      <c r="AG336" s="23">
        <f t="shared" si="932"/>
        <v>138</v>
      </c>
      <c r="AH336" s="23">
        <f t="shared" si="932"/>
        <v>3330</v>
      </c>
      <c r="AI336" s="23">
        <f t="shared" si="932"/>
        <v>6257</v>
      </c>
      <c r="AJ336" s="25">
        <f t="shared" ref="AJ336:AJ342" si="935">AB336/AA336</f>
        <v>194.8167188</v>
      </c>
      <c r="AK336" s="22">
        <f t="shared" ref="AK336:AK337" si="936">SUM(O331)</f>
        <v>7315</v>
      </c>
      <c r="AL336" s="26">
        <f t="shared" ref="AL336:AL342" si="937">AI336/AK336</f>
        <v>0.8553656869</v>
      </c>
      <c r="AM336" s="27">
        <f t="shared" ref="AM336:AM337" si="938">SUM(Q331)</f>
        <v>1.5</v>
      </c>
      <c r="AN336" s="26">
        <f t="shared" ref="AN336:AN342" si="939">AO336/AM336</f>
        <v>0.6691118067</v>
      </c>
      <c r="AO336" s="28">
        <f t="shared" ref="AO336:AO342" si="940">AI336/AB336</f>
        <v>1.00366771</v>
      </c>
      <c r="AP336" s="27">
        <f t="shared" ref="AP336:AQ336" si="933">SUM(T331)</f>
        <v>201.7715312</v>
      </c>
      <c r="AQ336" s="27">
        <f t="shared" si="933"/>
        <v>6.305360351</v>
      </c>
      <c r="AR336" s="23">
        <f t="shared" ref="AR336:AR342" si="942">AI336/AA336</f>
        <v>195.53125</v>
      </c>
    </row>
    <row r="337" ht="15.75" customHeight="1">
      <c r="A337" s="21"/>
      <c r="B337" s="38">
        <v>8.0</v>
      </c>
      <c r="C337" s="38" t="s">
        <v>25</v>
      </c>
      <c r="D337" s="57">
        <v>26.0</v>
      </c>
      <c r="E337" s="40">
        <f>IFERROR(__xludf.DUMMYFUNCTION("COUNT(IMPORTRANGE(""https://docs.google.com/spreadsheets/d/1sqWX7UerdR9KR_duBzDNfjwbPG-3hLgV1LiN2ZVZ6Js/edit"",""1!d2:D33""))"),32.0)</f>
        <v>32</v>
      </c>
      <c r="F337" s="45">
        <f>IFERROR(__xludf.DUMMYFUNCTION("SUM(IMPORTRANGE(""https://docs.google.com/spreadsheets/d/1sqWX7UerdR9KR_duBzDNfjwbPG-3hLgV1LiN2ZVZ6Js/edit"",""1!Q2:Q33""))"),5963.536000000002)</f>
        <v>5963.536</v>
      </c>
      <c r="G337" s="40">
        <f>IFERROR(__xludf.DUMMYFUNCTION("IMPORTRANGE(""https://docs.google.com/spreadsheets/d/1sqWX7UerdR9KR_duBzDNfjwbPG-3hLgV1LiN2ZVZ6Js/edit"",""1!e40"")"),2444.0)</f>
        <v>2444</v>
      </c>
      <c r="H337" s="40">
        <f>IFERROR(__xludf.DUMMYFUNCTION("IMPORTRANGE(""https://docs.google.com/spreadsheets/d/1sqWX7UerdR9KR_duBzDNfjwbPG-3hLgV1LiN2ZVZ6Js/edit"",""1!e41"")"),331.0)</f>
        <v>331</v>
      </c>
      <c r="I337" s="40">
        <f t="shared" si="915"/>
        <v>2775</v>
      </c>
      <c r="J337" s="40">
        <f>IFERROR(__xludf.DUMMYFUNCTION("IMPORTRANGE(""https://docs.google.com/spreadsheets/d/1sqWX7UerdR9KR_duBzDNfjwbPG-3hLgV1LiN2ZVZ6Js/edit"",""1!e44"")"),3085.0)</f>
        <v>3085</v>
      </c>
      <c r="K337" s="40">
        <f>IFERROR(__xludf.DUMMYFUNCTION("IMPORTRANGE(""https://docs.google.com/spreadsheets/d/1sqWX7UerdR9KR_duBzDNfjwbPG-3hLgV1LiN2ZVZ6Js/edit"",""1!e45"")"),319.0)</f>
        <v>319</v>
      </c>
      <c r="L337" s="40">
        <f>J337+K337</f>
        <v>3404</v>
      </c>
      <c r="M337" s="40">
        <f t="shared" si="917"/>
        <v>6179</v>
      </c>
      <c r="N337" s="41">
        <f t="shared" si="918"/>
        <v>186.3605</v>
      </c>
      <c r="O337" s="38">
        <v>6622.0</v>
      </c>
      <c r="P337" s="42">
        <f t="shared" si="919"/>
        <v>0.9331017819</v>
      </c>
      <c r="Q337" s="43">
        <v>1.5</v>
      </c>
      <c r="R337" s="42">
        <f t="shared" si="920"/>
        <v>0.6907534948</v>
      </c>
      <c r="S337" s="44">
        <f t="shared" si="921"/>
        <v>1.036130242</v>
      </c>
      <c r="T337" s="43">
        <f>F337/23.84</f>
        <v>250.1483221</v>
      </c>
      <c r="U337" s="43">
        <f t="shared" si="922"/>
        <v>7.817135067</v>
      </c>
      <c r="V337" s="40">
        <f t="shared" si="923"/>
        <v>193.09375</v>
      </c>
      <c r="X337" s="31">
        <v>2.0</v>
      </c>
      <c r="Y337" s="31" t="s">
        <v>30</v>
      </c>
      <c r="Z337" s="31">
        <f t="shared" ref="Z337:AI337" si="934">SUM(D332)</f>
        <v>45</v>
      </c>
      <c r="AA337" s="32">
        <f t="shared" si="934"/>
        <v>59</v>
      </c>
      <c r="AB337" s="33">
        <f t="shared" si="934"/>
        <v>11739.692</v>
      </c>
      <c r="AC337" s="32">
        <f t="shared" si="934"/>
        <v>3754</v>
      </c>
      <c r="AD337" s="32">
        <f t="shared" si="934"/>
        <v>14</v>
      </c>
      <c r="AE337" s="32">
        <f t="shared" si="934"/>
        <v>3768</v>
      </c>
      <c r="AF337" s="32">
        <f t="shared" si="934"/>
        <v>5982</v>
      </c>
      <c r="AG337" s="32">
        <f t="shared" si="934"/>
        <v>0</v>
      </c>
      <c r="AH337" s="32">
        <f t="shared" si="934"/>
        <v>5982</v>
      </c>
      <c r="AI337" s="32">
        <f t="shared" si="934"/>
        <v>9750</v>
      </c>
      <c r="AJ337" s="34">
        <f t="shared" si="935"/>
        <v>198.9778305</v>
      </c>
      <c r="AK337" s="31">
        <f t="shared" si="936"/>
        <v>11164</v>
      </c>
      <c r="AL337" s="35">
        <f t="shared" si="937"/>
        <v>0.8733428879</v>
      </c>
      <c r="AM337" s="36">
        <f t="shared" si="938"/>
        <v>1.5</v>
      </c>
      <c r="AN337" s="35">
        <f t="shared" si="939"/>
        <v>0.5536772174</v>
      </c>
      <c r="AO337" s="37">
        <f t="shared" si="940"/>
        <v>0.8305158261</v>
      </c>
      <c r="AP337" s="36">
        <f t="shared" ref="AP337:AQ337" si="941">SUM(T332)</f>
        <v>396.5710232</v>
      </c>
      <c r="AQ337" s="36">
        <f t="shared" si="941"/>
        <v>6.721542766</v>
      </c>
      <c r="AR337" s="32">
        <f t="shared" si="942"/>
        <v>165.2542373</v>
      </c>
    </row>
    <row r="338" ht="15.75" customHeight="1">
      <c r="A338" s="21"/>
      <c r="B338" s="38">
        <v>9.0</v>
      </c>
      <c r="C338" s="38" t="s">
        <v>36</v>
      </c>
      <c r="D338" s="58">
        <v>23.0</v>
      </c>
      <c r="E338" s="40">
        <f>IFERROR(__xludf.DUMMYFUNCTION("COUNT(IMPORTRANGE(""https://docs.google.com/spreadsheets/d/1YNna43iTSqnwwbMJgTIPHSJEoDO8RGPRFg5pJCoQR_Y/edit"",""1!d2:d31""))"),29.0)</f>
        <v>29</v>
      </c>
      <c r="F338" s="45">
        <f>IFERROR(__xludf.DUMMYFUNCTION("SUM(IMPORTRANGE(""https://docs.google.com/spreadsheets/d/1YNna43iTSqnwwbMJgTIPHSJEoDO8RGPRFg5pJCoQR_Y/edit"",""1!Q2:Q31""))"),4875.344999999998)</f>
        <v>4875.345</v>
      </c>
      <c r="G338" s="40">
        <f>IFERROR(__xludf.DUMMYFUNCTION("IMPORTRANGE(""https://docs.google.com/spreadsheets/d/1YNna43iTSqnwwbMJgTIPHSJEoDO8RGPRFg5pJCoQR_Y/edit"",""1!e38"")"),1728.0)</f>
        <v>1728</v>
      </c>
      <c r="H338" s="40">
        <f>IFERROR(__xludf.DUMMYFUNCTION("IMPORTRANGE(""https://docs.google.com/spreadsheets/d/1YNna43iTSqnwwbMJgTIPHSJEoDO8RGPRFg5pJCoQR_Y/edit"",""1!e39"")"),0.0)</f>
        <v>0</v>
      </c>
      <c r="I338" s="40">
        <f t="shared" si="915"/>
        <v>1728</v>
      </c>
      <c r="J338" s="40">
        <f>IFERROR(__xludf.DUMMYFUNCTION("IMPORTRANGE(""https://docs.google.com/spreadsheets/d/1YNna43iTSqnwwbMJgTIPHSJEoDO8RGPRFg5pJCoQR_Y/edit"",""1!e42"")"),2407.0)</f>
        <v>2407</v>
      </c>
      <c r="K338" s="40">
        <f>IFERROR(__xludf.DUMMYFUNCTION("IMPORTRANGE(""https://docs.google.com/spreadsheets/d/1YNna43iTSqnwwbMJgTIPHSJEoDO8RGPRFg5pJCoQR_Y/edit"",""1!e43"")"),20.0)</f>
        <v>20</v>
      </c>
      <c r="L338" s="40">
        <f t="shared" ref="L338:L347" si="945">SUM(J338:K338)</f>
        <v>2427</v>
      </c>
      <c r="M338" s="40">
        <f t="shared" si="917"/>
        <v>4155</v>
      </c>
      <c r="N338" s="41">
        <f t="shared" si="918"/>
        <v>168.1153448</v>
      </c>
      <c r="O338" s="38">
        <v>4796.0</v>
      </c>
      <c r="P338" s="42">
        <f t="shared" si="919"/>
        <v>0.8663469558</v>
      </c>
      <c r="Q338" s="43">
        <v>1.5</v>
      </c>
      <c r="R338" s="42">
        <f t="shared" si="920"/>
        <v>0.5681649196</v>
      </c>
      <c r="S338" s="44">
        <f t="shared" si="921"/>
        <v>0.8522473794</v>
      </c>
      <c r="T338" s="43">
        <f>F338/37.414</f>
        <v>130.3080398</v>
      </c>
      <c r="U338" s="43">
        <f t="shared" si="922"/>
        <v>4.493380682</v>
      </c>
      <c r="V338" s="40">
        <f t="shared" si="923"/>
        <v>143.2758621</v>
      </c>
      <c r="X338" s="22">
        <v>3.0</v>
      </c>
      <c r="Y338" s="22" t="s">
        <v>34</v>
      </c>
      <c r="Z338" s="22">
        <f t="shared" ref="Z338:AI338" si="943">SUM(D334)</f>
        <v>30</v>
      </c>
      <c r="AA338" s="23">
        <f t="shared" si="943"/>
        <v>40</v>
      </c>
      <c r="AB338" s="24">
        <f t="shared" si="943"/>
        <v>8007.324</v>
      </c>
      <c r="AC338" s="23">
        <f t="shared" si="943"/>
        <v>2819</v>
      </c>
      <c r="AD338" s="23">
        <f t="shared" si="943"/>
        <v>0</v>
      </c>
      <c r="AE338" s="23">
        <f t="shared" si="943"/>
        <v>2819</v>
      </c>
      <c r="AF338" s="23">
        <f t="shared" si="943"/>
        <v>3504</v>
      </c>
      <c r="AG338" s="23">
        <f t="shared" si="943"/>
        <v>0</v>
      </c>
      <c r="AH338" s="23">
        <f t="shared" si="943"/>
        <v>3504</v>
      </c>
      <c r="AI338" s="23">
        <f t="shared" si="943"/>
        <v>6323</v>
      </c>
      <c r="AJ338" s="25">
        <f t="shared" si="935"/>
        <v>200.1831</v>
      </c>
      <c r="AK338" s="22">
        <f>SUM(O334)</f>
        <v>9354</v>
      </c>
      <c r="AL338" s="26">
        <f t="shared" si="937"/>
        <v>0.6759675005</v>
      </c>
      <c r="AM338" s="27">
        <f>SUM(Q334)</f>
        <v>1.5</v>
      </c>
      <c r="AN338" s="26">
        <f t="shared" si="939"/>
        <v>0.5264347157</v>
      </c>
      <c r="AO338" s="28">
        <f t="shared" si="940"/>
        <v>0.7896520735</v>
      </c>
      <c r="AP338" s="27">
        <f t="shared" ref="AP338:AQ338" si="944">SUM(T334)</f>
        <v>260.7144857</v>
      </c>
      <c r="AQ338" s="27">
        <f t="shared" si="944"/>
        <v>6.517862143</v>
      </c>
      <c r="AR338" s="23">
        <f t="shared" si="942"/>
        <v>158.075</v>
      </c>
    </row>
    <row r="339" ht="15.75" customHeight="1">
      <c r="A339" s="21"/>
      <c r="B339" s="38">
        <v>10.0</v>
      </c>
      <c r="C339" s="38" t="s">
        <v>37</v>
      </c>
      <c r="D339" s="39">
        <v>23.0</v>
      </c>
      <c r="E339" s="40">
        <f>IFERROR(__xludf.DUMMYFUNCTION("COUNT(IMPORTRANGE(""https://docs.google.com/spreadsheets/d/1913Df5BsXS_b-nClL8LOK5w0engQYTl1mPOiyngRtO0/edit"",""1!d2:d31""))"),28.0)</f>
        <v>28</v>
      </c>
      <c r="F339" s="45">
        <f>IFERROR(__xludf.DUMMYFUNCTION("SUM(IMPORTRANGE(""https://docs.google.com/spreadsheets/d/1913Df5BsXS_b-nClL8LOK5w0engQYTl1mPOiyngRtO0/edit"",""1!Q2:Q31""))"),5465.100000000002)</f>
        <v>5465.1</v>
      </c>
      <c r="G339" s="40">
        <f>IFERROR(__xludf.DUMMYFUNCTION("(IMPORTRANGE(""https://docs.google.com/spreadsheets/d/1913Df5BsXS_b-nClL8LOK5w0engQYTl1mPOiyngRtO0/edit"",""1!e38""))"),2135.0)</f>
        <v>2135</v>
      </c>
      <c r="H339" s="40">
        <f>IFERROR(__xludf.DUMMYFUNCTION("(IMPORTRANGE(""https://docs.google.com/spreadsheets/d/1913Df5BsXS_b-nClL8LOK5w0engQYTl1mPOiyngRtO0/edit"",""1!e39""))"),0.0)</f>
        <v>0</v>
      </c>
      <c r="I339" s="40">
        <f t="shared" si="915"/>
        <v>2135</v>
      </c>
      <c r="J339" s="40">
        <f>IFERROR(__xludf.DUMMYFUNCTION("(IMPORTRANGE(""https://docs.google.com/spreadsheets/d/1913Df5BsXS_b-nClL8LOK5w0engQYTl1mPOiyngRtO0/edit"",""1!e42""))"),3182.0)</f>
        <v>3182</v>
      </c>
      <c r="K339" s="40">
        <f>IFERROR(__xludf.DUMMYFUNCTION("(IMPORTRANGE(""https://docs.google.com/spreadsheets/d/1913Df5BsXS_b-nClL8LOK5w0engQYTl1mPOiyngRtO0/edit"",""1!e43""))"),0.0)</f>
        <v>0</v>
      </c>
      <c r="L339" s="40">
        <f t="shared" si="945"/>
        <v>3182</v>
      </c>
      <c r="M339" s="40">
        <f t="shared" si="917"/>
        <v>5317</v>
      </c>
      <c r="N339" s="41">
        <f t="shared" si="918"/>
        <v>195.1821429</v>
      </c>
      <c r="O339" s="38">
        <v>5887.0</v>
      </c>
      <c r="P339" s="42">
        <f t="shared" si="919"/>
        <v>0.9031764906</v>
      </c>
      <c r="Q339" s="43">
        <v>1.5</v>
      </c>
      <c r="R339" s="42">
        <f t="shared" si="920"/>
        <v>0.6486005136</v>
      </c>
      <c r="S339" s="44">
        <f t="shared" si="921"/>
        <v>0.9729007703</v>
      </c>
      <c r="T339" s="43">
        <f>F339/24.792</f>
        <v>220.4380445</v>
      </c>
      <c r="U339" s="43">
        <f t="shared" si="922"/>
        <v>7.872787305</v>
      </c>
      <c r="V339" s="40">
        <f t="shared" si="923"/>
        <v>189.8928571</v>
      </c>
      <c r="X339" s="31">
        <v>4.0</v>
      </c>
      <c r="Y339" s="31" t="s">
        <v>38</v>
      </c>
      <c r="Z339" s="31">
        <f t="shared" ref="Z339:AI339" si="946">SUM(D342)</f>
        <v>23</v>
      </c>
      <c r="AA339" s="32">
        <f t="shared" si="946"/>
        <v>30</v>
      </c>
      <c r="AB339" s="33">
        <f t="shared" si="946"/>
        <v>6034.986</v>
      </c>
      <c r="AC339" s="32">
        <f t="shared" si="946"/>
        <v>1876</v>
      </c>
      <c r="AD339" s="32">
        <f t="shared" si="946"/>
        <v>79</v>
      </c>
      <c r="AE339" s="32">
        <f t="shared" si="946"/>
        <v>1955</v>
      </c>
      <c r="AF339" s="32">
        <f t="shared" si="946"/>
        <v>2967</v>
      </c>
      <c r="AG339" s="32">
        <f t="shared" si="946"/>
        <v>140</v>
      </c>
      <c r="AH339" s="32">
        <f t="shared" si="946"/>
        <v>3107</v>
      </c>
      <c r="AI339" s="32">
        <f t="shared" si="946"/>
        <v>5062</v>
      </c>
      <c r="AJ339" s="34">
        <f t="shared" si="935"/>
        <v>201.1662</v>
      </c>
      <c r="AK339" s="31">
        <v>7324.0</v>
      </c>
      <c r="AL339" s="35">
        <f t="shared" si="937"/>
        <v>0.6911523758</v>
      </c>
      <c r="AM339" s="36">
        <f>SUM(Q342)</f>
        <v>1.5</v>
      </c>
      <c r="AN339" s="35">
        <f t="shared" si="939"/>
        <v>0.5591838435</v>
      </c>
      <c r="AO339" s="37">
        <f t="shared" si="940"/>
        <v>0.8387757652</v>
      </c>
      <c r="AP339" s="36">
        <f t="shared" ref="AP339:AQ339" si="947">SUM(T342)</f>
        <v>146.4624681</v>
      </c>
      <c r="AQ339" s="36">
        <f t="shared" si="947"/>
        <v>4.882082272</v>
      </c>
      <c r="AR339" s="32">
        <f t="shared" si="942"/>
        <v>168.7333333</v>
      </c>
    </row>
    <row r="340" ht="15.75" customHeight="1">
      <c r="A340" s="21"/>
      <c r="B340" s="38">
        <v>12.0</v>
      </c>
      <c r="C340" s="38" t="s">
        <v>39</v>
      </c>
      <c r="D340" s="39">
        <v>21.0</v>
      </c>
      <c r="E340" s="40">
        <f>IFERROR(__xludf.DUMMYFUNCTION("COUNT(IMPORTRANGE(""https://docs.google.com/spreadsheets/d/1wMeol_MpSIcocGxt3WZGl46mJ2tc80mANPvP_YzaP18/edit"",""1!d2:d29""))"),27.0)</f>
        <v>27</v>
      </c>
      <c r="F340" s="45">
        <f>IFERROR(__xludf.DUMMYFUNCTION("SUM(IMPORTRANGE(""https://docs.google.com/spreadsheets/d/1wMeol_MpSIcocGxt3WZGl46mJ2tc80mANPvP_YzaP18/edit"",""1!Q2:Q29""))"),5318.459)</f>
        <v>5318.459</v>
      </c>
      <c r="G340" s="40">
        <f>IFERROR(__xludf.DUMMYFUNCTION("IMPORTRANGE(""https://docs.google.com/spreadsheets/d/1wMeol_MpSIcocGxt3WZGl46mJ2tc80mANPvP_YzaP18/edit"",""1!e36"")"),1229.0)</f>
        <v>1229</v>
      </c>
      <c r="H340" s="40">
        <f>IFERROR(__xludf.DUMMYFUNCTION("(IMPORTRANGE(""https://docs.google.com/spreadsheets/d/1wMeol_MpSIcocGxt3WZGl46mJ2tc80mANPvP_YzaP18/edit"",""1!e37""))"),0.0)</f>
        <v>0</v>
      </c>
      <c r="I340" s="40">
        <f t="shared" si="915"/>
        <v>1229</v>
      </c>
      <c r="J340" s="40">
        <f>IFERROR(__xludf.DUMMYFUNCTION("IMPORTRANGE(""https://docs.google.com/spreadsheets/d/1wMeol_MpSIcocGxt3WZGl46mJ2tc80mANPvP_YzaP18/edit"",""1!e40"")"),1740.0)</f>
        <v>1740</v>
      </c>
      <c r="K340" s="40">
        <f>IFERROR(__xludf.DUMMYFUNCTION("IMPORTRANGE(""https://docs.google.com/spreadsheets/d/1wMeol_MpSIcocGxt3WZGl46mJ2tc80mANPvP_YzaP18/edit"",""1!e41"")"),0.0)</f>
        <v>0</v>
      </c>
      <c r="L340" s="40">
        <f t="shared" si="945"/>
        <v>1740</v>
      </c>
      <c r="M340" s="40">
        <f t="shared" si="917"/>
        <v>2969</v>
      </c>
      <c r="N340" s="41">
        <f t="shared" si="918"/>
        <v>196.979963</v>
      </c>
      <c r="O340" s="38">
        <v>3569.0</v>
      </c>
      <c r="P340" s="42">
        <f t="shared" si="919"/>
        <v>0.8318856823</v>
      </c>
      <c r="Q340" s="43">
        <v>1.5</v>
      </c>
      <c r="R340" s="42">
        <f t="shared" si="920"/>
        <v>0.3721629392</v>
      </c>
      <c r="S340" s="44">
        <f t="shared" si="921"/>
        <v>0.5582444088</v>
      </c>
      <c r="T340" s="43">
        <f>F340/21.463</f>
        <v>247.7966268</v>
      </c>
      <c r="U340" s="43">
        <f t="shared" si="922"/>
        <v>9.177652843</v>
      </c>
      <c r="V340" s="40">
        <f t="shared" si="923"/>
        <v>109.962963</v>
      </c>
      <c r="X340" s="31">
        <v>5.0</v>
      </c>
      <c r="Y340" s="31" t="s">
        <v>40</v>
      </c>
      <c r="Z340" s="31">
        <f t="shared" ref="Z340:AI340" si="948">SUM(D344)</f>
        <v>23</v>
      </c>
      <c r="AA340" s="32">
        <f t="shared" si="948"/>
        <v>30</v>
      </c>
      <c r="AB340" s="33">
        <f t="shared" si="948"/>
        <v>5660.157</v>
      </c>
      <c r="AC340" s="32">
        <f t="shared" si="948"/>
        <v>3382</v>
      </c>
      <c r="AD340" s="32">
        <f t="shared" si="948"/>
        <v>0</v>
      </c>
      <c r="AE340" s="32">
        <f t="shared" si="948"/>
        <v>3382</v>
      </c>
      <c r="AF340" s="32">
        <f t="shared" si="948"/>
        <v>3798</v>
      </c>
      <c r="AG340" s="32">
        <f t="shared" si="948"/>
        <v>0</v>
      </c>
      <c r="AH340" s="32">
        <f t="shared" si="948"/>
        <v>3798</v>
      </c>
      <c r="AI340" s="32">
        <f t="shared" si="948"/>
        <v>7180</v>
      </c>
      <c r="AJ340" s="34">
        <f t="shared" si="935"/>
        <v>188.6719</v>
      </c>
      <c r="AK340" s="31">
        <f t="shared" ref="AK340:AK341" si="951">SUM(O344)</f>
        <v>8239</v>
      </c>
      <c r="AL340" s="35">
        <f t="shared" si="937"/>
        <v>0.8714649836</v>
      </c>
      <c r="AM340" s="36">
        <f t="shared" ref="AM340:AM341" si="952">SUM(Q344)</f>
        <v>1.5</v>
      </c>
      <c r="AN340" s="35">
        <f t="shared" si="939"/>
        <v>0.8456773667</v>
      </c>
      <c r="AO340" s="37">
        <f t="shared" si="940"/>
        <v>1.26851605</v>
      </c>
      <c r="AP340" s="36">
        <f t="shared" ref="AP340:AQ340" si="949">SUM(T344)</f>
        <v>199</v>
      </c>
      <c r="AQ340" s="36">
        <f t="shared" si="949"/>
        <v>6.633333333</v>
      </c>
      <c r="AR340" s="32">
        <f t="shared" si="942"/>
        <v>239.3333333</v>
      </c>
    </row>
    <row r="341" ht="15.75" customHeight="1">
      <c r="A341" s="21"/>
      <c r="B341" s="38">
        <v>12.0</v>
      </c>
      <c r="C341" s="38" t="s">
        <v>41</v>
      </c>
      <c r="D341" s="39">
        <v>19.0</v>
      </c>
      <c r="E341" s="40">
        <f>IFERROR(__xludf.DUMMYFUNCTION("COUNT(IMPORTRANGE(""https://docs.google.com/spreadsheets/d/1sHk6_yuc4kORC_xnhEeazoemV_hVUQVqRpfoNae-PLk/edit"",""1!d2:d25""))"),24.0)</f>
        <v>24</v>
      </c>
      <c r="F341" s="45">
        <f>IFERROR(__xludf.DUMMYFUNCTION("SUM(IMPORTRANGE(""https://docs.google.com/spreadsheets/d/1sHk6_yuc4kORC_xnhEeazoemV_hVUQVqRpfoNae-PLk/edit"",""1!Q2:Q25""))"),4793.152000000001)</f>
        <v>4793.152</v>
      </c>
      <c r="G341" s="40">
        <f>IFERROR(__xludf.DUMMYFUNCTION("IMPORTRANGE(""https://docs.google.com/spreadsheets/d/1sHk6_yuc4kORC_xnhEeazoemV_hVUQVqRpfoNae-PLk/edit"",""1!e32"")"),1363.0)</f>
        <v>1363</v>
      </c>
      <c r="H341" s="40">
        <f>IFERROR(__xludf.DUMMYFUNCTION("IMPORTRANGE(""https://docs.google.com/spreadsheets/d/1sHk6_yuc4kORC_xnhEeazoemV_hVUQVqRpfoNae-PLk/edit"",""1!e33"")"),0.0)</f>
        <v>0</v>
      </c>
      <c r="I341" s="40">
        <f t="shared" si="915"/>
        <v>1363</v>
      </c>
      <c r="J341" s="40">
        <f>IFERROR(__xludf.DUMMYFUNCTION("IMPORTRANGE(""https://docs.google.com/spreadsheets/d/1sHk6_yuc4kORC_xnhEeazoemV_hVUQVqRpfoNae-PLk/edit"",""1!e36"")"),1818.0)</f>
        <v>1818</v>
      </c>
      <c r="K341" s="40">
        <f>IFERROR(__xludf.DUMMYFUNCTION("IMPORTRANGE(""https://docs.google.com/spreadsheets/d/1sHk6_yuc4kORC_xnhEeazoemV_hVUQVqRpfoNae-PLk/edit"",""1!e37"")"),0.0)</f>
        <v>0</v>
      </c>
      <c r="L341" s="40">
        <f t="shared" si="945"/>
        <v>1818</v>
      </c>
      <c r="M341" s="40">
        <f t="shared" si="917"/>
        <v>3181</v>
      </c>
      <c r="N341" s="41">
        <f t="shared" si="918"/>
        <v>199.7146667</v>
      </c>
      <c r="O341" s="38">
        <v>3801.0</v>
      </c>
      <c r="P341" s="42">
        <f t="shared" si="919"/>
        <v>0.8368850303</v>
      </c>
      <c r="Q341" s="43">
        <v>1.5</v>
      </c>
      <c r="R341" s="42">
        <f t="shared" si="920"/>
        <v>0.4424367653</v>
      </c>
      <c r="S341" s="44">
        <f t="shared" si="921"/>
        <v>0.663655148</v>
      </c>
      <c r="T341" s="43">
        <f>F341/29.628</f>
        <v>161.7777778</v>
      </c>
      <c r="U341" s="43">
        <f t="shared" si="922"/>
        <v>6.740740741</v>
      </c>
      <c r="V341" s="40">
        <f t="shared" si="923"/>
        <v>132.5416667</v>
      </c>
      <c r="X341" s="22">
        <v>6.0</v>
      </c>
      <c r="Y341" s="22" t="s">
        <v>42</v>
      </c>
      <c r="Z341" s="22">
        <f t="shared" ref="Z341:AI341" si="950">SUM(D345)</f>
        <v>24</v>
      </c>
      <c r="AA341" s="23">
        <f t="shared" si="950"/>
        <v>33</v>
      </c>
      <c r="AB341" s="24">
        <f t="shared" si="950"/>
        <v>6597.215</v>
      </c>
      <c r="AC341" s="23">
        <f t="shared" si="950"/>
        <v>3014</v>
      </c>
      <c r="AD341" s="23">
        <f t="shared" si="950"/>
        <v>234</v>
      </c>
      <c r="AE341" s="23">
        <f t="shared" si="950"/>
        <v>3248</v>
      </c>
      <c r="AF341" s="23">
        <f t="shared" si="950"/>
        <v>4605</v>
      </c>
      <c r="AG341" s="23">
        <f t="shared" si="950"/>
        <v>108</v>
      </c>
      <c r="AH341" s="23">
        <f t="shared" si="950"/>
        <v>4713</v>
      </c>
      <c r="AI341" s="23">
        <f t="shared" si="950"/>
        <v>7961</v>
      </c>
      <c r="AJ341" s="25">
        <f t="shared" si="935"/>
        <v>199.9156061</v>
      </c>
      <c r="AK341" s="22">
        <f t="shared" si="951"/>
        <v>9877</v>
      </c>
      <c r="AL341" s="26">
        <f t="shared" si="937"/>
        <v>0.8060139719</v>
      </c>
      <c r="AM341" s="27">
        <f t="shared" si="952"/>
        <v>1.5</v>
      </c>
      <c r="AN341" s="26">
        <f t="shared" si="939"/>
        <v>0.8044808807</v>
      </c>
      <c r="AO341" s="28">
        <f t="shared" si="940"/>
        <v>1.206721321</v>
      </c>
      <c r="AP341" s="27">
        <f t="shared" ref="AP341:AQ341" si="953">SUM(T345)</f>
        <v>252.2353279</v>
      </c>
      <c r="AQ341" s="27">
        <f t="shared" si="953"/>
        <v>7.643494783</v>
      </c>
      <c r="AR341" s="23">
        <f t="shared" si="942"/>
        <v>241.2424242</v>
      </c>
    </row>
    <row r="342" ht="15.75" customHeight="1">
      <c r="A342" s="21"/>
      <c r="B342" s="38">
        <v>13.0</v>
      </c>
      <c r="C342" s="38" t="s">
        <v>43</v>
      </c>
      <c r="D342" s="39">
        <v>23.0</v>
      </c>
      <c r="E342" s="40">
        <f>IFERROR(__xludf.DUMMYFUNCTION("COUNT(IMPORTRANGE(""https://docs.google.com/spreadsheets/d/1uGXvAN2jA6kmcEHUY4KqOHHewllZsujDdA6KVDfBCoA/edit"",""1!d2:d31""))"),30.0)</f>
        <v>30</v>
      </c>
      <c r="F342" s="45">
        <f>IFERROR(__xludf.DUMMYFUNCTION("SUM(IMPORTRANGE(""https://docs.google.com/spreadsheets/d/1uGXvAN2jA6kmcEHUY4KqOHHewllZsujDdA6KVDfBCoA/edit"",""1!Q2:Q31""))"),6034.986)</f>
        <v>6034.986</v>
      </c>
      <c r="G342" s="40">
        <f>IFERROR(__xludf.DUMMYFUNCTION("IMPORTRANGE(""https://docs.google.com/spreadsheets/d/1uGXvAN2jA6kmcEHUY4KqOHHewllZsujDdA6KVDfBCoA/edit"",""1!e38"")"),1876.0)</f>
        <v>1876</v>
      </c>
      <c r="H342" s="40">
        <f>IFERROR(__xludf.DUMMYFUNCTION("IMPORTRANGE(""https://docs.google.com/spreadsheets/d/1uGXvAN2jA6kmcEHUY4KqOHHewllZsujDdA6KVDfBCoA/edit"",""1!e39"")"),79.0)</f>
        <v>79</v>
      </c>
      <c r="I342" s="40">
        <f t="shared" si="915"/>
        <v>1955</v>
      </c>
      <c r="J342" s="40">
        <f>IFERROR(__xludf.DUMMYFUNCTION("IMPORTRANGE(""https://docs.google.com/spreadsheets/d/1uGXvAN2jA6kmcEHUY4KqOHHewllZsujDdA6KVDfBCoA/edit"",""1!e42"")"),2967.0)</f>
        <v>2967</v>
      </c>
      <c r="K342" s="40">
        <f>IFERROR(__xludf.DUMMYFUNCTION("IMPORTRANGE(""https://docs.google.com/spreadsheets/d/1uGXvAN2jA6kmcEHUY4KqOHHewllZsujDdA6KVDfBCoA/edit"",""1!e43"")"),140.0)</f>
        <v>140</v>
      </c>
      <c r="L342" s="40">
        <f t="shared" si="945"/>
        <v>3107</v>
      </c>
      <c r="M342" s="40">
        <f t="shared" si="917"/>
        <v>5062</v>
      </c>
      <c r="N342" s="41">
        <f t="shared" si="918"/>
        <v>201.1662</v>
      </c>
      <c r="O342" s="38">
        <v>8345.0</v>
      </c>
      <c r="P342" s="42">
        <f t="shared" si="919"/>
        <v>0.6065907729</v>
      </c>
      <c r="Q342" s="43">
        <v>1.5</v>
      </c>
      <c r="R342" s="42">
        <f t="shared" si="920"/>
        <v>0.5591838435</v>
      </c>
      <c r="S342" s="44">
        <f t="shared" si="921"/>
        <v>0.8387757652</v>
      </c>
      <c r="T342" s="43">
        <f>F342/41.205</f>
        <v>146.4624681</v>
      </c>
      <c r="U342" s="43">
        <f t="shared" si="922"/>
        <v>4.882082272</v>
      </c>
      <c r="V342" s="40">
        <f t="shared" si="923"/>
        <v>168.7333333</v>
      </c>
      <c r="X342" s="46" t="s">
        <v>33</v>
      </c>
      <c r="Y342" s="46">
        <v>6.0</v>
      </c>
      <c r="Z342" s="46">
        <f t="shared" ref="Z342:AI342" si="954">SUM(Z336:Z341)</f>
        <v>169</v>
      </c>
      <c r="AA342" s="47">
        <f t="shared" si="954"/>
        <v>224</v>
      </c>
      <c r="AB342" s="49">
        <f t="shared" si="954"/>
        <v>44273.509</v>
      </c>
      <c r="AC342" s="47">
        <f t="shared" si="954"/>
        <v>17564</v>
      </c>
      <c r="AD342" s="47">
        <f t="shared" si="954"/>
        <v>535</v>
      </c>
      <c r="AE342" s="47">
        <f t="shared" si="954"/>
        <v>18099</v>
      </c>
      <c r="AF342" s="47">
        <f t="shared" si="954"/>
        <v>24048</v>
      </c>
      <c r="AG342" s="47">
        <f t="shared" si="954"/>
        <v>386</v>
      </c>
      <c r="AH342" s="47">
        <f t="shared" si="954"/>
        <v>24434</v>
      </c>
      <c r="AI342" s="47">
        <f t="shared" si="954"/>
        <v>42533</v>
      </c>
      <c r="AJ342" s="49">
        <f t="shared" si="935"/>
        <v>197.6495938</v>
      </c>
      <c r="AK342" s="46">
        <f>SUM(AK336:AK341)</f>
        <v>53273</v>
      </c>
      <c r="AL342" s="50">
        <f t="shared" si="937"/>
        <v>0.7983969365</v>
      </c>
      <c r="AM342" s="51">
        <v>1.5</v>
      </c>
      <c r="AN342" s="50">
        <f t="shared" si="939"/>
        <v>0.6404582328</v>
      </c>
      <c r="AO342" s="52">
        <f t="shared" si="940"/>
        <v>0.9606873492</v>
      </c>
      <c r="AP342" s="51">
        <f>SUM(AP336:AP341)</f>
        <v>1456.754836</v>
      </c>
      <c r="AQ342" s="51">
        <f>AP342/AA342</f>
        <v>6.503369804</v>
      </c>
      <c r="AR342" s="47">
        <f t="shared" si="942"/>
        <v>189.8794643</v>
      </c>
    </row>
    <row r="343" ht="15.75" customHeight="1">
      <c r="A343" s="21"/>
      <c r="B343" s="38">
        <v>14.0</v>
      </c>
      <c r="C343" s="38" t="s">
        <v>27</v>
      </c>
      <c r="D343" s="39">
        <v>23.0</v>
      </c>
      <c r="E343" s="40">
        <f>IFERROR(__xludf.DUMMYFUNCTION("COUNT(IMPORTRANGE(""https://docs.google.com/spreadsheets/d/1iYtf3wkjJIgOL8ej0-L89wY8FLXKi6EiRbi9UqA1Bzw/edit"",""1!d2:d31""))"),29.0)</f>
        <v>29</v>
      </c>
      <c r="F343" s="45">
        <f>IFERROR(__xludf.DUMMYFUNCTION("SUM(IMPORTRANGE(""https://docs.google.com/spreadsheets/d/1iYtf3wkjJIgOL8ej0-L89wY8FLXKi6EiRbi9UqA1Bzw/edit"",""1!Q2:Q31""))"),5631.663000000001)</f>
        <v>5631.663</v>
      </c>
      <c r="G343" s="40">
        <f>IFERROR(__xludf.DUMMYFUNCTION("IMPORTRANGE(""https://docs.google.com/spreadsheets/d/1iYtf3wkjJIgOL8ej0-L89wY8FLXKi6EiRbi9UqA1Bzw/edit"",""1!e38"")"),2486.0)</f>
        <v>2486</v>
      </c>
      <c r="H343" s="40">
        <f>IFERROR(__xludf.DUMMYFUNCTION("IMPORTRANGE(""https://docs.google.com/spreadsheets/d/1iYtf3wkjJIgOL8ej0-L89wY8FLXKi6EiRbi9UqA1Bzw/edit"",""1!e39"")"),80.0)</f>
        <v>80</v>
      </c>
      <c r="I343" s="40">
        <f t="shared" si="915"/>
        <v>2566</v>
      </c>
      <c r="J343" s="40">
        <f>IFERROR(__xludf.DUMMYFUNCTION("IMPORTRANGE(""https://docs.google.com/spreadsheets/d/1iYtf3wkjJIgOL8ej0-L89wY8FLXKi6EiRbi9UqA1Bzw/edit"",""1!e42"")"),2945.0)</f>
        <v>2945</v>
      </c>
      <c r="K343" s="40">
        <f>IFERROR(__xludf.DUMMYFUNCTION("IMPORTRANGE(""https://docs.google.com/spreadsheets/d/1iYtf3wkjJIgOL8ej0-L89wY8FLXKi6EiRbi9UqA1Bzw/edit"",""1!e43"")"),88.0)</f>
        <v>88</v>
      </c>
      <c r="L343" s="40">
        <f t="shared" si="945"/>
        <v>3033</v>
      </c>
      <c r="M343" s="40">
        <f t="shared" si="917"/>
        <v>5599</v>
      </c>
      <c r="N343" s="41">
        <f t="shared" si="918"/>
        <v>194.1952759</v>
      </c>
      <c r="O343" s="38">
        <v>8101.0</v>
      </c>
      <c r="P343" s="42">
        <f t="shared" si="919"/>
        <v>0.6911492408</v>
      </c>
      <c r="Q343" s="43">
        <v>1.5</v>
      </c>
      <c r="R343" s="42">
        <f t="shared" si="920"/>
        <v>0.6628000764</v>
      </c>
      <c r="S343" s="44">
        <f t="shared" si="921"/>
        <v>0.9942001146</v>
      </c>
      <c r="T343" s="43">
        <f>F343/19.985</f>
        <v>281.7944959</v>
      </c>
      <c r="U343" s="43">
        <f t="shared" si="922"/>
        <v>9.717051582</v>
      </c>
      <c r="V343" s="40">
        <f t="shared" si="923"/>
        <v>193.0689655</v>
      </c>
      <c r="X343" s="59" t="s">
        <v>44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6"/>
    </row>
    <row r="344" ht="15.75" customHeight="1">
      <c r="A344" s="21"/>
      <c r="B344" s="38">
        <v>15.0</v>
      </c>
      <c r="C344" s="38" t="s">
        <v>40</v>
      </c>
      <c r="D344" s="39">
        <v>23.0</v>
      </c>
      <c r="E344" s="40">
        <f>IFERROR(__xludf.DUMMYFUNCTION("COUNT(IMPORTRANGE(""https://docs.google.com/spreadsheets/d/1Wdf8MsoDBzMSsrzOXwaGQzbVjVqOWfKSqYmbncevZgA/edit"",""1!d2:d31""))"),30.0)</f>
        <v>30</v>
      </c>
      <c r="F344" s="45">
        <f>IFERROR(__xludf.DUMMYFUNCTION("SUM(IMPORTRANGE(""https://docs.google.com/spreadsheets/d/1Wdf8MsoDBzMSsrzOXwaGQzbVjVqOWfKSqYmbncevZgA/edit"",""1!Q2:Q31""))"),5660.156999999998)</f>
        <v>5660.157</v>
      </c>
      <c r="G344" s="40">
        <f>IFERROR(__xludf.DUMMYFUNCTION("IMPORTRANGE(""https://docs.google.com/spreadsheets/d/1Wdf8MsoDBzMSsrzOXwaGQzbVjVqOWfKSqYmbncevZgA/edit"",""1!e38"")"),3382.0)</f>
        <v>3382</v>
      </c>
      <c r="H344" s="40">
        <f>IFERROR(__xludf.DUMMYFUNCTION("IMPORTRANGE(""https://docs.google.com/spreadsheets/d/1Wdf8MsoDBzMSsrzOXwaGQzbVjVqOWfKSqYmbncevZgA/edit"",""1!e39"")"),0.0)</f>
        <v>0</v>
      </c>
      <c r="I344" s="40">
        <f t="shared" si="915"/>
        <v>3382</v>
      </c>
      <c r="J344" s="40">
        <f>IFERROR(__xludf.DUMMYFUNCTION("IMPORTRANGE(""https://docs.google.com/spreadsheets/d/1Wdf8MsoDBzMSsrzOXwaGQzbVjVqOWfKSqYmbncevZgA/edit"",""1!e42"")"),3798.0)</f>
        <v>3798</v>
      </c>
      <c r="K344" s="40">
        <f>IFERROR(__xludf.DUMMYFUNCTION("IMPORTRANGE(""https://docs.google.com/spreadsheets/d/1Wdf8MsoDBzMSsrzOXwaGQzbVjVqOWfKSqYmbncevZgA/edit"",""1!e43"")"),0.0)</f>
        <v>0</v>
      </c>
      <c r="L344" s="40">
        <f t="shared" si="945"/>
        <v>3798</v>
      </c>
      <c r="M344" s="40">
        <f t="shared" si="917"/>
        <v>7180</v>
      </c>
      <c r="N344" s="41">
        <f t="shared" si="918"/>
        <v>188.6719</v>
      </c>
      <c r="O344" s="38">
        <v>8239.0</v>
      </c>
      <c r="P344" s="42">
        <f t="shared" si="919"/>
        <v>0.8714649836</v>
      </c>
      <c r="Q344" s="43">
        <v>1.5</v>
      </c>
      <c r="R344" s="42">
        <f t="shared" si="920"/>
        <v>0.8456773667</v>
      </c>
      <c r="S344" s="44">
        <f t="shared" si="921"/>
        <v>1.26851605</v>
      </c>
      <c r="T344" s="43">
        <f>F344/28.443</f>
        <v>199</v>
      </c>
      <c r="U344" s="43">
        <f t="shared" si="922"/>
        <v>6.633333333</v>
      </c>
      <c r="V344" s="40">
        <f t="shared" si="923"/>
        <v>239.3333333</v>
      </c>
      <c r="X344" s="14" t="s">
        <v>2</v>
      </c>
      <c r="Y344" s="14" t="s">
        <v>3</v>
      </c>
      <c r="Z344" s="14" t="s">
        <v>4</v>
      </c>
      <c r="AA344" s="14" t="s">
        <v>5</v>
      </c>
      <c r="AB344" s="15" t="s">
        <v>6</v>
      </c>
      <c r="AC344" s="14" t="s">
        <v>7</v>
      </c>
      <c r="AD344" s="14" t="s">
        <v>8</v>
      </c>
      <c r="AE344" s="14" t="s">
        <v>9</v>
      </c>
      <c r="AF344" s="14" t="s">
        <v>10</v>
      </c>
      <c r="AG344" s="14" t="s">
        <v>11</v>
      </c>
      <c r="AH344" s="14" t="s">
        <v>12</v>
      </c>
      <c r="AI344" s="14" t="s">
        <v>13</v>
      </c>
      <c r="AJ344" s="15" t="s">
        <v>14</v>
      </c>
      <c r="AK344" s="14" t="s">
        <v>15</v>
      </c>
      <c r="AL344" s="14" t="s">
        <v>16</v>
      </c>
      <c r="AM344" s="16" t="s">
        <v>17</v>
      </c>
      <c r="AN344" s="17" t="s">
        <v>18</v>
      </c>
      <c r="AO344" s="18" t="s">
        <v>19</v>
      </c>
      <c r="AP344" s="19" t="s">
        <v>20</v>
      </c>
      <c r="AQ344" s="19" t="s">
        <v>21</v>
      </c>
      <c r="AR344" s="20" t="s">
        <v>22</v>
      </c>
    </row>
    <row r="345" ht="15.75" customHeight="1">
      <c r="A345" s="21"/>
      <c r="B345" s="38">
        <v>16.0</v>
      </c>
      <c r="C345" s="38" t="s">
        <v>42</v>
      </c>
      <c r="D345" s="39">
        <v>24.0</v>
      </c>
      <c r="E345" s="40">
        <f>IFERROR(__xludf.DUMMYFUNCTION("COUNT(IMPORTRANGE(""https://docs.google.com/spreadsheets/d/1Z5uB5HbeAKcHmG4EOw3rf2J8NpyvDiha6RReERAMvA0/edit"",""1!d2:d34""))"),33.0)</f>
        <v>33</v>
      </c>
      <c r="F345" s="45">
        <f>IFERROR(__xludf.DUMMYFUNCTION("SUM(IMPORTRANGE(""https://docs.google.com/spreadsheets/d/1Z5uB5HbeAKcHmG4EOw3rf2J8NpyvDiha6RReERAMvA0/edit"",""1!Q2:Q34""))"),6597.214999999997)</f>
        <v>6597.215</v>
      </c>
      <c r="G345" s="40">
        <f>IFERROR(__xludf.DUMMYFUNCTION("IMPORTRANGE(""https://docs.google.com/spreadsheets/d/1Z5uB5HbeAKcHmG4EOw3rf2J8NpyvDiha6RReERAMvA0/edit"",""1!e41"")"),3014.0)</f>
        <v>3014</v>
      </c>
      <c r="H345" s="40">
        <f>IFERROR(__xludf.DUMMYFUNCTION("IMPORTRANGE(""https://docs.google.com/spreadsheets/d/1Z5uB5HbeAKcHmG4EOw3rf2J8NpyvDiha6RReERAMvA0/edit"",""1!e42"")"),234.0)</f>
        <v>234</v>
      </c>
      <c r="I345" s="40">
        <f t="shared" si="915"/>
        <v>3248</v>
      </c>
      <c r="J345" s="40">
        <f>IFERROR(__xludf.DUMMYFUNCTION("IMPORTRANGE(""https://docs.google.com/spreadsheets/d/1Z5uB5HbeAKcHmG4EOw3rf2J8NpyvDiha6RReERAMvA0/edit"",""1!e45"")"),4605.0)</f>
        <v>4605</v>
      </c>
      <c r="K345" s="40">
        <f>IFERROR(__xludf.DUMMYFUNCTION("IMPORTRANGE(""https://docs.google.com/spreadsheets/d/1Z5uB5HbeAKcHmG4EOw3rf2J8NpyvDiha6RReERAMvA0/edit"",""1!e46"")"),108.0)</f>
        <v>108</v>
      </c>
      <c r="L345" s="40">
        <f t="shared" si="945"/>
        <v>4713</v>
      </c>
      <c r="M345" s="40">
        <f t="shared" si="917"/>
        <v>7961</v>
      </c>
      <c r="N345" s="41">
        <f t="shared" si="918"/>
        <v>199.9156061</v>
      </c>
      <c r="O345" s="38">
        <v>9877.0</v>
      </c>
      <c r="P345" s="42">
        <f t="shared" si="919"/>
        <v>0.8060139719</v>
      </c>
      <c r="Q345" s="43">
        <v>1.5</v>
      </c>
      <c r="R345" s="42">
        <f t="shared" si="920"/>
        <v>0.8044808807</v>
      </c>
      <c r="S345" s="44">
        <f t="shared" si="921"/>
        <v>1.206721321</v>
      </c>
      <c r="T345" s="43">
        <f>F345/26.155</f>
        <v>252.2353279</v>
      </c>
      <c r="U345" s="43">
        <f t="shared" si="922"/>
        <v>7.643494783</v>
      </c>
      <c r="V345" s="40">
        <f t="shared" si="923"/>
        <v>241.2424242</v>
      </c>
      <c r="X345" s="31">
        <v>1.0</v>
      </c>
      <c r="Y345" s="31" t="s">
        <v>26</v>
      </c>
      <c r="Z345" s="31">
        <f t="shared" ref="Z345:AI345" si="955">SUM(D330)</f>
        <v>15</v>
      </c>
      <c r="AA345" s="32">
        <f t="shared" si="955"/>
        <v>20</v>
      </c>
      <c r="AB345" s="34">
        <f t="shared" si="955"/>
        <v>3935.295</v>
      </c>
      <c r="AC345" s="32">
        <f t="shared" si="955"/>
        <v>2229</v>
      </c>
      <c r="AD345" s="32">
        <f t="shared" si="955"/>
        <v>0</v>
      </c>
      <c r="AE345" s="32">
        <f t="shared" si="955"/>
        <v>2229</v>
      </c>
      <c r="AF345" s="32">
        <f t="shared" si="955"/>
        <v>2661</v>
      </c>
      <c r="AG345" s="32">
        <f t="shared" si="955"/>
        <v>47</v>
      </c>
      <c r="AH345" s="32">
        <f t="shared" si="955"/>
        <v>2708</v>
      </c>
      <c r="AI345" s="32">
        <f t="shared" si="955"/>
        <v>4937</v>
      </c>
      <c r="AJ345" s="34">
        <f t="shared" ref="AJ345:AJ351" si="958">AB345/AA345</f>
        <v>196.76475</v>
      </c>
      <c r="AK345" s="31">
        <f>SUM(O330)</f>
        <v>5161</v>
      </c>
      <c r="AL345" s="35">
        <f t="shared" ref="AL345:AL351" si="959">AI345/AK345</f>
        <v>0.9565975586</v>
      </c>
      <c r="AM345" s="36">
        <f>SUM(Q330)</f>
        <v>1.5</v>
      </c>
      <c r="AN345" s="35">
        <f t="shared" ref="AN345:AN351" si="960">AO345/AM345</f>
        <v>0.8363625429</v>
      </c>
      <c r="AO345" s="37">
        <f t="shared" ref="AO345:AO351" si="961">AI345/AB345</f>
        <v>1.254543814</v>
      </c>
      <c r="AP345" s="36">
        <f t="shared" ref="AP345:AQ345" si="956">SUM(T330)</f>
        <v>273</v>
      </c>
      <c r="AQ345" s="36">
        <f t="shared" si="956"/>
        <v>13.65</v>
      </c>
      <c r="AR345" s="32">
        <f t="shared" ref="AR345:AR351" si="963">AI345/AA345</f>
        <v>246.85</v>
      </c>
    </row>
    <row r="346" ht="15.75" customHeight="1">
      <c r="A346" s="21"/>
      <c r="B346" s="38">
        <v>17.0</v>
      </c>
      <c r="C346" s="38" t="s">
        <v>29</v>
      </c>
      <c r="D346" s="39">
        <v>23.0</v>
      </c>
      <c r="E346" s="40">
        <f>IFERROR(__xludf.DUMMYFUNCTION("COUNT(IMPORTRANGE(""https://docs.google.com/spreadsheets/d/1wfJqI0e9wVPqEQv3N6b8KgINjqI0OBECEyIFeY9j3i8/edit"",""1!d2:d31""))"),29.0)</f>
        <v>29</v>
      </c>
      <c r="F346" s="45">
        <f>IFERROR(__xludf.DUMMYFUNCTION("SUM(IMPORTRANGE(""https://docs.google.com/spreadsheets/d/1wfJqI0e9wVPqEQv3N6b8KgINjqI0OBECEyIFeY9j3i8/edit"",""1!Q2:Q31""))"),5722.055999999998)</f>
        <v>5722.056</v>
      </c>
      <c r="G346" s="40">
        <f>IFERROR(__xludf.DUMMYFUNCTION("IMPORTRANGE(""https://docs.google.com/spreadsheets/d/1wfJqI0e9wVPqEQv3N6b8KgINjqI0OBECEyIFeY9j3i8/edit"",""1!e38"")"),2610.0)</f>
        <v>2610</v>
      </c>
      <c r="H346" s="40">
        <f>IFERROR(__xludf.DUMMYFUNCTION("IMPORTRANGE(""https://docs.google.com/spreadsheets/d/1wfJqI0e9wVPqEQv3N6b8KgINjqI0OBECEyIFeY9j3i8/edit"",""1!e39"")"),0.0)</f>
        <v>0</v>
      </c>
      <c r="I346" s="40">
        <f t="shared" si="915"/>
        <v>2610</v>
      </c>
      <c r="J346" s="40">
        <f>IFERROR(__xludf.DUMMYFUNCTION("IMPORTRANGE(""https://docs.google.com/spreadsheets/d/1wfJqI0e9wVPqEQv3N6b8KgINjqI0OBECEyIFeY9j3i8/edit"",""1!e42"")"),4378.0)</f>
        <v>4378</v>
      </c>
      <c r="K346" s="40">
        <f>IFERROR(__xludf.DUMMYFUNCTION("IMPORTRANGE(""https://docs.google.com/spreadsheets/d/1wfJqI0e9wVPqEQv3N6b8KgINjqI0OBECEyIFeY9j3i8/edit"",""1!e43"")"),0.0)</f>
        <v>0</v>
      </c>
      <c r="L346" s="40">
        <f t="shared" si="945"/>
        <v>4378</v>
      </c>
      <c r="M346" s="40">
        <f t="shared" si="917"/>
        <v>6988</v>
      </c>
      <c r="N346" s="41">
        <f t="shared" si="918"/>
        <v>197.3122759</v>
      </c>
      <c r="O346" s="38">
        <v>9201.0</v>
      </c>
      <c r="P346" s="42">
        <f t="shared" si="919"/>
        <v>0.7594826649</v>
      </c>
      <c r="Q346" s="43">
        <v>1.5</v>
      </c>
      <c r="R346" s="42">
        <f t="shared" si="920"/>
        <v>0.8141595725</v>
      </c>
      <c r="S346" s="44">
        <f t="shared" si="921"/>
        <v>1.221239359</v>
      </c>
      <c r="T346" s="43">
        <f>F346/26.491</f>
        <v>216</v>
      </c>
      <c r="U346" s="43">
        <f t="shared" si="922"/>
        <v>7.448275862</v>
      </c>
      <c r="V346" s="40">
        <f t="shared" si="923"/>
        <v>240.9655172</v>
      </c>
      <c r="X346" s="31">
        <v>2.0</v>
      </c>
      <c r="Y346" s="31" t="s">
        <v>32</v>
      </c>
      <c r="Z346" s="31">
        <f t="shared" ref="Z346:AI346" si="957">SUM(D333)</f>
        <v>32</v>
      </c>
      <c r="AA346" s="32">
        <f t="shared" si="957"/>
        <v>42</v>
      </c>
      <c r="AB346" s="33">
        <f t="shared" si="957"/>
        <v>8240.662</v>
      </c>
      <c r="AC346" s="31">
        <f t="shared" si="957"/>
        <v>4515</v>
      </c>
      <c r="AD346" s="31">
        <f t="shared" si="957"/>
        <v>0</v>
      </c>
      <c r="AE346" s="32">
        <f t="shared" si="957"/>
        <v>4515</v>
      </c>
      <c r="AF346" s="31">
        <f t="shared" si="957"/>
        <v>5726</v>
      </c>
      <c r="AG346" s="31">
        <f t="shared" si="957"/>
        <v>0</v>
      </c>
      <c r="AH346" s="32">
        <f t="shared" si="957"/>
        <v>5726</v>
      </c>
      <c r="AI346" s="32">
        <f t="shared" si="957"/>
        <v>10241</v>
      </c>
      <c r="AJ346" s="34">
        <f t="shared" si="958"/>
        <v>196.2062381</v>
      </c>
      <c r="AK346" s="31">
        <f>SUM(O333)</f>
        <v>13817</v>
      </c>
      <c r="AL346" s="35">
        <f t="shared" si="959"/>
        <v>0.7411883911</v>
      </c>
      <c r="AM346" s="36">
        <f>SUM(Q333)</f>
        <v>1.5</v>
      </c>
      <c r="AN346" s="35">
        <f t="shared" si="960"/>
        <v>0.8284933096</v>
      </c>
      <c r="AO346" s="37">
        <f t="shared" si="961"/>
        <v>1.242739964</v>
      </c>
      <c r="AP346" s="36">
        <f t="shared" ref="AP346:AQ346" si="962">SUM(T333)</f>
        <v>328.4571725</v>
      </c>
      <c r="AQ346" s="36">
        <f t="shared" si="962"/>
        <v>7.820408868</v>
      </c>
      <c r="AR346" s="32">
        <f t="shared" si="963"/>
        <v>243.8333333</v>
      </c>
    </row>
    <row r="347" ht="15.75" customHeight="1">
      <c r="A347" s="21"/>
      <c r="B347" s="38">
        <v>18.0</v>
      </c>
      <c r="C347" s="38" t="s">
        <v>31</v>
      </c>
      <c r="D347" s="39">
        <v>11.0</v>
      </c>
      <c r="E347" s="40">
        <f>IFERROR(__xludf.DUMMYFUNCTION("COUNT(IMPORTRANGE(""https://docs.google.com/spreadsheets/d/1-y2KhTAo7d8kowgUuWUDfRQuRMUAFteRYEXorT3_wOs/edit"",""1!d2:d16""))"),14.0)</f>
        <v>14</v>
      </c>
      <c r="F347" s="41">
        <f>IFERROR(__xludf.DUMMYFUNCTION("SUM(IMPORTRANGE(""https://docs.google.com/spreadsheets/d/1-y2KhTAo7d8kowgUuWUDfRQuRMUAFteRYEXorT3_wOs/edit"",""1!Q2:Q16""))"),2520.9699999999993)</f>
        <v>2520.97</v>
      </c>
      <c r="G347" s="40">
        <f>IFERROR(__xludf.DUMMYFUNCTION("IMPORTRANGE(""https://docs.google.com/spreadsheets/d/1-y2KhTAo7d8kowgUuWUDfRQuRMUAFteRYEXorT3_wOs/edit"",""1!e23"")"),633.0)</f>
        <v>633</v>
      </c>
      <c r="H347" s="40">
        <f>IFERROR(__xludf.DUMMYFUNCTION("IMPORTRANGE(""https://docs.google.com/spreadsheets/d/1-y2KhTAo7d8kowgUuWUDfRQuRMUAFteRYEXorT3_wOs/edit"",""1!e24"")"),0.0)</f>
        <v>0</v>
      </c>
      <c r="I347" s="40">
        <f t="shared" si="915"/>
        <v>633</v>
      </c>
      <c r="J347" s="40">
        <f>IFERROR(__xludf.DUMMYFUNCTION("IMPORTRANGE(""https://docs.google.com/spreadsheets/d/1-y2KhTAo7d8kowgUuWUDfRQuRMUAFteRYEXorT3_wOs/edit"",""1!e27"")"),1148.0)</f>
        <v>1148</v>
      </c>
      <c r="K347" s="40">
        <f>IFERROR(__xludf.DUMMYFUNCTION("IMPORTRANGE(""https://docs.google.com/spreadsheets/d/1-y2KhTAo7d8kowgUuWUDfRQuRMUAFteRYEXorT3_wOs/edit"",""1!e28"")"),15.0)</f>
        <v>15</v>
      </c>
      <c r="L347" s="40">
        <f t="shared" si="945"/>
        <v>1163</v>
      </c>
      <c r="M347" s="40">
        <f t="shared" si="917"/>
        <v>1796</v>
      </c>
      <c r="N347" s="41">
        <f t="shared" si="918"/>
        <v>180.0692857</v>
      </c>
      <c r="O347" s="38">
        <v>2717.0</v>
      </c>
      <c r="P347" s="42">
        <f t="shared" si="919"/>
        <v>0.6610231873</v>
      </c>
      <c r="Q347" s="43">
        <v>1.5</v>
      </c>
      <c r="R347" s="42">
        <f t="shared" si="920"/>
        <v>0.4749494573</v>
      </c>
      <c r="S347" s="44">
        <f t="shared" si="921"/>
        <v>0.7124241859</v>
      </c>
      <c r="T347" s="43">
        <f>F347/43.465</f>
        <v>58</v>
      </c>
      <c r="U347" s="43">
        <f t="shared" si="922"/>
        <v>4.142857143</v>
      </c>
      <c r="V347" s="40">
        <f t="shared" si="923"/>
        <v>128.2857143</v>
      </c>
      <c r="X347" s="31">
        <v>3.0</v>
      </c>
      <c r="Y347" s="31" t="s">
        <v>36</v>
      </c>
      <c r="Z347" s="31">
        <f t="shared" ref="Z347:AI347" si="964">SUM(D338)</f>
        <v>23</v>
      </c>
      <c r="AA347" s="32">
        <f t="shared" si="964"/>
        <v>29</v>
      </c>
      <c r="AB347" s="33">
        <f t="shared" si="964"/>
        <v>4875.345</v>
      </c>
      <c r="AC347" s="32">
        <f t="shared" si="964"/>
        <v>1728</v>
      </c>
      <c r="AD347" s="32">
        <f t="shared" si="964"/>
        <v>0</v>
      </c>
      <c r="AE347" s="32">
        <f t="shared" si="964"/>
        <v>1728</v>
      </c>
      <c r="AF347" s="32">
        <f t="shared" si="964"/>
        <v>2407</v>
      </c>
      <c r="AG347" s="32">
        <f t="shared" si="964"/>
        <v>20</v>
      </c>
      <c r="AH347" s="32">
        <f t="shared" si="964"/>
        <v>2427</v>
      </c>
      <c r="AI347" s="32">
        <f t="shared" si="964"/>
        <v>4155</v>
      </c>
      <c r="AJ347" s="34">
        <f t="shared" si="958"/>
        <v>168.1153448</v>
      </c>
      <c r="AK347" s="31">
        <f t="shared" ref="AK347:AK350" si="968">SUM(O338)</f>
        <v>4796</v>
      </c>
      <c r="AL347" s="35">
        <f t="shared" si="959"/>
        <v>0.8663469558</v>
      </c>
      <c r="AM347" s="36">
        <f t="shared" ref="AM347:AM350" si="969">SUM(Q338)</f>
        <v>1.5</v>
      </c>
      <c r="AN347" s="35">
        <f t="shared" si="960"/>
        <v>0.5681649196</v>
      </c>
      <c r="AO347" s="37">
        <f t="shared" si="961"/>
        <v>0.8522473794</v>
      </c>
      <c r="AP347" s="36">
        <f t="shared" ref="AP347:AQ347" si="965">SUM(T338)</f>
        <v>130.3080398</v>
      </c>
      <c r="AQ347" s="36">
        <f t="shared" si="965"/>
        <v>4.493380682</v>
      </c>
      <c r="AR347" s="32">
        <f t="shared" si="963"/>
        <v>143.2758621</v>
      </c>
    </row>
    <row r="348" ht="15.75" customHeight="1">
      <c r="A348" s="21"/>
      <c r="B348" s="60" t="s">
        <v>33</v>
      </c>
      <c r="C348" s="60">
        <v>18.0</v>
      </c>
      <c r="D348" s="60">
        <f t="shared" ref="D348:M348" si="966">SUM(D330:D347)</f>
        <v>446</v>
      </c>
      <c r="E348" s="61">
        <f t="shared" si="966"/>
        <v>576</v>
      </c>
      <c r="F348" s="62">
        <f t="shared" si="966"/>
        <v>111449.623</v>
      </c>
      <c r="G348" s="61">
        <f t="shared" si="966"/>
        <v>41757</v>
      </c>
      <c r="H348" s="61">
        <f t="shared" si="966"/>
        <v>946</v>
      </c>
      <c r="I348" s="61">
        <f t="shared" si="966"/>
        <v>42703</v>
      </c>
      <c r="J348" s="61">
        <f t="shared" si="966"/>
        <v>57855</v>
      </c>
      <c r="K348" s="61">
        <f t="shared" si="966"/>
        <v>875</v>
      </c>
      <c r="L348" s="61">
        <f t="shared" si="966"/>
        <v>58730</v>
      </c>
      <c r="M348" s="61">
        <f t="shared" si="966"/>
        <v>101433</v>
      </c>
      <c r="N348" s="62">
        <f t="shared" si="918"/>
        <v>193.4889288</v>
      </c>
      <c r="O348" s="60">
        <f>SUM(O330:O347)</f>
        <v>126399</v>
      </c>
      <c r="P348" s="63">
        <f t="shared" si="919"/>
        <v>0.8024826146</v>
      </c>
      <c r="Q348" s="64">
        <v>1.5</v>
      </c>
      <c r="R348" s="63">
        <f t="shared" si="920"/>
        <v>0.6067494728</v>
      </c>
      <c r="S348" s="65">
        <f t="shared" si="921"/>
        <v>0.9101242092</v>
      </c>
      <c r="T348" s="64">
        <f>SUM(T330:T347)</f>
        <v>4122.022266</v>
      </c>
      <c r="U348" s="64">
        <f t="shared" si="922"/>
        <v>7.156288656</v>
      </c>
      <c r="V348" s="61">
        <f t="shared" si="923"/>
        <v>176.0989583</v>
      </c>
      <c r="X348" s="31">
        <v>4.0</v>
      </c>
      <c r="Y348" s="31" t="s">
        <v>37</v>
      </c>
      <c r="Z348" s="31">
        <f t="shared" ref="Z348:AI348" si="967">SUM(D339)</f>
        <v>23</v>
      </c>
      <c r="AA348" s="32">
        <f t="shared" si="967"/>
        <v>28</v>
      </c>
      <c r="AB348" s="33">
        <f t="shared" si="967"/>
        <v>5465.1</v>
      </c>
      <c r="AC348" s="32">
        <f t="shared" si="967"/>
        <v>2135</v>
      </c>
      <c r="AD348" s="32">
        <f t="shared" si="967"/>
        <v>0</v>
      </c>
      <c r="AE348" s="32">
        <f t="shared" si="967"/>
        <v>2135</v>
      </c>
      <c r="AF348" s="32">
        <f t="shared" si="967"/>
        <v>3182</v>
      </c>
      <c r="AG348" s="32">
        <f t="shared" si="967"/>
        <v>0</v>
      </c>
      <c r="AH348" s="32">
        <f t="shared" si="967"/>
        <v>3182</v>
      </c>
      <c r="AI348" s="32">
        <f t="shared" si="967"/>
        <v>5317</v>
      </c>
      <c r="AJ348" s="34">
        <f t="shared" si="958"/>
        <v>195.1821429</v>
      </c>
      <c r="AK348" s="31">
        <f t="shared" si="968"/>
        <v>5887</v>
      </c>
      <c r="AL348" s="35">
        <f t="shared" si="959"/>
        <v>0.9031764906</v>
      </c>
      <c r="AM348" s="36">
        <f t="shared" si="969"/>
        <v>1.5</v>
      </c>
      <c r="AN348" s="35">
        <f t="shared" si="960"/>
        <v>0.6486005136</v>
      </c>
      <c r="AO348" s="37">
        <f t="shared" si="961"/>
        <v>0.9729007703</v>
      </c>
      <c r="AP348" s="36">
        <f t="shared" ref="AP348:AQ348" si="970">SUM(T339)</f>
        <v>220.4380445</v>
      </c>
      <c r="AQ348" s="36">
        <f t="shared" si="970"/>
        <v>7.872787305</v>
      </c>
      <c r="AR348" s="32">
        <f t="shared" si="963"/>
        <v>189.8928571</v>
      </c>
    </row>
    <row r="349" ht="15.7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X349" s="31">
        <v>5.0</v>
      </c>
      <c r="Y349" s="31" t="s">
        <v>39</v>
      </c>
      <c r="Z349" s="31">
        <f t="shared" ref="Z349:AI349" si="971">SUM(D340)</f>
        <v>21</v>
      </c>
      <c r="AA349" s="32">
        <f t="shared" si="971"/>
        <v>27</v>
      </c>
      <c r="AB349" s="33">
        <f t="shared" si="971"/>
        <v>5318.459</v>
      </c>
      <c r="AC349" s="32">
        <f t="shared" si="971"/>
        <v>1229</v>
      </c>
      <c r="AD349" s="32">
        <f t="shared" si="971"/>
        <v>0</v>
      </c>
      <c r="AE349" s="32">
        <f t="shared" si="971"/>
        <v>1229</v>
      </c>
      <c r="AF349" s="32">
        <f t="shared" si="971"/>
        <v>1740</v>
      </c>
      <c r="AG349" s="32">
        <f t="shared" si="971"/>
        <v>0</v>
      </c>
      <c r="AH349" s="32">
        <f t="shared" si="971"/>
        <v>1740</v>
      </c>
      <c r="AI349" s="32">
        <f t="shared" si="971"/>
        <v>2969</v>
      </c>
      <c r="AJ349" s="34">
        <f t="shared" si="958"/>
        <v>196.979963</v>
      </c>
      <c r="AK349" s="31">
        <f t="shared" si="968"/>
        <v>3569</v>
      </c>
      <c r="AL349" s="35">
        <f t="shared" si="959"/>
        <v>0.8318856823</v>
      </c>
      <c r="AM349" s="36">
        <f t="shared" si="969"/>
        <v>1.5</v>
      </c>
      <c r="AN349" s="35">
        <f t="shared" si="960"/>
        <v>0.3721629392</v>
      </c>
      <c r="AO349" s="37">
        <f t="shared" si="961"/>
        <v>0.5582444088</v>
      </c>
      <c r="AP349" s="36">
        <f t="shared" ref="AP349:AQ349" si="972">SUM(T340)</f>
        <v>247.7966268</v>
      </c>
      <c r="AQ349" s="36">
        <f t="shared" si="972"/>
        <v>9.177652843</v>
      </c>
      <c r="AR349" s="32">
        <f t="shared" si="963"/>
        <v>109.962963</v>
      </c>
    </row>
    <row r="350" ht="15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X350" s="31">
        <v>6.0</v>
      </c>
      <c r="Y350" s="31" t="s">
        <v>41</v>
      </c>
      <c r="Z350" s="31">
        <f t="shared" ref="Z350:AI350" si="973">SUM(D341)</f>
        <v>19</v>
      </c>
      <c r="AA350" s="32">
        <f t="shared" si="973"/>
        <v>24</v>
      </c>
      <c r="AB350" s="33">
        <f t="shared" si="973"/>
        <v>4793.152</v>
      </c>
      <c r="AC350" s="32">
        <f t="shared" si="973"/>
        <v>1363</v>
      </c>
      <c r="AD350" s="32">
        <f t="shared" si="973"/>
        <v>0</v>
      </c>
      <c r="AE350" s="32">
        <f t="shared" si="973"/>
        <v>1363</v>
      </c>
      <c r="AF350" s="32">
        <f t="shared" si="973"/>
        <v>1818</v>
      </c>
      <c r="AG350" s="32">
        <f t="shared" si="973"/>
        <v>0</v>
      </c>
      <c r="AH350" s="32">
        <f t="shared" si="973"/>
        <v>1818</v>
      </c>
      <c r="AI350" s="32">
        <f t="shared" si="973"/>
        <v>3181</v>
      </c>
      <c r="AJ350" s="34">
        <f t="shared" si="958"/>
        <v>199.7146667</v>
      </c>
      <c r="AK350" s="31">
        <f t="shared" si="968"/>
        <v>3801</v>
      </c>
      <c r="AL350" s="35">
        <f t="shared" si="959"/>
        <v>0.8368850303</v>
      </c>
      <c r="AM350" s="36">
        <f t="shared" si="969"/>
        <v>1.5</v>
      </c>
      <c r="AN350" s="35">
        <f t="shared" si="960"/>
        <v>0.4424367653</v>
      </c>
      <c r="AO350" s="37">
        <f t="shared" si="961"/>
        <v>0.663655148</v>
      </c>
      <c r="AP350" s="36">
        <f t="shared" ref="AP350:AQ350" si="974">SUM(T341)</f>
        <v>161.7777778</v>
      </c>
      <c r="AQ350" s="36">
        <f t="shared" si="974"/>
        <v>6.740740741</v>
      </c>
      <c r="AR350" s="32">
        <f t="shared" si="963"/>
        <v>132.5416667</v>
      </c>
    </row>
    <row r="351" ht="15.75" customHeight="1">
      <c r="A351" s="1" t="s">
        <v>45</v>
      </c>
      <c r="D351" s="2"/>
      <c r="X351" s="46" t="s">
        <v>33</v>
      </c>
      <c r="Y351" s="46">
        <v>6.0</v>
      </c>
      <c r="Z351" s="46">
        <f t="shared" ref="Z351:AI351" si="975">SUM(Z345:Z350)</f>
        <v>133</v>
      </c>
      <c r="AA351" s="47">
        <f t="shared" si="975"/>
        <v>170</v>
      </c>
      <c r="AB351" s="49">
        <f t="shared" si="975"/>
        <v>32628.013</v>
      </c>
      <c r="AC351" s="47">
        <f t="shared" si="975"/>
        <v>13199</v>
      </c>
      <c r="AD351" s="47">
        <f t="shared" si="975"/>
        <v>0</v>
      </c>
      <c r="AE351" s="47">
        <f t="shared" si="975"/>
        <v>13199</v>
      </c>
      <c r="AF351" s="47">
        <f t="shared" si="975"/>
        <v>17534</v>
      </c>
      <c r="AG351" s="47">
        <f t="shared" si="975"/>
        <v>67</v>
      </c>
      <c r="AH351" s="47">
        <f t="shared" si="975"/>
        <v>17601</v>
      </c>
      <c r="AI351" s="47">
        <f t="shared" si="975"/>
        <v>30800</v>
      </c>
      <c r="AJ351" s="49">
        <f t="shared" si="958"/>
        <v>191.9294882</v>
      </c>
      <c r="AK351" s="46">
        <f>SUM(AK345:AK350)</f>
        <v>37031</v>
      </c>
      <c r="AL351" s="50">
        <f t="shared" si="959"/>
        <v>0.8317355729</v>
      </c>
      <c r="AM351" s="51">
        <v>1.5</v>
      </c>
      <c r="AN351" s="50">
        <f t="shared" si="960"/>
        <v>0.6293160829</v>
      </c>
      <c r="AO351" s="52">
        <f t="shared" si="961"/>
        <v>0.9439741243</v>
      </c>
      <c r="AP351" s="51">
        <f>SUM(AP345:AP350)</f>
        <v>1361.777661</v>
      </c>
      <c r="AQ351" s="51">
        <f>AP351/AA351</f>
        <v>8.010456831</v>
      </c>
      <c r="AR351" s="47">
        <f t="shared" si="963"/>
        <v>181.1764706</v>
      </c>
    </row>
    <row r="352" ht="15.75" customHeight="1">
      <c r="A352" s="1" t="s">
        <v>45</v>
      </c>
      <c r="D352" s="2"/>
      <c r="X352" s="66" t="s">
        <v>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6"/>
    </row>
    <row r="353" ht="15.75" customHeight="1">
      <c r="A353" s="7">
        <v>46279.0</v>
      </c>
      <c r="B353" s="8" t="s">
        <v>2</v>
      </c>
      <c r="C353" s="8" t="s">
        <v>3</v>
      </c>
      <c r="D353" s="8" t="s">
        <v>4</v>
      </c>
      <c r="E353" s="8" t="s">
        <v>5</v>
      </c>
      <c r="F353" s="9" t="s">
        <v>6</v>
      </c>
      <c r="G353" s="8" t="s">
        <v>7</v>
      </c>
      <c r="H353" s="8" t="s">
        <v>8</v>
      </c>
      <c r="I353" s="8" t="s">
        <v>9</v>
      </c>
      <c r="J353" s="8" t="s">
        <v>10</v>
      </c>
      <c r="K353" s="8" t="s">
        <v>11</v>
      </c>
      <c r="L353" s="8" t="s">
        <v>12</v>
      </c>
      <c r="M353" s="8" t="s">
        <v>13</v>
      </c>
      <c r="N353" s="9" t="s">
        <v>14</v>
      </c>
      <c r="O353" s="8" t="s">
        <v>15</v>
      </c>
      <c r="P353" s="8" t="s">
        <v>16</v>
      </c>
      <c r="Q353" s="8" t="s">
        <v>17</v>
      </c>
      <c r="R353" s="8" t="s">
        <v>18</v>
      </c>
      <c r="S353" s="11" t="s">
        <v>19</v>
      </c>
      <c r="T353" s="12" t="s">
        <v>20</v>
      </c>
      <c r="U353" s="12" t="s">
        <v>21</v>
      </c>
      <c r="V353" s="13" t="s">
        <v>22</v>
      </c>
      <c r="X353" s="14" t="s">
        <v>2</v>
      </c>
      <c r="Y353" s="14" t="s">
        <v>3</v>
      </c>
      <c r="Z353" s="14" t="s">
        <v>4</v>
      </c>
      <c r="AA353" s="14" t="s">
        <v>5</v>
      </c>
      <c r="AB353" s="15" t="s">
        <v>6</v>
      </c>
      <c r="AC353" s="14" t="s">
        <v>7</v>
      </c>
      <c r="AD353" s="14" t="s">
        <v>8</v>
      </c>
      <c r="AE353" s="14" t="s">
        <v>9</v>
      </c>
      <c r="AF353" s="14" t="s">
        <v>10</v>
      </c>
      <c r="AG353" s="14" t="s">
        <v>11</v>
      </c>
      <c r="AH353" s="14" t="s">
        <v>12</v>
      </c>
      <c r="AI353" s="14" t="s">
        <v>13</v>
      </c>
      <c r="AJ353" s="15" t="s">
        <v>14</v>
      </c>
      <c r="AK353" s="14" t="s">
        <v>15</v>
      </c>
      <c r="AL353" s="14" t="s">
        <v>16</v>
      </c>
      <c r="AM353" s="16" t="s">
        <v>17</v>
      </c>
      <c r="AN353" s="17" t="s">
        <v>18</v>
      </c>
      <c r="AO353" s="18" t="s">
        <v>19</v>
      </c>
      <c r="AP353" s="19" t="s">
        <v>20</v>
      </c>
      <c r="AQ353" s="19" t="s">
        <v>21</v>
      </c>
      <c r="AR353" s="20" t="s">
        <v>22</v>
      </c>
    </row>
    <row r="354" ht="15.7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X354" s="22">
        <v>1.0</v>
      </c>
      <c r="Y354" s="22" t="s">
        <v>23</v>
      </c>
      <c r="Z354" s="22">
        <f t="shared" ref="Z354:AI354" si="976">SUM(D362)</f>
        <v>35</v>
      </c>
      <c r="AA354" s="23">
        <f t="shared" si="976"/>
        <v>34</v>
      </c>
      <c r="AB354" s="24">
        <f t="shared" si="976"/>
        <v>6680.52</v>
      </c>
      <c r="AC354" s="23">
        <f t="shared" si="976"/>
        <v>1627</v>
      </c>
      <c r="AD354" s="23">
        <f t="shared" si="976"/>
        <v>0</v>
      </c>
      <c r="AE354" s="23">
        <f t="shared" si="976"/>
        <v>1627</v>
      </c>
      <c r="AF354" s="23">
        <f t="shared" si="976"/>
        <v>3262</v>
      </c>
      <c r="AG354" s="23">
        <f t="shared" si="976"/>
        <v>0</v>
      </c>
      <c r="AH354" s="23">
        <f t="shared" si="976"/>
        <v>3262</v>
      </c>
      <c r="AI354" s="23">
        <f t="shared" si="976"/>
        <v>4889</v>
      </c>
      <c r="AJ354" s="25">
        <f t="shared" ref="AJ354:AJ356" si="979">AB354/AA354</f>
        <v>196.4858824</v>
      </c>
      <c r="AK354" s="22">
        <f>SUM(O362)</f>
        <v>6853</v>
      </c>
      <c r="AL354" s="26">
        <f t="shared" ref="AL354:AL360" si="980">AI354/AK354</f>
        <v>0.7134101853</v>
      </c>
      <c r="AM354" s="27">
        <f t="shared" ref="AM354:AM356" si="981">SUM(Q362)</f>
        <v>1.5</v>
      </c>
      <c r="AN354" s="26">
        <f t="shared" ref="AN354:AN360" si="982">AO354/AM354</f>
        <v>0.4878861725</v>
      </c>
      <c r="AO354" s="28">
        <f t="shared" ref="AO354:AO360" si="983">AI354/AB354</f>
        <v>0.7318292588</v>
      </c>
      <c r="AP354" s="27">
        <f t="shared" ref="AP354:AQ354" si="977">SUM(T362)</f>
        <v>198</v>
      </c>
      <c r="AQ354" s="27">
        <f t="shared" si="977"/>
        <v>5.823529412</v>
      </c>
      <c r="AR354" s="23">
        <f t="shared" ref="AR354:AR360" si="985">AI354/AA354</f>
        <v>143.7941176</v>
      </c>
    </row>
    <row r="355" ht="15.7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X355" s="22">
        <v>2.0</v>
      </c>
      <c r="Y355" s="22" t="s">
        <v>24</v>
      </c>
      <c r="Z355" s="22">
        <f t="shared" ref="Z355:AI355" si="978">SUM(D363)</f>
        <v>44</v>
      </c>
      <c r="AA355" s="23">
        <f t="shared" si="978"/>
        <v>44</v>
      </c>
      <c r="AB355" s="24">
        <f t="shared" si="978"/>
        <v>8029.356</v>
      </c>
      <c r="AC355" s="23">
        <f t="shared" si="978"/>
        <v>1194</v>
      </c>
      <c r="AD355" s="23">
        <f t="shared" si="978"/>
        <v>0</v>
      </c>
      <c r="AE355" s="23">
        <f t="shared" si="978"/>
        <v>1194</v>
      </c>
      <c r="AF355" s="23">
        <f t="shared" si="978"/>
        <v>1455</v>
      </c>
      <c r="AG355" s="23">
        <f t="shared" si="978"/>
        <v>0</v>
      </c>
      <c r="AH355" s="23">
        <f t="shared" si="978"/>
        <v>1455</v>
      </c>
      <c r="AI355" s="23">
        <f t="shared" si="978"/>
        <v>2649</v>
      </c>
      <c r="AJ355" s="25">
        <f t="shared" si="979"/>
        <v>182.4853636</v>
      </c>
      <c r="AK355" s="22">
        <v>1580.0</v>
      </c>
      <c r="AL355" s="29">
        <f t="shared" si="980"/>
        <v>1.676582278</v>
      </c>
      <c r="AM355" s="27">
        <f t="shared" si="981"/>
        <v>1.5</v>
      </c>
      <c r="AN355" s="26">
        <f t="shared" si="982"/>
        <v>0.2199429195</v>
      </c>
      <c r="AO355" s="28">
        <f t="shared" si="983"/>
        <v>0.3299143792</v>
      </c>
      <c r="AP355" s="27">
        <f t="shared" ref="AP355:AQ355" si="984">SUM(T363)</f>
        <v>299.5469502</v>
      </c>
      <c r="AQ355" s="27">
        <f t="shared" si="984"/>
        <v>6.807885232</v>
      </c>
      <c r="AR355" s="23">
        <f t="shared" si="985"/>
        <v>60.20454545</v>
      </c>
    </row>
    <row r="356" ht="15.75" customHeight="1">
      <c r="A356" s="21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X356" s="31">
        <v>3.0</v>
      </c>
      <c r="Y356" s="31" t="s">
        <v>25</v>
      </c>
      <c r="Z356" s="31">
        <f t="shared" ref="Z356:AI356" si="986">SUM(D364)</f>
        <v>32</v>
      </c>
      <c r="AA356" s="32">
        <f t="shared" si="986"/>
        <v>32</v>
      </c>
      <c r="AB356" s="33">
        <f t="shared" si="986"/>
        <v>5963.536</v>
      </c>
      <c r="AC356" s="32">
        <f t="shared" si="986"/>
        <v>2444</v>
      </c>
      <c r="AD356" s="32">
        <f t="shared" si="986"/>
        <v>331</v>
      </c>
      <c r="AE356" s="32">
        <f t="shared" si="986"/>
        <v>2775</v>
      </c>
      <c r="AF356" s="32">
        <f t="shared" si="986"/>
        <v>3085</v>
      </c>
      <c r="AG356" s="32">
        <f t="shared" si="986"/>
        <v>319</v>
      </c>
      <c r="AH356" s="32">
        <f t="shared" si="986"/>
        <v>3404</v>
      </c>
      <c r="AI356" s="32">
        <f t="shared" si="986"/>
        <v>6179</v>
      </c>
      <c r="AJ356" s="34">
        <f t="shared" si="979"/>
        <v>186.3605</v>
      </c>
      <c r="AK356" s="31">
        <f>SUM(O364)</f>
        <v>6622</v>
      </c>
      <c r="AL356" s="35">
        <f t="shared" si="980"/>
        <v>0.9331017819</v>
      </c>
      <c r="AM356" s="36">
        <f t="shared" si="981"/>
        <v>1.5</v>
      </c>
      <c r="AN356" s="35">
        <f t="shared" si="982"/>
        <v>0.6907534948</v>
      </c>
      <c r="AO356" s="37">
        <f t="shared" si="983"/>
        <v>1.036130242</v>
      </c>
      <c r="AP356" s="36">
        <f t="shared" ref="AP356:AQ356" si="987">SUM(T364)</f>
        <v>250.1483221</v>
      </c>
      <c r="AQ356" s="36">
        <f t="shared" si="987"/>
        <v>7.817135067</v>
      </c>
      <c r="AR356" s="32">
        <f t="shared" si="985"/>
        <v>193.09375</v>
      </c>
    </row>
    <row r="357" ht="15.75" customHeight="1">
      <c r="A357" s="21"/>
      <c r="B357" s="38">
        <v>1.0</v>
      </c>
      <c r="C357" s="38" t="s">
        <v>26</v>
      </c>
      <c r="D357" s="39">
        <v>20.0</v>
      </c>
      <c r="E357" s="40">
        <f>IFERROR(__xludf.DUMMYFUNCTION("COUNT(IMPORTRANGE(""https://docs.google.com/spreadsheets/d/1F0NpMx7WhcgPgxTWpryY3Z1CGg56FL6aiL4mHs43w4E/edit"",""1!d2:d21""))"),20.0)</f>
        <v>20</v>
      </c>
      <c r="F357" s="41">
        <f>IFERROR(__xludf.DUMMYFUNCTION("SUM(IMPORTRANGE(""https://docs.google.com/spreadsheets/d/1F0NpMx7WhcgPgxTWpryY3Z1CGg56FL6aiL4mHs43w4E/edit"",""1!Q2:Q21""))"),3935.2949999999996)</f>
        <v>3935.295</v>
      </c>
      <c r="G357" s="40">
        <f>IFERROR(__xludf.DUMMYFUNCTION("IMPORTRANGE(""https://docs.google.com/spreadsheets/d/1F0NpMx7WhcgPgxTWpryY3Z1CGg56FL6aiL4mHs43w4E/edit"",""1!e28"")"),2229.0)</f>
        <v>2229</v>
      </c>
      <c r="H357" s="40">
        <f>IFERROR(__xludf.DUMMYFUNCTION("IMPORTRANGE(""https://docs.google.com/spreadsheets/d/1F0NpMx7WhcgPgxTWpryY3Z1CGg56FL6aiL4mHs43w4E/edit"",""1!e29"")"),0.0)</f>
        <v>0</v>
      </c>
      <c r="I357" s="40">
        <f t="shared" ref="I357:I374" si="990">SUM(G357:H357)</f>
        <v>2229</v>
      </c>
      <c r="J357" s="40">
        <f>IFERROR(__xludf.DUMMYFUNCTION("IMPORTRANGE(""https://docs.google.com/spreadsheets/d/1F0NpMx7WhcgPgxTWpryY3Z1CGg56FL6aiL4mHs43w4E/edit"",""1!e32"")"),2661.0)</f>
        <v>2661</v>
      </c>
      <c r="K357" s="40">
        <f>IFERROR(__xludf.DUMMYFUNCTION("IMPORTRANGE(""https://docs.google.com/spreadsheets/d/1F0NpMx7WhcgPgxTWpryY3Z1CGg56FL6aiL4mHs43w4E/edit"",""1!e33"")"),47.0)</f>
        <v>47</v>
      </c>
      <c r="L357" s="40">
        <f t="shared" ref="L357:L363" si="991">SUM(J357:K357)</f>
        <v>2708</v>
      </c>
      <c r="M357" s="40">
        <f t="shared" ref="M357:M374" si="992">SUM(I357+L357)</f>
        <v>4937</v>
      </c>
      <c r="N357" s="41">
        <f t="shared" ref="N357:N375" si="993">F357/E357</f>
        <v>196.76475</v>
      </c>
      <c r="O357" s="38">
        <v>5161.0</v>
      </c>
      <c r="P357" s="42">
        <f t="shared" ref="P357:P375" si="994">M357/O357</f>
        <v>0.9565975586</v>
      </c>
      <c r="Q357" s="43">
        <v>1.5</v>
      </c>
      <c r="R357" s="42">
        <f t="shared" ref="R357:R375" si="995">S357/Q357</f>
        <v>0.8363625429</v>
      </c>
      <c r="S357" s="44">
        <f t="shared" ref="S357:S375" si="996">M357/F357</f>
        <v>1.254543814</v>
      </c>
      <c r="T357" s="43">
        <f>F357/14.415</f>
        <v>273</v>
      </c>
      <c r="U357" s="43">
        <f t="shared" ref="U357:U375" si="997">T357/E357</f>
        <v>13.65</v>
      </c>
      <c r="V357" s="40">
        <f t="shared" ref="V357:V375" si="998">M357/E357</f>
        <v>246.85</v>
      </c>
      <c r="X357" s="22">
        <v>4.0</v>
      </c>
      <c r="Y357" s="22" t="s">
        <v>27</v>
      </c>
      <c r="Z357" s="22">
        <f t="shared" ref="Z357:AK357" si="988">SUM(D370)</f>
        <v>30</v>
      </c>
      <c r="AA357" s="23">
        <f t="shared" si="988"/>
        <v>29</v>
      </c>
      <c r="AB357" s="24">
        <f t="shared" si="988"/>
        <v>5631.663</v>
      </c>
      <c r="AC357" s="23">
        <f t="shared" si="988"/>
        <v>2486</v>
      </c>
      <c r="AD357" s="23">
        <f t="shared" si="988"/>
        <v>80</v>
      </c>
      <c r="AE357" s="23">
        <f t="shared" si="988"/>
        <v>2566</v>
      </c>
      <c r="AF357" s="23">
        <f t="shared" si="988"/>
        <v>2945</v>
      </c>
      <c r="AG357" s="23">
        <f t="shared" si="988"/>
        <v>88</v>
      </c>
      <c r="AH357" s="23">
        <f t="shared" si="988"/>
        <v>3033</v>
      </c>
      <c r="AI357" s="23">
        <f t="shared" si="988"/>
        <v>5599</v>
      </c>
      <c r="AJ357" s="25">
        <f t="shared" si="988"/>
        <v>194.1952759</v>
      </c>
      <c r="AK357" s="22">
        <f t="shared" si="988"/>
        <v>8101</v>
      </c>
      <c r="AL357" s="26">
        <f t="shared" si="980"/>
        <v>0.6911492408</v>
      </c>
      <c r="AM357" s="27">
        <f>SUM(Q370)</f>
        <v>1.5</v>
      </c>
      <c r="AN357" s="26">
        <f t="shared" si="982"/>
        <v>0.6628000764</v>
      </c>
      <c r="AO357" s="28">
        <f t="shared" si="983"/>
        <v>0.9942001146</v>
      </c>
      <c r="AP357" s="27">
        <f t="shared" ref="AP357:AQ357" si="989">SUM(T370)</f>
        <v>281.7944959</v>
      </c>
      <c r="AQ357" s="27">
        <f t="shared" si="989"/>
        <v>9.717051582</v>
      </c>
      <c r="AR357" s="23">
        <f t="shared" si="985"/>
        <v>193.0689655</v>
      </c>
    </row>
    <row r="358" ht="15.75" customHeight="1">
      <c r="A358" s="21"/>
      <c r="B358" s="38">
        <v>2.0</v>
      </c>
      <c r="C358" s="38" t="s">
        <v>28</v>
      </c>
      <c r="D358" s="39">
        <v>33.0</v>
      </c>
      <c r="E358" s="40">
        <f>IFERROR(__xludf.DUMMYFUNCTION("COUNT(IMPORTRANGE(""https://docs.google.com/spreadsheets/d/1H9vAqftAHb0OdeSGXHTnJFzoWUgpoH31sc0sHNN8y1o/edit"",""1!d2:d34""))"),32.0)</f>
        <v>32</v>
      </c>
      <c r="F358" s="41">
        <f>IFERROR(__xludf.DUMMYFUNCTION("SUM(IMPORTRANGE(""https://docs.google.com/spreadsheets/d/1H9vAqftAHb0OdeSGXHTnJFzoWUgpoH31sc0sHNN8y1o/edit"",""1!Q2:Q34""))"),6234.134999999998)</f>
        <v>6234.135</v>
      </c>
      <c r="G358" s="40">
        <f>IFERROR(__xludf.DUMMYFUNCTION("IMPORTRANGE(""https://docs.google.com/spreadsheets/d/1H9vAqftAHb0OdeSGXHTnJFzoWUgpoH31sc0sHNN8y1o/edit"",""1!e41"")"),2719.0)</f>
        <v>2719</v>
      </c>
      <c r="H358" s="40">
        <f>IFERROR(__xludf.DUMMYFUNCTION("IMPORTRANGE(""https://docs.google.com/spreadsheets/d/1H9vAqftAHb0OdeSGXHTnJFzoWUgpoH31sc0sHNN8y1o/edit"",""1!e42"")"),208.0)</f>
        <v>208</v>
      </c>
      <c r="I358" s="40">
        <f t="shared" si="990"/>
        <v>2927</v>
      </c>
      <c r="J358" s="40">
        <f>IFERROR(__xludf.DUMMYFUNCTION("IMPORTRANGE(""https://docs.google.com/spreadsheets/d/1H9vAqftAHb0OdeSGXHTnJFzoWUgpoH31sc0sHNN8y1o/edit"",""1!e45"")"),3192.0)</f>
        <v>3192</v>
      </c>
      <c r="K358" s="40">
        <f>IFERROR(__xludf.DUMMYFUNCTION("IMPORTRANGE(""https://docs.google.com/spreadsheets/d/1H9vAqftAHb0OdeSGXHTnJFzoWUgpoH31sc0sHNN8y1o/edit"",""1!e46"")"),138.0)</f>
        <v>138</v>
      </c>
      <c r="L358" s="40">
        <f t="shared" si="991"/>
        <v>3330</v>
      </c>
      <c r="M358" s="40">
        <f t="shared" si="992"/>
        <v>6257</v>
      </c>
      <c r="N358" s="41">
        <f t="shared" si="993"/>
        <v>194.8167188</v>
      </c>
      <c r="O358" s="38">
        <v>7315.0</v>
      </c>
      <c r="P358" s="42">
        <f t="shared" si="994"/>
        <v>0.8553656869</v>
      </c>
      <c r="Q358" s="43">
        <v>1.5</v>
      </c>
      <c r="R358" s="42">
        <f t="shared" si="995"/>
        <v>0.6691118067</v>
      </c>
      <c r="S358" s="44">
        <f t="shared" si="996"/>
        <v>1.00366771</v>
      </c>
      <c r="T358" s="43">
        <f>F358/30.897</f>
        <v>201.7715312</v>
      </c>
      <c r="U358" s="43">
        <f t="shared" si="997"/>
        <v>6.305360351</v>
      </c>
      <c r="V358" s="40">
        <f t="shared" si="998"/>
        <v>195.53125</v>
      </c>
      <c r="X358" s="22">
        <v>5.0</v>
      </c>
      <c r="Y358" s="22" t="s">
        <v>29</v>
      </c>
      <c r="Z358" s="22">
        <f t="shared" ref="Z358:AI358" si="999">SUM(D373)</f>
        <v>30</v>
      </c>
      <c r="AA358" s="23">
        <f t="shared" si="999"/>
        <v>29</v>
      </c>
      <c r="AB358" s="24">
        <f t="shared" si="999"/>
        <v>5722.056</v>
      </c>
      <c r="AC358" s="23">
        <f t="shared" si="999"/>
        <v>2610</v>
      </c>
      <c r="AD358" s="23">
        <f t="shared" si="999"/>
        <v>0</v>
      </c>
      <c r="AE358" s="23">
        <f t="shared" si="999"/>
        <v>2610</v>
      </c>
      <c r="AF358" s="23">
        <f t="shared" si="999"/>
        <v>4378</v>
      </c>
      <c r="AG358" s="23">
        <f t="shared" si="999"/>
        <v>0</v>
      </c>
      <c r="AH358" s="23">
        <f t="shared" si="999"/>
        <v>4378</v>
      </c>
      <c r="AI358" s="23">
        <f t="shared" si="999"/>
        <v>6988</v>
      </c>
      <c r="AJ358" s="25">
        <f t="shared" ref="AJ358:AJ360" si="1002">AB358/AA358</f>
        <v>197.3122759</v>
      </c>
      <c r="AK358" s="22">
        <f t="shared" ref="AK358:AK359" si="1003">SUM(O373)</f>
        <v>9201</v>
      </c>
      <c r="AL358" s="26">
        <f t="shared" si="980"/>
        <v>0.7594826649</v>
      </c>
      <c r="AM358" s="27">
        <f t="shared" ref="AM358:AM359" si="1004">SUM(Q373)</f>
        <v>1.5</v>
      </c>
      <c r="AN358" s="26">
        <f t="shared" si="982"/>
        <v>0.8141595725</v>
      </c>
      <c r="AO358" s="28">
        <f t="shared" si="983"/>
        <v>1.221239359</v>
      </c>
      <c r="AP358" s="27">
        <f t="shared" ref="AP358:AQ358" si="1000">SUM(T373)</f>
        <v>216</v>
      </c>
      <c r="AQ358" s="27">
        <f t="shared" si="1000"/>
        <v>7.448275862</v>
      </c>
      <c r="AR358" s="23">
        <f t="shared" si="985"/>
        <v>240.9655172</v>
      </c>
    </row>
    <row r="359" ht="15.75" customHeight="1">
      <c r="A359" s="21"/>
      <c r="B359" s="38">
        <v>3.0</v>
      </c>
      <c r="C359" s="38" t="s">
        <v>30</v>
      </c>
      <c r="D359" s="39">
        <v>60.0</v>
      </c>
      <c r="E359" s="40">
        <f>IFERROR(__xludf.DUMMYFUNCTION("COUNT(IMPORTRANGE(""https://docs.google.com/spreadsheets/d/1EWN6nfpuVxbUE_9opjYCWaI7MTm5xsF6ssjklSbMZnA/edit"",""1!d2:d61""))"),59.0)</f>
        <v>59</v>
      </c>
      <c r="F359" s="45">
        <f>IFERROR(__xludf.DUMMYFUNCTION("SUM(IMPORTRANGE(""https://docs.google.com/spreadsheets/d/1EWN6nfpuVxbUE_9opjYCWaI7MTm5xsF6ssjklSbMZnA/edit"",""1!Q2:Q61""))"),11739.691999999988)</f>
        <v>11739.692</v>
      </c>
      <c r="G359" s="40">
        <f>IFERROR(__xludf.DUMMYFUNCTION("IMPORTRANGE(""https://docs.google.com/spreadsheets/d/1EWN6nfpuVxbUE_9opjYCWaI7MTm5xsF6ssjklSbMZnA/edit"",""1!e68"")"),3754.0)</f>
        <v>3754</v>
      </c>
      <c r="H359" s="40">
        <f>IFERROR(__xludf.DUMMYFUNCTION("IMPORTRANGE(""https://docs.google.com/spreadsheets/d/1EWN6nfpuVxbUE_9opjYCWaI7MTm5xsF6ssjklSbMZnA/edit"",""1!e69"")"),14.0)</f>
        <v>14</v>
      </c>
      <c r="I359" s="40">
        <f t="shared" si="990"/>
        <v>3768</v>
      </c>
      <c r="J359" s="40">
        <f>IFERROR(__xludf.DUMMYFUNCTION("IMPORTRANGE(""https://docs.google.com/spreadsheets/d/1EWN6nfpuVxbUE_9opjYCWaI7MTm5xsF6ssjklSbMZnA/edit"",""1!e72"")"),5982.0)</f>
        <v>5982</v>
      </c>
      <c r="K359" s="40">
        <f>IFERROR(__xludf.DUMMYFUNCTION("IMPORTRANGE(""https://docs.google.com/spreadsheets/d/1EWN6nfpuVxbUE_9opjYCWaI7MTm5xsF6ssjklSbMZnA/edit"",""1!e73"")"),0.0)</f>
        <v>0</v>
      </c>
      <c r="L359" s="40">
        <f t="shared" si="991"/>
        <v>5982</v>
      </c>
      <c r="M359" s="40">
        <f t="shared" si="992"/>
        <v>9750</v>
      </c>
      <c r="N359" s="41">
        <f t="shared" si="993"/>
        <v>198.9778305</v>
      </c>
      <c r="O359" s="38">
        <v>11164.0</v>
      </c>
      <c r="P359" s="42">
        <f t="shared" si="994"/>
        <v>0.8733428879</v>
      </c>
      <c r="Q359" s="43">
        <v>1.5</v>
      </c>
      <c r="R359" s="42">
        <f t="shared" si="995"/>
        <v>0.5536772174</v>
      </c>
      <c r="S359" s="44">
        <f t="shared" si="996"/>
        <v>0.8305158261</v>
      </c>
      <c r="T359" s="43">
        <f>F359/29.603</f>
        <v>396.5710232</v>
      </c>
      <c r="U359" s="43">
        <f t="shared" si="997"/>
        <v>6.721542766</v>
      </c>
      <c r="V359" s="40">
        <f t="shared" si="998"/>
        <v>165.2542373</v>
      </c>
      <c r="X359" s="22">
        <v>6.0</v>
      </c>
      <c r="Y359" s="22" t="s">
        <v>31</v>
      </c>
      <c r="Z359" s="22">
        <f t="shared" ref="Z359:AI359" si="1001">SUM(D374)</f>
        <v>15</v>
      </c>
      <c r="AA359" s="23">
        <f t="shared" si="1001"/>
        <v>14</v>
      </c>
      <c r="AB359" s="25">
        <f t="shared" si="1001"/>
        <v>2520.97</v>
      </c>
      <c r="AC359" s="23">
        <f t="shared" si="1001"/>
        <v>633</v>
      </c>
      <c r="AD359" s="23">
        <f t="shared" si="1001"/>
        <v>0</v>
      </c>
      <c r="AE359" s="23">
        <f t="shared" si="1001"/>
        <v>633</v>
      </c>
      <c r="AF359" s="23">
        <f t="shared" si="1001"/>
        <v>1148</v>
      </c>
      <c r="AG359" s="23">
        <f t="shared" si="1001"/>
        <v>15</v>
      </c>
      <c r="AH359" s="23">
        <f t="shared" si="1001"/>
        <v>1163</v>
      </c>
      <c r="AI359" s="23">
        <f t="shared" si="1001"/>
        <v>1796</v>
      </c>
      <c r="AJ359" s="25">
        <f t="shared" si="1002"/>
        <v>180.0692857</v>
      </c>
      <c r="AK359" s="22">
        <f t="shared" si="1003"/>
        <v>2717</v>
      </c>
      <c r="AL359" s="26">
        <f t="shared" si="980"/>
        <v>0.6610231873</v>
      </c>
      <c r="AM359" s="27">
        <f t="shared" si="1004"/>
        <v>1.5</v>
      </c>
      <c r="AN359" s="26">
        <f t="shared" si="982"/>
        <v>0.4749494573</v>
      </c>
      <c r="AO359" s="28">
        <f t="shared" si="983"/>
        <v>0.7124241859</v>
      </c>
      <c r="AP359" s="27">
        <f t="shared" ref="AP359:AQ359" si="1005">SUM(T374)</f>
        <v>58</v>
      </c>
      <c r="AQ359" s="27">
        <f t="shared" si="1005"/>
        <v>4.142857143</v>
      </c>
      <c r="AR359" s="23">
        <f t="shared" si="985"/>
        <v>128.2857143</v>
      </c>
    </row>
    <row r="360" ht="15.75" customHeight="1">
      <c r="A360" s="21"/>
      <c r="B360" s="38">
        <v>4.0</v>
      </c>
      <c r="C360" s="38" t="s">
        <v>32</v>
      </c>
      <c r="D360" s="39">
        <v>42.0</v>
      </c>
      <c r="E360" s="40">
        <f>IFERROR(__xludf.DUMMYFUNCTION("COUNT(IMPORTRANGE(""https://docs.google.com/spreadsheets/d/1Rmar8QqWK4XOJ-eY6xMzkAfDSw0srEXcAw89ilArun8/edit"",""1!d2:d43""))"),42.0)</f>
        <v>42</v>
      </c>
      <c r="F360" s="45">
        <f>IFERROR(__xludf.DUMMYFUNCTION("SUM(IMPORTRANGE(""https://docs.google.com/spreadsheets/d/1Rmar8QqWK4XOJ-eY6xMzkAfDSw0srEXcAw89ilArun8/edit"",""1!Q2:Q43""))"),8240.661999999991)</f>
        <v>8240.662</v>
      </c>
      <c r="G360" s="38">
        <f>IFERROR(__xludf.DUMMYFUNCTION("IMPORTRANGE(""https://docs.google.com/spreadsheets/d/1Rmar8QqWK4XOJ-eY6xMzkAfDSw0srEXcAw89ilArun8/edit"",""1!e50"")"),4515.0)</f>
        <v>4515</v>
      </c>
      <c r="H360" s="38">
        <f>IFERROR(__xludf.DUMMYFUNCTION("IMPORTRANGE(""https://docs.google.com/spreadsheets/d/1Rmar8QqWK4XOJ-eY6xMzkAfDSw0srEXcAw89ilArun8/edit"",""1!e51"")"),0.0)</f>
        <v>0</v>
      </c>
      <c r="I360" s="40">
        <f t="shared" si="990"/>
        <v>4515</v>
      </c>
      <c r="J360" s="38">
        <f>IFERROR(__xludf.DUMMYFUNCTION("IMPORTRANGE(""https://docs.google.com/spreadsheets/d/1Rmar8QqWK4XOJ-eY6xMzkAfDSw0srEXcAw89ilArun8/edit"",""1!e54"")"),5726.0)</f>
        <v>5726</v>
      </c>
      <c r="K360" s="38">
        <f>IFERROR(__xludf.DUMMYFUNCTION("IMPORTRANGE(""https://docs.google.com/spreadsheets/d/1Rmar8QqWK4XOJ-eY6xMzkAfDSw0srEXcAw89ilArun8/edit"",""1!e55"")"),0.0)</f>
        <v>0</v>
      </c>
      <c r="L360" s="40">
        <f t="shared" si="991"/>
        <v>5726</v>
      </c>
      <c r="M360" s="40">
        <f t="shared" si="992"/>
        <v>10241</v>
      </c>
      <c r="N360" s="41">
        <f t="shared" si="993"/>
        <v>196.2062381</v>
      </c>
      <c r="O360" s="38">
        <v>13817.0</v>
      </c>
      <c r="P360" s="42">
        <f t="shared" si="994"/>
        <v>0.7411883911</v>
      </c>
      <c r="Q360" s="43">
        <v>1.5</v>
      </c>
      <c r="R360" s="42">
        <f t="shared" si="995"/>
        <v>0.8284933096</v>
      </c>
      <c r="S360" s="44">
        <f t="shared" si="996"/>
        <v>1.242739964</v>
      </c>
      <c r="T360" s="43">
        <f>F360/25.089</f>
        <v>328.4571725</v>
      </c>
      <c r="U360" s="43">
        <f t="shared" si="997"/>
        <v>7.820408868</v>
      </c>
      <c r="V360" s="40">
        <f t="shared" si="998"/>
        <v>243.8333333</v>
      </c>
      <c r="X360" s="46" t="s">
        <v>33</v>
      </c>
      <c r="Y360" s="46">
        <v>6.0</v>
      </c>
      <c r="Z360" s="46">
        <f t="shared" ref="Z360:AI360" si="1006">SUM(Z354:Z359)</f>
        <v>186</v>
      </c>
      <c r="AA360" s="47">
        <f t="shared" si="1006"/>
        <v>182</v>
      </c>
      <c r="AB360" s="48">
        <f t="shared" si="1006"/>
        <v>34548.101</v>
      </c>
      <c r="AC360" s="47">
        <f t="shared" si="1006"/>
        <v>10994</v>
      </c>
      <c r="AD360" s="47">
        <f t="shared" si="1006"/>
        <v>411</v>
      </c>
      <c r="AE360" s="47">
        <f t="shared" si="1006"/>
        <v>11405</v>
      </c>
      <c r="AF360" s="47">
        <f t="shared" si="1006"/>
        <v>16273</v>
      </c>
      <c r="AG360" s="47">
        <f t="shared" si="1006"/>
        <v>422</v>
      </c>
      <c r="AH360" s="47">
        <f t="shared" si="1006"/>
        <v>16695</v>
      </c>
      <c r="AI360" s="47">
        <f t="shared" si="1006"/>
        <v>28100</v>
      </c>
      <c r="AJ360" s="49">
        <f t="shared" si="1002"/>
        <v>189.8247308</v>
      </c>
      <c r="AK360" s="46">
        <f>SUM(AK354:AK359)</f>
        <v>35074</v>
      </c>
      <c r="AL360" s="50">
        <f t="shared" si="980"/>
        <v>0.8011632548</v>
      </c>
      <c r="AM360" s="51">
        <v>1.5</v>
      </c>
      <c r="AN360" s="50">
        <f t="shared" si="982"/>
        <v>0.542239162</v>
      </c>
      <c r="AO360" s="52">
        <f t="shared" si="983"/>
        <v>0.8133587429</v>
      </c>
      <c r="AP360" s="51">
        <f>SUM(AP354:AP359)</f>
        <v>1303.489768</v>
      </c>
      <c r="AQ360" s="51">
        <f>AP360/AA360</f>
        <v>7.162031693</v>
      </c>
      <c r="AR360" s="47">
        <f t="shared" si="985"/>
        <v>154.3956044</v>
      </c>
    </row>
    <row r="361" ht="15.75" customHeight="1">
      <c r="A361" s="21"/>
      <c r="B361" s="38">
        <v>5.0</v>
      </c>
      <c r="C361" s="38" t="s">
        <v>34</v>
      </c>
      <c r="D361" s="39">
        <v>40.0</v>
      </c>
      <c r="E361" s="40">
        <f>IFERROR(__xludf.DUMMYFUNCTION("COUNT(IMPORTRANGE(""https://docs.google.com/spreadsheets/d/1u99JxAoytGQQ8GcjxXl38CGdyEWy5uIbuJJHnsotyvk/edit"",""1!d2:d41""))"),40.0)</f>
        <v>40</v>
      </c>
      <c r="F361" s="45">
        <f>IFERROR(__xludf.DUMMYFUNCTION("SUM(IMPORTRANGE(""https://docs.google.com/spreadsheets/d/1u99JxAoytGQQ8GcjxXl38CGdyEWy5uIbuJJHnsotyvk/edit"",""1!Q2:Q41""))"),8007.324000000002)</f>
        <v>8007.324</v>
      </c>
      <c r="G361" s="40">
        <f>IFERROR(__xludf.DUMMYFUNCTION("IMPORTRANGE(""https://docs.google.com/spreadsheets/d/1u99JxAoytGQQ8GcjxXl38CGdyEWy5uIbuJJHnsotyvk/edit"",""1!e48"")"),2819.0)</f>
        <v>2819</v>
      </c>
      <c r="H361" s="40">
        <f>IFERROR(__xludf.DUMMYFUNCTION("IMPORTRANGE(""https://docs.google.com/spreadsheets/d/1u99JxAoytGQQ8GcjxXl38CGdyEWy5uIbuJJHnsotyvk/edit"",""1!e49"")"),0.0)</f>
        <v>0</v>
      </c>
      <c r="I361" s="40">
        <f t="shared" si="990"/>
        <v>2819</v>
      </c>
      <c r="J361" s="40">
        <f>IFERROR(__xludf.DUMMYFUNCTION("IMPORTRANGE(""https://docs.google.com/spreadsheets/d/1u99JxAoytGQQ8GcjxXl38CGdyEWy5uIbuJJHnsotyvk/edit"",""1!e52"")"),3504.0)</f>
        <v>3504</v>
      </c>
      <c r="K361" s="40">
        <f>IFERROR(__xludf.DUMMYFUNCTION("IMPORTRANGE(""https://docs.google.com/spreadsheets/d/1u99JxAoytGQQ8GcjxXl38CGdyEWy5uIbuJJHnsotyvk/edit"",""1!e53"")"),0.0)</f>
        <v>0</v>
      </c>
      <c r="L361" s="40">
        <f t="shared" si="991"/>
        <v>3504</v>
      </c>
      <c r="M361" s="40">
        <f t="shared" si="992"/>
        <v>6323</v>
      </c>
      <c r="N361" s="41">
        <f t="shared" si="993"/>
        <v>200.1831</v>
      </c>
      <c r="O361" s="38">
        <v>9354.0</v>
      </c>
      <c r="P361" s="42">
        <f t="shared" si="994"/>
        <v>0.6759675005</v>
      </c>
      <c r="Q361" s="43">
        <v>1.5</v>
      </c>
      <c r="R361" s="42">
        <f t="shared" si="995"/>
        <v>0.5264347157</v>
      </c>
      <c r="S361" s="44">
        <f t="shared" si="996"/>
        <v>0.7896520735</v>
      </c>
      <c r="T361" s="43">
        <f>F361/30.713</f>
        <v>260.7144857</v>
      </c>
      <c r="U361" s="43">
        <f t="shared" si="997"/>
        <v>6.517862143</v>
      </c>
      <c r="V361" s="40">
        <f t="shared" si="998"/>
        <v>158.075</v>
      </c>
      <c r="X361" s="53" t="s">
        <v>35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6"/>
    </row>
    <row r="362" ht="15.75" customHeight="1">
      <c r="A362" s="21"/>
      <c r="B362" s="38">
        <v>6.0</v>
      </c>
      <c r="C362" s="38" t="s">
        <v>23</v>
      </c>
      <c r="D362" s="39">
        <v>35.0</v>
      </c>
      <c r="E362" s="40">
        <f>IFERROR(__xludf.DUMMYFUNCTION("COUNT(IMPORTRANGE(""https://docs.google.com/spreadsheets/d/1uVc-vnTn57HE53lwrUYNZP4sGKTXisrqOoZ-6EyvLzY/edit"",""1!d2:d36""))"),34.0)</f>
        <v>34</v>
      </c>
      <c r="F362" s="45">
        <f>IFERROR(__xludf.DUMMYFUNCTION("SUM(IMPORTRANGE(""https://docs.google.com/spreadsheets/d/1uVc-vnTn57HE53lwrUYNZP4sGKTXisrqOoZ-6EyvLzY/edit"",""1!Q2:Q36""))"),6680.519999999995)</f>
        <v>6680.52</v>
      </c>
      <c r="G362" s="40">
        <f>IFERROR(__xludf.DUMMYFUNCTION("IMPORTRANGE(""https://docs.google.com/spreadsheets/d/1uVc-vnTn57HE53lwrUYNZP4sGKTXisrqOoZ-6EyvLzY/edit"",""1!e43"")"),1627.0)</f>
        <v>1627</v>
      </c>
      <c r="H362" s="40">
        <f>IFERROR(__xludf.DUMMYFUNCTION("IMPORTRANGE(""https://docs.google.com/spreadsheets/d/1uVc-vnTn57HE53lwrUYNZP4sGKTXisrqOoZ-6EyvLzY/edit"",""1!e44"")"),0.0)</f>
        <v>0</v>
      </c>
      <c r="I362" s="40">
        <f t="shared" si="990"/>
        <v>1627</v>
      </c>
      <c r="J362" s="40">
        <f>IFERROR(__xludf.DUMMYFUNCTION("IMPORTRANGE(""https://docs.google.com/spreadsheets/d/1uVc-vnTn57HE53lwrUYNZP4sGKTXisrqOoZ-6EyvLzY/edit"",""1!e47"")"),3262.0)</f>
        <v>3262</v>
      </c>
      <c r="K362" s="40">
        <f>IFERROR(__xludf.DUMMYFUNCTION("IMPORTRANGE(""https://docs.google.com/spreadsheets/d/1uVc-vnTn57HE53lwrUYNZP4sGKTXisrqOoZ-6EyvLzY/edit"",""1!e48"")"),0.0)</f>
        <v>0</v>
      </c>
      <c r="L362" s="40">
        <f t="shared" si="991"/>
        <v>3262</v>
      </c>
      <c r="M362" s="40">
        <f t="shared" si="992"/>
        <v>4889</v>
      </c>
      <c r="N362" s="41">
        <f t="shared" si="993"/>
        <v>196.4858824</v>
      </c>
      <c r="O362" s="38">
        <v>6853.0</v>
      </c>
      <c r="P362" s="42">
        <f t="shared" si="994"/>
        <v>0.7134101853</v>
      </c>
      <c r="Q362" s="43">
        <v>1.5</v>
      </c>
      <c r="R362" s="42">
        <f t="shared" si="995"/>
        <v>0.4878861725</v>
      </c>
      <c r="S362" s="44">
        <f t="shared" si="996"/>
        <v>0.7318292588</v>
      </c>
      <c r="T362" s="43">
        <f>F362/33.74</f>
        <v>198</v>
      </c>
      <c r="U362" s="43">
        <f t="shared" si="997"/>
        <v>5.823529412</v>
      </c>
      <c r="V362" s="40">
        <f t="shared" si="998"/>
        <v>143.7941176</v>
      </c>
      <c r="X362" s="14" t="s">
        <v>2</v>
      </c>
      <c r="Y362" s="14" t="s">
        <v>3</v>
      </c>
      <c r="Z362" s="14" t="s">
        <v>4</v>
      </c>
      <c r="AA362" s="14" t="s">
        <v>5</v>
      </c>
      <c r="AB362" s="15" t="s">
        <v>6</v>
      </c>
      <c r="AC362" s="14" t="s">
        <v>7</v>
      </c>
      <c r="AD362" s="14" t="s">
        <v>8</v>
      </c>
      <c r="AE362" s="14" t="s">
        <v>9</v>
      </c>
      <c r="AF362" s="14" t="s">
        <v>10</v>
      </c>
      <c r="AG362" s="14" t="s">
        <v>11</v>
      </c>
      <c r="AH362" s="14" t="s">
        <v>12</v>
      </c>
      <c r="AI362" s="14" t="s">
        <v>13</v>
      </c>
      <c r="AJ362" s="15" t="s">
        <v>14</v>
      </c>
      <c r="AK362" s="14" t="s">
        <v>15</v>
      </c>
      <c r="AL362" s="14" t="s">
        <v>16</v>
      </c>
      <c r="AM362" s="16" t="s">
        <v>17</v>
      </c>
      <c r="AN362" s="17" t="s">
        <v>18</v>
      </c>
      <c r="AO362" s="18" t="s">
        <v>19</v>
      </c>
      <c r="AP362" s="19" t="s">
        <v>20</v>
      </c>
      <c r="AQ362" s="19" t="s">
        <v>21</v>
      </c>
      <c r="AR362" s="20" t="s">
        <v>22</v>
      </c>
    </row>
    <row r="363" ht="15.75" customHeight="1">
      <c r="A363" s="21"/>
      <c r="B363" s="38">
        <v>7.0</v>
      </c>
      <c r="C363" s="38" t="s">
        <v>24</v>
      </c>
      <c r="D363" s="39">
        <v>44.0</v>
      </c>
      <c r="E363" s="54">
        <f>IFERROR(__xludf.DUMMYFUNCTION("COUNT(IMPORTRANGE(""https://docs.google.com/spreadsheets/d/1iuPvivSypupo44l6GtmR-2qZ3za7cTk7KzsOVp_kv2c/edit"",""1!d2:d45""))"),44.0)</f>
        <v>44</v>
      </c>
      <c r="F363" s="55">
        <f>IFERROR(__xludf.DUMMYFUNCTION("SUM(IMPORTRANGE(""https://docs.google.com/spreadsheets/d/1iuPvivSypupo44l6GtmR-2qZ3za7cTk7KzsOVp_kv2c/edit"",""1!Q2:Q45""))"),8029.355999999994)</f>
        <v>8029.356</v>
      </c>
      <c r="G363" s="54">
        <f>IFERROR(__xludf.DUMMYFUNCTION("IMPORTRANGE(""https://docs.google.com/spreadsheets/d/1iuPvivSypupo44l6GtmR-2qZ3za7cTk7KzsOVp_kv2c/edit"",""1!e53"")"),1194.0)</f>
        <v>1194</v>
      </c>
      <c r="H363" s="54">
        <f>IFERROR(__xludf.DUMMYFUNCTION("IMPORTRANGE(""https://docs.google.com/spreadsheets/d/1iuPvivSypupo44l6GtmR-2qZ3za7cTk7KzsOVp_kv2c/edit"",""1!e54"")"),0.0)</f>
        <v>0</v>
      </c>
      <c r="I363" s="54">
        <f t="shared" si="990"/>
        <v>1194</v>
      </c>
      <c r="J363" s="54">
        <f>IFERROR(__xludf.DUMMYFUNCTION("IMPORTRANGE(""https://docs.google.com/spreadsheets/d/1iuPvivSypupo44l6GtmR-2qZ3za7cTk7KzsOVp_kv2c/edit"",""1!e57"")"),1455.0)</f>
        <v>1455</v>
      </c>
      <c r="K363" s="54">
        <f>IFERROR(__xludf.DUMMYFUNCTION("IMPORTRANGE(""https://docs.google.com/spreadsheets/d/1iuPvivSypupo44l6GtmR-2qZ3za7cTk7KzsOVp_kv2c/edit"",""1!e58"")"),0.0)</f>
        <v>0</v>
      </c>
      <c r="L363" s="40">
        <f t="shared" si="991"/>
        <v>1455</v>
      </c>
      <c r="M363" s="40">
        <f t="shared" si="992"/>
        <v>2649</v>
      </c>
      <c r="N363" s="41">
        <f t="shared" si="993"/>
        <v>182.4853636</v>
      </c>
      <c r="O363" s="38">
        <v>1580.0</v>
      </c>
      <c r="P363" s="56">
        <f t="shared" si="994"/>
        <v>1.676582278</v>
      </c>
      <c r="Q363" s="43">
        <v>1.5</v>
      </c>
      <c r="R363" s="42">
        <f t="shared" si="995"/>
        <v>0.2199429195</v>
      </c>
      <c r="S363" s="44">
        <f t="shared" si="996"/>
        <v>0.3299143792</v>
      </c>
      <c r="T363" s="43">
        <f>F363/26.805</f>
        <v>299.5469502</v>
      </c>
      <c r="U363" s="43">
        <f t="shared" si="997"/>
        <v>6.807885232</v>
      </c>
      <c r="V363" s="40">
        <f t="shared" si="998"/>
        <v>60.20454545</v>
      </c>
      <c r="X363" s="22">
        <v>1.0</v>
      </c>
      <c r="Y363" s="22" t="s">
        <v>28</v>
      </c>
      <c r="Z363" s="22">
        <f t="shared" ref="Z363:AI363" si="1007">SUM(D358)</f>
        <v>33</v>
      </c>
      <c r="AA363" s="23">
        <f t="shared" si="1007"/>
        <v>32</v>
      </c>
      <c r="AB363" s="25">
        <f t="shared" si="1007"/>
        <v>6234.135</v>
      </c>
      <c r="AC363" s="23">
        <f t="shared" si="1007"/>
        <v>2719</v>
      </c>
      <c r="AD363" s="23">
        <f t="shared" si="1007"/>
        <v>208</v>
      </c>
      <c r="AE363" s="23">
        <f t="shared" si="1007"/>
        <v>2927</v>
      </c>
      <c r="AF363" s="23">
        <f t="shared" si="1007"/>
        <v>3192</v>
      </c>
      <c r="AG363" s="23">
        <f t="shared" si="1007"/>
        <v>138</v>
      </c>
      <c r="AH363" s="23">
        <f t="shared" si="1007"/>
        <v>3330</v>
      </c>
      <c r="AI363" s="23">
        <f t="shared" si="1007"/>
        <v>6257</v>
      </c>
      <c r="AJ363" s="25">
        <f t="shared" ref="AJ363:AJ369" si="1010">AB363/AA363</f>
        <v>194.8167188</v>
      </c>
      <c r="AK363" s="22">
        <f t="shared" ref="AK363:AK364" si="1011">SUM(O358)</f>
        <v>7315</v>
      </c>
      <c r="AL363" s="26">
        <f t="shared" ref="AL363:AL369" si="1012">AI363/AK363</f>
        <v>0.8553656869</v>
      </c>
      <c r="AM363" s="27">
        <f t="shared" ref="AM363:AM364" si="1013">SUM(Q358)</f>
        <v>1.5</v>
      </c>
      <c r="AN363" s="26">
        <f t="shared" ref="AN363:AN369" si="1014">AO363/AM363</f>
        <v>0.6691118067</v>
      </c>
      <c r="AO363" s="28">
        <f t="shared" ref="AO363:AO369" si="1015">AI363/AB363</f>
        <v>1.00366771</v>
      </c>
      <c r="AP363" s="27">
        <f t="shared" ref="AP363:AQ363" si="1008">SUM(T358)</f>
        <v>201.7715312</v>
      </c>
      <c r="AQ363" s="27">
        <f t="shared" si="1008"/>
        <v>6.305360351</v>
      </c>
      <c r="AR363" s="23">
        <f t="shared" ref="AR363:AR369" si="1017">AI363/AA363</f>
        <v>195.53125</v>
      </c>
    </row>
    <row r="364" ht="15.75" customHeight="1">
      <c r="A364" s="21"/>
      <c r="B364" s="38">
        <v>8.0</v>
      </c>
      <c r="C364" s="38" t="s">
        <v>25</v>
      </c>
      <c r="D364" s="57">
        <v>32.0</v>
      </c>
      <c r="E364" s="40">
        <f>IFERROR(__xludf.DUMMYFUNCTION("COUNT(IMPORTRANGE(""https://docs.google.com/spreadsheets/d/1sqWX7UerdR9KR_duBzDNfjwbPG-3hLgV1LiN2ZVZ6Js/edit"",""1!d2:D33""))"),32.0)</f>
        <v>32</v>
      </c>
      <c r="F364" s="45">
        <f>IFERROR(__xludf.DUMMYFUNCTION("SUM(IMPORTRANGE(""https://docs.google.com/spreadsheets/d/1sqWX7UerdR9KR_duBzDNfjwbPG-3hLgV1LiN2ZVZ6Js/edit"",""1!Q2:Q33""))"),5963.536000000002)</f>
        <v>5963.536</v>
      </c>
      <c r="G364" s="40">
        <f>IFERROR(__xludf.DUMMYFUNCTION("IMPORTRANGE(""https://docs.google.com/spreadsheets/d/1sqWX7UerdR9KR_duBzDNfjwbPG-3hLgV1LiN2ZVZ6Js/edit"",""1!e40"")"),2444.0)</f>
        <v>2444</v>
      </c>
      <c r="H364" s="40">
        <f>IFERROR(__xludf.DUMMYFUNCTION("IMPORTRANGE(""https://docs.google.com/spreadsheets/d/1sqWX7UerdR9KR_duBzDNfjwbPG-3hLgV1LiN2ZVZ6Js/edit"",""1!e41"")"),331.0)</f>
        <v>331</v>
      </c>
      <c r="I364" s="40">
        <f t="shared" si="990"/>
        <v>2775</v>
      </c>
      <c r="J364" s="40">
        <f>IFERROR(__xludf.DUMMYFUNCTION("IMPORTRANGE(""https://docs.google.com/spreadsheets/d/1sqWX7UerdR9KR_duBzDNfjwbPG-3hLgV1LiN2ZVZ6Js/edit"",""1!e44"")"),3085.0)</f>
        <v>3085</v>
      </c>
      <c r="K364" s="40">
        <f>IFERROR(__xludf.DUMMYFUNCTION("IMPORTRANGE(""https://docs.google.com/spreadsheets/d/1sqWX7UerdR9KR_duBzDNfjwbPG-3hLgV1LiN2ZVZ6Js/edit"",""1!e45"")"),319.0)</f>
        <v>319</v>
      </c>
      <c r="L364" s="40">
        <f>J364+K364</f>
        <v>3404</v>
      </c>
      <c r="M364" s="40">
        <f t="shared" si="992"/>
        <v>6179</v>
      </c>
      <c r="N364" s="41">
        <f t="shared" si="993"/>
        <v>186.3605</v>
      </c>
      <c r="O364" s="38">
        <v>6622.0</v>
      </c>
      <c r="P364" s="42">
        <f t="shared" si="994"/>
        <v>0.9331017819</v>
      </c>
      <c r="Q364" s="43">
        <v>1.5</v>
      </c>
      <c r="R364" s="42">
        <f t="shared" si="995"/>
        <v>0.6907534948</v>
      </c>
      <c r="S364" s="44">
        <f t="shared" si="996"/>
        <v>1.036130242</v>
      </c>
      <c r="T364" s="43">
        <f>F364/23.84</f>
        <v>250.1483221</v>
      </c>
      <c r="U364" s="43">
        <f t="shared" si="997"/>
        <v>7.817135067</v>
      </c>
      <c r="V364" s="40">
        <f t="shared" si="998"/>
        <v>193.09375</v>
      </c>
      <c r="X364" s="31">
        <v>2.0</v>
      </c>
      <c r="Y364" s="31" t="s">
        <v>30</v>
      </c>
      <c r="Z364" s="31">
        <f t="shared" ref="Z364:AI364" si="1009">SUM(D359)</f>
        <v>60</v>
      </c>
      <c r="AA364" s="32">
        <f t="shared" si="1009"/>
        <v>59</v>
      </c>
      <c r="AB364" s="33">
        <f t="shared" si="1009"/>
        <v>11739.692</v>
      </c>
      <c r="AC364" s="32">
        <f t="shared" si="1009"/>
        <v>3754</v>
      </c>
      <c r="AD364" s="32">
        <f t="shared" si="1009"/>
        <v>14</v>
      </c>
      <c r="AE364" s="32">
        <f t="shared" si="1009"/>
        <v>3768</v>
      </c>
      <c r="AF364" s="32">
        <f t="shared" si="1009"/>
        <v>5982</v>
      </c>
      <c r="AG364" s="32">
        <f t="shared" si="1009"/>
        <v>0</v>
      </c>
      <c r="AH364" s="32">
        <f t="shared" si="1009"/>
        <v>5982</v>
      </c>
      <c r="AI364" s="32">
        <f t="shared" si="1009"/>
        <v>9750</v>
      </c>
      <c r="AJ364" s="34">
        <f t="shared" si="1010"/>
        <v>198.9778305</v>
      </c>
      <c r="AK364" s="31">
        <f t="shared" si="1011"/>
        <v>11164</v>
      </c>
      <c r="AL364" s="35">
        <f t="shared" si="1012"/>
        <v>0.8733428879</v>
      </c>
      <c r="AM364" s="36">
        <f t="shared" si="1013"/>
        <v>1.5</v>
      </c>
      <c r="AN364" s="35">
        <f t="shared" si="1014"/>
        <v>0.5536772174</v>
      </c>
      <c r="AO364" s="37">
        <f t="shared" si="1015"/>
        <v>0.8305158261</v>
      </c>
      <c r="AP364" s="36">
        <f t="shared" ref="AP364:AQ364" si="1016">SUM(T359)</f>
        <v>396.5710232</v>
      </c>
      <c r="AQ364" s="36">
        <f t="shared" si="1016"/>
        <v>6.721542766</v>
      </c>
      <c r="AR364" s="32">
        <f t="shared" si="1017"/>
        <v>165.2542373</v>
      </c>
    </row>
    <row r="365" ht="15.75" customHeight="1">
      <c r="A365" s="21"/>
      <c r="B365" s="38">
        <v>9.0</v>
      </c>
      <c r="C365" s="38" t="s">
        <v>36</v>
      </c>
      <c r="D365" s="58">
        <v>30.0</v>
      </c>
      <c r="E365" s="40">
        <f>IFERROR(__xludf.DUMMYFUNCTION("COUNT(IMPORTRANGE(""https://docs.google.com/spreadsheets/d/1YNna43iTSqnwwbMJgTIPHSJEoDO8RGPRFg5pJCoQR_Y/edit"",""1!d2:d31""))"),29.0)</f>
        <v>29</v>
      </c>
      <c r="F365" s="45">
        <f>IFERROR(__xludf.DUMMYFUNCTION("SUM(IMPORTRANGE(""https://docs.google.com/spreadsheets/d/1YNna43iTSqnwwbMJgTIPHSJEoDO8RGPRFg5pJCoQR_Y/edit"",""1!Q2:Q31""))"),4875.344999999998)</f>
        <v>4875.345</v>
      </c>
      <c r="G365" s="40">
        <f>IFERROR(__xludf.DUMMYFUNCTION("IMPORTRANGE(""https://docs.google.com/spreadsheets/d/1YNna43iTSqnwwbMJgTIPHSJEoDO8RGPRFg5pJCoQR_Y/edit"",""1!e38"")"),1728.0)</f>
        <v>1728</v>
      </c>
      <c r="H365" s="40">
        <f>IFERROR(__xludf.DUMMYFUNCTION("IMPORTRANGE(""https://docs.google.com/spreadsheets/d/1YNna43iTSqnwwbMJgTIPHSJEoDO8RGPRFg5pJCoQR_Y/edit"",""1!e39"")"),0.0)</f>
        <v>0</v>
      </c>
      <c r="I365" s="40">
        <f t="shared" si="990"/>
        <v>1728</v>
      </c>
      <c r="J365" s="40">
        <f>IFERROR(__xludf.DUMMYFUNCTION("IMPORTRANGE(""https://docs.google.com/spreadsheets/d/1YNna43iTSqnwwbMJgTIPHSJEoDO8RGPRFg5pJCoQR_Y/edit"",""1!e42"")"),2407.0)</f>
        <v>2407</v>
      </c>
      <c r="K365" s="40">
        <f>IFERROR(__xludf.DUMMYFUNCTION("IMPORTRANGE(""https://docs.google.com/spreadsheets/d/1YNna43iTSqnwwbMJgTIPHSJEoDO8RGPRFg5pJCoQR_Y/edit"",""1!e43"")"),20.0)</f>
        <v>20</v>
      </c>
      <c r="L365" s="40">
        <f t="shared" ref="L365:L374" si="1020">SUM(J365:K365)</f>
        <v>2427</v>
      </c>
      <c r="M365" s="40">
        <f t="shared" si="992"/>
        <v>4155</v>
      </c>
      <c r="N365" s="41">
        <f t="shared" si="993"/>
        <v>168.1153448</v>
      </c>
      <c r="O365" s="38">
        <v>4796.0</v>
      </c>
      <c r="P365" s="42">
        <f t="shared" si="994"/>
        <v>0.8663469558</v>
      </c>
      <c r="Q365" s="43">
        <v>1.5</v>
      </c>
      <c r="R365" s="42">
        <f t="shared" si="995"/>
        <v>0.5681649196</v>
      </c>
      <c r="S365" s="44">
        <f t="shared" si="996"/>
        <v>0.8522473794</v>
      </c>
      <c r="T365" s="43">
        <f>F365/37.414</f>
        <v>130.3080398</v>
      </c>
      <c r="U365" s="43">
        <f t="shared" si="997"/>
        <v>4.493380682</v>
      </c>
      <c r="V365" s="40">
        <f t="shared" si="998"/>
        <v>143.2758621</v>
      </c>
      <c r="X365" s="22">
        <v>3.0</v>
      </c>
      <c r="Y365" s="22" t="s">
        <v>34</v>
      </c>
      <c r="Z365" s="22">
        <f t="shared" ref="Z365:AI365" si="1018">SUM(D361)</f>
        <v>40</v>
      </c>
      <c r="AA365" s="23">
        <f t="shared" si="1018"/>
        <v>40</v>
      </c>
      <c r="AB365" s="24">
        <f t="shared" si="1018"/>
        <v>8007.324</v>
      </c>
      <c r="AC365" s="23">
        <f t="shared" si="1018"/>
        <v>2819</v>
      </c>
      <c r="AD365" s="23">
        <f t="shared" si="1018"/>
        <v>0</v>
      </c>
      <c r="AE365" s="23">
        <f t="shared" si="1018"/>
        <v>2819</v>
      </c>
      <c r="AF365" s="23">
        <f t="shared" si="1018"/>
        <v>3504</v>
      </c>
      <c r="AG365" s="23">
        <f t="shared" si="1018"/>
        <v>0</v>
      </c>
      <c r="AH365" s="23">
        <f t="shared" si="1018"/>
        <v>3504</v>
      </c>
      <c r="AI365" s="23">
        <f t="shared" si="1018"/>
        <v>6323</v>
      </c>
      <c r="AJ365" s="25">
        <f t="shared" si="1010"/>
        <v>200.1831</v>
      </c>
      <c r="AK365" s="22">
        <f>SUM(O361)</f>
        <v>9354</v>
      </c>
      <c r="AL365" s="26">
        <f t="shared" si="1012"/>
        <v>0.6759675005</v>
      </c>
      <c r="AM365" s="27">
        <f>SUM(Q361)</f>
        <v>1.5</v>
      </c>
      <c r="AN365" s="26">
        <f t="shared" si="1014"/>
        <v>0.5264347157</v>
      </c>
      <c r="AO365" s="28">
        <f t="shared" si="1015"/>
        <v>0.7896520735</v>
      </c>
      <c r="AP365" s="27">
        <f t="shared" ref="AP365:AQ365" si="1019">SUM(T361)</f>
        <v>260.7144857</v>
      </c>
      <c r="AQ365" s="27">
        <f t="shared" si="1019"/>
        <v>6.517862143</v>
      </c>
      <c r="AR365" s="23">
        <f t="shared" si="1017"/>
        <v>158.075</v>
      </c>
    </row>
    <row r="366" ht="15.75" customHeight="1">
      <c r="A366" s="21"/>
      <c r="B366" s="38">
        <v>10.0</v>
      </c>
      <c r="C366" s="38" t="s">
        <v>37</v>
      </c>
      <c r="D366" s="39">
        <v>30.0</v>
      </c>
      <c r="E366" s="40">
        <f>IFERROR(__xludf.DUMMYFUNCTION("COUNT(IMPORTRANGE(""https://docs.google.com/spreadsheets/d/1913Df5BsXS_b-nClL8LOK5w0engQYTl1mPOiyngRtO0/edit"",""1!d2:d31""))"),28.0)</f>
        <v>28</v>
      </c>
      <c r="F366" s="45">
        <f>IFERROR(__xludf.DUMMYFUNCTION("SUM(IMPORTRANGE(""https://docs.google.com/spreadsheets/d/1913Df5BsXS_b-nClL8LOK5w0engQYTl1mPOiyngRtO0/edit"",""1!Q2:Q31""))"),5465.100000000002)</f>
        <v>5465.1</v>
      </c>
      <c r="G366" s="40">
        <f>IFERROR(__xludf.DUMMYFUNCTION("(IMPORTRANGE(""https://docs.google.com/spreadsheets/d/1913Df5BsXS_b-nClL8LOK5w0engQYTl1mPOiyngRtO0/edit"",""1!e38""))"),2135.0)</f>
        <v>2135</v>
      </c>
      <c r="H366" s="40">
        <f>IFERROR(__xludf.DUMMYFUNCTION("(IMPORTRANGE(""https://docs.google.com/spreadsheets/d/1913Df5BsXS_b-nClL8LOK5w0engQYTl1mPOiyngRtO0/edit"",""1!e39""))"),0.0)</f>
        <v>0</v>
      </c>
      <c r="I366" s="40">
        <f t="shared" si="990"/>
        <v>2135</v>
      </c>
      <c r="J366" s="40">
        <f>IFERROR(__xludf.DUMMYFUNCTION("(IMPORTRANGE(""https://docs.google.com/spreadsheets/d/1913Df5BsXS_b-nClL8LOK5w0engQYTl1mPOiyngRtO0/edit"",""1!e42""))"),3182.0)</f>
        <v>3182</v>
      </c>
      <c r="K366" s="40">
        <f>IFERROR(__xludf.DUMMYFUNCTION("(IMPORTRANGE(""https://docs.google.com/spreadsheets/d/1913Df5BsXS_b-nClL8LOK5w0engQYTl1mPOiyngRtO0/edit"",""1!e43""))"),0.0)</f>
        <v>0</v>
      </c>
      <c r="L366" s="40">
        <f t="shared" si="1020"/>
        <v>3182</v>
      </c>
      <c r="M366" s="40">
        <f t="shared" si="992"/>
        <v>5317</v>
      </c>
      <c r="N366" s="41">
        <f t="shared" si="993"/>
        <v>195.1821429</v>
      </c>
      <c r="O366" s="38">
        <v>5887.0</v>
      </c>
      <c r="P366" s="42">
        <f t="shared" si="994"/>
        <v>0.9031764906</v>
      </c>
      <c r="Q366" s="43">
        <v>1.5</v>
      </c>
      <c r="R366" s="42">
        <f t="shared" si="995"/>
        <v>0.6486005136</v>
      </c>
      <c r="S366" s="44">
        <f t="shared" si="996"/>
        <v>0.9729007703</v>
      </c>
      <c r="T366" s="43">
        <f>F366/24.792</f>
        <v>220.4380445</v>
      </c>
      <c r="U366" s="43">
        <f t="shared" si="997"/>
        <v>7.872787305</v>
      </c>
      <c r="V366" s="40">
        <f t="shared" si="998"/>
        <v>189.8928571</v>
      </c>
      <c r="X366" s="31">
        <v>4.0</v>
      </c>
      <c r="Y366" s="31" t="s">
        <v>38</v>
      </c>
      <c r="Z366" s="31">
        <f t="shared" ref="Z366:AI366" si="1021">SUM(D369)</f>
        <v>30</v>
      </c>
      <c r="AA366" s="32">
        <f t="shared" si="1021"/>
        <v>30</v>
      </c>
      <c r="AB366" s="33">
        <f t="shared" si="1021"/>
        <v>6034.986</v>
      </c>
      <c r="AC366" s="32">
        <f t="shared" si="1021"/>
        <v>1876</v>
      </c>
      <c r="AD366" s="32">
        <f t="shared" si="1021"/>
        <v>79</v>
      </c>
      <c r="AE366" s="32">
        <f t="shared" si="1021"/>
        <v>1955</v>
      </c>
      <c r="AF366" s="32">
        <f t="shared" si="1021"/>
        <v>2967</v>
      </c>
      <c r="AG366" s="32">
        <f t="shared" si="1021"/>
        <v>140</v>
      </c>
      <c r="AH366" s="32">
        <f t="shared" si="1021"/>
        <v>3107</v>
      </c>
      <c r="AI366" s="32">
        <f t="shared" si="1021"/>
        <v>5062</v>
      </c>
      <c r="AJ366" s="34">
        <f t="shared" si="1010"/>
        <v>201.1662</v>
      </c>
      <c r="AK366" s="31">
        <v>7324.0</v>
      </c>
      <c r="AL366" s="35">
        <f t="shared" si="1012"/>
        <v>0.6911523758</v>
      </c>
      <c r="AM366" s="36">
        <f>SUM(Q369)</f>
        <v>1.5</v>
      </c>
      <c r="AN366" s="35">
        <f t="shared" si="1014"/>
        <v>0.5591838435</v>
      </c>
      <c r="AO366" s="37">
        <f t="shared" si="1015"/>
        <v>0.8387757652</v>
      </c>
      <c r="AP366" s="36">
        <f t="shared" ref="AP366:AQ366" si="1022">SUM(T369)</f>
        <v>146.4624681</v>
      </c>
      <c r="AQ366" s="36">
        <f t="shared" si="1022"/>
        <v>4.882082272</v>
      </c>
      <c r="AR366" s="32">
        <f t="shared" si="1017"/>
        <v>168.7333333</v>
      </c>
    </row>
    <row r="367" ht="15.75" customHeight="1">
      <c r="A367" s="21"/>
      <c r="B367" s="38">
        <v>12.0</v>
      </c>
      <c r="C367" s="38" t="s">
        <v>39</v>
      </c>
      <c r="D367" s="39">
        <v>28.0</v>
      </c>
      <c r="E367" s="40">
        <f>IFERROR(__xludf.DUMMYFUNCTION("COUNT(IMPORTRANGE(""https://docs.google.com/spreadsheets/d/1wMeol_MpSIcocGxt3WZGl46mJ2tc80mANPvP_YzaP18/edit"",""1!d2:d29""))"),27.0)</f>
        <v>27</v>
      </c>
      <c r="F367" s="45">
        <f>IFERROR(__xludf.DUMMYFUNCTION("SUM(IMPORTRANGE(""https://docs.google.com/spreadsheets/d/1wMeol_MpSIcocGxt3WZGl46mJ2tc80mANPvP_YzaP18/edit"",""1!Q2:Q29""))"),5318.459)</f>
        <v>5318.459</v>
      </c>
      <c r="G367" s="40">
        <f>IFERROR(__xludf.DUMMYFUNCTION("IMPORTRANGE(""https://docs.google.com/spreadsheets/d/1wMeol_MpSIcocGxt3WZGl46mJ2tc80mANPvP_YzaP18/edit"",""1!e36"")"),1229.0)</f>
        <v>1229</v>
      </c>
      <c r="H367" s="40">
        <f>IFERROR(__xludf.DUMMYFUNCTION("(IMPORTRANGE(""https://docs.google.com/spreadsheets/d/1wMeol_MpSIcocGxt3WZGl46mJ2tc80mANPvP_YzaP18/edit"",""1!e37""))"),0.0)</f>
        <v>0</v>
      </c>
      <c r="I367" s="40">
        <f t="shared" si="990"/>
        <v>1229</v>
      </c>
      <c r="J367" s="40">
        <f>IFERROR(__xludf.DUMMYFUNCTION("IMPORTRANGE(""https://docs.google.com/spreadsheets/d/1wMeol_MpSIcocGxt3WZGl46mJ2tc80mANPvP_YzaP18/edit"",""1!e40"")"),1740.0)</f>
        <v>1740</v>
      </c>
      <c r="K367" s="40">
        <f>IFERROR(__xludf.DUMMYFUNCTION("IMPORTRANGE(""https://docs.google.com/spreadsheets/d/1wMeol_MpSIcocGxt3WZGl46mJ2tc80mANPvP_YzaP18/edit"",""1!e41"")"),0.0)</f>
        <v>0</v>
      </c>
      <c r="L367" s="40">
        <f t="shared" si="1020"/>
        <v>1740</v>
      </c>
      <c r="M367" s="40">
        <f t="shared" si="992"/>
        <v>2969</v>
      </c>
      <c r="N367" s="41">
        <f t="shared" si="993"/>
        <v>196.979963</v>
      </c>
      <c r="O367" s="38">
        <v>3569.0</v>
      </c>
      <c r="P367" s="42">
        <f t="shared" si="994"/>
        <v>0.8318856823</v>
      </c>
      <c r="Q367" s="43">
        <v>1.5</v>
      </c>
      <c r="R367" s="42">
        <f t="shared" si="995"/>
        <v>0.3721629392</v>
      </c>
      <c r="S367" s="44">
        <f t="shared" si="996"/>
        <v>0.5582444088</v>
      </c>
      <c r="T367" s="43">
        <f>F367/21.463</f>
        <v>247.7966268</v>
      </c>
      <c r="U367" s="43">
        <f t="shared" si="997"/>
        <v>9.177652843</v>
      </c>
      <c r="V367" s="40">
        <f t="shared" si="998"/>
        <v>109.962963</v>
      </c>
      <c r="X367" s="31">
        <v>5.0</v>
      </c>
      <c r="Y367" s="31" t="s">
        <v>40</v>
      </c>
      <c r="Z367" s="31">
        <f t="shared" ref="Z367:AI367" si="1023">SUM(D371)</f>
        <v>30</v>
      </c>
      <c r="AA367" s="32">
        <f t="shared" si="1023"/>
        <v>30</v>
      </c>
      <c r="AB367" s="33">
        <f t="shared" si="1023"/>
        <v>5660.157</v>
      </c>
      <c r="AC367" s="32">
        <f t="shared" si="1023"/>
        <v>3382</v>
      </c>
      <c r="AD367" s="32">
        <f t="shared" si="1023"/>
        <v>0</v>
      </c>
      <c r="AE367" s="32">
        <f t="shared" si="1023"/>
        <v>3382</v>
      </c>
      <c r="AF367" s="32">
        <f t="shared" si="1023"/>
        <v>3798</v>
      </c>
      <c r="AG367" s="32">
        <f t="shared" si="1023"/>
        <v>0</v>
      </c>
      <c r="AH367" s="32">
        <f t="shared" si="1023"/>
        <v>3798</v>
      </c>
      <c r="AI367" s="32">
        <f t="shared" si="1023"/>
        <v>7180</v>
      </c>
      <c r="AJ367" s="34">
        <f t="shared" si="1010"/>
        <v>188.6719</v>
      </c>
      <c r="AK367" s="31">
        <f t="shared" ref="AK367:AK368" si="1026">SUM(O371)</f>
        <v>8239</v>
      </c>
      <c r="AL367" s="35">
        <f t="shared" si="1012"/>
        <v>0.8714649836</v>
      </c>
      <c r="AM367" s="36">
        <f t="shared" ref="AM367:AM368" si="1027">SUM(Q371)</f>
        <v>1.5</v>
      </c>
      <c r="AN367" s="35">
        <f t="shared" si="1014"/>
        <v>0.8456773667</v>
      </c>
      <c r="AO367" s="37">
        <f t="shared" si="1015"/>
        <v>1.26851605</v>
      </c>
      <c r="AP367" s="36">
        <f t="shared" ref="AP367:AQ367" si="1024">SUM(T371)</f>
        <v>199</v>
      </c>
      <c r="AQ367" s="36">
        <f t="shared" si="1024"/>
        <v>6.633333333</v>
      </c>
      <c r="AR367" s="32">
        <f t="shared" si="1017"/>
        <v>239.3333333</v>
      </c>
    </row>
    <row r="368" ht="15.75" customHeight="1">
      <c r="A368" s="21"/>
      <c r="B368" s="38">
        <v>12.0</v>
      </c>
      <c r="C368" s="38" t="s">
        <v>41</v>
      </c>
      <c r="D368" s="39">
        <v>24.0</v>
      </c>
      <c r="E368" s="40">
        <f>IFERROR(__xludf.DUMMYFUNCTION("COUNT(IMPORTRANGE(""https://docs.google.com/spreadsheets/d/1sHk6_yuc4kORC_xnhEeazoemV_hVUQVqRpfoNae-PLk/edit"",""1!d2:d25""))"),24.0)</f>
        <v>24</v>
      </c>
      <c r="F368" s="45">
        <f>IFERROR(__xludf.DUMMYFUNCTION("SUM(IMPORTRANGE(""https://docs.google.com/spreadsheets/d/1sHk6_yuc4kORC_xnhEeazoemV_hVUQVqRpfoNae-PLk/edit"",""1!Q2:Q25""))"),4793.152000000001)</f>
        <v>4793.152</v>
      </c>
      <c r="G368" s="40">
        <f>IFERROR(__xludf.DUMMYFUNCTION("IMPORTRANGE(""https://docs.google.com/spreadsheets/d/1sHk6_yuc4kORC_xnhEeazoemV_hVUQVqRpfoNae-PLk/edit"",""1!e32"")"),1363.0)</f>
        <v>1363</v>
      </c>
      <c r="H368" s="40">
        <f>IFERROR(__xludf.DUMMYFUNCTION("IMPORTRANGE(""https://docs.google.com/spreadsheets/d/1sHk6_yuc4kORC_xnhEeazoemV_hVUQVqRpfoNae-PLk/edit"",""1!e33"")"),0.0)</f>
        <v>0</v>
      </c>
      <c r="I368" s="40">
        <f t="shared" si="990"/>
        <v>1363</v>
      </c>
      <c r="J368" s="40">
        <f>IFERROR(__xludf.DUMMYFUNCTION("IMPORTRANGE(""https://docs.google.com/spreadsheets/d/1sHk6_yuc4kORC_xnhEeazoemV_hVUQVqRpfoNae-PLk/edit"",""1!e36"")"),1818.0)</f>
        <v>1818</v>
      </c>
      <c r="K368" s="40">
        <f>IFERROR(__xludf.DUMMYFUNCTION("IMPORTRANGE(""https://docs.google.com/spreadsheets/d/1sHk6_yuc4kORC_xnhEeazoemV_hVUQVqRpfoNae-PLk/edit"",""1!e37"")"),0.0)</f>
        <v>0</v>
      </c>
      <c r="L368" s="40">
        <f t="shared" si="1020"/>
        <v>1818</v>
      </c>
      <c r="M368" s="40">
        <f t="shared" si="992"/>
        <v>3181</v>
      </c>
      <c r="N368" s="41">
        <f t="shared" si="993"/>
        <v>199.7146667</v>
      </c>
      <c r="O368" s="38">
        <v>3801.0</v>
      </c>
      <c r="P368" s="42">
        <f t="shared" si="994"/>
        <v>0.8368850303</v>
      </c>
      <c r="Q368" s="43">
        <v>1.5</v>
      </c>
      <c r="R368" s="42">
        <f t="shared" si="995"/>
        <v>0.4424367653</v>
      </c>
      <c r="S368" s="44">
        <f t="shared" si="996"/>
        <v>0.663655148</v>
      </c>
      <c r="T368" s="43">
        <f>F368/29.628</f>
        <v>161.7777778</v>
      </c>
      <c r="U368" s="43">
        <f t="shared" si="997"/>
        <v>6.740740741</v>
      </c>
      <c r="V368" s="40">
        <f t="shared" si="998"/>
        <v>132.5416667</v>
      </c>
      <c r="X368" s="22">
        <v>6.0</v>
      </c>
      <c r="Y368" s="22" t="s">
        <v>42</v>
      </c>
      <c r="Z368" s="22">
        <f t="shared" ref="Z368:AI368" si="1025">SUM(D372)</f>
        <v>33</v>
      </c>
      <c r="AA368" s="23">
        <f t="shared" si="1025"/>
        <v>33</v>
      </c>
      <c r="AB368" s="24">
        <f t="shared" si="1025"/>
        <v>6597.215</v>
      </c>
      <c r="AC368" s="23">
        <f t="shared" si="1025"/>
        <v>3014</v>
      </c>
      <c r="AD368" s="23">
        <f t="shared" si="1025"/>
        <v>234</v>
      </c>
      <c r="AE368" s="23">
        <f t="shared" si="1025"/>
        <v>3248</v>
      </c>
      <c r="AF368" s="23">
        <f t="shared" si="1025"/>
        <v>4605</v>
      </c>
      <c r="AG368" s="23">
        <f t="shared" si="1025"/>
        <v>108</v>
      </c>
      <c r="AH368" s="23">
        <f t="shared" si="1025"/>
        <v>4713</v>
      </c>
      <c r="AI368" s="23">
        <f t="shared" si="1025"/>
        <v>7961</v>
      </c>
      <c r="AJ368" s="25">
        <f t="shared" si="1010"/>
        <v>199.9156061</v>
      </c>
      <c r="AK368" s="22">
        <f t="shared" si="1026"/>
        <v>9877</v>
      </c>
      <c r="AL368" s="26">
        <f t="shared" si="1012"/>
        <v>0.8060139719</v>
      </c>
      <c r="AM368" s="27">
        <f t="shared" si="1027"/>
        <v>1.5</v>
      </c>
      <c r="AN368" s="26">
        <f t="shared" si="1014"/>
        <v>0.8044808807</v>
      </c>
      <c r="AO368" s="28">
        <f t="shared" si="1015"/>
        <v>1.206721321</v>
      </c>
      <c r="AP368" s="27">
        <f t="shared" ref="AP368:AQ368" si="1028">SUM(T372)</f>
        <v>252.2353279</v>
      </c>
      <c r="AQ368" s="27">
        <f t="shared" si="1028"/>
        <v>7.643494783</v>
      </c>
      <c r="AR368" s="23">
        <f t="shared" si="1017"/>
        <v>241.2424242</v>
      </c>
    </row>
    <row r="369" ht="15.75" customHeight="1">
      <c r="A369" s="21"/>
      <c r="B369" s="38">
        <v>13.0</v>
      </c>
      <c r="C369" s="38" t="s">
        <v>43</v>
      </c>
      <c r="D369" s="39">
        <v>30.0</v>
      </c>
      <c r="E369" s="40">
        <f>IFERROR(__xludf.DUMMYFUNCTION("COUNT(IMPORTRANGE(""https://docs.google.com/spreadsheets/d/1uGXvAN2jA6kmcEHUY4KqOHHewllZsujDdA6KVDfBCoA/edit"",""1!d2:d31""))"),30.0)</f>
        <v>30</v>
      </c>
      <c r="F369" s="45">
        <f>IFERROR(__xludf.DUMMYFUNCTION("SUM(IMPORTRANGE(""https://docs.google.com/spreadsheets/d/1uGXvAN2jA6kmcEHUY4KqOHHewllZsujDdA6KVDfBCoA/edit"",""1!Q2:Q31""))"),6034.986)</f>
        <v>6034.986</v>
      </c>
      <c r="G369" s="40">
        <f>IFERROR(__xludf.DUMMYFUNCTION("IMPORTRANGE(""https://docs.google.com/spreadsheets/d/1uGXvAN2jA6kmcEHUY4KqOHHewllZsujDdA6KVDfBCoA/edit"",""1!e38"")"),1876.0)</f>
        <v>1876</v>
      </c>
      <c r="H369" s="40">
        <f>IFERROR(__xludf.DUMMYFUNCTION("IMPORTRANGE(""https://docs.google.com/spreadsheets/d/1uGXvAN2jA6kmcEHUY4KqOHHewllZsujDdA6KVDfBCoA/edit"",""1!e39"")"),79.0)</f>
        <v>79</v>
      </c>
      <c r="I369" s="40">
        <f t="shared" si="990"/>
        <v>1955</v>
      </c>
      <c r="J369" s="40">
        <f>IFERROR(__xludf.DUMMYFUNCTION("IMPORTRANGE(""https://docs.google.com/spreadsheets/d/1uGXvAN2jA6kmcEHUY4KqOHHewllZsujDdA6KVDfBCoA/edit"",""1!e42"")"),2967.0)</f>
        <v>2967</v>
      </c>
      <c r="K369" s="40">
        <f>IFERROR(__xludf.DUMMYFUNCTION("IMPORTRANGE(""https://docs.google.com/spreadsheets/d/1uGXvAN2jA6kmcEHUY4KqOHHewllZsujDdA6KVDfBCoA/edit"",""1!e43"")"),140.0)</f>
        <v>140</v>
      </c>
      <c r="L369" s="40">
        <f t="shared" si="1020"/>
        <v>3107</v>
      </c>
      <c r="M369" s="40">
        <f t="shared" si="992"/>
        <v>5062</v>
      </c>
      <c r="N369" s="41">
        <f t="shared" si="993"/>
        <v>201.1662</v>
      </c>
      <c r="O369" s="38">
        <v>8345.0</v>
      </c>
      <c r="P369" s="42">
        <f t="shared" si="994"/>
        <v>0.6065907729</v>
      </c>
      <c r="Q369" s="43">
        <v>1.5</v>
      </c>
      <c r="R369" s="42">
        <f t="shared" si="995"/>
        <v>0.5591838435</v>
      </c>
      <c r="S369" s="44">
        <f t="shared" si="996"/>
        <v>0.8387757652</v>
      </c>
      <c r="T369" s="43">
        <f>F369/41.205</f>
        <v>146.4624681</v>
      </c>
      <c r="U369" s="43">
        <f t="shared" si="997"/>
        <v>4.882082272</v>
      </c>
      <c r="V369" s="40">
        <f t="shared" si="998"/>
        <v>168.7333333</v>
      </c>
      <c r="X369" s="46" t="s">
        <v>33</v>
      </c>
      <c r="Y369" s="46">
        <v>6.0</v>
      </c>
      <c r="Z369" s="46">
        <f t="shared" ref="Z369:AI369" si="1029">SUM(Z363:Z368)</f>
        <v>226</v>
      </c>
      <c r="AA369" s="47">
        <f t="shared" si="1029"/>
        <v>224</v>
      </c>
      <c r="AB369" s="49">
        <f t="shared" si="1029"/>
        <v>44273.509</v>
      </c>
      <c r="AC369" s="47">
        <f t="shared" si="1029"/>
        <v>17564</v>
      </c>
      <c r="AD369" s="47">
        <f t="shared" si="1029"/>
        <v>535</v>
      </c>
      <c r="AE369" s="47">
        <f t="shared" si="1029"/>
        <v>18099</v>
      </c>
      <c r="AF369" s="47">
        <f t="shared" si="1029"/>
        <v>24048</v>
      </c>
      <c r="AG369" s="47">
        <f t="shared" si="1029"/>
        <v>386</v>
      </c>
      <c r="AH369" s="47">
        <f t="shared" si="1029"/>
        <v>24434</v>
      </c>
      <c r="AI369" s="47">
        <f t="shared" si="1029"/>
        <v>42533</v>
      </c>
      <c r="AJ369" s="49">
        <f t="shared" si="1010"/>
        <v>197.6495938</v>
      </c>
      <c r="AK369" s="46">
        <f>SUM(AK363:AK368)</f>
        <v>53273</v>
      </c>
      <c r="AL369" s="50">
        <f t="shared" si="1012"/>
        <v>0.7983969365</v>
      </c>
      <c r="AM369" s="51">
        <v>1.5</v>
      </c>
      <c r="AN369" s="50">
        <f t="shared" si="1014"/>
        <v>0.6404582328</v>
      </c>
      <c r="AO369" s="52">
        <f t="shared" si="1015"/>
        <v>0.9606873492</v>
      </c>
      <c r="AP369" s="51">
        <f>SUM(AP363:AP368)</f>
        <v>1456.754836</v>
      </c>
      <c r="AQ369" s="51">
        <f>AP369/AA369</f>
        <v>6.503369804</v>
      </c>
      <c r="AR369" s="47">
        <f t="shared" si="1017"/>
        <v>189.8794643</v>
      </c>
    </row>
    <row r="370" ht="15.75" customHeight="1">
      <c r="A370" s="21"/>
      <c r="B370" s="38">
        <v>14.0</v>
      </c>
      <c r="C370" s="38" t="s">
        <v>27</v>
      </c>
      <c r="D370" s="39">
        <v>30.0</v>
      </c>
      <c r="E370" s="40">
        <f>IFERROR(__xludf.DUMMYFUNCTION("COUNT(IMPORTRANGE(""https://docs.google.com/spreadsheets/d/1iYtf3wkjJIgOL8ej0-L89wY8FLXKi6EiRbi9UqA1Bzw/edit"",""1!d2:d31""))"),29.0)</f>
        <v>29</v>
      </c>
      <c r="F370" s="45">
        <f>IFERROR(__xludf.DUMMYFUNCTION("SUM(IMPORTRANGE(""https://docs.google.com/spreadsheets/d/1iYtf3wkjJIgOL8ej0-L89wY8FLXKi6EiRbi9UqA1Bzw/edit"",""1!Q2:Q31""))"),5631.663000000001)</f>
        <v>5631.663</v>
      </c>
      <c r="G370" s="40">
        <f>IFERROR(__xludf.DUMMYFUNCTION("IMPORTRANGE(""https://docs.google.com/spreadsheets/d/1iYtf3wkjJIgOL8ej0-L89wY8FLXKi6EiRbi9UqA1Bzw/edit"",""1!e38"")"),2486.0)</f>
        <v>2486</v>
      </c>
      <c r="H370" s="40">
        <f>IFERROR(__xludf.DUMMYFUNCTION("IMPORTRANGE(""https://docs.google.com/spreadsheets/d/1iYtf3wkjJIgOL8ej0-L89wY8FLXKi6EiRbi9UqA1Bzw/edit"",""1!e39"")"),80.0)</f>
        <v>80</v>
      </c>
      <c r="I370" s="40">
        <f t="shared" si="990"/>
        <v>2566</v>
      </c>
      <c r="J370" s="40">
        <f>IFERROR(__xludf.DUMMYFUNCTION("IMPORTRANGE(""https://docs.google.com/spreadsheets/d/1iYtf3wkjJIgOL8ej0-L89wY8FLXKi6EiRbi9UqA1Bzw/edit"",""1!e42"")"),2945.0)</f>
        <v>2945</v>
      </c>
      <c r="K370" s="40">
        <f>IFERROR(__xludf.DUMMYFUNCTION("IMPORTRANGE(""https://docs.google.com/spreadsheets/d/1iYtf3wkjJIgOL8ej0-L89wY8FLXKi6EiRbi9UqA1Bzw/edit"",""1!e43"")"),88.0)</f>
        <v>88</v>
      </c>
      <c r="L370" s="40">
        <f t="shared" si="1020"/>
        <v>3033</v>
      </c>
      <c r="M370" s="40">
        <f t="shared" si="992"/>
        <v>5599</v>
      </c>
      <c r="N370" s="41">
        <f t="shared" si="993"/>
        <v>194.1952759</v>
      </c>
      <c r="O370" s="38">
        <v>8101.0</v>
      </c>
      <c r="P370" s="42">
        <f t="shared" si="994"/>
        <v>0.6911492408</v>
      </c>
      <c r="Q370" s="43">
        <v>1.5</v>
      </c>
      <c r="R370" s="42">
        <f t="shared" si="995"/>
        <v>0.6628000764</v>
      </c>
      <c r="S370" s="44">
        <f t="shared" si="996"/>
        <v>0.9942001146</v>
      </c>
      <c r="T370" s="43">
        <f>F370/19.985</f>
        <v>281.7944959</v>
      </c>
      <c r="U370" s="43">
        <f t="shared" si="997"/>
        <v>9.717051582</v>
      </c>
      <c r="V370" s="40">
        <f t="shared" si="998"/>
        <v>193.0689655</v>
      </c>
      <c r="X370" s="59" t="s">
        <v>44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6"/>
    </row>
    <row r="371" ht="15.75" customHeight="1">
      <c r="A371" s="21"/>
      <c r="B371" s="38">
        <v>15.0</v>
      </c>
      <c r="C371" s="38" t="s">
        <v>40</v>
      </c>
      <c r="D371" s="39">
        <v>30.0</v>
      </c>
      <c r="E371" s="40">
        <f>IFERROR(__xludf.DUMMYFUNCTION("COUNT(IMPORTRANGE(""https://docs.google.com/spreadsheets/d/1Wdf8MsoDBzMSsrzOXwaGQzbVjVqOWfKSqYmbncevZgA/edit"",""1!d2:d31""))"),30.0)</f>
        <v>30</v>
      </c>
      <c r="F371" s="45">
        <f>IFERROR(__xludf.DUMMYFUNCTION("SUM(IMPORTRANGE(""https://docs.google.com/spreadsheets/d/1Wdf8MsoDBzMSsrzOXwaGQzbVjVqOWfKSqYmbncevZgA/edit"",""1!Q2:Q31""))"),5660.156999999998)</f>
        <v>5660.157</v>
      </c>
      <c r="G371" s="40">
        <f>IFERROR(__xludf.DUMMYFUNCTION("IMPORTRANGE(""https://docs.google.com/spreadsheets/d/1Wdf8MsoDBzMSsrzOXwaGQzbVjVqOWfKSqYmbncevZgA/edit"",""1!e38"")"),3382.0)</f>
        <v>3382</v>
      </c>
      <c r="H371" s="40">
        <f>IFERROR(__xludf.DUMMYFUNCTION("IMPORTRANGE(""https://docs.google.com/spreadsheets/d/1Wdf8MsoDBzMSsrzOXwaGQzbVjVqOWfKSqYmbncevZgA/edit"",""1!e39"")"),0.0)</f>
        <v>0</v>
      </c>
      <c r="I371" s="40">
        <f t="shared" si="990"/>
        <v>3382</v>
      </c>
      <c r="J371" s="40">
        <f>IFERROR(__xludf.DUMMYFUNCTION("IMPORTRANGE(""https://docs.google.com/spreadsheets/d/1Wdf8MsoDBzMSsrzOXwaGQzbVjVqOWfKSqYmbncevZgA/edit"",""1!e42"")"),3798.0)</f>
        <v>3798</v>
      </c>
      <c r="K371" s="40">
        <f>IFERROR(__xludf.DUMMYFUNCTION("IMPORTRANGE(""https://docs.google.com/spreadsheets/d/1Wdf8MsoDBzMSsrzOXwaGQzbVjVqOWfKSqYmbncevZgA/edit"",""1!e43"")"),0.0)</f>
        <v>0</v>
      </c>
      <c r="L371" s="40">
        <f t="shared" si="1020"/>
        <v>3798</v>
      </c>
      <c r="M371" s="40">
        <f t="shared" si="992"/>
        <v>7180</v>
      </c>
      <c r="N371" s="41">
        <f t="shared" si="993"/>
        <v>188.6719</v>
      </c>
      <c r="O371" s="38">
        <v>8239.0</v>
      </c>
      <c r="P371" s="42">
        <f t="shared" si="994"/>
        <v>0.8714649836</v>
      </c>
      <c r="Q371" s="43">
        <v>1.5</v>
      </c>
      <c r="R371" s="42">
        <f t="shared" si="995"/>
        <v>0.8456773667</v>
      </c>
      <c r="S371" s="44">
        <f t="shared" si="996"/>
        <v>1.26851605</v>
      </c>
      <c r="T371" s="43">
        <f>F371/28.443</f>
        <v>199</v>
      </c>
      <c r="U371" s="43">
        <f t="shared" si="997"/>
        <v>6.633333333</v>
      </c>
      <c r="V371" s="40">
        <f t="shared" si="998"/>
        <v>239.3333333</v>
      </c>
      <c r="X371" s="14" t="s">
        <v>2</v>
      </c>
      <c r="Y371" s="14" t="s">
        <v>3</v>
      </c>
      <c r="Z371" s="14" t="s">
        <v>4</v>
      </c>
      <c r="AA371" s="14" t="s">
        <v>5</v>
      </c>
      <c r="AB371" s="15" t="s">
        <v>6</v>
      </c>
      <c r="AC371" s="14" t="s">
        <v>7</v>
      </c>
      <c r="AD371" s="14" t="s">
        <v>8</v>
      </c>
      <c r="AE371" s="14" t="s">
        <v>9</v>
      </c>
      <c r="AF371" s="14" t="s">
        <v>10</v>
      </c>
      <c r="AG371" s="14" t="s">
        <v>11</v>
      </c>
      <c r="AH371" s="14" t="s">
        <v>12</v>
      </c>
      <c r="AI371" s="14" t="s">
        <v>13</v>
      </c>
      <c r="AJ371" s="15" t="s">
        <v>14</v>
      </c>
      <c r="AK371" s="14" t="s">
        <v>15</v>
      </c>
      <c r="AL371" s="14" t="s">
        <v>16</v>
      </c>
      <c r="AM371" s="16" t="s">
        <v>17</v>
      </c>
      <c r="AN371" s="17" t="s">
        <v>18</v>
      </c>
      <c r="AO371" s="18" t="s">
        <v>19</v>
      </c>
      <c r="AP371" s="19" t="s">
        <v>20</v>
      </c>
      <c r="AQ371" s="19" t="s">
        <v>21</v>
      </c>
      <c r="AR371" s="20" t="s">
        <v>22</v>
      </c>
    </row>
    <row r="372" ht="15.75" customHeight="1">
      <c r="A372" s="21"/>
      <c r="B372" s="38">
        <v>16.0</v>
      </c>
      <c r="C372" s="38" t="s">
        <v>42</v>
      </c>
      <c r="D372" s="39">
        <v>33.0</v>
      </c>
      <c r="E372" s="40">
        <f>IFERROR(__xludf.DUMMYFUNCTION("COUNT(IMPORTRANGE(""https://docs.google.com/spreadsheets/d/1Z5uB5HbeAKcHmG4EOw3rf2J8NpyvDiha6RReERAMvA0/edit"",""1!d2:d34""))"),33.0)</f>
        <v>33</v>
      </c>
      <c r="F372" s="45">
        <f>IFERROR(__xludf.DUMMYFUNCTION("SUM(IMPORTRANGE(""https://docs.google.com/spreadsheets/d/1Z5uB5HbeAKcHmG4EOw3rf2J8NpyvDiha6RReERAMvA0/edit"",""1!Q2:Q34""))"),6597.214999999997)</f>
        <v>6597.215</v>
      </c>
      <c r="G372" s="40">
        <f>IFERROR(__xludf.DUMMYFUNCTION("IMPORTRANGE(""https://docs.google.com/spreadsheets/d/1Z5uB5HbeAKcHmG4EOw3rf2J8NpyvDiha6RReERAMvA0/edit"",""1!e41"")"),3014.0)</f>
        <v>3014</v>
      </c>
      <c r="H372" s="40">
        <f>IFERROR(__xludf.DUMMYFUNCTION("IMPORTRANGE(""https://docs.google.com/spreadsheets/d/1Z5uB5HbeAKcHmG4EOw3rf2J8NpyvDiha6RReERAMvA0/edit"",""1!e42"")"),234.0)</f>
        <v>234</v>
      </c>
      <c r="I372" s="40">
        <f t="shared" si="990"/>
        <v>3248</v>
      </c>
      <c r="J372" s="40">
        <f>IFERROR(__xludf.DUMMYFUNCTION("IMPORTRANGE(""https://docs.google.com/spreadsheets/d/1Z5uB5HbeAKcHmG4EOw3rf2J8NpyvDiha6RReERAMvA0/edit"",""1!e45"")"),4605.0)</f>
        <v>4605</v>
      </c>
      <c r="K372" s="40">
        <f>IFERROR(__xludf.DUMMYFUNCTION("IMPORTRANGE(""https://docs.google.com/spreadsheets/d/1Z5uB5HbeAKcHmG4EOw3rf2J8NpyvDiha6RReERAMvA0/edit"",""1!e46"")"),108.0)</f>
        <v>108</v>
      </c>
      <c r="L372" s="40">
        <f t="shared" si="1020"/>
        <v>4713</v>
      </c>
      <c r="M372" s="40">
        <f t="shared" si="992"/>
        <v>7961</v>
      </c>
      <c r="N372" s="41">
        <f t="shared" si="993"/>
        <v>199.9156061</v>
      </c>
      <c r="O372" s="38">
        <v>9877.0</v>
      </c>
      <c r="P372" s="42">
        <f t="shared" si="994"/>
        <v>0.8060139719</v>
      </c>
      <c r="Q372" s="43">
        <v>1.5</v>
      </c>
      <c r="R372" s="42">
        <f t="shared" si="995"/>
        <v>0.8044808807</v>
      </c>
      <c r="S372" s="44">
        <f t="shared" si="996"/>
        <v>1.206721321</v>
      </c>
      <c r="T372" s="43">
        <f>F372/26.155</f>
        <v>252.2353279</v>
      </c>
      <c r="U372" s="43">
        <f t="shared" si="997"/>
        <v>7.643494783</v>
      </c>
      <c r="V372" s="40">
        <f t="shared" si="998"/>
        <v>241.2424242</v>
      </c>
      <c r="X372" s="31">
        <v>1.0</v>
      </c>
      <c r="Y372" s="31" t="s">
        <v>26</v>
      </c>
      <c r="Z372" s="31">
        <f t="shared" ref="Z372:AI372" si="1030">SUM(D357)</f>
        <v>20</v>
      </c>
      <c r="AA372" s="32">
        <f t="shared" si="1030"/>
        <v>20</v>
      </c>
      <c r="AB372" s="34">
        <f t="shared" si="1030"/>
        <v>3935.295</v>
      </c>
      <c r="AC372" s="32">
        <f t="shared" si="1030"/>
        <v>2229</v>
      </c>
      <c r="AD372" s="32">
        <f t="shared" si="1030"/>
        <v>0</v>
      </c>
      <c r="AE372" s="32">
        <f t="shared" si="1030"/>
        <v>2229</v>
      </c>
      <c r="AF372" s="32">
        <f t="shared" si="1030"/>
        <v>2661</v>
      </c>
      <c r="AG372" s="32">
        <f t="shared" si="1030"/>
        <v>47</v>
      </c>
      <c r="AH372" s="32">
        <f t="shared" si="1030"/>
        <v>2708</v>
      </c>
      <c r="AI372" s="32">
        <f t="shared" si="1030"/>
        <v>4937</v>
      </c>
      <c r="AJ372" s="34">
        <f t="shared" ref="AJ372:AJ378" si="1033">AB372/AA372</f>
        <v>196.76475</v>
      </c>
      <c r="AK372" s="31">
        <f>SUM(O357)</f>
        <v>5161</v>
      </c>
      <c r="AL372" s="35">
        <f t="shared" ref="AL372:AL378" si="1034">AI372/AK372</f>
        <v>0.9565975586</v>
      </c>
      <c r="AM372" s="36">
        <f>SUM(Q357)</f>
        <v>1.5</v>
      </c>
      <c r="AN372" s="35">
        <f t="shared" ref="AN372:AN378" si="1035">AO372/AM372</f>
        <v>0.8363625429</v>
      </c>
      <c r="AO372" s="37">
        <f t="shared" ref="AO372:AO378" si="1036">AI372/AB372</f>
        <v>1.254543814</v>
      </c>
      <c r="AP372" s="36">
        <f t="shared" ref="AP372:AQ372" si="1031">SUM(T357)</f>
        <v>273</v>
      </c>
      <c r="AQ372" s="36">
        <f t="shared" si="1031"/>
        <v>13.65</v>
      </c>
      <c r="AR372" s="32">
        <f t="shared" ref="AR372:AR378" si="1038">AI372/AA372</f>
        <v>246.85</v>
      </c>
    </row>
    <row r="373" ht="15.75" customHeight="1">
      <c r="A373" s="21"/>
      <c r="B373" s="38">
        <v>17.0</v>
      </c>
      <c r="C373" s="38" t="s">
        <v>29</v>
      </c>
      <c r="D373" s="39">
        <v>30.0</v>
      </c>
      <c r="E373" s="40">
        <f>IFERROR(__xludf.DUMMYFUNCTION("COUNT(IMPORTRANGE(""https://docs.google.com/spreadsheets/d/1wfJqI0e9wVPqEQv3N6b8KgINjqI0OBECEyIFeY9j3i8/edit"",""1!d2:d31""))"),29.0)</f>
        <v>29</v>
      </c>
      <c r="F373" s="45">
        <f>IFERROR(__xludf.DUMMYFUNCTION("SUM(IMPORTRANGE(""https://docs.google.com/spreadsheets/d/1wfJqI0e9wVPqEQv3N6b8KgINjqI0OBECEyIFeY9j3i8/edit"",""1!Q2:Q31""))"),5722.055999999998)</f>
        <v>5722.056</v>
      </c>
      <c r="G373" s="40">
        <f>IFERROR(__xludf.DUMMYFUNCTION("IMPORTRANGE(""https://docs.google.com/spreadsheets/d/1wfJqI0e9wVPqEQv3N6b8KgINjqI0OBECEyIFeY9j3i8/edit"",""1!e38"")"),2610.0)</f>
        <v>2610</v>
      </c>
      <c r="H373" s="40">
        <f>IFERROR(__xludf.DUMMYFUNCTION("IMPORTRANGE(""https://docs.google.com/spreadsheets/d/1wfJqI0e9wVPqEQv3N6b8KgINjqI0OBECEyIFeY9j3i8/edit"",""1!e39"")"),0.0)</f>
        <v>0</v>
      </c>
      <c r="I373" s="40">
        <f t="shared" si="990"/>
        <v>2610</v>
      </c>
      <c r="J373" s="40">
        <f>IFERROR(__xludf.DUMMYFUNCTION("IMPORTRANGE(""https://docs.google.com/spreadsheets/d/1wfJqI0e9wVPqEQv3N6b8KgINjqI0OBECEyIFeY9j3i8/edit"",""1!e42"")"),4378.0)</f>
        <v>4378</v>
      </c>
      <c r="K373" s="40">
        <f>IFERROR(__xludf.DUMMYFUNCTION("IMPORTRANGE(""https://docs.google.com/spreadsheets/d/1wfJqI0e9wVPqEQv3N6b8KgINjqI0OBECEyIFeY9j3i8/edit"",""1!e43"")"),0.0)</f>
        <v>0</v>
      </c>
      <c r="L373" s="40">
        <f t="shared" si="1020"/>
        <v>4378</v>
      </c>
      <c r="M373" s="40">
        <f t="shared" si="992"/>
        <v>6988</v>
      </c>
      <c r="N373" s="41">
        <f t="shared" si="993"/>
        <v>197.3122759</v>
      </c>
      <c r="O373" s="38">
        <v>9201.0</v>
      </c>
      <c r="P373" s="42">
        <f t="shared" si="994"/>
        <v>0.7594826649</v>
      </c>
      <c r="Q373" s="43">
        <v>1.5</v>
      </c>
      <c r="R373" s="42">
        <f t="shared" si="995"/>
        <v>0.8141595725</v>
      </c>
      <c r="S373" s="44">
        <f t="shared" si="996"/>
        <v>1.221239359</v>
      </c>
      <c r="T373" s="43">
        <f>F373/26.491</f>
        <v>216</v>
      </c>
      <c r="U373" s="43">
        <f t="shared" si="997"/>
        <v>7.448275862</v>
      </c>
      <c r="V373" s="40">
        <f t="shared" si="998"/>
        <v>240.9655172</v>
      </c>
      <c r="X373" s="31">
        <v>2.0</v>
      </c>
      <c r="Y373" s="31" t="s">
        <v>32</v>
      </c>
      <c r="Z373" s="31">
        <f t="shared" ref="Z373:AI373" si="1032">SUM(D360)</f>
        <v>42</v>
      </c>
      <c r="AA373" s="32">
        <f t="shared" si="1032"/>
        <v>42</v>
      </c>
      <c r="AB373" s="33">
        <f t="shared" si="1032"/>
        <v>8240.662</v>
      </c>
      <c r="AC373" s="31">
        <f t="shared" si="1032"/>
        <v>4515</v>
      </c>
      <c r="AD373" s="31">
        <f t="shared" si="1032"/>
        <v>0</v>
      </c>
      <c r="AE373" s="32">
        <f t="shared" si="1032"/>
        <v>4515</v>
      </c>
      <c r="AF373" s="31">
        <f t="shared" si="1032"/>
        <v>5726</v>
      </c>
      <c r="AG373" s="31">
        <f t="shared" si="1032"/>
        <v>0</v>
      </c>
      <c r="AH373" s="32">
        <f t="shared" si="1032"/>
        <v>5726</v>
      </c>
      <c r="AI373" s="32">
        <f t="shared" si="1032"/>
        <v>10241</v>
      </c>
      <c r="AJ373" s="34">
        <f t="shared" si="1033"/>
        <v>196.2062381</v>
      </c>
      <c r="AK373" s="31">
        <f>SUM(O360)</f>
        <v>13817</v>
      </c>
      <c r="AL373" s="35">
        <f t="shared" si="1034"/>
        <v>0.7411883911</v>
      </c>
      <c r="AM373" s="36">
        <f>SUM(Q360)</f>
        <v>1.5</v>
      </c>
      <c r="AN373" s="35">
        <f t="shared" si="1035"/>
        <v>0.8284933096</v>
      </c>
      <c r="AO373" s="37">
        <f t="shared" si="1036"/>
        <v>1.242739964</v>
      </c>
      <c r="AP373" s="36">
        <f t="shared" ref="AP373:AQ373" si="1037">SUM(T360)</f>
        <v>328.4571725</v>
      </c>
      <c r="AQ373" s="36">
        <f t="shared" si="1037"/>
        <v>7.820408868</v>
      </c>
      <c r="AR373" s="32">
        <f t="shared" si="1038"/>
        <v>243.8333333</v>
      </c>
    </row>
    <row r="374" ht="15.75" customHeight="1">
      <c r="A374" s="21"/>
      <c r="B374" s="38">
        <v>18.0</v>
      </c>
      <c r="C374" s="38" t="s">
        <v>31</v>
      </c>
      <c r="D374" s="39">
        <v>15.0</v>
      </c>
      <c r="E374" s="40">
        <f>IFERROR(__xludf.DUMMYFUNCTION("COUNT(IMPORTRANGE(""https://docs.google.com/spreadsheets/d/1-y2KhTAo7d8kowgUuWUDfRQuRMUAFteRYEXorT3_wOs/edit"",""1!d2:d16""))"),14.0)</f>
        <v>14</v>
      </c>
      <c r="F374" s="41">
        <f>IFERROR(__xludf.DUMMYFUNCTION("SUM(IMPORTRANGE(""https://docs.google.com/spreadsheets/d/1-y2KhTAo7d8kowgUuWUDfRQuRMUAFteRYEXorT3_wOs/edit"",""1!Q2:Q16""))"),2520.9699999999993)</f>
        <v>2520.97</v>
      </c>
      <c r="G374" s="40">
        <f>IFERROR(__xludf.DUMMYFUNCTION("IMPORTRANGE(""https://docs.google.com/spreadsheets/d/1-y2KhTAo7d8kowgUuWUDfRQuRMUAFteRYEXorT3_wOs/edit"",""1!e23"")"),633.0)</f>
        <v>633</v>
      </c>
      <c r="H374" s="40">
        <f>IFERROR(__xludf.DUMMYFUNCTION("IMPORTRANGE(""https://docs.google.com/spreadsheets/d/1-y2KhTAo7d8kowgUuWUDfRQuRMUAFteRYEXorT3_wOs/edit"",""1!e24"")"),0.0)</f>
        <v>0</v>
      </c>
      <c r="I374" s="40">
        <f t="shared" si="990"/>
        <v>633</v>
      </c>
      <c r="J374" s="40">
        <f>IFERROR(__xludf.DUMMYFUNCTION("IMPORTRANGE(""https://docs.google.com/spreadsheets/d/1-y2KhTAo7d8kowgUuWUDfRQuRMUAFteRYEXorT3_wOs/edit"",""1!e27"")"),1148.0)</f>
        <v>1148</v>
      </c>
      <c r="K374" s="40">
        <f>IFERROR(__xludf.DUMMYFUNCTION("IMPORTRANGE(""https://docs.google.com/spreadsheets/d/1-y2KhTAo7d8kowgUuWUDfRQuRMUAFteRYEXorT3_wOs/edit"",""1!e28"")"),15.0)</f>
        <v>15</v>
      </c>
      <c r="L374" s="40">
        <f t="shared" si="1020"/>
        <v>1163</v>
      </c>
      <c r="M374" s="40">
        <f t="shared" si="992"/>
        <v>1796</v>
      </c>
      <c r="N374" s="41">
        <f t="shared" si="993"/>
        <v>180.0692857</v>
      </c>
      <c r="O374" s="38">
        <v>2717.0</v>
      </c>
      <c r="P374" s="42">
        <f t="shared" si="994"/>
        <v>0.6610231873</v>
      </c>
      <c r="Q374" s="43">
        <v>1.5</v>
      </c>
      <c r="R374" s="42">
        <f t="shared" si="995"/>
        <v>0.4749494573</v>
      </c>
      <c r="S374" s="44">
        <f t="shared" si="996"/>
        <v>0.7124241859</v>
      </c>
      <c r="T374" s="43">
        <f>F374/43.465</f>
        <v>58</v>
      </c>
      <c r="U374" s="43">
        <f t="shared" si="997"/>
        <v>4.142857143</v>
      </c>
      <c r="V374" s="40">
        <f t="shared" si="998"/>
        <v>128.2857143</v>
      </c>
      <c r="X374" s="31">
        <v>3.0</v>
      </c>
      <c r="Y374" s="31" t="s">
        <v>36</v>
      </c>
      <c r="Z374" s="31">
        <f t="shared" ref="Z374:AI374" si="1039">SUM(D365)</f>
        <v>30</v>
      </c>
      <c r="AA374" s="32">
        <f t="shared" si="1039"/>
        <v>29</v>
      </c>
      <c r="AB374" s="33">
        <f t="shared" si="1039"/>
        <v>4875.345</v>
      </c>
      <c r="AC374" s="32">
        <f t="shared" si="1039"/>
        <v>1728</v>
      </c>
      <c r="AD374" s="32">
        <f t="shared" si="1039"/>
        <v>0</v>
      </c>
      <c r="AE374" s="32">
        <f t="shared" si="1039"/>
        <v>1728</v>
      </c>
      <c r="AF374" s="32">
        <f t="shared" si="1039"/>
        <v>2407</v>
      </c>
      <c r="AG374" s="32">
        <f t="shared" si="1039"/>
        <v>20</v>
      </c>
      <c r="AH374" s="32">
        <f t="shared" si="1039"/>
        <v>2427</v>
      </c>
      <c r="AI374" s="32">
        <f t="shared" si="1039"/>
        <v>4155</v>
      </c>
      <c r="AJ374" s="34">
        <f t="shared" si="1033"/>
        <v>168.1153448</v>
      </c>
      <c r="AK374" s="31">
        <f t="shared" ref="AK374:AK377" si="1043">SUM(O365)</f>
        <v>4796</v>
      </c>
      <c r="AL374" s="35">
        <f t="shared" si="1034"/>
        <v>0.8663469558</v>
      </c>
      <c r="AM374" s="36">
        <f t="shared" ref="AM374:AM377" si="1044">SUM(Q365)</f>
        <v>1.5</v>
      </c>
      <c r="AN374" s="35">
        <f t="shared" si="1035"/>
        <v>0.5681649196</v>
      </c>
      <c r="AO374" s="37">
        <f t="shared" si="1036"/>
        <v>0.8522473794</v>
      </c>
      <c r="AP374" s="36">
        <f t="shared" ref="AP374:AQ374" si="1040">SUM(T365)</f>
        <v>130.3080398</v>
      </c>
      <c r="AQ374" s="36">
        <f t="shared" si="1040"/>
        <v>4.493380682</v>
      </c>
      <c r="AR374" s="32">
        <f t="shared" si="1038"/>
        <v>143.2758621</v>
      </c>
    </row>
    <row r="375" ht="15.75" customHeight="1">
      <c r="A375" s="21"/>
      <c r="B375" s="60" t="s">
        <v>33</v>
      </c>
      <c r="C375" s="60">
        <v>18.0</v>
      </c>
      <c r="D375" s="60">
        <f t="shared" ref="D375:M375" si="1041">SUM(D357:D374)</f>
        <v>586</v>
      </c>
      <c r="E375" s="61">
        <f t="shared" si="1041"/>
        <v>576</v>
      </c>
      <c r="F375" s="62">
        <f t="shared" si="1041"/>
        <v>111449.623</v>
      </c>
      <c r="G375" s="61">
        <f t="shared" si="1041"/>
        <v>41757</v>
      </c>
      <c r="H375" s="61">
        <f t="shared" si="1041"/>
        <v>946</v>
      </c>
      <c r="I375" s="61">
        <f t="shared" si="1041"/>
        <v>42703</v>
      </c>
      <c r="J375" s="61">
        <f t="shared" si="1041"/>
        <v>57855</v>
      </c>
      <c r="K375" s="61">
        <f t="shared" si="1041"/>
        <v>875</v>
      </c>
      <c r="L375" s="61">
        <f t="shared" si="1041"/>
        <v>58730</v>
      </c>
      <c r="M375" s="61">
        <f t="shared" si="1041"/>
        <v>101433</v>
      </c>
      <c r="N375" s="62">
        <f t="shared" si="993"/>
        <v>193.4889288</v>
      </c>
      <c r="O375" s="60">
        <f>SUM(O357:O374)</f>
        <v>126399</v>
      </c>
      <c r="P375" s="63">
        <f t="shared" si="994"/>
        <v>0.8024826146</v>
      </c>
      <c r="Q375" s="64">
        <v>1.5</v>
      </c>
      <c r="R375" s="63">
        <f t="shared" si="995"/>
        <v>0.6067494728</v>
      </c>
      <c r="S375" s="65">
        <f t="shared" si="996"/>
        <v>0.9101242092</v>
      </c>
      <c r="T375" s="64">
        <f>SUM(T357:T374)</f>
        <v>4122.022266</v>
      </c>
      <c r="U375" s="64">
        <f t="shared" si="997"/>
        <v>7.156288656</v>
      </c>
      <c r="V375" s="61">
        <f t="shared" si="998"/>
        <v>176.0989583</v>
      </c>
      <c r="X375" s="31">
        <v>4.0</v>
      </c>
      <c r="Y375" s="31" t="s">
        <v>37</v>
      </c>
      <c r="Z375" s="31">
        <f t="shared" ref="Z375:AI375" si="1042">SUM(D366)</f>
        <v>30</v>
      </c>
      <c r="AA375" s="32">
        <f t="shared" si="1042"/>
        <v>28</v>
      </c>
      <c r="AB375" s="33">
        <f t="shared" si="1042"/>
        <v>5465.1</v>
      </c>
      <c r="AC375" s="32">
        <f t="shared" si="1042"/>
        <v>2135</v>
      </c>
      <c r="AD375" s="32">
        <f t="shared" si="1042"/>
        <v>0</v>
      </c>
      <c r="AE375" s="32">
        <f t="shared" si="1042"/>
        <v>2135</v>
      </c>
      <c r="AF375" s="32">
        <f t="shared" si="1042"/>
        <v>3182</v>
      </c>
      <c r="AG375" s="32">
        <f t="shared" si="1042"/>
        <v>0</v>
      </c>
      <c r="AH375" s="32">
        <f t="shared" si="1042"/>
        <v>3182</v>
      </c>
      <c r="AI375" s="32">
        <f t="shared" si="1042"/>
        <v>5317</v>
      </c>
      <c r="AJ375" s="34">
        <f t="shared" si="1033"/>
        <v>195.1821429</v>
      </c>
      <c r="AK375" s="31">
        <f t="shared" si="1043"/>
        <v>5887</v>
      </c>
      <c r="AL375" s="35">
        <f t="shared" si="1034"/>
        <v>0.9031764906</v>
      </c>
      <c r="AM375" s="36">
        <f t="shared" si="1044"/>
        <v>1.5</v>
      </c>
      <c r="AN375" s="35">
        <f t="shared" si="1035"/>
        <v>0.6486005136</v>
      </c>
      <c r="AO375" s="37">
        <f t="shared" si="1036"/>
        <v>0.9729007703</v>
      </c>
      <c r="AP375" s="36">
        <f t="shared" ref="AP375:AQ375" si="1045">SUM(T366)</f>
        <v>220.4380445</v>
      </c>
      <c r="AQ375" s="36">
        <f t="shared" si="1045"/>
        <v>7.872787305</v>
      </c>
      <c r="AR375" s="32">
        <f t="shared" si="1038"/>
        <v>189.8928571</v>
      </c>
    </row>
    <row r="376" ht="15.7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X376" s="31">
        <v>5.0</v>
      </c>
      <c r="Y376" s="31" t="s">
        <v>39</v>
      </c>
      <c r="Z376" s="31">
        <f t="shared" ref="Z376:AI376" si="1046">SUM(D367)</f>
        <v>28</v>
      </c>
      <c r="AA376" s="32">
        <f t="shared" si="1046"/>
        <v>27</v>
      </c>
      <c r="AB376" s="33">
        <f t="shared" si="1046"/>
        <v>5318.459</v>
      </c>
      <c r="AC376" s="32">
        <f t="shared" si="1046"/>
        <v>1229</v>
      </c>
      <c r="AD376" s="32">
        <f t="shared" si="1046"/>
        <v>0</v>
      </c>
      <c r="AE376" s="32">
        <f t="shared" si="1046"/>
        <v>1229</v>
      </c>
      <c r="AF376" s="32">
        <f t="shared" si="1046"/>
        <v>1740</v>
      </c>
      <c r="AG376" s="32">
        <f t="shared" si="1046"/>
        <v>0</v>
      </c>
      <c r="AH376" s="32">
        <f t="shared" si="1046"/>
        <v>1740</v>
      </c>
      <c r="AI376" s="32">
        <f t="shared" si="1046"/>
        <v>2969</v>
      </c>
      <c r="AJ376" s="34">
        <f t="shared" si="1033"/>
        <v>196.979963</v>
      </c>
      <c r="AK376" s="31">
        <f t="shared" si="1043"/>
        <v>3569</v>
      </c>
      <c r="AL376" s="35">
        <f t="shared" si="1034"/>
        <v>0.8318856823</v>
      </c>
      <c r="AM376" s="36">
        <f t="shared" si="1044"/>
        <v>1.5</v>
      </c>
      <c r="AN376" s="35">
        <f t="shared" si="1035"/>
        <v>0.3721629392</v>
      </c>
      <c r="AO376" s="37">
        <f t="shared" si="1036"/>
        <v>0.5582444088</v>
      </c>
      <c r="AP376" s="36">
        <f t="shared" ref="AP376:AQ376" si="1047">SUM(T367)</f>
        <v>247.7966268</v>
      </c>
      <c r="AQ376" s="36">
        <f t="shared" si="1047"/>
        <v>9.177652843</v>
      </c>
      <c r="AR376" s="32">
        <f t="shared" si="1038"/>
        <v>109.962963</v>
      </c>
    </row>
    <row r="377" ht="15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X377" s="31">
        <v>6.0</v>
      </c>
      <c r="Y377" s="31" t="s">
        <v>41</v>
      </c>
      <c r="Z377" s="31">
        <f t="shared" ref="Z377:AI377" si="1048">SUM(D368)</f>
        <v>24</v>
      </c>
      <c r="AA377" s="32">
        <f t="shared" si="1048"/>
        <v>24</v>
      </c>
      <c r="AB377" s="33">
        <f t="shared" si="1048"/>
        <v>4793.152</v>
      </c>
      <c r="AC377" s="32">
        <f t="shared" si="1048"/>
        <v>1363</v>
      </c>
      <c r="AD377" s="32">
        <f t="shared" si="1048"/>
        <v>0</v>
      </c>
      <c r="AE377" s="32">
        <f t="shared" si="1048"/>
        <v>1363</v>
      </c>
      <c r="AF377" s="32">
        <f t="shared" si="1048"/>
        <v>1818</v>
      </c>
      <c r="AG377" s="32">
        <f t="shared" si="1048"/>
        <v>0</v>
      </c>
      <c r="AH377" s="32">
        <f t="shared" si="1048"/>
        <v>1818</v>
      </c>
      <c r="AI377" s="32">
        <f t="shared" si="1048"/>
        <v>3181</v>
      </c>
      <c r="AJ377" s="34">
        <f t="shared" si="1033"/>
        <v>199.7146667</v>
      </c>
      <c r="AK377" s="31">
        <f t="shared" si="1043"/>
        <v>3801</v>
      </c>
      <c r="AL377" s="35">
        <f t="shared" si="1034"/>
        <v>0.8368850303</v>
      </c>
      <c r="AM377" s="36">
        <f t="shared" si="1044"/>
        <v>1.5</v>
      </c>
      <c r="AN377" s="35">
        <f t="shared" si="1035"/>
        <v>0.4424367653</v>
      </c>
      <c r="AO377" s="37">
        <f t="shared" si="1036"/>
        <v>0.663655148</v>
      </c>
      <c r="AP377" s="36">
        <f t="shared" ref="AP377:AQ377" si="1049">SUM(T368)</f>
        <v>161.7777778</v>
      </c>
      <c r="AQ377" s="36">
        <f t="shared" si="1049"/>
        <v>6.740740741</v>
      </c>
      <c r="AR377" s="32">
        <f t="shared" si="1038"/>
        <v>132.5416667</v>
      </c>
    </row>
    <row r="378" ht="15.75" customHeight="1">
      <c r="A378" s="1" t="s">
        <v>45</v>
      </c>
      <c r="D378" s="2"/>
      <c r="X378" s="46" t="s">
        <v>33</v>
      </c>
      <c r="Y378" s="46">
        <v>6.0</v>
      </c>
      <c r="Z378" s="46">
        <f t="shared" ref="Z378:AI378" si="1050">SUM(Z372:Z377)</f>
        <v>174</v>
      </c>
      <c r="AA378" s="47">
        <f t="shared" si="1050"/>
        <v>170</v>
      </c>
      <c r="AB378" s="49">
        <f t="shared" si="1050"/>
        <v>32628.013</v>
      </c>
      <c r="AC378" s="47">
        <f t="shared" si="1050"/>
        <v>13199</v>
      </c>
      <c r="AD378" s="47">
        <f t="shared" si="1050"/>
        <v>0</v>
      </c>
      <c r="AE378" s="47">
        <f t="shared" si="1050"/>
        <v>13199</v>
      </c>
      <c r="AF378" s="47">
        <f t="shared" si="1050"/>
        <v>17534</v>
      </c>
      <c r="AG378" s="47">
        <f t="shared" si="1050"/>
        <v>67</v>
      </c>
      <c r="AH378" s="47">
        <f t="shared" si="1050"/>
        <v>17601</v>
      </c>
      <c r="AI378" s="47">
        <f t="shared" si="1050"/>
        <v>30800</v>
      </c>
      <c r="AJ378" s="49">
        <f t="shared" si="1033"/>
        <v>191.9294882</v>
      </c>
      <c r="AK378" s="46">
        <f>SUM(AK372:AK377)</f>
        <v>37031</v>
      </c>
      <c r="AL378" s="50">
        <f t="shared" si="1034"/>
        <v>0.8317355729</v>
      </c>
      <c r="AM378" s="51">
        <v>1.5</v>
      </c>
      <c r="AN378" s="50">
        <f t="shared" si="1035"/>
        <v>0.6293160829</v>
      </c>
      <c r="AO378" s="52">
        <f t="shared" si="1036"/>
        <v>0.9439741243</v>
      </c>
      <c r="AP378" s="51">
        <f>SUM(AP372:AP377)</f>
        <v>1361.777661</v>
      </c>
      <c r="AQ378" s="51">
        <f>AP378/AA378</f>
        <v>8.010456831</v>
      </c>
      <c r="AR378" s="47">
        <f t="shared" si="1038"/>
        <v>181.1764706</v>
      </c>
    </row>
    <row r="379" ht="15.75" customHeight="1">
      <c r="A379" s="1" t="s">
        <v>45</v>
      </c>
      <c r="D379" s="2"/>
      <c r="X379" s="66" t="s">
        <v>1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6"/>
    </row>
    <row r="380" ht="15.75" customHeight="1">
      <c r="A380" s="7">
        <v>46280.0</v>
      </c>
      <c r="B380" s="8" t="s">
        <v>2</v>
      </c>
      <c r="C380" s="8" t="s">
        <v>3</v>
      </c>
      <c r="D380" s="8" t="s">
        <v>4</v>
      </c>
      <c r="E380" s="8" t="s">
        <v>5</v>
      </c>
      <c r="F380" s="9" t="s">
        <v>6</v>
      </c>
      <c r="G380" s="8" t="s">
        <v>7</v>
      </c>
      <c r="H380" s="8" t="s">
        <v>8</v>
      </c>
      <c r="I380" s="8" t="s">
        <v>9</v>
      </c>
      <c r="J380" s="8" t="s">
        <v>10</v>
      </c>
      <c r="K380" s="8" t="s">
        <v>11</v>
      </c>
      <c r="L380" s="8" t="s">
        <v>12</v>
      </c>
      <c r="M380" s="8" t="s">
        <v>13</v>
      </c>
      <c r="N380" s="9" t="s">
        <v>14</v>
      </c>
      <c r="O380" s="8" t="s">
        <v>15</v>
      </c>
      <c r="P380" s="8" t="s">
        <v>16</v>
      </c>
      <c r="Q380" s="8" t="s">
        <v>17</v>
      </c>
      <c r="R380" s="8" t="s">
        <v>18</v>
      </c>
      <c r="S380" s="11" t="s">
        <v>19</v>
      </c>
      <c r="T380" s="12" t="s">
        <v>20</v>
      </c>
      <c r="U380" s="12" t="s">
        <v>21</v>
      </c>
      <c r="V380" s="13" t="s">
        <v>22</v>
      </c>
      <c r="X380" s="14" t="s">
        <v>2</v>
      </c>
      <c r="Y380" s="14" t="s">
        <v>3</v>
      </c>
      <c r="Z380" s="14" t="s">
        <v>4</v>
      </c>
      <c r="AA380" s="14" t="s">
        <v>5</v>
      </c>
      <c r="AB380" s="15" t="s">
        <v>6</v>
      </c>
      <c r="AC380" s="14" t="s">
        <v>7</v>
      </c>
      <c r="AD380" s="14" t="s">
        <v>8</v>
      </c>
      <c r="AE380" s="14" t="s">
        <v>9</v>
      </c>
      <c r="AF380" s="14" t="s">
        <v>10</v>
      </c>
      <c r="AG380" s="14" t="s">
        <v>11</v>
      </c>
      <c r="AH380" s="14" t="s">
        <v>12</v>
      </c>
      <c r="AI380" s="14" t="s">
        <v>13</v>
      </c>
      <c r="AJ380" s="15" t="s">
        <v>14</v>
      </c>
      <c r="AK380" s="14" t="s">
        <v>15</v>
      </c>
      <c r="AL380" s="14" t="s">
        <v>16</v>
      </c>
      <c r="AM380" s="16" t="s">
        <v>17</v>
      </c>
      <c r="AN380" s="17" t="s">
        <v>18</v>
      </c>
      <c r="AO380" s="18" t="s">
        <v>19</v>
      </c>
      <c r="AP380" s="19" t="s">
        <v>20</v>
      </c>
      <c r="AQ380" s="19" t="s">
        <v>21</v>
      </c>
      <c r="AR380" s="20" t="s">
        <v>22</v>
      </c>
    </row>
    <row r="381" ht="15.7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X381" s="22">
        <v>1.0</v>
      </c>
      <c r="Y381" s="22" t="s">
        <v>23</v>
      </c>
      <c r="Z381" s="22">
        <f t="shared" ref="Z381:AI381" si="1051">SUM(D389)</f>
        <v>35</v>
      </c>
      <c r="AA381" s="23">
        <f t="shared" si="1051"/>
        <v>34</v>
      </c>
      <c r="AB381" s="24">
        <f t="shared" si="1051"/>
        <v>6680.52</v>
      </c>
      <c r="AC381" s="23">
        <f t="shared" si="1051"/>
        <v>1627</v>
      </c>
      <c r="AD381" s="23">
        <f t="shared" si="1051"/>
        <v>0</v>
      </c>
      <c r="AE381" s="23">
        <f t="shared" si="1051"/>
        <v>1627</v>
      </c>
      <c r="AF381" s="23">
        <f t="shared" si="1051"/>
        <v>3262</v>
      </c>
      <c r="AG381" s="23">
        <f t="shared" si="1051"/>
        <v>0</v>
      </c>
      <c r="AH381" s="23">
        <f t="shared" si="1051"/>
        <v>3262</v>
      </c>
      <c r="AI381" s="23">
        <f t="shared" si="1051"/>
        <v>4889</v>
      </c>
      <c r="AJ381" s="25">
        <f t="shared" ref="AJ381:AJ383" si="1054">AB381/AA381</f>
        <v>196.4858824</v>
      </c>
      <c r="AK381" s="22">
        <f>SUM(O389)</f>
        <v>6853</v>
      </c>
      <c r="AL381" s="26">
        <f t="shared" ref="AL381:AL387" si="1055">AI381/AK381</f>
        <v>0.7134101853</v>
      </c>
      <c r="AM381" s="27">
        <f t="shared" ref="AM381:AM383" si="1056">SUM(Q389)</f>
        <v>1.5</v>
      </c>
      <c r="AN381" s="26">
        <f t="shared" ref="AN381:AN387" si="1057">AO381/AM381</f>
        <v>0.4878861725</v>
      </c>
      <c r="AO381" s="28">
        <f t="shared" ref="AO381:AO387" si="1058">AI381/AB381</f>
        <v>0.7318292588</v>
      </c>
      <c r="AP381" s="27">
        <f t="shared" ref="AP381:AQ381" si="1052">SUM(T389)</f>
        <v>198</v>
      </c>
      <c r="AQ381" s="27">
        <f t="shared" si="1052"/>
        <v>5.823529412</v>
      </c>
      <c r="AR381" s="23">
        <f t="shared" ref="AR381:AR387" si="1060">AI381/AA381</f>
        <v>143.7941176</v>
      </c>
    </row>
    <row r="382" ht="15.7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X382" s="22">
        <v>2.0</v>
      </c>
      <c r="Y382" s="22" t="s">
        <v>24</v>
      </c>
      <c r="Z382" s="22">
        <f t="shared" ref="Z382:AI382" si="1053">SUM(D390)</f>
        <v>44</v>
      </c>
      <c r="AA382" s="23">
        <f t="shared" si="1053"/>
        <v>44</v>
      </c>
      <c r="AB382" s="24">
        <f t="shared" si="1053"/>
        <v>8029.356</v>
      </c>
      <c r="AC382" s="23">
        <f t="shared" si="1053"/>
        <v>1194</v>
      </c>
      <c r="AD382" s="23">
        <f t="shared" si="1053"/>
        <v>0</v>
      </c>
      <c r="AE382" s="23">
        <f t="shared" si="1053"/>
        <v>1194</v>
      </c>
      <c r="AF382" s="23">
        <f t="shared" si="1053"/>
        <v>1455</v>
      </c>
      <c r="AG382" s="23">
        <f t="shared" si="1053"/>
        <v>0</v>
      </c>
      <c r="AH382" s="23">
        <f t="shared" si="1053"/>
        <v>1455</v>
      </c>
      <c r="AI382" s="23">
        <f t="shared" si="1053"/>
        <v>2649</v>
      </c>
      <c r="AJ382" s="25">
        <f t="shared" si="1054"/>
        <v>182.4853636</v>
      </c>
      <c r="AK382" s="22">
        <v>1580.0</v>
      </c>
      <c r="AL382" s="29">
        <f t="shared" si="1055"/>
        <v>1.676582278</v>
      </c>
      <c r="AM382" s="27">
        <f t="shared" si="1056"/>
        <v>1.5</v>
      </c>
      <c r="AN382" s="26">
        <f t="shared" si="1057"/>
        <v>0.2199429195</v>
      </c>
      <c r="AO382" s="28">
        <f t="shared" si="1058"/>
        <v>0.3299143792</v>
      </c>
      <c r="AP382" s="27">
        <f t="shared" ref="AP382:AQ382" si="1059">SUM(T390)</f>
        <v>299.5469502</v>
      </c>
      <c r="AQ382" s="27">
        <f t="shared" si="1059"/>
        <v>6.807885232</v>
      </c>
      <c r="AR382" s="23">
        <f t="shared" si="1060"/>
        <v>60.20454545</v>
      </c>
    </row>
    <row r="383" ht="15.75" customHeight="1">
      <c r="A383" s="21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X383" s="31">
        <v>3.0</v>
      </c>
      <c r="Y383" s="31" t="s">
        <v>25</v>
      </c>
      <c r="Z383" s="31">
        <f t="shared" ref="Z383:AI383" si="1061">SUM(D391)</f>
        <v>32</v>
      </c>
      <c r="AA383" s="32">
        <f t="shared" si="1061"/>
        <v>32</v>
      </c>
      <c r="AB383" s="33">
        <f t="shared" si="1061"/>
        <v>5963.536</v>
      </c>
      <c r="AC383" s="32">
        <f t="shared" si="1061"/>
        <v>2444</v>
      </c>
      <c r="AD383" s="32">
        <f t="shared" si="1061"/>
        <v>331</v>
      </c>
      <c r="AE383" s="32">
        <f t="shared" si="1061"/>
        <v>2775</v>
      </c>
      <c r="AF383" s="32">
        <f t="shared" si="1061"/>
        <v>3085</v>
      </c>
      <c r="AG383" s="32">
        <f t="shared" si="1061"/>
        <v>319</v>
      </c>
      <c r="AH383" s="32">
        <f t="shared" si="1061"/>
        <v>3404</v>
      </c>
      <c r="AI383" s="32">
        <f t="shared" si="1061"/>
        <v>6179</v>
      </c>
      <c r="AJ383" s="34">
        <f t="shared" si="1054"/>
        <v>186.3605</v>
      </c>
      <c r="AK383" s="31">
        <f>SUM(O391)</f>
        <v>6622</v>
      </c>
      <c r="AL383" s="35">
        <f t="shared" si="1055"/>
        <v>0.9331017819</v>
      </c>
      <c r="AM383" s="36">
        <f t="shared" si="1056"/>
        <v>1.5</v>
      </c>
      <c r="AN383" s="35">
        <f t="shared" si="1057"/>
        <v>0.6907534948</v>
      </c>
      <c r="AO383" s="37">
        <f t="shared" si="1058"/>
        <v>1.036130242</v>
      </c>
      <c r="AP383" s="36">
        <f t="shared" ref="AP383:AQ383" si="1062">SUM(T391)</f>
        <v>250.1483221</v>
      </c>
      <c r="AQ383" s="36">
        <f t="shared" si="1062"/>
        <v>7.817135067</v>
      </c>
      <c r="AR383" s="32">
        <f t="shared" si="1060"/>
        <v>193.09375</v>
      </c>
    </row>
    <row r="384" ht="15.75" customHeight="1">
      <c r="A384" s="21"/>
      <c r="B384" s="38">
        <v>1.0</v>
      </c>
      <c r="C384" s="38" t="s">
        <v>26</v>
      </c>
      <c r="D384" s="39">
        <v>20.0</v>
      </c>
      <c r="E384" s="40">
        <f>IFERROR(__xludf.DUMMYFUNCTION("COUNT(IMPORTRANGE(""https://docs.google.com/spreadsheets/d/1F0NpMx7WhcgPgxTWpryY3Z1CGg56FL6aiL4mHs43w4E/edit"",""1!d2:d21""))"),20.0)</f>
        <v>20</v>
      </c>
      <c r="F384" s="41">
        <f>IFERROR(__xludf.DUMMYFUNCTION("SUM(IMPORTRANGE(""https://docs.google.com/spreadsheets/d/1F0NpMx7WhcgPgxTWpryY3Z1CGg56FL6aiL4mHs43w4E/edit"",""1!Q2:Q21""))"),3935.2949999999996)</f>
        <v>3935.295</v>
      </c>
      <c r="G384" s="40">
        <f>IFERROR(__xludf.DUMMYFUNCTION("IMPORTRANGE(""https://docs.google.com/spreadsheets/d/1F0NpMx7WhcgPgxTWpryY3Z1CGg56FL6aiL4mHs43w4E/edit"",""1!e28"")"),2229.0)</f>
        <v>2229</v>
      </c>
      <c r="H384" s="40">
        <f>IFERROR(__xludf.DUMMYFUNCTION("IMPORTRANGE(""https://docs.google.com/spreadsheets/d/1F0NpMx7WhcgPgxTWpryY3Z1CGg56FL6aiL4mHs43w4E/edit"",""1!e29"")"),0.0)</f>
        <v>0</v>
      </c>
      <c r="I384" s="40">
        <f t="shared" ref="I384:I401" si="1065">SUM(G384:H384)</f>
        <v>2229</v>
      </c>
      <c r="J384" s="40">
        <f>IFERROR(__xludf.DUMMYFUNCTION("IMPORTRANGE(""https://docs.google.com/spreadsheets/d/1F0NpMx7WhcgPgxTWpryY3Z1CGg56FL6aiL4mHs43w4E/edit"",""1!e32"")"),2661.0)</f>
        <v>2661</v>
      </c>
      <c r="K384" s="40">
        <f>IFERROR(__xludf.DUMMYFUNCTION("IMPORTRANGE(""https://docs.google.com/spreadsheets/d/1F0NpMx7WhcgPgxTWpryY3Z1CGg56FL6aiL4mHs43w4E/edit"",""1!e33"")"),47.0)</f>
        <v>47</v>
      </c>
      <c r="L384" s="40">
        <f t="shared" ref="L384:L390" si="1066">SUM(J384:K384)</f>
        <v>2708</v>
      </c>
      <c r="M384" s="40">
        <f t="shared" ref="M384:M401" si="1067">SUM(I384+L384)</f>
        <v>4937</v>
      </c>
      <c r="N384" s="41">
        <f t="shared" ref="N384:N402" si="1068">F384/E384</f>
        <v>196.76475</v>
      </c>
      <c r="O384" s="38">
        <v>5161.0</v>
      </c>
      <c r="P384" s="42">
        <f t="shared" ref="P384:P402" si="1069">M384/O384</f>
        <v>0.9565975586</v>
      </c>
      <c r="Q384" s="43">
        <v>1.5</v>
      </c>
      <c r="R384" s="42">
        <f t="shared" ref="R384:R402" si="1070">S384/Q384</f>
        <v>0.8363625429</v>
      </c>
      <c r="S384" s="44">
        <f t="shared" ref="S384:S402" si="1071">M384/F384</f>
        <v>1.254543814</v>
      </c>
      <c r="T384" s="43">
        <f>F384/14.415</f>
        <v>273</v>
      </c>
      <c r="U384" s="43">
        <f t="shared" ref="U384:U402" si="1072">T384/E384</f>
        <v>13.65</v>
      </c>
      <c r="V384" s="40">
        <f t="shared" ref="V384:V402" si="1073">M384/E384</f>
        <v>246.85</v>
      </c>
      <c r="X384" s="22">
        <v>4.0</v>
      </c>
      <c r="Y384" s="22" t="s">
        <v>27</v>
      </c>
      <c r="Z384" s="22">
        <f t="shared" ref="Z384:AK384" si="1063">SUM(D397)</f>
        <v>30</v>
      </c>
      <c r="AA384" s="23">
        <f t="shared" si="1063"/>
        <v>29</v>
      </c>
      <c r="AB384" s="24">
        <f t="shared" si="1063"/>
        <v>5631.663</v>
      </c>
      <c r="AC384" s="23">
        <f t="shared" si="1063"/>
        <v>2486</v>
      </c>
      <c r="AD384" s="23">
        <f t="shared" si="1063"/>
        <v>80</v>
      </c>
      <c r="AE384" s="23">
        <f t="shared" si="1063"/>
        <v>2566</v>
      </c>
      <c r="AF384" s="23">
        <f t="shared" si="1063"/>
        <v>2945</v>
      </c>
      <c r="AG384" s="23">
        <f t="shared" si="1063"/>
        <v>88</v>
      </c>
      <c r="AH384" s="23">
        <f t="shared" si="1063"/>
        <v>3033</v>
      </c>
      <c r="AI384" s="23">
        <f t="shared" si="1063"/>
        <v>5599</v>
      </c>
      <c r="AJ384" s="25">
        <f t="shared" si="1063"/>
        <v>194.1952759</v>
      </c>
      <c r="AK384" s="22">
        <f t="shared" si="1063"/>
        <v>8101</v>
      </c>
      <c r="AL384" s="26">
        <f t="shared" si="1055"/>
        <v>0.6911492408</v>
      </c>
      <c r="AM384" s="27">
        <f>SUM(Q397)</f>
        <v>1.5</v>
      </c>
      <c r="AN384" s="26">
        <f t="shared" si="1057"/>
        <v>0.6628000764</v>
      </c>
      <c r="AO384" s="28">
        <f t="shared" si="1058"/>
        <v>0.9942001146</v>
      </c>
      <c r="AP384" s="27">
        <f t="shared" ref="AP384:AQ384" si="1064">SUM(T397)</f>
        <v>281.7944959</v>
      </c>
      <c r="AQ384" s="27">
        <f t="shared" si="1064"/>
        <v>9.717051582</v>
      </c>
      <c r="AR384" s="23">
        <f t="shared" si="1060"/>
        <v>193.0689655</v>
      </c>
    </row>
    <row r="385" ht="15.75" customHeight="1">
      <c r="A385" s="21"/>
      <c r="B385" s="38">
        <v>2.0</v>
      </c>
      <c r="C385" s="38" t="s">
        <v>28</v>
      </c>
      <c r="D385" s="39">
        <v>33.0</v>
      </c>
      <c r="E385" s="40">
        <f>IFERROR(__xludf.DUMMYFUNCTION("COUNT(IMPORTRANGE(""https://docs.google.com/spreadsheets/d/1H9vAqftAHb0OdeSGXHTnJFzoWUgpoH31sc0sHNN8y1o/edit"",""1!d2:d34""))"),32.0)</f>
        <v>32</v>
      </c>
      <c r="F385" s="41">
        <f>IFERROR(__xludf.DUMMYFUNCTION("SUM(IMPORTRANGE(""https://docs.google.com/spreadsheets/d/1H9vAqftAHb0OdeSGXHTnJFzoWUgpoH31sc0sHNN8y1o/edit"",""1!Q2:Q34""))"),6234.134999999998)</f>
        <v>6234.135</v>
      </c>
      <c r="G385" s="40">
        <f>IFERROR(__xludf.DUMMYFUNCTION("IMPORTRANGE(""https://docs.google.com/spreadsheets/d/1H9vAqftAHb0OdeSGXHTnJFzoWUgpoH31sc0sHNN8y1o/edit"",""1!e41"")"),2719.0)</f>
        <v>2719</v>
      </c>
      <c r="H385" s="40">
        <f>IFERROR(__xludf.DUMMYFUNCTION("IMPORTRANGE(""https://docs.google.com/spreadsheets/d/1H9vAqftAHb0OdeSGXHTnJFzoWUgpoH31sc0sHNN8y1o/edit"",""1!e42"")"),208.0)</f>
        <v>208</v>
      </c>
      <c r="I385" s="40">
        <f t="shared" si="1065"/>
        <v>2927</v>
      </c>
      <c r="J385" s="40">
        <f>IFERROR(__xludf.DUMMYFUNCTION("IMPORTRANGE(""https://docs.google.com/spreadsheets/d/1H9vAqftAHb0OdeSGXHTnJFzoWUgpoH31sc0sHNN8y1o/edit"",""1!e45"")"),3192.0)</f>
        <v>3192</v>
      </c>
      <c r="K385" s="40">
        <f>IFERROR(__xludf.DUMMYFUNCTION("IMPORTRANGE(""https://docs.google.com/spreadsheets/d/1H9vAqftAHb0OdeSGXHTnJFzoWUgpoH31sc0sHNN8y1o/edit"",""1!e46"")"),138.0)</f>
        <v>138</v>
      </c>
      <c r="L385" s="40">
        <f t="shared" si="1066"/>
        <v>3330</v>
      </c>
      <c r="M385" s="40">
        <f t="shared" si="1067"/>
        <v>6257</v>
      </c>
      <c r="N385" s="41">
        <f t="shared" si="1068"/>
        <v>194.8167188</v>
      </c>
      <c r="O385" s="38">
        <v>7315.0</v>
      </c>
      <c r="P385" s="42">
        <f t="shared" si="1069"/>
        <v>0.8553656869</v>
      </c>
      <c r="Q385" s="43">
        <v>1.5</v>
      </c>
      <c r="R385" s="42">
        <f t="shared" si="1070"/>
        <v>0.6691118067</v>
      </c>
      <c r="S385" s="44">
        <f t="shared" si="1071"/>
        <v>1.00366771</v>
      </c>
      <c r="T385" s="43">
        <f>F385/30.897</f>
        <v>201.7715312</v>
      </c>
      <c r="U385" s="43">
        <f t="shared" si="1072"/>
        <v>6.305360351</v>
      </c>
      <c r="V385" s="40">
        <f t="shared" si="1073"/>
        <v>195.53125</v>
      </c>
      <c r="X385" s="22">
        <v>5.0</v>
      </c>
      <c r="Y385" s="22" t="s">
        <v>29</v>
      </c>
      <c r="Z385" s="22">
        <f t="shared" ref="Z385:AI385" si="1074">SUM(D400)</f>
        <v>30</v>
      </c>
      <c r="AA385" s="23">
        <f t="shared" si="1074"/>
        <v>29</v>
      </c>
      <c r="AB385" s="24">
        <f t="shared" si="1074"/>
        <v>5722.056</v>
      </c>
      <c r="AC385" s="23">
        <f t="shared" si="1074"/>
        <v>2610</v>
      </c>
      <c r="AD385" s="23">
        <f t="shared" si="1074"/>
        <v>0</v>
      </c>
      <c r="AE385" s="23">
        <f t="shared" si="1074"/>
        <v>2610</v>
      </c>
      <c r="AF385" s="23">
        <f t="shared" si="1074"/>
        <v>4378</v>
      </c>
      <c r="AG385" s="23">
        <f t="shared" si="1074"/>
        <v>0</v>
      </c>
      <c r="AH385" s="23">
        <f t="shared" si="1074"/>
        <v>4378</v>
      </c>
      <c r="AI385" s="23">
        <f t="shared" si="1074"/>
        <v>6988</v>
      </c>
      <c r="AJ385" s="25">
        <f t="shared" ref="AJ385:AJ387" si="1077">AB385/AA385</f>
        <v>197.3122759</v>
      </c>
      <c r="AK385" s="22">
        <f t="shared" ref="AK385:AK386" si="1078">SUM(O400)</f>
        <v>9201</v>
      </c>
      <c r="AL385" s="26">
        <f t="shared" si="1055"/>
        <v>0.7594826649</v>
      </c>
      <c r="AM385" s="27">
        <f t="shared" ref="AM385:AM386" si="1079">SUM(Q400)</f>
        <v>1.5</v>
      </c>
      <c r="AN385" s="26">
        <f t="shared" si="1057"/>
        <v>0.8141595725</v>
      </c>
      <c r="AO385" s="28">
        <f t="shared" si="1058"/>
        <v>1.221239359</v>
      </c>
      <c r="AP385" s="27">
        <f t="shared" ref="AP385:AQ385" si="1075">SUM(T400)</f>
        <v>216</v>
      </c>
      <c r="AQ385" s="27">
        <f t="shared" si="1075"/>
        <v>7.448275862</v>
      </c>
      <c r="AR385" s="23">
        <f t="shared" si="1060"/>
        <v>240.9655172</v>
      </c>
    </row>
    <row r="386" ht="15.75" customHeight="1">
      <c r="A386" s="21"/>
      <c r="B386" s="38">
        <v>3.0</v>
      </c>
      <c r="C386" s="38" t="s">
        <v>30</v>
      </c>
      <c r="D386" s="39">
        <v>60.0</v>
      </c>
      <c r="E386" s="40">
        <f>IFERROR(__xludf.DUMMYFUNCTION("COUNT(IMPORTRANGE(""https://docs.google.com/spreadsheets/d/1EWN6nfpuVxbUE_9opjYCWaI7MTm5xsF6ssjklSbMZnA/edit"",""1!d2:d61""))"),59.0)</f>
        <v>59</v>
      </c>
      <c r="F386" s="45">
        <f>IFERROR(__xludf.DUMMYFUNCTION("SUM(IMPORTRANGE(""https://docs.google.com/spreadsheets/d/1EWN6nfpuVxbUE_9opjYCWaI7MTm5xsF6ssjklSbMZnA/edit"",""1!Q2:Q61""))"),11739.691999999988)</f>
        <v>11739.692</v>
      </c>
      <c r="G386" s="40">
        <f>IFERROR(__xludf.DUMMYFUNCTION("IMPORTRANGE(""https://docs.google.com/spreadsheets/d/1EWN6nfpuVxbUE_9opjYCWaI7MTm5xsF6ssjklSbMZnA/edit"",""1!e68"")"),3754.0)</f>
        <v>3754</v>
      </c>
      <c r="H386" s="40">
        <f>IFERROR(__xludf.DUMMYFUNCTION("IMPORTRANGE(""https://docs.google.com/spreadsheets/d/1EWN6nfpuVxbUE_9opjYCWaI7MTm5xsF6ssjklSbMZnA/edit"",""1!e69"")"),14.0)</f>
        <v>14</v>
      </c>
      <c r="I386" s="40">
        <f t="shared" si="1065"/>
        <v>3768</v>
      </c>
      <c r="J386" s="40">
        <f>IFERROR(__xludf.DUMMYFUNCTION("IMPORTRANGE(""https://docs.google.com/spreadsheets/d/1EWN6nfpuVxbUE_9opjYCWaI7MTm5xsF6ssjklSbMZnA/edit"",""1!e72"")"),5982.0)</f>
        <v>5982</v>
      </c>
      <c r="K386" s="40">
        <f>IFERROR(__xludf.DUMMYFUNCTION("IMPORTRANGE(""https://docs.google.com/spreadsheets/d/1EWN6nfpuVxbUE_9opjYCWaI7MTm5xsF6ssjklSbMZnA/edit"",""1!e73"")"),0.0)</f>
        <v>0</v>
      </c>
      <c r="L386" s="40">
        <f t="shared" si="1066"/>
        <v>5982</v>
      </c>
      <c r="M386" s="40">
        <f t="shared" si="1067"/>
        <v>9750</v>
      </c>
      <c r="N386" s="41">
        <f t="shared" si="1068"/>
        <v>198.9778305</v>
      </c>
      <c r="O386" s="38">
        <v>11164.0</v>
      </c>
      <c r="P386" s="42">
        <f t="shared" si="1069"/>
        <v>0.8733428879</v>
      </c>
      <c r="Q386" s="43">
        <v>1.5</v>
      </c>
      <c r="R386" s="42">
        <f t="shared" si="1070"/>
        <v>0.5536772174</v>
      </c>
      <c r="S386" s="44">
        <f t="shared" si="1071"/>
        <v>0.8305158261</v>
      </c>
      <c r="T386" s="43">
        <f>F386/29.603</f>
        <v>396.5710232</v>
      </c>
      <c r="U386" s="43">
        <f t="shared" si="1072"/>
        <v>6.721542766</v>
      </c>
      <c r="V386" s="40">
        <f t="shared" si="1073"/>
        <v>165.2542373</v>
      </c>
      <c r="X386" s="22">
        <v>6.0</v>
      </c>
      <c r="Y386" s="22" t="s">
        <v>31</v>
      </c>
      <c r="Z386" s="22">
        <f t="shared" ref="Z386:AI386" si="1076">SUM(D401)</f>
        <v>15</v>
      </c>
      <c r="AA386" s="23">
        <f t="shared" si="1076"/>
        <v>14</v>
      </c>
      <c r="AB386" s="25">
        <f t="shared" si="1076"/>
        <v>2520.97</v>
      </c>
      <c r="AC386" s="23">
        <f t="shared" si="1076"/>
        <v>633</v>
      </c>
      <c r="AD386" s="23">
        <f t="shared" si="1076"/>
        <v>0</v>
      </c>
      <c r="AE386" s="23">
        <f t="shared" si="1076"/>
        <v>633</v>
      </c>
      <c r="AF386" s="23">
        <f t="shared" si="1076"/>
        <v>1148</v>
      </c>
      <c r="AG386" s="23">
        <f t="shared" si="1076"/>
        <v>15</v>
      </c>
      <c r="AH386" s="23">
        <f t="shared" si="1076"/>
        <v>1163</v>
      </c>
      <c r="AI386" s="23">
        <f t="shared" si="1076"/>
        <v>1796</v>
      </c>
      <c r="AJ386" s="25">
        <f t="shared" si="1077"/>
        <v>180.0692857</v>
      </c>
      <c r="AK386" s="22">
        <f t="shared" si="1078"/>
        <v>2717</v>
      </c>
      <c r="AL386" s="26">
        <f t="shared" si="1055"/>
        <v>0.6610231873</v>
      </c>
      <c r="AM386" s="27">
        <f t="shared" si="1079"/>
        <v>1.5</v>
      </c>
      <c r="AN386" s="26">
        <f t="shared" si="1057"/>
        <v>0.4749494573</v>
      </c>
      <c r="AO386" s="28">
        <f t="shared" si="1058"/>
        <v>0.7124241859</v>
      </c>
      <c r="AP386" s="27">
        <f t="shared" ref="AP386:AQ386" si="1080">SUM(T401)</f>
        <v>58</v>
      </c>
      <c r="AQ386" s="27">
        <f t="shared" si="1080"/>
        <v>4.142857143</v>
      </c>
      <c r="AR386" s="23">
        <f t="shared" si="1060"/>
        <v>128.2857143</v>
      </c>
    </row>
    <row r="387" ht="15.75" customHeight="1">
      <c r="A387" s="21"/>
      <c r="B387" s="38">
        <v>4.0</v>
      </c>
      <c r="C387" s="38" t="s">
        <v>32</v>
      </c>
      <c r="D387" s="39">
        <v>42.0</v>
      </c>
      <c r="E387" s="40">
        <f>IFERROR(__xludf.DUMMYFUNCTION("COUNT(IMPORTRANGE(""https://docs.google.com/spreadsheets/d/1Rmar8QqWK4XOJ-eY6xMzkAfDSw0srEXcAw89ilArun8/edit"",""1!d2:d43""))"),42.0)</f>
        <v>42</v>
      </c>
      <c r="F387" s="45">
        <f>IFERROR(__xludf.DUMMYFUNCTION("SUM(IMPORTRANGE(""https://docs.google.com/spreadsheets/d/1Rmar8QqWK4XOJ-eY6xMzkAfDSw0srEXcAw89ilArun8/edit"",""1!Q2:Q43""))"),8240.661999999991)</f>
        <v>8240.662</v>
      </c>
      <c r="G387" s="38">
        <f>IFERROR(__xludf.DUMMYFUNCTION("IMPORTRANGE(""https://docs.google.com/spreadsheets/d/1Rmar8QqWK4XOJ-eY6xMzkAfDSw0srEXcAw89ilArun8/edit"",""1!e50"")"),4515.0)</f>
        <v>4515</v>
      </c>
      <c r="H387" s="38">
        <f>IFERROR(__xludf.DUMMYFUNCTION("IMPORTRANGE(""https://docs.google.com/spreadsheets/d/1Rmar8QqWK4XOJ-eY6xMzkAfDSw0srEXcAw89ilArun8/edit"",""1!e51"")"),0.0)</f>
        <v>0</v>
      </c>
      <c r="I387" s="40">
        <f t="shared" si="1065"/>
        <v>4515</v>
      </c>
      <c r="J387" s="38">
        <f>IFERROR(__xludf.DUMMYFUNCTION("IMPORTRANGE(""https://docs.google.com/spreadsheets/d/1Rmar8QqWK4XOJ-eY6xMzkAfDSw0srEXcAw89ilArun8/edit"",""1!e54"")"),5726.0)</f>
        <v>5726</v>
      </c>
      <c r="K387" s="38">
        <f>IFERROR(__xludf.DUMMYFUNCTION("IMPORTRANGE(""https://docs.google.com/spreadsheets/d/1Rmar8QqWK4XOJ-eY6xMzkAfDSw0srEXcAw89ilArun8/edit"",""1!e55"")"),0.0)</f>
        <v>0</v>
      </c>
      <c r="L387" s="40">
        <f t="shared" si="1066"/>
        <v>5726</v>
      </c>
      <c r="M387" s="40">
        <f t="shared" si="1067"/>
        <v>10241</v>
      </c>
      <c r="N387" s="41">
        <f t="shared" si="1068"/>
        <v>196.2062381</v>
      </c>
      <c r="O387" s="38">
        <v>13817.0</v>
      </c>
      <c r="P387" s="42">
        <f t="shared" si="1069"/>
        <v>0.7411883911</v>
      </c>
      <c r="Q387" s="43">
        <v>1.5</v>
      </c>
      <c r="R387" s="42">
        <f t="shared" si="1070"/>
        <v>0.8284933096</v>
      </c>
      <c r="S387" s="44">
        <f t="shared" si="1071"/>
        <v>1.242739964</v>
      </c>
      <c r="T387" s="43">
        <f>F387/25.089</f>
        <v>328.4571725</v>
      </c>
      <c r="U387" s="43">
        <f t="shared" si="1072"/>
        <v>7.820408868</v>
      </c>
      <c r="V387" s="40">
        <f t="shared" si="1073"/>
        <v>243.8333333</v>
      </c>
      <c r="X387" s="46" t="s">
        <v>33</v>
      </c>
      <c r="Y387" s="46">
        <v>6.0</v>
      </c>
      <c r="Z387" s="46">
        <f t="shared" ref="Z387:AI387" si="1081">SUM(Z381:Z386)</f>
        <v>186</v>
      </c>
      <c r="AA387" s="47">
        <f t="shared" si="1081"/>
        <v>182</v>
      </c>
      <c r="AB387" s="48">
        <f t="shared" si="1081"/>
        <v>34548.101</v>
      </c>
      <c r="AC387" s="47">
        <f t="shared" si="1081"/>
        <v>10994</v>
      </c>
      <c r="AD387" s="47">
        <f t="shared" si="1081"/>
        <v>411</v>
      </c>
      <c r="AE387" s="47">
        <f t="shared" si="1081"/>
        <v>11405</v>
      </c>
      <c r="AF387" s="47">
        <f t="shared" si="1081"/>
        <v>16273</v>
      </c>
      <c r="AG387" s="47">
        <f t="shared" si="1081"/>
        <v>422</v>
      </c>
      <c r="AH387" s="47">
        <f t="shared" si="1081"/>
        <v>16695</v>
      </c>
      <c r="AI387" s="47">
        <f t="shared" si="1081"/>
        <v>28100</v>
      </c>
      <c r="AJ387" s="49">
        <f t="shared" si="1077"/>
        <v>189.8247308</v>
      </c>
      <c r="AK387" s="46">
        <f>SUM(AK381:AK386)</f>
        <v>35074</v>
      </c>
      <c r="AL387" s="50">
        <f t="shared" si="1055"/>
        <v>0.8011632548</v>
      </c>
      <c r="AM387" s="51">
        <v>1.5</v>
      </c>
      <c r="AN387" s="50">
        <f t="shared" si="1057"/>
        <v>0.542239162</v>
      </c>
      <c r="AO387" s="52">
        <f t="shared" si="1058"/>
        <v>0.8133587429</v>
      </c>
      <c r="AP387" s="51">
        <f>SUM(AP381:AP386)</f>
        <v>1303.489768</v>
      </c>
      <c r="AQ387" s="51">
        <f>AP387/AA387</f>
        <v>7.162031693</v>
      </c>
      <c r="AR387" s="47">
        <f t="shared" si="1060"/>
        <v>154.3956044</v>
      </c>
    </row>
    <row r="388" ht="15.75" customHeight="1">
      <c r="A388" s="21"/>
      <c r="B388" s="38">
        <v>5.0</v>
      </c>
      <c r="C388" s="38" t="s">
        <v>34</v>
      </c>
      <c r="D388" s="39">
        <v>40.0</v>
      </c>
      <c r="E388" s="40">
        <f>IFERROR(__xludf.DUMMYFUNCTION("COUNT(IMPORTRANGE(""https://docs.google.com/spreadsheets/d/1u99JxAoytGQQ8GcjxXl38CGdyEWy5uIbuJJHnsotyvk/edit"",""1!d2:d41""))"),40.0)</f>
        <v>40</v>
      </c>
      <c r="F388" s="45">
        <f>IFERROR(__xludf.DUMMYFUNCTION("SUM(IMPORTRANGE(""https://docs.google.com/spreadsheets/d/1u99JxAoytGQQ8GcjxXl38CGdyEWy5uIbuJJHnsotyvk/edit"",""1!Q2:Q41""))"),8007.324000000002)</f>
        <v>8007.324</v>
      </c>
      <c r="G388" s="40">
        <f>IFERROR(__xludf.DUMMYFUNCTION("IMPORTRANGE(""https://docs.google.com/spreadsheets/d/1u99JxAoytGQQ8GcjxXl38CGdyEWy5uIbuJJHnsotyvk/edit"",""1!e48"")"),2819.0)</f>
        <v>2819</v>
      </c>
      <c r="H388" s="40">
        <f>IFERROR(__xludf.DUMMYFUNCTION("IMPORTRANGE(""https://docs.google.com/spreadsheets/d/1u99JxAoytGQQ8GcjxXl38CGdyEWy5uIbuJJHnsotyvk/edit"",""1!e49"")"),0.0)</f>
        <v>0</v>
      </c>
      <c r="I388" s="40">
        <f t="shared" si="1065"/>
        <v>2819</v>
      </c>
      <c r="J388" s="40">
        <f>IFERROR(__xludf.DUMMYFUNCTION("IMPORTRANGE(""https://docs.google.com/spreadsheets/d/1u99JxAoytGQQ8GcjxXl38CGdyEWy5uIbuJJHnsotyvk/edit"",""1!e52"")"),3504.0)</f>
        <v>3504</v>
      </c>
      <c r="K388" s="40">
        <f>IFERROR(__xludf.DUMMYFUNCTION("IMPORTRANGE(""https://docs.google.com/spreadsheets/d/1u99JxAoytGQQ8GcjxXl38CGdyEWy5uIbuJJHnsotyvk/edit"",""1!e53"")"),0.0)</f>
        <v>0</v>
      </c>
      <c r="L388" s="40">
        <f t="shared" si="1066"/>
        <v>3504</v>
      </c>
      <c r="M388" s="40">
        <f t="shared" si="1067"/>
        <v>6323</v>
      </c>
      <c r="N388" s="41">
        <f t="shared" si="1068"/>
        <v>200.1831</v>
      </c>
      <c r="O388" s="38">
        <v>9354.0</v>
      </c>
      <c r="P388" s="42">
        <f t="shared" si="1069"/>
        <v>0.6759675005</v>
      </c>
      <c r="Q388" s="43">
        <v>1.5</v>
      </c>
      <c r="R388" s="42">
        <f t="shared" si="1070"/>
        <v>0.5264347157</v>
      </c>
      <c r="S388" s="44">
        <f t="shared" si="1071"/>
        <v>0.7896520735</v>
      </c>
      <c r="T388" s="43">
        <f>F388/30.713</f>
        <v>260.7144857</v>
      </c>
      <c r="U388" s="43">
        <f t="shared" si="1072"/>
        <v>6.517862143</v>
      </c>
      <c r="V388" s="40">
        <f t="shared" si="1073"/>
        <v>158.075</v>
      </c>
      <c r="X388" s="53" t="s">
        <v>35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6"/>
    </row>
    <row r="389" ht="15.75" customHeight="1">
      <c r="A389" s="21"/>
      <c r="B389" s="38">
        <v>6.0</v>
      </c>
      <c r="C389" s="38" t="s">
        <v>23</v>
      </c>
      <c r="D389" s="39">
        <v>35.0</v>
      </c>
      <c r="E389" s="40">
        <f>IFERROR(__xludf.DUMMYFUNCTION("COUNT(IMPORTRANGE(""https://docs.google.com/spreadsheets/d/1uVc-vnTn57HE53lwrUYNZP4sGKTXisrqOoZ-6EyvLzY/edit"",""1!d2:d36""))"),34.0)</f>
        <v>34</v>
      </c>
      <c r="F389" s="45">
        <f>IFERROR(__xludf.DUMMYFUNCTION("SUM(IMPORTRANGE(""https://docs.google.com/spreadsheets/d/1uVc-vnTn57HE53lwrUYNZP4sGKTXisrqOoZ-6EyvLzY/edit"",""1!Q2:Q36""))"),6680.519999999995)</f>
        <v>6680.52</v>
      </c>
      <c r="G389" s="40">
        <f>IFERROR(__xludf.DUMMYFUNCTION("IMPORTRANGE(""https://docs.google.com/spreadsheets/d/1uVc-vnTn57HE53lwrUYNZP4sGKTXisrqOoZ-6EyvLzY/edit"",""1!e43"")"),1627.0)</f>
        <v>1627</v>
      </c>
      <c r="H389" s="40">
        <f>IFERROR(__xludf.DUMMYFUNCTION("IMPORTRANGE(""https://docs.google.com/spreadsheets/d/1uVc-vnTn57HE53lwrUYNZP4sGKTXisrqOoZ-6EyvLzY/edit"",""1!e44"")"),0.0)</f>
        <v>0</v>
      </c>
      <c r="I389" s="40">
        <f t="shared" si="1065"/>
        <v>1627</v>
      </c>
      <c r="J389" s="40">
        <f>IFERROR(__xludf.DUMMYFUNCTION("IMPORTRANGE(""https://docs.google.com/spreadsheets/d/1uVc-vnTn57HE53lwrUYNZP4sGKTXisrqOoZ-6EyvLzY/edit"",""1!e47"")"),3262.0)</f>
        <v>3262</v>
      </c>
      <c r="K389" s="40">
        <f>IFERROR(__xludf.DUMMYFUNCTION("IMPORTRANGE(""https://docs.google.com/spreadsheets/d/1uVc-vnTn57HE53lwrUYNZP4sGKTXisrqOoZ-6EyvLzY/edit"",""1!e48"")"),0.0)</f>
        <v>0</v>
      </c>
      <c r="L389" s="40">
        <f t="shared" si="1066"/>
        <v>3262</v>
      </c>
      <c r="M389" s="40">
        <f t="shared" si="1067"/>
        <v>4889</v>
      </c>
      <c r="N389" s="41">
        <f t="shared" si="1068"/>
        <v>196.4858824</v>
      </c>
      <c r="O389" s="38">
        <v>6853.0</v>
      </c>
      <c r="P389" s="42">
        <f t="shared" si="1069"/>
        <v>0.7134101853</v>
      </c>
      <c r="Q389" s="43">
        <v>1.5</v>
      </c>
      <c r="R389" s="42">
        <f t="shared" si="1070"/>
        <v>0.4878861725</v>
      </c>
      <c r="S389" s="44">
        <f t="shared" si="1071"/>
        <v>0.7318292588</v>
      </c>
      <c r="T389" s="43">
        <f>F389/33.74</f>
        <v>198</v>
      </c>
      <c r="U389" s="43">
        <f t="shared" si="1072"/>
        <v>5.823529412</v>
      </c>
      <c r="V389" s="40">
        <f t="shared" si="1073"/>
        <v>143.7941176</v>
      </c>
      <c r="X389" s="14" t="s">
        <v>2</v>
      </c>
      <c r="Y389" s="14" t="s">
        <v>3</v>
      </c>
      <c r="Z389" s="14" t="s">
        <v>4</v>
      </c>
      <c r="AA389" s="14" t="s">
        <v>5</v>
      </c>
      <c r="AB389" s="15" t="s">
        <v>6</v>
      </c>
      <c r="AC389" s="14" t="s">
        <v>7</v>
      </c>
      <c r="AD389" s="14" t="s">
        <v>8</v>
      </c>
      <c r="AE389" s="14" t="s">
        <v>9</v>
      </c>
      <c r="AF389" s="14" t="s">
        <v>10</v>
      </c>
      <c r="AG389" s="14" t="s">
        <v>11</v>
      </c>
      <c r="AH389" s="14" t="s">
        <v>12</v>
      </c>
      <c r="AI389" s="14" t="s">
        <v>13</v>
      </c>
      <c r="AJ389" s="15" t="s">
        <v>14</v>
      </c>
      <c r="AK389" s="14" t="s">
        <v>15</v>
      </c>
      <c r="AL389" s="14" t="s">
        <v>16</v>
      </c>
      <c r="AM389" s="16" t="s">
        <v>17</v>
      </c>
      <c r="AN389" s="17" t="s">
        <v>18</v>
      </c>
      <c r="AO389" s="18" t="s">
        <v>19</v>
      </c>
      <c r="AP389" s="19" t="s">
        <v>20</v>
      </c>
      <c r="AQ389" s="19" t="s">
        <v>21</v>
      </c>
      <c r="AR389" s="20" t="s">
        <v>22</v>
      </c>
    </row>
    <row r="390" ht="15.75" customHeight="1">
      <c r="A390" s="21"/>
      <c r="B390" s="38">
        <v>7.0</v>
      </c>
      <c r="C390" s="38" t="s">
        <v>24</v>
      </c>
      <c r="D390" s="39">
        <v>44.0</v>
      </c>
      <c r="E390" s="54">
        <f>IFERROR(__xludf.DUMMYFUNCTION("COUNT(IMPORTRANGE(""https://docs.google.com/spreadsheets/d/1iuPvivSypupo44l6GtmR-2qZ3za7cTk7KzsOVp_kv2c/edit"",""1!d2:d45""))"),44.0)</f>
        <v>44</v>
      </c>
      <c r="F390" s="55">
        <f>IFERROR(__xludf.DUMMYFUNCTION("SUM(IMPORTRANGE(""https://docs.google.com/spreadsheets/d/1iuPvivSypupo44l6GtmR-2qZ3za7cTk7KzsOVp_kv2c/edit"",""1!Q2:Q45""))"),8029.355999999994)</f>
        <v>8029.356</v>
      </c>
      <c r="G390" s="54">
        <f>IFERROR(__xludf.DUMMYFUNCTION("IMPORTRANGE(""https://docs.google.com/spreadsheets/d/1iuPvivSypupo44l6GtmR-2qZ3za7cTk7KzsOVp_kv2c/edit"",""1!e53"")"),1194.0)</f>
        <v>1194</v>
      </c>
      <c r="H390" s="54">
        <f>IFERROR(__xludf.DUMMYFUNCTION("IMPORTRANGE(""https://docs.google.com/spreadsheets/d/1iuPvivSypupo44l6GtmR-2qZ3za7cTk7KzsOVp_kv2c/edit"",""1!e54"")"),0.0)</f>
        <v>0</v>
      </c>
      <c r="I390" s="54">
        <f t="shared" si="1065"/>
        <v>1194</v>
      </c>
      <c r="J390" s="54">
        <f>IFERROR(__xludf.DUMMYFUNCTION("IMPORTRANGE(""https://docs.google.com/spreadsheets/d/1iuPvivSypupo44l6GtmR-2qZ3za7cTk7KzsOVp_kv2c/edit"",""1!e57"")"),1455.0)</f>
        <v>1455</v>
      </c>
      <c r="K390" s="54">
        <f>IFERROR(__xludf.DUMMYFUNCTION("IMPORTRANGE(""https://docs.google.com/spreadsheets/d/1iuPvivSypupo44l6GtmR-2qZ3za7cTk7KzsOVp_kv2c/edit"",""1!e58"")"),0.0)</f>
        <v>0</v>
      </c>
      <c r="L390" s="40">
        <f t="shared" si="1066"/>
        <v>1455</v>
      </c>
      <c r="M390" s="40">
        <f t="shared" si="1067"/>
        <v>2649</v>
      </c>
      <c r="N390" s="41">
        <f t="shared" si="1068"/>
        <v>182.4853636</v>
      </c>
      <c r="O390" s="38">
        <v>1580.0</v>
      </c>
      <c r="P390" s="56">
        <f t="shared" si="1069"/>
        <v>1.676582278</v>
      </c>
      <c r="Q390" s="43">
        <v>1.5</v>
      </c>
      <c r="R390" s="42">
        <f t="shared" si="1070"/>
        <v>0.2199429195</v>
      </c>
      <c r="S390" s="44">
        <f t="shared" si="1071"/>
        <v>0.3299143792</v>
      </c>
      <c r="T390" s="43">
        <f>F390/26.805</f>
        <v>299.5469502</v>
      </c>
      <c r="U390" s="43">
        <f t="shared" si="1072"/>
        <v>6.807885232</v>
      </c>
      <c r="V390" s="40">
        <f t="shared" si="1073"/>
        <v>60.20454545</v>
      </c>
      <c r="X390" s="22">
        <v>1.0</v>
      </c>
      <c r="Y390" s="22" t="s">
        <v>28</v>
      </c>
      <c r="Z390" s="22">
        <f t="shared" ref="Z390:AI390" si="1082">SUM(D385)</f>
        <v>33</v>
      </c>
      <c r="AA390" s="23">
        <f t="shared" si="1082"/>
        <v>32</v>
      </c>
      <c r="AB390" s="25">
        <f t="shared" si="1082"/>
        <v>6234.135</v>
      </c>
      <c r="AC390" s="23">
        <f t="shared" si="1082"/>
        <v>2719</v>
      </c>
      <c r="AD390" s="23">
        <f t="shared" si="1082"/>
        <v>208</v>
      </c>
      <c r="AE390" s="23">
        <f t="shared" si="1082"/>
        <v>2927</v>
      </c>
      <c r="AF390" s="23">
        <f t="shared" si="1082"/>
        <v>3192</v>
      </c>
      <c r="AG390" s="23">
        <f t="shared" si="1082"/>
        <v>138</v>
      </c>
      <c r="AH390" s="23">
        <f t="shared" si="1082"/>
        <v>3330</v>
      </c>
      <c r="AI390" s="23">
        <f t="shared" si="1082"/>
        <v>6257</v>
      </c>
      <c r="AJ390" s="25">
        <f t="shared" ref="AJ390:AJ396" si="1085">AB390/AA390</f>
        <v>194.8167188</v>
      </c>
      <c r="AK390" s="22">
        <f t="shared" ref="AK390:AK391" si="1086">SUM(O385)</f>
        <v>7315</v>
      </c>
      <c r="AL390" s="26">
        <f t="shared" ref="AL390:AL396" si="1087">AI390/AK390</f>
        <v>0.8553656869</v>
      </c>
      <c r="AM390" s="27">
        <f t="shared" ref="AM390:AM391" si="1088">SUM(Q385)</f>
        <v>1.5</v>
      </c>
      <c r="AN390" s="26">
        <f t="shared" ref="AN390:AN396" si="1089">AO390/AM390</f>
        <v>0.6691118067</v>
      </c>
      <c r="AO390" s="28">
        <f t="shared" ref="AO390:AO396" si="1090">AI390/AB390</f>
        <v>1.00366771</v>
      </c>
      <c r="AP390" s="27">
        <f t="shared" ref="AP390:AQ390" si="1083">SUM(T385)</f>
        <v>201.7715312</v>
      </c>
      <c r="AQ390" s="27">
        <f t="shared" si="1083"/>
        <v>6.305360351</v>
      </c>
      <c r="AR390" s="23">
        <f t="shared" ref="AR390:AR396" si="1092">AI390/AA390</f>
        <v>195.53125</v>
      </c>
    </row>
    <row r="391" ht="15.75" customHeight="1">
      <c r="A391" s="21"/>
      <c r="B391" s="38">
        <v>8.0</v>
      </c>
      <c r="C391" s="38" t="s">
        <v>25</v>
      </c>
      <c r="D391" s="57">
        <v>32.0</v>
      </c>
      <c r="E391" s="40">
        <f>IFERROR(__xludf.DUMMYFUNCTION("COUNT(IMPORTRANGE(""https://docs.google.com/spreadsheets/d/1sqWX7UerdR9KR_duBzDNfjwbPG-3hLgV1LiN2ZVZ6Js/edit"",""1!d2:D33""))"),32.0)</f>
        <v>32</v>
      </c>
      <c r="F391" s="45">
        <f>IFERROR(__xludf.DUMMYFUNCTION("SUM(IMPORTRANGE(""https://docs.google.com/spreadsheets/d/1sqWX7UerdR9KR_duBzDNfjwbPG-3hLgV1LiN2ZVZ6Js/edit"",""1!Q2:Q33""))"),5963.536000000002)</f>
        <v>5963.536</v>
      </c>
      <c r="G391" s="40">
        <f>IFERROR(__xludf.DUMMYFUNCTION("IMPORTRANGE(""https://docs.google.com/spreadsheets/d/1sqWX7UerdR9KR_duBzDNfjwbPG-3hLgV1LiN2ZVZ6Js/edit"",""1!e40"")"),2444.0)</f>
        <v>2444</v>
      </c>
      <c r="H391" s="40">
        <f>IFERROR(__xludf.DUMMYFUNCTION("IMPORTRANGE(""https://docs.google.com/spreadsheets/d/1sqWX7UerdR9KR_duBzDNfjwbPG-3hLgV1LiN2ZVZ6Js/edit"",""1!e41"")"),331.0)</f>
        <v>331</v>
      </c>
      <c r="I391" s="40">
        <f t="shared" si="1065"/>
        <v>2775</v>
      </c>
      <c r="J391" s="40">
        <f>IFERROR(__xludf.DUMMYFUNCTION("IMPORTRANGE(""https://docs.google.com/spreadsheets/d/1sqWX7UerdR9KR_duBzDNfjwbPG-3hLgV1LiN2ZVZ6Js/edit"",""1!e44"")"),3085.0)</f>
        <v>3085</v>
      </c>
      <c r="K391" s="40">
        <f>IFERROR(__xludf.DUMMYFUNCTION("IMPORTRANGE(""https://docs.google.com/spreadsheets/d/1sqWX7UerdR9KR_duBzDNfjwbPG-3hLgV1LiN2ZVZ6Js/edit"",""1!e45"")"),319.0)</f>
        <v>319</v>
      </c>
      <c r="L391" s="40">
        <f>J391+K391</f>
        <v>3404</v>
      </c>
      <c r="M391" s="40">
        <f t="shared" si="1067"/>
        <v>6179</v>
      </c>
      <c r="N391" s="41">
        <f t="shared" si="1068"/>
        <v>186.3605</v>
      </c>
      <c r="O391" s="38">
        <v>6622.0</v>
      </c>
      <c r="P391" s="42">
        <f t="shared" si="1069"/>
        <v>0.9331017819</v>
      </c>
      <c r="Q391" s="43">
        <v>1.5</v>
      </c>
      <c r="R391" s="42">
        <f t="shared" si="1070"/>
        <v>0.6907534948</v>
      </c>
      <c r="S391" s="44">
        <f t="shared" si="1071"/>
        <v>1.036130242</v>
      </c>
      <c r="T391" s="43">
        <f>F391/23.84</f>
        <v>250.1483221</v>
      </c>
      <c r="U391" s="43">
        <f t="shared" si="1072"/>
        <v>7.817135067</v>
      </c>
      <c r="V391" s="40">
        <f t="shared" si="1073"/>
        <v>193.09375</v>
      </c>
      <c r="X391" s="31">
        <v>2.0</v>
      </c>
      <c r="Y391" s="31" t="s">
        <v>30</v>
      </c>
      <c r="Z391" s="31">
        <f t="shared" ref="Z391:AI391" si="1084">SUM(D386)</f>
        <v>60</v>
      </c>
      <c r="AA391" s="32">
        <f t="shared" si="1084"/>
        <v>59</v>
      </c>
      <c r="AB391" s="33">
        <f t="shared" si="1084"/>
        <v>11739.692</v>
      </c>
      <c r="AC391" s="32">
        <f t="shared" si="1084"/>
        <v>3754</v>
      </c>
      <c r="AD391" s="32">
        <f t="shared" si="1084"/>
        <v>14</v>
      </c>
      <c r="AE391" s="32">
        <f t="shared" si="1084"/>
        <v>3768</v>
      </c>
      <c r="AF391" s="32">
        <f t="shared" si="1084"/>
        <v>5982</v>
      </c>
      <c r="AG391" s="32">
        <f t="shared" si="1084"/>
        <v>0</v>
      </c>
      <c r="AH391" s="32">
        <f t="shared" si="1084"/>
        <v>5982</v>
      </c>
      <c r="AI391" s="32">
        <f t="shared" si="1084"/>
        <v>9750</v>
      </c>
      <c r="AJ391" s="34">
        <f t="shared" si="1085"/>
        <v>198.9778305</v>
      </c>
      <c r="AK391" s="31">
        <f t="shared" si="1086"/>
        <v>11164</v>
      </c>
      <c r="AL391" s="35">
        <f t="shared" si="1087"/>
        <v>0.8733428879</v>
      </c>
      <c r="AM391" s="36">
        <f t="shared" si="1088"/>
        <v>1.5</v>
      </c>
      <c r="AN391" s="35">
        <f t="shared" si="1089"/>
        <v>0.5536772174</v>
      </c>
      <c r="AO391" s="37">
        <f t="shared" si="1090"/>
        <v>0.8305158261</v>
      </c>
      <c r="AP391" s="36">
        <f t="shared" ref="AP391:AQ391" si="1091">SUM(T386)</f>
        <v>396.5710232</v>
      </c>
      <c r="AQ391" s="36">
        <f t="shared" si="1091"/>
        <v>6.721542766</v>
      </c>
      <c r="AR391" s="32">
        <f t="shared" si="1092"/>
        <v>165.2542373</v>
      </c>
    </row>
    <row r="392" ht="15.75" customHeight="1">
      <c r="A392" s="21"/>
      <c r="B392" s="38">
        <v>9.0</v>
      </c>
      <c r="C392" s="38" t="s">
        <v>36</v>
      </c>
      <c r="D392" s="58">
        <v>30.0</v>
      </c>
      <c r="E392" s="40">
        <f>IFERROR(__xludf.DUMMYFUNCTION("COUNT(IMPORTRANGE(""https://docs.google.com/spreadsheets/d/1YNna43iTSqnwwbMJgTIPHSJEoDO8RGPRFg5pJCoQR_Y/edit"",""1!d2:d31""))"),29.0)</f>
        <v>29</v>
      </c>
      <c r="F392" s="45">
        <f>IFERROR(__xludf.DUMMYFUNCTION("SUM(IMPORTRANGE(""https://docs.google.com/spreadsheets/d/1YNna43iTSqnwwbMJgTIPHSJEoDO8RGPRFg5pJCoQR_Y/edit"",""1!Q2:Q31""))"),4875.344999999998)</f>
        <v>4875.345</v>
      </c>
      <c r="G392" s="40">
        <f>IFERROR(__xludf.DUMMYFUNCTION("IMPORTRANGE(""https://docs.google.com/spreadsheets/d/1YNna43iTSqnwwbMJgTIPHSJEoDO8RGPRFg5pJCoQR_Y/edit"",""1!e38"")"),1728.0)</f>
        <v>1728</v>
      </c>
      <c r="H392" s="40">
        <f>IFERROR(__xludf.DUMMYFUNCTION("IMPORTRANGE(""https://docs.google.com/spreadsheets/d/1YNna43iTSqnwwbMJgTIPHSJEoDO8RGPRFg5pJCoQR_Y/edit"",""1!e39"")"),0.0)</f>
        <v>0</v>
      </c>
      <c r="I392" s="40">
        <f t="shared" si="1065"/>
        <v>1728</v>
      </c>
      <c r="J392" s="40">
        <f>IFERROR(__xludf.DUMMYFUNCTION("IMPORTRANGE(""https://docs.google.com/spreadsheets/d/1YNna43iTSqnwwbMJgTIPHSJEoDO8RGPRFg5pJCoQR_Y/edit"",""1!e42"")"),2407.0)</f>
        <v>2407</v>
      </c>
      <c r="K392" s="40">
        <f>IFERROR(__xludf.DUMMYFUNCTION("IMPORTRANGE(""https://docs.google.com/spreadsheets/d/1YNna43iTSqnwwbMJgTIPHSJEoDO8RGPRFg5pJCoQR_Y/edit"",""1!e43"")"),20.0)</f>
        <v>20</v>
      </c>
      <c r="L392" s="40">
        <f t="shared" ref="L392:L401" si="1095">SUM(J392:K392)</f>
        <v>2427</v>
      </c>
      <c r="M392" s="40">
        <f t="shared" si="1067"/>
        <v>4155</v>
      </c>
      <c r="N392" s="41">
        <f t="shared" si="1068"/>
        <v>168.1153448</v>
      </c>
      <c r="O392" s="38">
        <v>4796.0</v>
      </c>
      <c r="P392" s="42">
        <f t="shared" si="1069"/>
        <v>0.8663469558</v>
      </c>
      <c r="Q392" s="43">
        <v>1.5</v>
      </c>
      <c r="R392" s="42">
        <f t="shared" si="1070"/>
        <v>0.5681649196</v>
      </c>
      <c r="S392" s="44">
        <f t="shared" si="1071"/>
        <v>0.8522473794</v>
      </c>
      <c r="T392" s="43">
        <f>F392/37.414</f>
        <v>130.3080398</v>
      </c>
      <c r="U392" s="43">
        <f t="shared" si="1072"/>
        <v>4.493380682</v>
      </c>
      <c r="V392" s="40">
        <f t="shared" si="1073"/>
        <v>143.2758621</v>
      </c>
      <c r="X392" s="22">
        <v>3.0</v>
      </c>
      <c r="Y392" s="22" t="s">
        <v>34</v>
      </c>
      <c r="Z392" s="22">
        <f t="shared" ref="Z392:AI392" si="1093">SUM(D388)</f>
        <v>40</v>
      </c>
      <c r="AA392" s="23">
        <f t="shared" si="1093"/>
        <v>40</v>
      </c>
      <c r="AB392" s="24">
        <f t="shared" si="1093"/>
        <v>8007.324</v>
      </c>
      <c r="AC392" s="23">
        <f t="shared" si="1093"/>
        <v>2819</v>
      </c>
      <c r="AD392" s="23">
        <f t="shared" si="1093"/>
        <v>0</v>
      </c>
      <c r="AE392" s="23">
        <f t="shared" si="1093"/>
        <v>2819</v>
      </c>
      <c r="AF392" s="23">
        <f t="shared" si="1093"/>
        <v>3504</v>
      </c>
      <c r="AG392" s="23">
        <f t="shared" si="1093"/>
        <v>0</v>
      </c>
      <c r="AH392" s="23">
        <f t="shared" si="1093"/>
        <v>3504</v>
      </c>
      <c r="AI392" s="23">
        <f t="shared" si="1093"/>
        <v>6323</v>
      </c>
      <c r="AJ392" s="25">
        <f t="shared" si="1085"/>
        <v>200.1831</v>
      </c>
      <c r="AK392" s="22">
        <f>SUM(O388)</f>
        <v>9354</v>
      </c>
      <c r="AL392" s="26">
        <f t="shared" si="1087"/>
        <v>0.6759675005</v>
      </c>
      <c r="AM392" s="27">
        <f>SUM(Q388)</f>
        <v>1.5</v>
      </c>
      <c r="AN392" s="26">
        <f t="shared" si="1089"/>
        <v>0.5264347157</v>
      </c>
      <c r="AO392" s="28">
        <f t="shared" si="1090"/>
        <v>0.7896520735</v>
      </c>
      <c r="AP392" s="27">
        <f t="shared" ref="AP392:AQ392" si="1094">SUM(T388)</f>
        <v>260.7144857</v>
      </c>
      <c r="AQ392" s="27">
        <f t="shared" si="1094"/>
        <v>6.517862143</v>
      </c>
      <c r="AR392" s="23">
        <f t="shared" si="1092"/>
        <v>158.075</v>
      </c>
    </row>
    <row r="393" ht="15.75" customHeight="1">
      <c r="A393" s="21"/>
      <c r="B393" s="38">
        <v>10.0</v>
      </c>
      <c r="C393" s="38" t="s">
        <v>37</v>
      </c>
      <c r="D393" s="39">
        <v>30.0</v>
      </c>
      <c r="E393" s="40">
        <f>IFERROR(__xludf.DUMMYFUNCTION("COUNT(IMPORTRANGE(""https://docs.google.com/spreadsheets/d/1913Df5BsXS_b-nClL8LOK5w0engQYTl1mPOiyngRtO0/edit"",""1!d2:d31""))"),28.0)</f>
        <v>28</v>
      </c>
      <c r="F393" s="45">
        <f>IFERROR(__xludf.DUMMYFUNCTION("SUM(IMPORTRANGE(""https://docs.google.com/spreadsheets/d/1913Df5BsXS_b-nClL8LOK5w0engQYTl1mPOiyngRtO0/edit"",""1!Q2:Q31""))"),5465.100000000002)</f>
        <v>5465.1</v>
      </c>
      <c r="G393" s="40">
        <f>IFERROR(__xludf.DUMMYFUNCTION("(IMPORTRANGE(""https://docs.google.com/spreadsheets/d/1913Df5BsXS_b-nClL8LOK5w0engQYTl1mPOiyngRtO0/edit"",""1!e38""))"),2135.0)</f>
        <v>2135</v>
      </c>
      <c r="H393" s="40">
        <f>IFERROR(__xludf.DUMMYFUNCTION("(IMPORTRANGE(""https://docs.google.com/spreadsheets/d/1913Df5BsXS_b-nClL8LOK5w0engQYTl1mPOiyngRtO0/edit"",""1!e39""))"),0.0)</f>
        <v>0</v>
      </c>
      <c r="I393" s="40">
        <f t="shared" si="1065"/>
        <v>2135</v>
      </c>
      <c r="J393" s="40">
        <f>IFERROR(__xludf.DUMMYFUNCTION("(IMPORTRANGE(""https://docs.google.com/spreadsheets/d/1913Df5BsXS_b-nClL8LOK5w0engQYTl1mPOiyngRtO0/edit"",""1!e42""))"),3182.0)</f>
        <v>3182</v>
      </c>
      <c r="K393" s="40">
        <f>IFERROR(__xludf.DUMMYFUNCTION("(IMPORTRANGE(""https://docs.google.com/spreadsheets/d/1913Df5BsXS_b-nClL8LOK5w0engQYTl1mPOiyngRtO0/edit"",""1!e43""))"),0.0)</f>
        <v>0</v>
      </c>
      <c r="L393" s="40">
        <f t="shared" si="1095"/>
        <v>3182</v>
      </c>
      <c r="M393" s="40">
        <f t="shared" si="1067"/>
        <v>5317</v>
      </c>
      <c r="N393" s="41">
        <f t="shared" si="1068"/>
        <v>195.1821429</v>
      </c>
      <c r="O393" s="38">
        <v>5887.0</v>
      </c>
      <c r="P393" s="42">
        <f t="shared" si="1069"/>
        <v>0.9031764906</v>
      </c>
      <c r="Q393" s="43">
        <v>1.5</v>
      </c>
      <c r="R393" s="42">
        <f t="shared" si="1070"/>
        <v>0.6486005136</v>
      </c>
      <c r="S393" s="44">
        <f t="shared" si="1071"/>
        <v>0.9729007703</v>
      </c>
      <c r="T393" s="43">
        <f>F393/24.792</f>
        <v>220.4380445</v>
      </c>
      <c r="U393" s="43">
        <f t="shared" si="1072"/>
        <v>7.872787305</v>
      </c>
      <c r="V393" s="40">
        <f t="shared" si="1073"/>
        <v>189.8928571</v>
      </c>
      <c r="X393" s="31">
        <v>4.0</v>
      </c>
      <c r="Y393" s="31" t="s">
        <v>38</v>
      </c>
      <c r="Z393" s="31">
        <f t="shared" ref="Z393:AI393" si="1096">SUM(D396)</f>
        <v>30</v>
      </c>
      <c r="AA393" s="32">
        <f t="shared" si="1096"/>
        <v>30</v>
      </c>
      <c r="AB393" s="33">
        <f t="shared" si="1096"/>
        <v>6034.986</v>
      </c>
      <c r="AC393" s="32">
        <f t="shared" si="1096"/>
        <v>1876</v>
      </c>
      <c r="AD393" s="32">
        <f t="shared" si="1096"/>
        <v>79</v>
      </c>
      <c r="AE393" s="32">
        <f t="shared" si="1096"/>
        <v>1955</v>
      </c>
      <c r="AF393" s="32">
        <f t="shared" si="1096"/>
        <v>2967</v>
      </c>
      <c r="AG393" s="32">
        <f t="shared" si="1096"/>
        <v>140</v>
      </c>
      <c r="AH393" s="32">
        <f t="shared" si="1096"/>
        <v>3107</v>
      </c>
      <c r="AI393" s="32">
        <f t="shared" si="1096"/>
        <v>5062</v>
      </c>
      <c r="AJ393" s="34">
        <f t="shared" si="1085"/>
        <v>201.1662</v>
      </c>
      <c r="AK393" s="31">
        <v>7324.0</v>
      </c>
      <c r="AL393" s="35">
        <f t="shared" si="1087"/>
        <v>0.6911523758</v>
      </c>
      <c r="AM393" s="36">
        <f>SUM(Q396)</f>
        <v>1.5</v>
      </c>
      <c r="AN393" s="35">
        <f t="shared" si="1089"/>
        <v>0.5591838435</v>
      </c>
      <c r="AO393" s="37">
        <f t="shared" si="1090"/>
        <v>0.8387757652</v>
      </c>
      <c r="AP393" s="36">
        <f t="shared" ref="AP393:AQ393" si="1097">SUM(T396)</f>
        <v>146.4624681</v>
      </c>
      <c r="AQ393" s="36">
        <f t="shared" si="1097"/>
        <v>4.882082272</v>
      </c>
      <c r="AR393" s="32">
        <f t="shared" si="1092"/>
        <v>168.7333333</v>
      </c>
    </row>
    <row r="394" ht="15.75" customHeight="1">
      <c r="A394" s="21"/>
      <c r="B394" s="38">
        <v>12.0</v>
      </c>
      <c r="C394" s="38" t="s">
        <v>39</v>
      </c>
      <c r="D394" s="39">
        <v>28.0</v>
      </c>
      <c r="E394" s="40">
        <f>IFERROR(__xludf.DUMMYFUNCTION("COUNT(IMPORTRANGE(""https://docs.google.com/spreadsheets/d/1wMeol_MpSIcocGxt3WZGl46mJ2tc80mANPvP_YzaP18/edit"",""1!d2:d29""))"),27.0)</f>
        <v>27</v>
      </c>
      <c r="F394" s="45">
        <f>IFERROR(__xludf.DUMMYFUNCTION("SUM(IMPORTRANGE(""https://docs.google.com/spreadsheets/d/1wMeol_MpSIcocGxt3WZGl46mJ2tc80mANPvP_YzaP18/edit"",""1!Q2:Q29""))"),5318.459)</f>
        <v>5318.459</v>
      </c>
      <c r="G394" s="40">
        <f>IFERROR(__xludf.DUMMYFUNCTION("IMPORTRANGE(""https://docs.google.com/spreadsheets/d/1wMeol_MpSIcocGxt3WZGl46mJ2tc80mANPvP_YzaP18/edit"",""1!e36"")"),1229.0)</f>
        <v>1229</v>
      </c>
      <c r="H394" s="40">
        <f>IFERROR(__xludf.DUMMYFUNCTION("(IMPORTRANGE(""https://docs.google.com/spreadsheets/d/1wMeol_MpSIcocGxt3WZGl46mJ2tc80mANPvP_YzaP18/edit"",""1!e37""))"),0.0)</f>
        <v>0</v>
      </c>
      <c r="I394" s="40">
        <f t="shared" si="1065"/>
        <v>1229</v>
      </c>
      <c r="J394" s="40">
        <f>IFERROR(__xludf.DUMMYFUNCTION("IMPORTRANGE(""https://docs.google.com/spreadsheets/d/1wMeol_MpSIcocGxt3WZGl46mJ2tc80mANPvP_YzaP18/edit"",""1!e40"")"),1740.0)</f>
        <v>1740</v>
      </c>
      <c r="K394" s="40">
        <f>IFERROR(__xludf.DUMMYFUNCTION("IMPORTRANGE(""https://docs.google.com/spreadsheets/d/1wMeol_MpSIcocGxt3WZGl46mJ2tc80mANPvP_YzaP18/edit"",""1!e41"")"),0.0)</f>
        <v>0</v>
      </c>
      <c r="L394" s="40">
        <f t="shared" si="1095"/>
        <v>1740</v>
      </c>
      <c r="M394" s="40">
        <f t="shared" si="1067"/>
        <v>2969</v>
      </c>
      <c r="N394" s="41">
        <f t="shared" si="1068"/>
        <v>196.979963</v>
      </c>
      <c r="O394" s="38">
        <v>3569.0</v>
      </c>
      <c r="P394" s="42">
        <f t="shared" si="1069"/>
        <v>0.8318856823</v>
      </c>
      <c r="Q394" s="43">
        <v>1.5</v>
      </c>
      <c r="R394" s="42">
        <f t="shared" si="1070"/>
        <v>0.3721629392</v>
      </c>
      <c r="S394" s="44">
        <f t="shared" si="1071"/>
        <v>0.5582444088</v>
      </c>
      <c r="T394" s="43">
        <f>F394/21.463</f>
        <v>247.7966268</v>
      </c>
      <c r="U394" s="43">
        <f t="shared" si="1072"/>
        <v>9.177652843</v>
      </c>
      <c r="V394" s="40">
        <f t="shared" si="1073"/>
        <v>109.962963</v>
      </c>
      <c r="X394" s="31">
        <v>5.0</v>
      </c>
      <c r="Y394" s="31" t="s">
        <v>40</v>
      </c>
      <c r="Z394" s="31">
        <f t="shared" ref="Z394:AI394" si="1098">SUM(D398)</f>
        <v>30</v>
      </c>
      <c r="AA394" s="32">
        <f t="shared" si="1098"/>
        <v>30</v>
      </c>
      <c r="AB394" s="33">
        <f t="shared" si="1098"/>
        <v>5660.157</v>
      </c>
      <c r="AC394" s="32">
        <f t="shared" si="1098"/>
        <v>3382</v>
      </c>
      <c r="AD394" s="32">
        <f t="shared" si="1098"/>
        <v>0</v>
      </c>
      <c r="AE394" s="32">
        <f t="shared" si="1098"/>
        <v>3382</v>
      </c>
      <c r="AF394" s="32">
        <f t="shared" si="1098"/>
        <v>3798</v>
      </c>
      <c r="AG394" s="32">
        <f t="shared" si="1098"/>
        <v>0</v>
      </c>
      <c r="AH394" s="32">
        <f t="shared" si="1098"/>
        <v>3798</v>
      </c>
      <c r="AI394" s="32">
        <f t="shared" si="1098"/>
        <v>7180</v>
      </c>
      <c r="AJ394" s="34">
        <f t="shared" si="1085"/>
        <v>188.6719</v>
      </c>
      <c r="AK394" s="31">
        <f t="shared" ref="AK394:AK395" si="1101">SUM(O398)</f>
        <v>8239</v>
      </c>
      <c r="AL394" s="35">
        <f t="shared" si="1087"/>
        <v>0.8714649836</v>
      </c>
      <c r="AM394" s="36">
        <f t="shared" ref="AM394:AM395" si="1102">SUM(Q398)</f>
        <v>1.5</v>
      </c>
      <c r="AN394" s="35">
        <f t="shared" si="1089"/>
        <v>0.8456773667</v>
      </c>
      <c r="AO394" s="37">
        <f t="shared" si="1090"/>
        <v>1.26851605</v>
      </c>
      <c r="AP394" s="36">
        <f t="shared" ref="AP394:AQ394" si="1099">SUM(T398)</f>
        <v>199</v>
      </c>
      <c r="AQ394" s="36">
        <f t="shared" si="1099"/>
        <v>6.633333333</v>
      </c>
      <c r="AR394" s="32">
        <f t="shared" si="1092"/>
        <v>239.3333333</v>
      </c>
    </row>
    <row r="395" ht="15.75" customHeight="1">
      <c r="A395" s="21"/>
      <c r="B395" s="38">
        <v>12.0</v>
      </c>
      <c r="C395" s="38" t="s">
        <v>41</v>
      </c>
      <c r="D395" s="39">
        <v>24.0</v>
      </c>
      <c r="E395" s="40">
        <f>IFERROR(__xludf.DUMMYFUNCTION("COUNT(IMPORTRANGE(""https://docs.google.com/spreadsheets/d/1sHk6_yuc4kORC_xnhEeazoemV_hVUQVqRpfoNae-PLk/edit"",""1!d2:d25""))"),24.0)</f>
        <v>24</v>
      </c>
      <c r="F395" s="45">
        <f>IFERROR(__xludf.DUMMYFUNCTION("SUM(IMPORTRANGE(""https://docs.google.com/spreadsheets/d/1sHk6_yuc4kORC_xnhEeazoemV_hVUQVqRpfoNae-PLk/edit"",""1!Q2:Q25""))"),4793.152000000001)</f>
        <v>4793.152</v>
      </c>
      <c r="G395" s="40">
        <f>IFERROR(__xludf.DUMMYFUNCTION("IMPORTRANGE(""https://docs.google.com/spreadsheets/d/1sHk6_yuc4kORC_xnhEeazoemV_hVUQVqRpfoNae-PLk/edit"",""1!e32"")"),1363.0)</f>
        <v>1363</v>
      </c>
      <c r="H395" s="40">
        <f>IFERROR(__xludf.DUMMYFUNCTION("IMPORTRANGE(""https://docs.google.com/spreadsheets/d/1sHk6_yuc4kORC_xnhEeazoemV_hVUQVqRpfoNae-PLk/edit"",""1!e33"")"),0.0)</f>
        <v>0</v>
      </c>
      <c r="I395" s="40">
        <f t="shared" si="1065"/>
        <v>1363</v>
      </c>
      <c r="J395" s="40">
        <f>IFERROR(__xludf.DUMMYFUNCTION("IMPORTRANGE(""https://docs.google.com/spreadsheets/d/1sHk6_yuc4kORC_xnhEeazoemV_hVUQVqRpfoNae-PLk/edit"",""1!e36"")"),1818.0)</f>
        <v>1818</v>
      </c>
      <c r="K395" s="40">
        <f>IFERROR(__xludf.DUMMYFUNCTION("IMPORTRANGE(""https://docs.google.com/spreadsheets/d/1sHk6_yuc4kORC_xnhEeazoemV_hVUQVqRpfoNae-PLk/edit"",""1!e37"")"),0.0)</f>
        <v>0</v>
      </c>
      <c r="L395" s="40">
        <f t="shared" si="1095"/>
        <v>1818</v>
      </c>
      <c r="M395" s="40">
        <f t="shared" si="1067"/>
        <v>3181</v>
      </c>
      <c r="N395" s="41">
        <f t="shared" si="1068"/>
        <v>199.7146667</v>
      </c>
      <c r="O395" s="38">
        <v>3801.0</v>
      </c>
      <c r="P395" s="42">
        <f t="shared" si="1069"/>
        <v>0.8368850303</v>
      </c>
      <c r="Q395" s="43">
        <v>1.5</v>
      </c>
      <c r="R395" s="42">
        <f t="shared" si="1070"/>
        <v>0.4424367653</v>
      </c>
      <c r="S395" s="44">
        <f t="shared" si="1071"/>
        <v>0.663655148</v>
      </c>
      <c r="T395" s="43">
        <f>F395/29.628</f>
        <v>161.7777778</v>
      </c>
      <c r="U395" s="43">
        <f t="shared" si="1072"/>
        <v>6.740740741</v>
      </c>
      <c r="V395" s="40">
        <f t="shared" si="1073"/>
        <v>132.5416667</v>
      </c>
      <c r="X395" s="22">
        <v>6.0</v>
      </c>
      <c r="Y395" s="22" t="s">
        <v>42</v>
      </c>
      <c r="Z395" s="22">
        <f t="shared" ref="Z395:AI395" si="1100">SUM(D399)</f>
        <v>33</v>
      </c>
      <c r="AA395" s="23">
        <f t="shared" si="1100"/>
        <v>33</v>
      </c>
      <c r="AB395" s="24">
        <f t="shared" si="1100"/>
        <v>6597.215</v>
      </c>
      <c r="AC395" s="23">
        <f t="shared" si="1100"/>
        <v>3014</v>
      </c>
      <c r="AD395" s="23">
        <f t="shared" si="1100"/>
        <v>234</v>
      </c>
      <c r="AE395" s="23">
        <f t="shared" si="1100"/>
        <v>3248</v>
      </c>
      <c r="AF395" s="23">
        <f t="shared" si="1100"/>
        <v>4605</v>
      </c>
      <c r="AG395" s="23">
        <f t="shared" si="1100"/>
        <v>108</v>
      </c>
      <c r="AH395" s="23">
        <f t="shared" si="1100"/>
        <v>4713</v>
      </c>
      <c r="AI395" s="23">
        <f t="shared" si="1100"/>
        <v>7961</v>
      </c>
      <c r="AJ395" s="25">
        <f t="shared" si="1085"/>
        <v>199.9156061</v>
      </c>
      <c r="AK395" s="22">
        <f t="shared" si="1101"/>
        <v>9877</v>
      </c>
      <c r="AL395" s="26">
        <f t="shared" si="1087"/>
        <v>0.8060139719</v>
      </c>
      <c r="AM395" s="27">
        <f t="shared" si="1102"/>
        <v>1.5</v>
      </c>
      <c r="AN395" s="26">
        <f t="shared" si="1089"/>
        <v>0.8044808807</v>
      </c>
      <c r="AO395" s="28">
        <f t="shared" si="1090"/>
        <v>1.206721321</v>
      </c>
      <c r="AP395" s="27">
        <f t="shared" ref="AP395:AQ395" si="1103">SUM(T399)</f>
        <v>252.2353279</v>
      </c>
      <c r="AQ395" s="27">
        <f t="shared" si="1103"/>
        <v>7.643494783</v>
      </c>
      <c r="AR395" s="23">
        <f t="shared" si="1092"/>
        <v>241.2424242</v>
      </c>
    </row>
    <row r="396" ht="15.75" customHeight="1">
      <c r="A396" s="21"/>
      <c r="B396" s="38">
        <v>13.0</v>
      </c>
      <c r="C396" s="38" t="s">
        <v>43</v>
      </c>
      <c r="D396" s="39">
        <v>30.0</v>
      </c>
      <c r="E396" s="40">
        <f>IFERROR(__xludf.DUMMYFUNCTION("COUNT(IMPORTRANGE(""https://docs.google.com/spreadsheets/d/1uGXvAN2jA6kmcEHUY4KqOHHewllZsujDdA6KVDfBCoA/edit"",""1!d2:d31""))"),30.0)</f>
        <v>30</v>
      </c>
      <c r="F396" s="45">
        <f>IFERROR(__xludf.DUMMYFUNCTION("SUM(IMPORTRANGE(""https://docs.google.com/spreadsheets/d/1uGXvAN2jA6kmcEHUY4KqOHHewllZsujDdA6KVDfBCoA/edit"",""1!Q2:Q31""))"),6034.986)</f>
        <v>6034.986</v>
      </c>
      <c r="G396" s="40">
        <f>IFERROR(__xludf.DUMMYFUNCTION("IMPORTRANGE(""https://docs.google.com/spreadsheets/d/1uGXvAN2jA6kmcEHUY4KqOHHewllZsujDdA6KVDfBCoA/edit"",""1!e38"")"),1876.0)</f>
        <v>1876</v>
      </c>
      <c r="H396" s="40">
        <f>IFERROR(__xludf.DUMMYFUNCTION("IMPORTRANGE(""https://docs.google.com/spreadsheets/d/1uGXvAN2jA6kmcEHUY4KqOHHewllZsujDdA6KVDfBCoA/edit"",""1!e39"")"),79.0)</f>
        <v>79</v>
      </c>
      <c r="I396" s="40">
        <f t="shared" si="1065"/>
        <v>1955</v>
      </c>
      <c r="J396" s="40">
        <f>IFERROR(__xludf.DUMMYFUNCTION("IMPORTRANGE(""https://docs.google.com/spreadsheets/d/1uGXvAN2jA6kmcEHUY4KqOHHewllZsujDdA6KVDfBCoA/edit"",""1!e42"")"),2967.0)</f>
        <v>2967</v>
      </c>
      <c r="K396" s="40">
        <f>IFERROR(__xludf.DUMMYFUNCTION("IMPORTRANGE(""https://docs.google.com/spreadsheets/d/1uGXvAN2jA6kmcEHUY4KqOHHewllZsujDdA6KVDfBCoA/edit"",""1!e43"")"),140.0)</f>
        <v>140</v>
      </c>
      <c r="L396" s="40">
        <f t="shared" si="1095"/>
        <v>3107</v>
      </c>
      <c r="M396" s="40">
        <f t="shared" si="1067"/>
        <v>5062</v>
      </c>
      <c r="N396" s="41">
        <f t="shared" si="1068"/>
        <v>201.1662</v>
      </c>
      <c r="O396" s="38">
        <v>8345.0</v>
      </c>
      <c r="P396" s="42">
        <f t="shared" si="1069"/>
        <v>0.6065907729</v>
      </c>
      <c r="Q396" s="43">
        <v>1.5</v>
      </c>
      <c r="R396" s="42">
        <f t="shared" si="1070"/>
        <v>0.5591838435</v>
      </c>
      <c r="S396" s="44">
        <f t="shared" si="1071"/>
        <v>0.8387757652</v>
      </c>
      <c r="T396" s="43">
        <f>F396/41.205</f>
        <v>146.4624681</v>
      </c>
      <c r="U396" s="43">
        <f t="shared" si="1072"/>
        <v>4.882082272</v>
      </c>
      <c r="V396" s="40">
        <f t="shared" si="1073"/>
        <v>168.7333333</v>
      </c>
      <c r="X396" s="46" t="s">
        <v>33</v>
      </c>
      <c r="Y396" s="46">
        <v>6.0</v>
      </c>
      <c r="Z396" s="46">
        <f t="shared" ref="Z396:AI396" si="1104">SUM(Z390:Z395)</f>
        <v>226</v>
      </c>
      <c r="AA396" s="47">
        <f t="shared" si="1104"/>
        <v>224</v>
      </c>
      <c r="AB396" s="49">
        <f t="shared" si="1104"/>
        <v>44273.509</v>
      </c>
      <c r="AC396" s="47">
        <f t="shared" si="1104"/>
        <v>17564</v>
      </c>
      <c r="AD396" s="47">
        <f t="shared" si="1104"/>
        <v>535</v>
      </c>
      <c r="AE396" s="47">
        <f t="shared" si="1104"/>
        <v>18099</v>
      </c>
      <c r="AF396" s="47">
        <f t="shared" si="1104"/>
        <v>24048</v>
      </c>
      <c r="AG396" s="47">
        <f t="shared" si="1104"/>
        <v>386</v>
      </c>
      <c r="AH396" s="47">
        <f t="shared" si="1104"/>
        <v>24434</v>
      </c>
      <c r="AI396" s="47">
        <f t="shared" si="1104"/>
        <v>42533</v>
      </c>
      <c r="AJ396" s="49">
        <f t="shared" si="1085"/>
        <v>197.6495938</v>
      </c>
      <c r="AK396" s="46">
        <f>SUM(AK390:AK395)</f>
        <v>53273</v>
      </c>
      <c r="AL396" s="50">
        <f t="shared" si="1087"/>
        <v>0.7983969365</v>
      </c>
      <c r="AM396" s="51">
        <v>1.5</v>
      </c>
      <c r="AN396" s="50">
        <f t="shared" si="1089"/>
        <v>0.6404582328</v>
      </c>
      <c r="AO396" s="52">
        <f t="shared" si="1090"/>
        <v>0.9606873492</v>
      </c>
      <c r="AP396" s="51">
        <f>SUM(AP390:AP395)</f>
        <v>1456.754836</v>
      </c>
      <c r="AQ396" s="51">
        <f>AP396/AA396</f>
        <v>6.503369804</v>
      </c>
      <c r="AR396" s="47">
        <f t="shared" si="1092"/>
        <v>189.8794643</v>
      </c>
    </row>
    <row r="397" ht="15.75" customHeight="1">
      <c r="A397" s="21"/>
      <c r="B397" s="38">
        <v>14.0</v>
      </c>
      <c r="C397" s="38" t="s">
        <v>27</v>
      </c>
      <c r="D397" s="39">
        <v>30.0</v>
      </c>
      <c r="E397" s="40">
        <f>IFERROR(__xludf.DUMMYFUNCTION("COUNT(IMPORTRANGE(""https://docs.google.com/spreadsheets/d/1iYtf3wkjJIgOL8ej0-L89wY8FLXKi6EiRbi9UqA1Bzw/edit"",""1!d2:d31""))"),29.0)</f>
        <v>29</v>
      </c>
      <c r="F397" s="45">
        <f>IFERROR(__xludf.DUMMYFUNCTION("SUM(IMPORTRANGE(""https://docs.google.com/spreadsheets/d/1iYtf3wkjJIgOL8ej0-L89wY8FLXKi6EiRbi9UqA1Bzw/edit"",""1!Q2:Q31""))"),5631.663000000001)</f>
        <v>5631.663</v>
      </c>
      <c r="G397" s="40">
        <f>IFERROR(__xludf.DUMMYFUNCTION("IMPORTRANGE(""https://docs.google.com/spreadsheets/d/1iYtf3wkjJIgOL8ej0-L89wY8FLXKi6EiRbi9UqA1Bzw/edit"",""1!e38"")"),2486.0)</f>
        <v>2486</v>
      </c>
      <c r="H397" s="40">
        <f>IFERROR(__xludf.DUMMYFUNCTION("IMPORTRANGE(""https://docs.google.com/spreadsheets/d/1iYtf3wkjJIgOL8ej0-L89wY8FLXKi6EiRbi9UqA1Bzw/edit"",""1!e39"")"),80.0)</f>
        <v>80</v>
      </c>
      <c r="I397" s="40">
        <f t="shared" si="1065"/>
        <v>2566</v>
      </c>
      <c r="J397" s="40">
        <f>IFERROR(__xludf.DUMMYFUNCTION("IMPORTRANGE(""https://docs.google.com/spreadsheets/d/1iYtf3wkjJIgOL8ej0-L89wY8FLXKi6EiRbi9UqA1Bzw/edit"",""1!e42"")"),2945.0)</f>
        <v>2945</v>
      </c>
      <c r="K397" s="40">
        <f>IFERROR(__xludf.DUMMYFUNCTION("IMPORTRANGE(""https://docs.google.com/spreadsheets/d/1iYtf3wkjJIgOL8ej0-L89wY8FLXKi6EiRbi9UqA1Bzw/edit"",""1!e43"")"),88.0)</f>
        <v>88</v>
      </c>
      <c r="L397" s="40">
        <f t="shared" si="1095"/>
        <v>3033</v>
      </c>
      <c r="M397" s="40">
        <f t="shared" si="1067"/>
        <v>5599</v>
      </c>
      <c r="N397" s="41">
        <f t="shared" si="1068"/>
        <v>194.1952759</v>
      </c>
      <c r="O397" s="38">
        <v>8101.0</v>
      </c>
      <c r="P397" s="42">
        <f t="shared" si="1069"/>
        <v>0.6911492408</v>
      </c>
      <c r="Q397" s="43">
        <v>1.5</v>
      </c>
      <c r="R397" s="42">
        <f t="shared" si="1070"/>
        <v>0.6628000764</v>
      </c>
      <c r="S397" s="44">
        <f t="shared" si="1071"/>
        <v>0.9942001146</v>
      </c>
      <c r="T397" s="43">
        <f>F397/19.985</f>
        <v>281.7944959</v>
      </c>
      <c r="U397" s="43">
        <f t="shared" si="1072"/>
        <v>9.717051582</v>
      </c>
      <c r="V397" s="40">
        <f t="shared" si="1073"/>
        <v>193.0689655</v>
      </c>
      <c r="X397" s="59" t="s">
        <v>44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6"/>
    </row>
    <row r="398" ht="15.75" customHeight="1">
      <c r="A398" s="21"/>
      <c r="B398" s="38">
        <v>15.0</v>
      </c>
      <c r="C398" s="38" t="s">
        <v>40</v>
      </c>
      <c r="D398" s="39">
        <v>30.0</v>
      </c>
      <c r="E398" s="40">
        <f>IFERROR(__xludf.DUMMYFUNCTION("COUNT(IMPORTRANGE(""https://docs.google.com/spreadsheets/d/1Wdf8MsoDBzMSsrzOXwaGQzbVjVqOWfKSqYmbncevZgA/edit"",""1!d2:d31""))"),30.0)</f>
        <v>30</v>
      </c>
      <c r="F398" s="45">
        <f>IFERROR(__xludf.DUMMYFUNCTION("SUM(IMPORTRANGE(""https://docs.google.com/spreadsheets/d/1Wdf8MsoDBzMSsrzOXwaGQzbVjVqOWfKSqYmbncevZgA/edit"",""1!Q2:Q31""))"),5660.156999999998)</f>
        <v>5660.157</v>
      </c>
      <c r="G398" s="40">
        <f>IFERROR(__xludf.DUMMYFUNCTION("IMPORTRANGE(""https://docs.google.com/spreadsheets/d/1Wdf8MsoDBzMSsrzOXwaGQzbVjVqOWfKSqYmbncevZgA/edit"",""1!e38"")"),3382.0)</f>
        <v>3382</v>
      </c>
      <c r="H398" s="40">
        <f>IFERROR(__xludf.DUMMYFUNCTION("IMPORTRANGE(""https://docs.google.com/spreadsheets/d/1Wdf8MsoDBzMSsrzOXwaGQzbVjVqOWfKSqYmbncevZgA/edit"",""1!e39"")"),0.0)</f>
        <v>0</v>
      </c>
      <c r="I398" s="40">
        <f t="shared" si="1065"/>
        <v>3382</v>
      </c>
      <c r="J398" s="40">
        <f>IFERROR(__xludf.DUMMYFUNCTION("IMPORTRANGE(""https://docs.google.com/spreadsheets/d/1Wdf8MsoDBzMSsrzOXwaGQzbVjVqOWfKSqYmbncevZgA/edit"",""1!e42"")"),3798.0)</f>
        <v>3798</v>
      </c>
      <c r="K398" s="40">
        <f>IFERROR(__xludf.DUMMYFUNCTION("IMPORTRANGE(""https://docs.google.com/spreadsheets/d/1Wdf8MsoDBzMSsrzOXwaGQzbVjVqOWfKSqYmbncevZgA/edit"",""1!e43"")"),0.0)</f>
        <v>0</v>
      </c>
      <c r="L398" s="40">
        <f t="shared" si="1095"/>
        <v>3798</v>
      </c>
      <c r="M398" s="40">
        <f t="shared" si="1067"/>
        <v>7180</v>
      </c>
      <c r="N398" s="41">
        <f t="shared" si="1068"/>
        <v>188.6719</v>
      </c>
      <c r="O398" s="38">
        <v>8239.0</v>
      </c>
      <c r="P398" s="42">
        <f t="shared" si="1069"/>
        <v>0.8714649836</v>
      </c>
      <c r="Q398" s="43">
        <v>1.5</v>
      </c>
      <c r="R398" s="42">
        <f t="shared" si="1070"/>
        <v>0.8456773667</v>
      </c>
      <c r="S398" s="44">
        <f t="shared" si="1071"/>
        <v>1.26851605</v>
      </c>
      <c r="T398" s="43">
        <f>F398/28.443</f>
        <v>199</v>
      </c>
      <c r="U398" s="43">
        <f t="shared" si="1072"/>
        <v>6.633333333</v>
      </c>
      <c r="V398" s="40">
        <f t="shared" si="1073"/>
        <v>239.3333333</v>
      </c>
      <c r="X398" s="14" t="s">
        <v>2</v>
      </c>
      <c r="Y398" s="14" t="s">
        <v>3</v>
      </c>
      <c r="Z398" s="14" t="s">
        <v>4</v>
      </c>
      <c r="AA398" s="14" t="s">
        <v>5</v>
      </c>
      <c r="AB398" s="15" t="s">
        <v>6</v>
      </c>
      <c r="AC398" s="14" t="s">
        <v>7</v>
      </c>
      <c r="AD398" s="14" t="s">
        <v>8</v>
      </c>
      <c r="AE398" s="14" t="s">
        <v>9</v>
      </c>
      <c r="AF398" s="14" t="s">
        <v>10</v>
      </c>
      <c r="AG398" s="14" t="s">
        <v>11</v>
      </c>
      <c r="AH398" s="14" t="s">
        <v>12</v>
      </c>
      <c r="AI398" s="14" t="s">
        <v>13</v>
      </c>
      <c r="AJ398" s="15" t="s">
        <v>14</v>
      </c>
      <c r="AK398" s="14" t="s">
        <v>15</v>
      </c>
      <c r="AL398" s="14" t="s">
        <v>16</v>
      </c>
      <c r="AM398" s="16" t="s">
        <v>17</v>
      </c>
      <c r="AN398" s="17" t="s">
        <v>18</v>
      </c>
      <c r="AO398" s="18" t="s">
        <v>19</v>
      </c>
      <c r="AP398" s="19" t="s">
        <v>20</v>
      </c>
      <c r="AQ398" s="19" t="s">
        <v>21</v>
      </c>
      <c r="AR398" s="20" t="s">
        <v>22</v>
      </c>
    </row>
    <row r="399" ht="15.75" customHeight="1">
      <c r="A399" s="21"/>
      <c r="B399" s="38">
        <v>16.0</v>
      </c>
      <c r="C399" s="38" t="s">
        <v>42</v>
      </c>
      <c r="D399" s="39">
        <v>33.0</v>
      </c>
      <c r="E399" s="40">
        <f>IFERROR(__xludf.DUMMYFUNCTION("COUNT(IMPORTRANGE(""https://docs.google.com/spreadsheets/d/1Z5uB5HbeAKcHmG4EOw3rf2J8NpyvDiha6RReERAMvA0/edit"",""1!d2:d34""))"),33.0)</f>
        <v>33</v>
      </c>
      <c r="F399" s="45">
        <f>IFERROR(__xludf.DUMMYFUNCTION("SUM(IMPORTRANGE(""https://docs.google.com/spreadsheets/d/1Z5uB5HbeAKcHmG4EOw3rf2J8NpyvDiha6RReERAMvA0/edit"",""1!Q2:Q34""))"),6597.214999999997)</f>
        <v>6597.215</v>
      </c>
      <c r="G399" s="40">
        <f>IFERROR(__xludf.DUMMYFUNCTION("IMPORTRANGE(""https://docs.google.com/spreadsheets/d/1Z5uB5HbeAKcHmG4EOw3rf2J8NpyvDiha6RReERAMvA0/edit"",""1!e41"")"),3014.0)</f>
        <v>3014</v>
      </c>
      <c r="H399" s="40">
        <f>IFERROR(__xludf.DUMMYFUNCTION("IMPORTRANGE(""https://docs.google.com/spreadsheets/d/1Z5uB5HbeAKcHmG4EOw3rf2J8NpyvDiha6RReERAMvA0/edit"",""1!e42"")"),234.0)</f>
        <v>234</v>
      </c>
      <c r="I399" s="40">
        <f t="shared" si="1065"/>
        <v>3248</v>
      </c>
      <c r="J399" s="40">
        <f>IFERROR(__xludf.DUMMYFUNCTION("IMPORTRANGE(""https://docs.google.com/spreadsheets/d/1Z5uB5HbeAKcHmG4EOw3rf2J8NpyvDiha6RReERAMvA0/edit"",""1!e45"")"),4605.0)</f>
        <v>4605</v>
      </c>
      <c r="K399" s="40">
        <f>IFERROR(__xludf.DUMMYFUNCTION("IMPORTRANGE(""https://docs.google.com/spreadsheets/d/1Z5uB5HbeAKcHmG4EOw3rf2J8NpyvDiha6RReERAMvA0/edit"",""1!e46"")"),108.0)</f>
        <v>108</v>
      </c>
      <c r="L399" s="40">
        <f t="shared" si="1095"/>
        <v>4713</v>
      </c>
      <c r="M399" s="40">
        <f t="shared" si="1067"/>
        <v>7961</v>
      </c>
      <c r="N399" s="41">
        <f t="shared" si="1068"/>
        <v>199.9156061</v>
      </c>
      <c r="O399" s="38">
        <v>9877.0</v>
      </c>
      <c r="P399" s="42">
        <f t="shared" si="1069"/>
        <v>0.8060139719</v>
      </c>
      <c r="Q399" s="43">
        <v>1.5</v>
      </c>
      <c r="R399" s="42">
        <f t="shared" si="1070"/>
        <v>0.8044808807</v>
      </c>
      <c r="S399" s="44">
        <f t="shared" si="1071"/>
        <v>1.206721321</v>
      </c>
      <c r="T399" s="43">
        <f>F399/26.155</f>
        <v>252.2353279</v>
      </c>
      <c r="U399" s="43">
        <f t="shared" si="1072"/>
        <v>7.643494783</v>
      </c>
      <c r="V399" s="40">
        <f t="shared" si="1073"/>
        <v>241.2424242</v>
      </c>
      <c r="X399" s="31">
        <v>1.0</v>
      </c>
      <c r="Y399" s="31" t="s">
        <v>26</v>
      </c>
      <c r="Z399" s="31">
        <f t="shared" ref="Z399:AI399" si="1105">SUM(D384)</f>
        <v>20</v>
      </c>
      <c r="AA399" s="32">
        <f t="shared" si="1105"/>
        <v>20</v>
      </c>
      <c r="AB399" s="34">
        <f t="shared" si="1105"/>
        <v>3935.295</v>
      </c>
      <c r="AC399" s="32">
        <f t="shared" si="1105"/>
        <v>2229</v>
      </c>
      <c r="AD399" s="32">
        <f t="shared" si="1105"/>
        <v>0</v>
      </c>
      <c r="AE399" s="32">
        <f t="shared" si="1105"/>
        <v>2229</v>
      </c>
      <c r="AF399" s="32">
        <f t="shared" si="1105"/>
        <v>2661</v>
      </c>
      <c r="AG399" s="32">
        <f t="shared" si="1105"/>
        <v>47</v>
      </c>
      <c r="AH399" s="32">
        <f t="shared" si="1105"/>
        <v>2708</v>
      </c>
      <c r="AI399" s="32">
        <f t="shared" si="1105"/>
        <v>4937</v>
      </c>
      <c r="AJ399" s="34">
        <f t="shared" ref="AJ399:AJ405" si="1108">AB399/AA399</f>
        <v>196.76475</v>
      </c>
      <c r="AK399" s="31">
        <f>SUM(O384)</f>
        <v>5161</v>
      </c>
      <c r="AL399" s="35">
        <f t="shared" ref="AL399:AL405" si="1109">AI399/AK399</f>
        <v>0.9565975586</v>
      </c>
      <c r="AM399" s="36">
        <f>SUM(Q384)</f>
        <v>1.5</v>
      </c>
      <c r="AN399" s="35">
        <f t="shared" ref="AN399:AN405" si="1110">AO399/AM399</f>
        <v>0.8363625429</v>
      </c>
      <c r="AO399" s="37">
        <f t="shared" ref="AO399:AO405" si="1111">AI399/AB399</f>
        <v>1.254543814</v>
      </c>
      <c r="AP399" s="36">
        <f t="shared" ref="AP399:AQ399" si="1106">SUM(T384)</f>
        <v>273</v>
      </c>
      <c r="AQ399" s="36">
        <f t="shared" si="1106"/>
        <v>13.65</v>
      </c>
      <c r="AR399" s="32">
        <f t="shared" ref="AR399:AR405" si="1113">AI399/AA399</f>
        <v>246.85</v>
      </c>
    </row>
    <row r="400" ht="15.75" customHeight="1">
      <c r="A400" s="21"/>
      <c r="B400" s="38">
        <v>17.0</v>
      </c>
      <c r="C400" s="38" t="s">
        <v>29</v>
      </c>
      <c r="D400" s="39">
        <v>30.0</v>
      </c>
      <c r="E400" s="40">
        <f>IFERROR(__xludf.DUMMYFUNCTION("COUNT(IMPORTRANGE(""https://docs.google.com/spreadsheets/d/1wfJqI0e9wVPqEQv3N6b8KgINjqI0OBECEyIFeY9j3i8/edit"",""1!d2:d31""))"),29.0)</f>
        <v>29</v>
      </c>
      <c r="F400" s="45">
        <f>IFERROR(__xludf.DUMMYFUNCTION("SUM(IMPORTRANGE(""https://docs.google.com/spreadsheets/d/1wfJqI0e9wVPqEQv3N6b8KgINjqI0OBECEyIFeY9j3i8/edit"",""1!Q2:Q31""))"),5722.055999999998)</f>
        <v>5722.056</v>
      </c>
      <c r="G400" s="40">
        <f>IFERROR(__xludf.DUMMYFUNCTION("IMPORTRANGE(""https://docs.google.com/spreadsheets/d/1wfJqI0e9wVPqEQv3N6b8KgINjqI0OBECEyIFeY9j3i8/edit"",""1!e38"")"),2610.0)</f>
        <v>2610</v>
      </c>
      <c r="H400" s="40">
        <f>IFERROR(__xludf.DUMMYFUNCTION("IMPORTRANGE(""https://docs.google.com/spreadsheets/d/1wfJqI0e9wVPqEQv3N6b8KgINjqI0OBECEyIFeY9j3i8/edit"",""1!e39"")"),0.0)</f>
        <v>0</v>
      </c>
      <c r="I400" s="40">
        <f t="shared" si="1065"/>
        <v>2610</v>
      </c>
      <c r="J400" s="40">
        <f>IFERROR(__xludf.DUMMYFUNCTION("IMPORTRANGE(""https://docs.google.com/spreadsheets/d/1wfJqI0e9wVPqEQv3N6b8KgINjqI0OBECEyIFeY9j3i8/edit"",""1!e42"")"),4378.0)</f>
        <v>4378</v>
      </c>
      <c r="K400" s="40">
        <f>IFERROR(__xludf.DUMMYFUNCTION("IMPORTRANGE(""https://docs.google.com/spreadsheets/d/1wfJqI0e9wVPqEQv3N6b8KgINjqI0OBECEyIFeY9j3i8/edit"",""1!e43"")"),0.0)</f>
        <v>0</v>
      </c>
      <c r="L400" s="40">
        <f t="shared" si="1095"/>
        <v>4378</v>
      </c>
      <c r="M400" s="40">
        <f t="shared" si="1067"/>
        <v>6988</v>
      </c>
      <c r="N400" s="41">
        <f t="shared" si="1068"/>
        <v>197.3122759</v>
      </c>
      <c r="O400" s="38">
        <v>9201.0</v>
      </c>
      <c r="P400" s="42">
        <f t="shared" si="1069"/>
        <v>0.7594826649</v>
      </c>
      <c r="Q400" s="43">
        <v>1.5</v>
      </c>
      <c r="R400" s="42">
        <f t="shared" si="1070"/>
        <v>0.8141595725</v>
      </c>
      <c r="S400" s="44">
        <f t="shared" si="1071"/>
        <v>1.221239359</v>
      </c>
      <c r="T400" s="43">
        <f>F400/26.491</f>
        <v>216</v>
      </c>
      <c r="U400" s="43">
        <f t="shared" si="1072"/>
        <v>7.448275862</v>
      </c>
      <c r="V400" s="40">
        <f t="shared" si="1073"/>
        <v>240.9655172</v>
      </c>
      <c r="X400" s="31">
        <v>2.0</v>
      </c>
      <c r="Y400" s="31" t="s">
        <v>32</v>
      </c>
      <c r="Z400" s="31">
        <f t="shared" ref="Z400:AI400" si="1107">SUM(D387)</f>
        <v>42</v>
      </c>
      <c r="AA400" s="32">
        <f t="shared" si="1107"/>
        <v>42</v>
      </c>
      <c r="AB400" s="33">
        <f t="shared" si="1107"/>
        <v>8240.662</v>
      </c>
      <c r="AC400" s="31">
        <f t="shared" si="1107"/>
        <v>4515</v>
      </c>
      <c r="AD400" s="31">
        <f t="shared" si="1107"/>
        <v>0</v>
      </c>
      <c r="AE400" s="32">
        <f t="shared" si="1107"/>
        <v>4515</v>
      </c>
      <c r="AF400" s="31">
        <f t="shared" si="1107"/>
        <v>5726</v>
      </c>
      <c r="AG400" s="31">
        <f t="shared" si="1107"/>
        <v>0</v>
      </c>
      <c r="AH400" s="32">
        <f t="shared" si="1107"/>
        <v>5726</v>
      </c>
      <c r="AI400" s="32">
        <f t="shared" si="1107"/>
        <v>10241</v>
      </c>
      <c r="AJ400" s="34">
        <f t="shared" si="1108"/>
        <v>196.2062381</v>
      </c>
      <c r="AK400" s="31">
        <f>SUM(O387)</f>
        <v>13817</v>
      </c>
      <c r="AL400" s="35">
        <f t="shared" si="1109"/>
        <v>0.7411883911</v>
      </c>
      <c r="AM400" s="36">
        <f>SUM(Q387)</f>
        <v>1.5</v>
      </c>
      <c r="AN400" s="35">
        <f t="shared" si="1110"/>
        <v>0.8284933096</v>
      </c>
      <c r="AO400" s="37">
        <f t="shared" si="1111"/>
        <v>1.242739964</v>
      </c>
      <c r="AP400" s="36">
        <f t="shared" ref="AP400:AQ400" si="1112">SUM(T387)</f>
        <v>328.4571725</v>
      </c>
      <c r="AQ400" s="36">
        <f t="shared" si="1112"/>
        <v>7.820408868</v>
      </c>
      <c r="AR400" s="32">
        <f t="shared" si="1113"/>
        <v>243.8333333</v>
      </c>
    </row>
    <row r="401" ht="15.75" customHeight="1">
      <c r="A401" s="21"/>
      <c r="B401" s="38">
        <v>18.0</v>
      </c>
      <c r="C401" s="38" t="s">
        <v>31</v>
      </c>
      <c r="D401" s="39">
        <v>15.0</v>
      </c>
      <c r="E401" s="40">
        <f>IFERROR(__xludf.DUMMYFUNCTION("COUNT(IMPORTRANGE(""https://docs.google.com/spreadsheets/d/1-y2KhTAo7d8kowgUuWUDfRQuRMUAFteRYEXorT3_wOs/edit"",""1!d2:d16""))"),14.0)</f>
        <v>14</v>
      </c>
      <c r="F401" s="41">
        <f>IFERROR(__xludf.DUMMYFUNCTION("SUM(IMPORTRANGE(""https://docs.google.com/spreadsheets/d/1-y2KhTAo7d8kowgUuWUDfRQuRMUAFteRYEXorT3_wOs/edit"",""1!Q2:Q16""))"),2520.9699999999993)</f>
        <v>2520.97</v>
      </c>
      <c r="G401" s="40">
        <f>IFERROR(__xludf.DUMMYFUNCTION("IMPORTRANGE(""https://docs.google.com/spreadsheets/d/1-y2KhTAo7d8kowgUuWUDfRQuRMUAFteRYEXorT3_wOs/edit"",""1!e23"")"),633.0)</f>
        <v>633</v>
      </c>
      <c r="H401" s="40">
        <f>IFERROR(__xludf.DUMMYFUNCTION("IMPORTRANGE(""https://docs.google.com/spreadsheets/d/1-y2KhTAo7d8kowgUuWUDfRQuRMUAFteRYEXorT3_wOs/edit"",""1!e24"")"),0.0)</f>
        <v>0</v>
      </c>
      <c r="I401" s="40">
        <f t="shared" si="1065"/>
        <v>633</v>
      </c>
      <c r="J401" s="40">
        <f>IFERROR(__xludf.DUMMYFUNCTION("IMPORTRANGE(""https://docs.google.com/spreadsheets/d/1-y2KhTAo7d8kowgUuWUDfRQuRMUAFteRYEXorT3_wOs/edit"",""1!e27"")"),1148.0)</f>
        <v>1148</v>
      </c>
      <c r="K401" s="40">
        <f>IFERROR(__xludf.DUMMYFUNCTION("IMPORTRANGE(""https://docs.google.com/spreadsheets/d/1-y2KhTAo7d8kowgUuWUDfRQuRMUAFteRYEXorT3_wOs/edit"",""1!e28"")"),15.0)</f>
        <v>15</v>
      </c>
      <c r="L401" s="40">
        <f t="shared" si="1095"/>
        <v>1163</v>
      </c>
      <c r="M401" s="40">
        <f t="shared" si="1067"/>
        <v>1796</v>
      </c>
      <c r="N401" s="41">
        <f t="shared" si="1068"/>
        <v>180.0692857</v>
      </c>
      <c r="O401" s="38">
        <v>2717.0</v>
      </c>
      <c r="P401" s="42">
        <f t="shared" si="1069"/>
        <v>0.6610231873</v>
      </c>
      <c r="Q401" s="43">
        <v>1.5</v>
      </c>
      <c r="R401" s="42">
        <f t="shared" si="1070"/>
        <v>0.4749494573</v>
      </c>
      <c r="S401" s="44">
        <f t="shared" si="1071"/>
        <v>0.7124241859</v>
      </c>
      <c r="T401" s="43">
        <f>F401/43.465</f>
        <v>58</v>
      </c>
      <c r="U401" s="43">
        <f t="shared" si="1072"/>
        <v>4.142857143</v>
      </c>
      <c r="V401" s="40">
        <f t="shared" si="1073"/>
        <v>128.2857143</v>
      </c>
      <c r="X401" s="31">
        <v>3.0</v>
      </c>
      <c r="Y401" s="31" t="s">
        <v>36</v>
      </c>
      <c r="Z401" s="31">
        <f t="shared" ref="Z401:AI401" si="1114">SUM(D392)</f>
        <v>30</v>
      </c>
      <c r="AA401" s="32">
        <f t="shared" si="1114"/>
        <v>29</v>
      </c>
      <c r="AB401" s="33">
        <f t="shared" si="1114"/>
        <v>4875.345</v>
      </c>
      <c r="AC401" s="32">
        <f t="shared" si="1114"/>
        <v>1728</v>
      </c>
      <c r="AD401" s="32">
        <f t="shared" si="1114"/>
        <v>0</v>
      </c>
      <c r="AE401" s="32">
        <f t="shared" si="1114"/>
        <v>1728</v>
      </c>
      <c r="AF401" s="32">
        <f t="shared" si="1114"/>
        <v>2407</v>
      </c>
      <c r="AG401" s="32">
        <f t="shared" si="1114"/>
        <v>20</v>
      </c>
      <c r="AH401" s="32">
        <f t="shared" si="1114"/>
        <v>2427</v>
      </c>
      <c r="AI401" s="32">
        <f t="shared" si="1114"/>
        <v>4155</v>
      </c>
      <c r="AJ401" s="34">
        <f t="shared" si="1108"/>
        <v>168.1153448</v>
      </c>
      <c r="AK401" s="31">
        <f t="shared" ref="AK401:AK404" si="1118">SUM(O392)</f>
        <v>4796</v>
      </c>
      <c r="AL401" s="35">
        <f t="shared" si="1109"/>
        <v>0.8663469558</v>
      </c>
      <c r="AM401" s="36">
        <f t="shared" ref="AM401:AM404" si="1119">SUM(Q392)</f>
        <v>1.5</v>
      </c>
      <c r="AN401" s="35">
        <f t="shared" si="1110"/>
        <v>0.5681649196</v>
      </c>
      <c r="AO401" s="37">
        <f t="shared" si="1111"/>
        <v>0.8522473794</v>
      </c>
      <c r="AP401" s="36">
        <f t="shared" ref="AP401:AQ401" si="1115">SUM(T392)</f>
        <v>130.3080398</v>
      </c>
      <c r="AQ401" s="36">
        <f t="shared" si="1115"/>
        <v>4.493380682</v>
      </c>
      <c r="AR401" s="32">
        <f t="shared" si="1113"/>
        <v>143.2758621</v>
      </c>
    </row>
    <row r="402" ht="15.75" customHeight="1">
      <c r="A402" s="21"/>
      <c r="B402" s="60" t="s">
        <v>33</v>
      </c>
      <c r="C402" s="60">
        <v>18.0</v>
      </c>
      <c r="D402" s="60">
        <f t="shared" ref="D402:M402" si="1116">SUM(D384:D401)</f>
        <v>586</v>
      </c>
      <c r="E402" s="61">
        <f t="shared" si="1116"/>
        <v>576</v>
      </c>
      <c r="F402" s="62">
        <f t="shared" si="1116"/>
        <v>111449.623</v>
      </c>
      <c r="G402" s="61">
        <f t="shared" si="1116"/>
        <v>41757</v>
      </c>
      <c r="H402" s="61">
        <f t="shared" si="1116"/>
        <v>946</v>
      </c>
      <c r="I402" s="61">
        <f t="shared" si="1116"/>
        <v>42703</v>
      </c>
      <c r="J402" s="61">
        <f t="shared" si="1116"/>
        <v>57855</v>
      </c>
      <c r="K402" s="61">
        <f t="shared" si="1116"/>
        <v>875</v>
      </c>
      <c r="L402" s="61">
        <f t="shared" si="1116"/>
        <v>58730</v>
      </c>
      <c r="M402" s="61">
        <f t="shared" si="1116"/>
        <v>101433</v>
      </c>
      <c r="N402" s="62">
        <f t="shared" si="1068"/>
        <v>193.4889288</v>
      </c>
      <c r="O402" s="60">
        <f>SUM(O384:O401)</f>
        <v>126399</v>
      </c>
      <c r="P402" s="63">
        <f t="shared" si="1069"/>
        <v>0.8024826146</v>
      </c>
      <c r="Q402" s="64">
        <v>1.5</v>
      </c>
      <c r="R402" s="63">
        <f t="shared" si="1070"/>
        <v>0.6067494728</v>
      </c>
      <c r="S402" s="65">
        <f t="shared" si="1071"/>
        <v>0.9101242092</v>
      </c>
      <c r="T402" s="64">
        <f>SUM(T384:T401)</f>
        <v>4122.022266</v>
      </c>
      <c r="U402" s="64">
        <f t="shared" si="1072"/>
        <v>7.156288656</v>
      </c>
      <c r="V402" s="61">
        <f t="shared" si="1073"/>
        <v>176.0989583</v>
      </c>
      <c r="X402" s="31">
        <v>4.0</v>
      </c>
      <c r="Y402" s="31" t="s">
        <v>37</v>
      </c>
      <c r="Z402" s="31">
        <f t="shared" ref="Z402:AI402" si="1117">SUM(D393)</f>
        <v>30</v>
      </c>
      <c r="AA402" s="32">
        <f t="shared" si="1117"/>
        <v>28</v>
      </c>
      <c r="AB402" s="33">
        <f t="shared" si="1117"/>
        <v>5465.1</v>
      </c>
      <c r="AC402" s="32">
        <f t="shared" si="1117"/>
        <v>2135</v>
      </c>
      <c r="AD402" s="32">
        <f t="shared" si="1117"/>
        <v>0</v>
      </c>
      <c r="AE402" s="32">
        <f t="shared" si="1117"/>
        <v>2135</v>
      </c>
      <c r="AF402" s="32">
        <f t="shared" si="1117"/>
        <v>3182</v>
      </c>
      <c r="AG402" s="32">
        <f t="shared" si="1117"/>
        <v>0</v>
      </c>
      <c r="AH402" s="32">
        <f t="shared" si="1117"/>
        <v>3182</v>
      </c>
      <c r="AI402" s="32">
        <f t="shared" si="1117"/>
        <v>5317</v>
      </c>
      <c r="AJ402" s="34">
        <f t="shared" si="1108"/>
        <v>195.1821429</v>
      </c>
      <c r="AK402" s="31">
        <f t="shared" si="1118"/>
        <v>5887</v>
      </c>
      <c r="AL402" s="35">
        <f t="shared" si="1109"/>
        <v>0.9031764906</v>
      </c>
      <c r="AM402" s="36">
        <f t="shared" si="1119"/>
        <v>1.5</v>
      </c>
      <c r="AN402" s="35">
        <f t="shared" si="1110"/>
        <v>0.6486005136</v>
      </c>
      <c r="AO402" s="37">
        <f t="shared" si="1111"/>
        <v>0.9729007703</v>
      </c>
      <c r="AP402" s="36">
        <f t="shared" ref="AP402:AQ402" si="1120">SUM(T393)</f>
        <v>220.4380445</v>
      </c>
      <c r="AQ402" s="36">
        <f t="shared" si="1120"/>
        <v>7.872787305</v>
      </c>
      <c r="AR402" s="32">
        <f t="shared" si="1113"/>
        <v>189.8928571</v>
      </c>
    </row>
    <row r="403" ht="15.7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X403" s="31">
        <v>5.0</v>
      </c>
      <c r="Y403" s="31" t="s">
        <v>39</v>
      </c>
      <c r="Z403" s="31">
        <f t="shared" ref="Z403:AI403" si="1121">SUM(D394)</f>
        <v>28</v>
      </c>
      <c r="AA403" s="32">
        <f t="shared" si="1121"/>
        <v>27</v>
      </c>
      <c r="AB403" s="33">
        <f t="shared" si="1121"/>
        <v>5318.459</v>
      </c>
      <c r="AC403" s="32">
        <f t="shared" si="1121"/>
        <v>1229</v>
      </c>
      <c r="AD403" s="32">
        <f t="shared" si="1121"/>
        <v>0</v>
      </c>
      <c r="AE403" s="32">
        <f t="shared" si="1121"/>
        <v>1229</v>
      </c>
      <c r="AF403" s="32">
        <f t="shared" si="1121"/>
        <v>1740</v>
      </c>
      <c r="AG403" s="32">
        <f t="shared" si="1121"/>
        <v>0</v>
      </c>
      <c r="AH403" s="32">
        <f t="shared" si="1121"/>
        <v>1740</v>
      </c>
      <c r="AI403" s="32">
        <f t="shared" si="1121"/>
        <v>2969</v>
      </c>
      <c r="AJ403" s="34">
        <f t="shared" si="1108"/>
        <v>196.979963</v>
      </c>
      <c r="AK403" s="31">
        <f t="shared" si="1118"/>
        <v>3569</v>
      </c>
      <c r="AL403" s="35">
        <f t="shared" si="1109"/>
        <v>0.8318856823</v>
      </c>
      <c r="AM403" s="36">
        <f t="shared" si="1119"/>
        <v>1.5</v>
      </c>
      <c r="AN403" s="35">
        <f t="shared" si="1110"/>
        <v>0.3721629392</v>
      </c>
      <c r="AO403" s="37">
        <f t="shared" si="1111"/>
        <v>0.5582444088</v>
      </c>
      <c r="AP403" s="36">
        <f t="shared" ref="AP403:AQ403" si="1122">SUM(T394)</f>
        <v>247.7966268</v>
      </c>
      <c r="AQ403" s="36">
        <f t="shared" si="1122"/>
        <v>9.177652843</v>
      </c>
      <c r="AR403" s="32">
        <f t="shared" si="1113"/>
        <v>109.962963</v>
      </c>
    </row>
    <row r="404" ht="15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X404" s="31">
        <v>6.0</v>
      </c>
      <c r="Y404" s="31" t="s">
        <v>41</v>
      </c>
      <c r="Z404" s="31">
        <f t="shared" ref="Z404:AI404" si="1123">SUM(D395)</f>
        <v>24</v>
      </c>
      <c r="AA404" s="32">
        <f t="shared" si="1123"/>
        <v>24</v>
      </c>
      <c r="AB404" s="33">
        <f t="shared" si="1123"/>
        <v>4793.152</v>
      </c>
      <c r="AC404" s="32">
        <f t="shared" si="1123"/>
        <v>1363</v>
      </c>
      <c r="AD404" s="32">
        <f t="shared" si="1123"/>
        <v>0</v>
      </c>
      <c r="AE404" s="32">
        <f t="shared" si="1123"/>
        <v>1363</v>
      </c>
      <c r="AF404" s="32">
        <f t="shared" si="1123"/>
        <v>1818</v>
      </c>
      <c r="AG404" s="32">
        <f t="shared" si="1123"/>
        <v>0</v>
      </c>
      <c r="AH404" s="32">
        <f t="shared" si="1123"/>
        <v>1818</v>
      </c>
      <c r="AI404" s="32">
        <f t="shared" si="1123"/>
        <v>3181</v>
      </c>
      <c r="AJ404" s="34">
        <f t="shared" si="1108"/>
        <v>199.7146667</v>
      </c>
      <c r="AK404" s="31">
        <f t="shared" si="1118"/>
        <v>3801</v>
      </c>
      <c r="AL404" s="35">
        <f t="shared" si="1109"/>
        <v>0.8368850303</v>
      </c>
      <c r="AM404" s="36">
        <f t="shared" si="1119"/>
        <v>1.5</v>
      </c>
      <c r="AN404" s="35">
        <f t="shared" si="1110"/>
        <v>0.4424367653</v>
      </c>
      <c r="AO404" s="37">
        <f t="shared" si="1111"/>
        <v>0.663655148</v>
      </c>
      <c r="AP404" s="36">
        <f t="shared" ref="AP404:AQ404" si="1124">SUM(T395)</f>
        <v>161.7777778</v>
      </c>
      <c r="AQ404" s="36">
        <f t="shared" si="1124"/>
        <v>6.740740741</v>
      </c>
      <c r="AR404" s="32">
        <f t="shared" si="1113"/>
        <v>132.5416667</v>
      </c>
    </row>
    <row r="405" ht="15.75" customHeight="1">
      <c r="A405" s="1" t="s">
        <v>45</v>
      </c>
      <c r="D405" s="2"/>
      <c r="X405" s="46" t="s">
        <v>33</v>
      </c>
      <c r="Y405" s="46">
        <v>6.0</v>
      </c>
      <c r="Z405" s="46">
        <f t="shared" ref="Z405:AI405" si="1125">SUM(Z399:Z404)</f>
        <v>174</v>
      </c>
      <c r="AA405" s="47">
        <f t="shared" si="1125"/>
        <v>170</v>
      </c>
      <c r="AB405" s="49">
        <f t="shared" si="1125"/>
        <v>32628.013</v>
      </c>
      <c r="AC405" s="47">
        <f t="shared" si="1125"/>
        <v>13199</v>
      </c>
      <c r="AD405" s="47">
        <f t="shared" si="1125"/>
        <v>0</v>
      </c>
      <c r="AE405" s="47">
        <f t="shared" si="1125"/>
        <v>13199</v>
      </c>
      <c r="AF405" s="47">
        <f t="shared" si="1125"/>
        <v>17534</v>
      </c>
      <c r="AG405" s="47">
        <f t="shared" si="1125"/>
        <v>67</v>
      </c>
      <c r="AH405" s="47">
        <f t="shared" si="1125"/>
        <v>17601</v>
      </c>
      <c r="AI405" s="47">
        <f t="shared" si="1125"/>
        <v>30800</v>
      </c>
      <c r="AJ405" s="49">
        <f t="shared" si="1108"/>
        <v>191.9294882</v>
      </c>
      <c r="AK405" s="46">
        <f>SUM(AK399:AK404)</f>
        <v>37031</v>
      </c>
      <c r="AL405" s="50">
        <f t="shared" si="1109"/>
        <v>0.8317355729</v>
      </c>
      <c r="AM405" s="51">
        <v>1.5</v>
      </c>
      <c r="AN405" s="50">
        <f t="shared" si="1110"/>
        <v>0.6293160829</v>
      </c>
      <c r="AO405" s="52">
        <f t="shared" si="1111"/>
        <v>0.9439741243</v>
      </c>
      <c r="AP405" s="51">
        <f>SUM(AP399:AP404)</f>
        <v>1361.777661</v>
      </c>
      <c r="AQ405" s="51">
        <f>AP405/AA405</f>
        <v>8.010456831</v>
      </c>
      <c r="AR405" s="47">
        <f t="shared" si="1113"/>
        <v>181.1764706</v>
      </c>
    </row>
    <row r="406" ht="15.75" customHeight="1">
      <c r="A406" s="1" t="s">
        <v>45</v>
      </c>
      <c r="D406" s="2"/>
      <c r="X406" s="66" t="s">
        <v>1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6"/>
    </row>
    <row r="407" ht="15.75" customHeight="1">
      <c r="A407" s="7">
        <v>46281.0</v>
      </c>
      <c r="B407" s="8" t="s">
        <v>2</v>
      </c>
      <c r="C407" s="8" t="s">
        <v>3</v>
      </c>
      <c r="D407" s="8" t="s">
        <v>4</v>
      </c>
      <c r="E407" s="8" t="s">
        <v>5</v>
      </c>
      <c r="F407" s="9" t="s">
        <v>6</v>
      </c>
      <c r="G407" s="8" t="s">
        <v>7</v>
      </c>
      <c r="H407" s="8" t="s">
        <v>8</v>
      </c>
      <c r="I407" s="8" t="s">
        <v>9</v>
      </c>
      <c r="J407" s="8" t="s">
        <v>10</v>
      </c>
      <c r="K407" s="8" t="s">
        <v>11</v>
      </c>
      <c r="L407" s="8" t="s">
        <v>12</v>
      </c>
      <c r="M407" s="8" t="s">
        <v>13</v>
      </c>
      <c r="N407" s="9" t="s">
        <v>14</v>
      </c>
      <c r="O407" s="8" t="s">
        <v>15</v>
      </c>
      <c r="P407" s="8" t="s">
        <v>16</v>
      </c>
      <c r="Q407" s="8" t="s">
        <v>17</v>
      </c>
      <c r="R407" s="8" t="s">
        <v>18</v>
      </c>
      <c r="S407" s="11" t="s">
        <v>19</v>
      </c>
      <c r="T407" s="12" t="s">
        <v>20</v>
      </c>
      <c r="U407" s="12" t="s">
        <v>21</v>
      </c>
      <c r="V407" s="13" t="s">
        <v>22</v>
      </c>
      <c r="X407" s="14" t="s">
        <v>2</v>
      </c>
      <c r="Y407" s="14" t="s">
        <v>3</v>
      </c>
      <c r="Z407" s="14" t="s">
        <v>4</v>
      </c>
      <c r="AA407" s="14" t="s">
        <v>5</v>
      </c>
      <c r="AB407" s="15" t="s">
        <v>6</v>
      </c>
      <c r="AC407" s="14" t="s">
        <v>7</v>
      </c>
      <c r="AD407" s="14" t="s">
        <v>8</v>
      </c>
      <c r="AE407" s="14" t="s">
        <v>9</v>
      </c>
      <c r="AF407" s="14" t="s">
        <v>10</v>
      </c>
      <c r="AG407" s="14" t="s">
        <v>11</v>
      </c>
      <c r="AH407" s="14" t="s">
        <v>12</v>
      </c>
      <c r="AI407" s="14" t="s">
        <v>13</v>
      </c>
      <c r="AJ407" s="15" t="s">
        <v>14</v>
      </c>
      <c r="AK407" s="14" t="s">
        <v>15</v>
      </c>
      <c r="AL407" s="14" t="s">
        <v>16</v>
      </c>
      <c r="AM407" s="16" t="s">
        <v>17</v>
      </c>
      <c r="AN407" s="17" t="s">
        <v>18</v>
      </c>
      <c r="AO407" s="18" t="s">
        <v>19</v>
      </c>
      <c r="AP407" s="19" t="s">
        <v>20</v>
      </c>
      <c r="AQ407" s="19" t="s">
        <v>21</v>
      </c>
      <c r="AR407" s="20" t="s">
        <v>22</v>
      </c>
    </row>
    <row r="408" ht="15.7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X408" s="22">
        <v>1.0</v>
      </c>
      <c r="Y408" s="22" t="s">
        <v>23</v>
      </c>
      <c r="Z408" s="22">
        <f t="shared" ref="Z408:AI408" si="1126">SUM(D416)</f>
        <v>35</v>
      </c>
      <c r="AA408" s="23">
        <f t="shared" si="1126"/>
        <v>34</v>
      </c>
      <c r="AB408" s="24">
        <f t="shared" si="1126"/>
        <v>6680.52</v>
      </c>
      <c r="AC408" s="23">
        <f t="shared" si="1126"/>
        <v>1627</v>
      </c>
      <c r="AD408" s="23">
        <f t="shared" si="1126"/>
        <v>0</v>
      </c>
      <c r="AE408" s="23">
        <f t="shared" si="1126"/>
        <v>1627</v>
      </c>
      <c r="AF408" s="23">
        <f t="shared" si="1126"/>
        <v>3262</v>
      </c>
      <c r="AG408" s="23">
        <f t="shared" si="1126"/>
        <v>0</v>
      </c>
      <c r="AH408" s="23">
        <f t="shared" si="1126"/>
        <v>3262</v>
      </c>
      <c r="AI408" s="23">
        <f t="shared" si="1126"/>
        <v>4889</v>
      </c>
      <c r="AJ408" s="25">
        <f t="shared" ref="AJ408:AJ410" si="1129">AB408/AA408</f>
        <v>196.4858824</v>
      </c>
      <c r="AK408" s="22">
        <f>SUM(O416)</f>
        <v>6853</v>
      </c>
      <c r="AL408" s="26">
        <f t="shared" ref="AL408:AL414" si="1130">AI408/AK408</f>
        <v>0.7134101853</v>
      </c>
      <c r="AM408" s="27">
        <f t="shared" ref="AM408:AM410" si="1131">SUM(Q416)</f>
        <v>1.5</v>
      </c>
      <c r="AN408" s="26">
        <f t="shared" ref="AN408:AN414" si="1132">AO408/AM408</f>
        <v>0.4878861725</v>
      </c>
      <c r="AO408" s="28">
        <f t="shared" ref="AO408:AO414" si="1133">AI408/AB408</f>
        <v>0.7318292588</v>
      </c>
      <c r="AP408" s="27">
        <f t="shared" ref="AP408:AQ408" si="1127">SUM(T416)</f>
        <v>198</v>
      </c>
      <c r="AQ408" s="27">
        <f t="shared" si="1127"/>
        <v>5.823529412</v>
      </c>
      <c r="AR408" s="23">
        <f t="shared" ref="AR408:AR414" si="1135">AI408/AA408</f>
        <v>143.7941176</v>
      </c>
    </row>
    <row r="409" ht="15.7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X409" s="22">
        <v>2.0</v>
      </c>
      <c r="Y409" s="22" t="s">
        <v>24</v>
      </c>
      <c r="Z409" s="22">
        <f t="shared" ref="Z409:AI409" si="1128">SUM(D417)</f>
        <v>44</v>
      </c>
      <c r="AA409" s="23">
        <f t="shared" si="1128"/>
        <v>44</v>
      </c>
      <c r="AB409" s="24">
        <f t="shared" si="1128"/>
        <v>8029.356</v>
      </c>
      <c r="AC409" s="23">
        <f t="shared" si="1128"/>
        <v>1194</v>
      </c>
      <c r="AD409" s="23">
        <f t="shared" si="1128"/>
        <v>0</v>
      </c>
      <c r="AE409" s="23">
        <f t="shared" si="1128"/>
        <v>1194</v>
      </c>
      <c r="AF409" s="23">
        <f t="shared" si="1128"/>
        <v>1455</v>
      </c>
      <c r="AG409" s="23">
        <f t="shared" si="1128"/>
        <v>0</v>
      </c>
      <c r="AH409" s="23">
        <f t="shared" si="1128"/>
        <v>1455</v>
      </c>
      <c r="AI409" s="23">
        <f t="shared" si="1128"/>
        <v>2649</v>
      </c>
      <c r="AJ409" s="25">
        <f t="shared" si="1129"/>
        <v>182.4853636</v>
      </c>
      <c r="AK409" s="22">
        <v>1580.0</v>
      </c>
      <c r="AL409" s="26">
        <f t="shared" si="1130"/>
        <v>1.676582278</v>
      </c>
      <c r="AM409" s="27">
        <f t="shared" si="1131"/>
        <v>1.5</v>
      </c>
      <c r="AN409" s="26">
        <f t="shared" si="1132"/>
        <v>0.2199429195</v>
      </c>
      <c r="AO409" s="28">
        <f t="shared" si="1133"/>
        <v>0.3299143792</v>
      </c>
      <c r="AP409" s="27">
        <f t="shared" ref="AP409:AQ409" si="1134">SUM(T417)</f>
        <v>299.5469502</v>
      </c>
      <c r="AQ409" s="27">
        <f t="shared" si="1134"/>
        <v>6.807885232</v>
      </c>
      <c r="AR409" s="23">
        <f t="shared" si="1135"/>
        <v>60.20454545</v>
      </c>
    </row>
    <row r="410" ht="15.75" customHeight="1">
      <c r="A410" s="21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X410" s="31">
        <v>3.0</v>
      </c>
      <c r="Y410" s="31" t="s">
        <v>25</v>
      </c>
      <c r="Z410" s="31">
        <f t="shared" ref="Z410:AI410" si="1136">SUM(D418)</f>
        <v>32</v>
      </c>
      <c r="AA410" s="32">
        <f t="shared" si="1136"/>
        <v>32</v>
      </c>
      <c r="AB410" s="33">
        <f t="shared" si="1136"/>
        <v>5963.536</v>
      </c>
      <c r="AC410" s="32">
        <f t="shared" si="1136"/>
        <v>2444</v>
      </c>
      <c r="AD410" s="32">
        <f t="shared" si="1136"/>
        <v>331</v>
      </c>
      <c r="AE410" s="32">
        <f t="shared" si="1136"/>
        <v>2775</v>
      </c>
      <c r="AF410" s="32">
        <f t="shared" si="1136"/>
        <v>3085</v>
      </c>
      <c r="AG410" s="32">
        <f t="shared" si="1136"/>
        <v>319</v>
      </c>
      <c r="AH410" s="32">
        <f t="shared" si="1136"/>
        <v>3404</v>
      </c>
      <c r="AI410" s="32">
        <f t="shared" si="1136"/>
        <v>6179</v>
      </c>
      <c r="AJ410" s="34">
        <f t="shared" si="1129"/>
        <v>186.3605</v>
      </c>
      <c r="AK410" s="31">
        <f>SUM(O418)</f>
        <v>6622</v>
      </c>
      <c r="AL410" s="35">
        <f t="shared" si="1130"/>
        <v>0.9331017819</v>
      </c>
      <c r="AM410" s="36">
        <f t="shared" si="1131"/>
        <v>1.5</v>
      </c>
      <c r="AN410" s="35">
        <f t="shared" si="1132"/>
        <v>0.6907534948</v>
      </c>
      <c r="AO410" s="37">
        <f t="shared" si="1133"/>
        <v>1.036130242</v>
      </c>
      <c r="AP410" s="36">
        <f t="shared" ref="AP410:AQ410" si="1137">SUM(T418)</f>
        <v>250.1483221</v>
      </c>
      <c r="AQ410" s="36">
        <f t="shared" si="1137"/>
        <v>7.817135067</v>
      </c>
      <c r="AR410" s="32">
        <f t="shared" si="1135"/>
        <v>193.09375</v>
      </c>
    </row>
    <row r="411" ht="15.75" customHeight="1">
      <c r="A411" s="21"/>
      <c r="B411" s="38">
        <v>1.0</v>
      </c>
      <c r="C411" s="38" t="s">
        <v>26</v>
      </c>
      <c r="D411" s="39">
        <v>20.0</v>
      </c>
      <c r="E411" s="40">
        <f>IFERROR(__xludf.DUMMYFUNCTION("COUNT(IMPORTRANGE(""https://docs.google.com/spreadsheets/d/1F0NpMx7WhcgPgxTWpryY3Z1CGg56FL6aiL4mHs43w4E/edit"",""1!d2:d21""))"),20.0)</f>
        <v>20</v>
      </c>
      <c r="F411" s="41">
        <f>IFERROR(__xludf.DUMMYFUNCTION("SUM(IMPORTRANGE(""https://docs.google.com/spreadsheets/d/1F0NpMx7WhcgPgxTWpryY3Z1CGg56FL6aiL4mHs43w4E/edit"",""1!Q2:Q21""))"),3935.2949999999996)</f>
        <v>3935.295</v>
      </c>
      <c r="G411" s="40">
        <f>IFERROR(__xludf.DUMMYFUNCTION("IMPORTRANGE(""https://docs.google.com/spreadsheets/d/1F0NpMx7WhcgPgxTWpryY3Z1CGg56FL6aiL4mHs43w4E/edit"",""1!e28"")"),2229.0)</f>
        <v>2229</v>
      </c>
      <c r="H411" s="40">
        <f>IFERROR(__xludf.DUMMYFUNCTION("IMPORTRANGE(""https://docs.google.com/spreadsheets/d/1F0NpMx7WhcgPgxTWpryY3Z1CGg56FL6aiL4mHs43w4E/edit"",""1!e29"")"),0.0)</f>
        <v>0</v>
      </c>
      <c r="I411" s="40">
        <f t="shared" ref="I411:I428" si="1140">SUM(G411:H411)</f>
        <v>2229</v>
      </c>
      <c r="J411" s="40">
        <f>IFERROR(__xludf.DUMMYFUNCTION("IMPORTRANGE(""https://docs.google.com/spreadsheets/d/1F0NpMx7WhcgPgxTWpryY3Z1CGg56FL6aiL4mHs43w4E/edit"",""1!e32"")"),2661.0)</f>
        <v>2661</v>
      </c>
      <c r="K411" s="40">
        <f>IFERROR(__xludf.DUMMYFUNCTION("IMPORTRANGE(""https://docs.google.com/spreadsheets/d/1F0NpMx7WhcgPgxTWpryY3Z1CGg56FL6aiL4mHs43w4E/edit"",""1!e33"")"),47.0)</f>
        <v>47</v>
      </c>
      <c r="L411" s="40">
        <f t="shared" ref="L411:L417" si="1141">SUM(J411:K411)</f>
        <v>2708</v>
      </c>
      <c r="M411" s="40">
        <f t="shared" ref="M411:M428" si="1142">SUM(I411+L411)</f>
        <v>4937</v>
      </c>
      <c r="N411" s="41">
        <f t="shared" ref="N411:N429" si="1143">F411/E411</f>
        <v>196.76475</v>
      </c>
      <c r="O411" s="38">
        <v>5161.0</v>
      </c>
      <c r="P411" s="42">
        <f t="shared" ref="P411:P429" si="1144">M411/O411</f>
        <v>0.9565975586</v>
      </c>
      <c r="Q411" s="43">
        <v>1.5</v>
      </c>
      <c r="R411" s="42">
        <f t="shared" ref="R411:R429" si="1145">S411/Q411</f>
        <v>0.8363625429</v>
      </c>
      <c r="S411" s="44">
        <f t="shared" ref="S411:S429" si="1146">M411/F411</f>
        <v>1.254543814</v>
      </c>
      <c r="T411" s="43">
        <f>F411/14.415</f>
        <v>273</v>
      </c>
      <c r="U411" s="43">
        <f t="shared" ref="U411:U429" si="1147">T411/E411</f>
        <v>13.65</v>
      </c>
      <c r="V411" s="40">
        <f t="shared" ref="V411:V429" si="1148">M411/E411</f>
        <v>246.85</v>
      </c>
      <c r="X411" s="22">
        <v>4.0</v>
      </c>
      <c r="Y411" s="22" t="s">
        <v>27</v>
      </c>
      <c r="Z411" s="22">
        <f t="shared" ref="Z411:AK411" si="1138">SUM(D424)</f>
        <v>30</v>
      </c>
      <c r="AA411" s="23">
        <f t="shared" si="1138"/>
        <v>29</v>
      </c>
      <c r="AB411" s="24">
        <f t="shared" si="1138"/>
        <v>5631.663</v>
      </c>
      <c r="AC411" s="23">
        <f t="shared" si="1138"/>
        <v>2486</v>
      </c>
      <c r="AD411" s="23">
        <f t="shared" si="1138"/>
        <v>80</v>
      </c>
      <c r="AE411" s="23">
        <f t="shared" si="1138"/>
        <v>2566</v>
      </c>
      <c r="AF411" s="23">
        <f t="shared" si="1138"/>
        <v>2945</v>
      </c>
      <c r="AG411" s="23">
        <f t="shared" si="1138"/>
        <v>88</v>
      </c>
      <c r="AH411" s="23">
        <f t="shared" si="1138"/>
        <v>3033</v>
      </c>
      <c r="AI411" s="23">
        <f t="shared" si="1138"/>
        <v>5599</v>
      </c>
      <c r="AJ411" s="25">
        <f t="shared" si="1138"/>
        <v>194.1952759</v>
      </c>
      <c r="AK411" s="22">
        <f t="shared" si="1138"/>
        <v>8101</v>
      </c>
      <c r="AL411" s="26">
        <f t="shared" si="1130"/>
        <v>0.6911492408</v>
      </c>
      <c r="AM411" s="27">
        <f>SUM(Q424)</f>
        <v>1.5</v>
      </c>
      <c r="AN411" s="26">
        <f t="shared" si="1132"/>
        <v>0.6628000764</v>
      </c>
      <c r="AO411" s="28">
        <f t="shared" si="1133"/>
        <v>0.9942001146</v>
      </c>
      <c r="AP411" s="27">
        <f t="shared" ref="AP411:AQ411" si="1139">SUM(T424)</f>
        <v>281.7944959</v>
      </c>
      <c r="AQ411" s="27">
        <f t="shared" si="1139"/>
        <v>9.717051582</v>
      </c>
      <c r="AR411" s="23">
        <f t="shared" si="1135"/>
        <v>193.0689655</v>
      </c>
    </row>
    <row r="412" ht="15.75" customHeight="1">
      <c r="A412" s="21"/>
      <c r="B412" s="38">
        <v>2.0</v>
      </c>
      <c r="C412" s="38" t="s">
        <v>28</v>
      </c>
      <c r="D412" s="39">
        <v>33.0</v>
      </c>
      <c r="E412" s="40">
        <f>IFERROR(__xludf.DUMMYFUNCTION("COUNT(IMPORTRANGE(""https://docs.google.com/spreadsheets/d/1H9vAqftAHb0OdeSGXHTnJFzoWUgpoH31sc0sHNN8y1o/edit"",""1!d2:d34""))"),32.0)</f>
        <v>32</v>
      </c>
      <c r="F412" s="41">
        <f>IFERROR(__xludf.DUMMYFUNCTION("SUM(IMPORTRANGE(""https://docs.google.com/spreadsheets/d/1H9vAqftAHb0OdeSGXHTnJFzoWUgpoH31sc0sHNN8y1o/edit"",""1!Q2:Q34""))"),6234.134999999998)</f>
        <v>6234.135</v>
      </c>
      <c r="G412" s="40">
        <f>IFERROR(__xludf.DUMMYFUNCTION("IMPORTRANGE(""https://docs.google.com/spreadsheets/d/1H9vAqftAHb0OdeSGXHTnJFzoWUgpoH31sc0sHNN8y1o/edit"",""1!e41"")"),2719.0)</f>
        <v>2719</v>
      </c>
      <c r="H412" s="40">
        <f>IFERROR(__xludf.DUMMYFUNCTION("IMPORTRANGE(""https://docs.google.com/spreadsheets/d/1H9vAqftAHb0OdeSGXHTnJFzoWUgpoH31sc0sHNN8y1o/edit"",""1!e42"")"),208.0)</f>
        <v>208</v>
      </c>
      <c r="I412" s="40">
        <f t="shared" si="1140"/>
        <v>2927</v>
      </c>
      <c r="J412" s="40">
        <f>IFERROR(__xludf.DUMMYFUNCTION("IMPORTRANGE(""https://docs.google.com/spreadsheets/d/1H9vAqftAHb0OdeSGXHTnJFzoWUgpoH31sc0sHNN8y1o/edit"",""1!e45"")"),3192.0)</f>
        <v>3192</v>
      </c>
      <c r="K412" s="40">
        <f>IFERROR(__xludf.DUMMYFUNCTION("IMPORTRANGE(""https://docs.google.com/spreadsheets/d/1H9vAqftAHb0OdeSGXHTnJFzoWUgpoH31sc0sHNN8y1o/edit"",""1!e46"")"),138.0)</f>
        <v>138</v>
      </c>
      <c r="L412" s="40">
        <f t="shared" si="1141"/>
        <v>3330</v>
      </c>
      <c r="M412" s="40">
        <f t="shared" si="1142"/>
        <v>6257</v>
      </c>
      <c r="N412" s="41">
        <f t="shared" si="1143"/>
        <v>194.8167188</v>
      </c>
      <c r="O412" s="38">
        <v>7315.0</v>
      </c>
      <c r="P412" s="42">
        <f t="shared" si="1144"/>
        <v>0.8553656869</v>
      </c>
      <c r="Q412" s="43">
        <v>1.5</v>
      </c>
      <c r="R412" s="42">
        <f t="shared" si="1145"/>
        <v>0.6691118067</v>
      </c>
      <c r="S412" s="44">
        <f t="shared" si="1146"/>
        <v>1.00366771</v>
      </c>
      <c r="T412" s="43">
        <f>F412/30.897</f>
        <v>201.7715312</v>
      </c>
      <c r="U412" s="43">
        <f t="shared" si="1147"/>
        <v>6.305360351</v>
      </c>
      <c r="V412" s="40">
        <f t="shared" si="1148"/>
        <v>195.53125</v>
      </c>
      <c r="X412" s="22">
        <v>5.0</v>
      </c>
      <c r="Y412" s="22" t="s">
        <v>29</v>
      </c>
      <c r="Z412" s="22">
        <f t="shared" ref="Z412:AI412" si="1149">SUM(D427)</f>
        <v>30</v>
      </c>
      <c r="AA412" s="23">
        <f t="shared" si="1149"/>
        <v>29</v>
      </c>
      <c r="AB412" s="24">
        <f t="shared" si="1149"/>
        <v>5722.056</v>
      </c>
      <c r="AC412" s="23">
        <f t="shared" si="1149"/>
        <v>2610</v>
      </c>
      <c r="AD412" s="23">
        <f t="shared" si="1149"/>
        <v>0</v>
      </c>
      <c r="AE412" s="23">
        <f t="shared" si="1149"/>
        <v>2610</v>
      </c>
      <c r="AF412" s="23">
        <f t="shared" si="1149"/>
        <v>4378</v>
      </c>
      <c r="AG412" s="23">
        <f t="shared" si="1149"/>
        <v>0</v>
      </c>
      <c r="AH412" s="23">
        <f t="shared" si="1149"/>
        <v>4378</v>
      </c>
      <c r="AI412" s="23">
        <f t="shared" si="1149"/>
        <v>6988</v>
      </c>
      <c r="AJ412" s="25">
        <f t="shared" ref="AJ412:AJ414" si="1152">AB412/AA412</f>
        <v>197.3122759</v>
      </c>
      <c r="AK412" s="22">
        <f t="shared" ref="AK412:AK413" si="1153">SUM(O427)</f>
        <v>9201</v>
      </c>
      <c r="AL412" s="26">
        <f t="shared" si="1130"/>
        <v>0.7594826649</v>
      </c>
      <c r="AM412" s="27">
        <f t="shared" ref="AM412:AM413" si="1154">SUM(Q427)</f>
        <v>1.5</v>
      </c>
      <c r="AN412" s="26">
        <f t="shared" si="1132"/>
        <v>0.8141595725</v>
      </c>
      <c r="AO412" s="28">
        <f t="shared" si="1133"/>
        <v>1.221239359</v>
      </c>
      <c r="AP412" s="27">
        <f t="shared" ref="AP412:AQ412" si="1150">SUM(T427)</f>
        <v>216</v>
      </c>
      <c r="AQ412" s="27">
        <f t="shared" si="1150"/>
        <v>7.448275862</v>
      </c>
      <c r="AR412" s="23">
        <f t="shared" si="1135"/>
        <v>240.9655172</v>
      </c>
    </row>
    <row r="413" ht="15.75" customHeight="1">
      <c r="A413" s="21"/>
      <c r="B413" s="38">
        <v>3.0</v>
      </c>
      <c r="C413" s="38" t="s">
        <v>30</v>
      </c>
      <c r="D413" s="39">
        <v>60.0</v>
      </c>
      <c r="E413" s="40">
        <f>IFERROR(__xludf.DUMMYFUNCTION("COUNT(IMPORTRANGE(""https://docs.google.com/spreadsheets/d/1EWN6nfpuVxbUE_9opjYCWaI7MTm5xsF6ssjklSbMZnA/edit"",""1!d2:d61""))"),59.0)</f>
        <v>59</v>
      </c>
      <c r="F413" s="45">
        <f>IFERROR(__xludf.DUMMYFUNCTION("SUM(IMPORTRANGE(""https://docs.google.com/spreadsheets/d/1EWN6nfpuVxbUE_9opjYCWaI7MTm5xsF6ssjklSbMZnA/edit"",""1!Q2:Q61""))"),11739.691999999988)</f>
        <v>11739.692</v>
      </c>
      <c r="G413" s="40">
        <f>IFERROR(__xludf.DUMMYFUNCTION("IMPORTRANGE(""https://docs.google.com/spreadsheets/d/1EWN6nfpuVxbUE_9opjYCWaI7MTm5xsF6ssjklSbMZnA/edit"",""1!e68"")"),3754.0)</f>
        <v>3754</v>
      </c>
      <c r="H413" s="40">
        <f>IFERROR(__xludf.DUMMYFUNCTION("IMPORTRANGE(""https://docs.google.com/spreadsheets/d/1EWN6nfpuVxbUE_9opjYCWaI7MTm5xsF6ssjklSbMZnA/edit"",""1!e69"")"),14.0)</f>
        <v>14</v>
      </c>
      <c r="I413" s="40">
        <f t="shared" si="1140"/>
        <v>3768</v>
      </c>
      <c r="J413" s="40">
        <f>IFERROR(__xludf.DUMMYFUNCTION("IMPORTRANGE(""https://docs.google.com/spreadsheets/d/1EWN6nfpuVxbUE_9opjYCWaI7MTm5xsF6ssjklSbMZnA/edit"",""1!e72"")"),5982.0)</f>
        <v>5982</v>
      </c>
      <c r="K413" s="40">
        <f>IFERROR(__xludf.DUMMYFUNCTION("IMPORTRANGE(""https://docs.google.com/spreadsheets/d/1EWN6nfpuVxbUE_9opjYCWaI7MTm5xsF6ssjklSbMZnA/edit"",""1!e73"")"),0.0)</f>
        <v>0</v>
      </c>
      <c r="L413" s="40">
        <f t="shared" si="1141"/>
        <v>5982</v>
      </c>
      <c r="M413" s="40">
        <f t="shared" si="1142"/>
        <v>9750</v>
      </c>
      <c r="N413" s="41">
        <f t="shared" si="1143"/>
        <v>198.9778305</v>
      </c>
      <c r="O413" s="38">
        <v>11164.0</v>
      </c>
      <c r="P413" s="42">
        <f t="shared" si="1144"/>
        <v>0.8733428879</v>
      </c>
      <c r="Q413" s="43">
        <v>1.5</v>
      </c>
      <c r="R413" s="42">
        <f t="shared" si="1145"/>
        <v>0.5536772174</v>
      </c>
      <c r="S413" s="44">
        <f t="shared" si="1146"/>
        <v>0.8305158261</v>
      </c>
      <c r="T413" s="43">
        <f>F413/29.603</f>
        <v>396.5710232</v>
      </c>
      <c r="U413" s="43">
        <f t="shared" si="1147"/>
        <v>6.721542766</v>
      </c>
      <c r="V413" s="40">
        <f t="shared" si="1148"/>
        <v>165.2542373</v>
      </c>
      <c r="X413" s="22">
        <v>6.0</v>
      </c>
      <c r="Y413" s="22" t="s">
        <v>31</v>
      </c>
      <c r="Z413" s="22">
        <f t="shared" ref="Z413:AI413" si="1151">SUM(D428)</f>
        <v>15</v>
      </c>
      <c r="AA413" s="23">
        <f t="shared" si="1151"/>
        <v>14</v>
      </c>
      <c r="AB413" s="25">
        <f t="shared" si="1151"/>
        <v>2520.97</v>
      </c>
      <c r="AC413" s="23">
        <f t="shared" si="1151"/>
        <v>633</v>
      </c>
      <c r="AD413" s="23">
        <f t="shared" si="1151"/>
        <v>0</v>
      </c>
      <c r="AE413" s="23">
        <f t="shared" si="1151"/>
        <v>633</v>
      </c>
      <c r="AF413" s="23">
        <f t="shared" si="1151"/>
        <v>1148</v>
      </c>
      <c r="AG413" s="23">
        <f t="shared" si="1151"/>
        <v>15</v>
      </c>
      <c r="AH413" s="23">
        <f t="shared" si="1151"/>
        <v>1163</v>
      </c>
      <c r="AI413" s="23">
        <f t="shared" si="1151"/>
        <v>1796</v>
      </c>
      <c r="AJ413" s="25">
        <f t="shared" si="1152"/>
        <v>180.0692857</v>
      </c>
      <c r="AK413" s="22">
        <f t="shared" si="1153"/>
        <v>2717</v>
      </c>
      <c r="AL413" s="26">
        <f t="shared" si="1130"/>
        <v>0.6610231873</v>
      </c>
      <c r="AM413" s="27">
        <f t="shared" si="1154"/>
        <v>1.5</v>
      </c>
      <c r="AN413" s="26">
        <f t="shared" si="1132"/>
        <v>0.4749494573</v>
      </c>
      <c r="AO413" s="28">
        <f t="shared" si="1133"/>
        <v>0.7124241859</v>
      </c>
      <c r="AP413" s="27">
        <f t="shared" ref="AP413:AQ413" si="1155">SUM(T428)</f>
        <v>58</v>
      </c>
      <c r="AQ413" s="27">
        <f t="shared" si="1155"/>
        <v>4.142857143</v>
      </c>
      <c r="AR413" s="23">
        <f t="shared" si="1135"/>
        <v>128.2857143</v>
      </c>
    </row>
    <row r="414" ht="15.75" customHeight="1">
      <c r="A414" s="21"/>
      <c r="B414" s="38">
        <v>4.0</v>
      </c>
      <c r="C414" s="38" t="s">
        <v>32</v>
      </c>
      <c r="D414" s="39">
        <v>42.0</v>
      </c>
      <c r="E414" s="40">
        <f>IFERROR(__xludf.DUMMYFUNCTION("COUNT(IMPORTRANGE(""https://docs.google.com/spreadsheets/d/1Rmar8QqWK4XOJ-eY6xMzkAfDSw0srEXcAw89ilArun8/edit"",""1!d2:d43""))"),42.0)</f>
        <v>42</v>
      </c>
      <c r="F414" s="45">
        <f>IFERROR(__xludf.DUMMYFUNCTION("SUM(IMPORTRANGE(""https://docs.google.com/spreadsheets/d/1Rmar8QqWK4XOJ-eY6xMzkAfDSw0srEXcAw89ilArun8/edit"",""1!Q2:Q43""))"),8240.661999999991)</f>
        <v>8240.662</v>
      </c>
      <c r="G414" s="38">
        <f>IFERROR(__xludf.DUMMYFUNCTION("IMPORTRANGE(""https://docs.google.com/spreadsheets/d/1Rmar8QqWK4XOJ-eY6xMzkAfDSw0srEXcAw89ilArun8/edit"",""1!e50"")"),4515.0)</f>
        <v>4515</v>
      </c>
      <c r="H414" s="38">
        <f>IFERROR(__xludf.DUMMYFUNCTION("IMPORTRANGE(""https://docs.google.com/spreadsheets/d/1Rmar8QqWK4XOJ-eY6xMzkAfDSw0srEXcAw89ilArun8/edit"",""1!e51"")"),0.0)</f>
        <v>0</v>
      </c>
      <c r="I414" s="40">
        <f t="shared" si="1140"/>
        <v>4515</v>
      </c>
      <c r="J414" s="38">
        <f>IFERROR(__xludf.DUMMYFUNCTION("IMPORTRANGE(""https://docs.google.com/spreadsheets/d/1Rmar8QqWK4XOJ-eY6xMzkAfDSw0srEXcAw89ilArun8/edit"",""1!e54"")"),5726.0)</f>
        <v>5726</v>
      </c>
      <c r="K414" s="38">
        <f>IFERROR(__xludf.DUMMYFUNCTION("IMPORTRANGE(""https://docs.google.com/spreadsheets/d/1Rmar8QqWK4XOJ-eY6xMzkAfDSw0srEXcAw89ilArun8/edit"",""1!e55"")"),0.0)</f>
        <v>0</v>
      </c>
      <c r="L414" s="40">
        <f t="shared" si="1141"/>
        <v>5726</v>
      </c>
      <c r="M414" s="40">
        <f t="shared" si="1142"/>
        <v>10241</v>
      </c>
      <c r="N414" s="41">
        <f t="shared" si="1143"/>
        <v>196.2062381</v>
      </c>
      <c r="O414" s="38">
        <v>13817.0</v>
      </c>
      <c r="P414" s="42">
        <f t="shared" si="1144"/>
        <v>0.7411883911</v>
      </c>
      <c r="Q414" s="43">
        <v>1.5</v>
      </c>
      <c r="R414" s="42">
        <f t="shared" si="1145"/>
        <v>0.8284933096</v>
      </c>
      <c r="S414" s="44">
        <f t="shared" si="1146"/>
        <v>1.242739964</v>
      </c>
      <c r="T414" s="43">
        <f>F414/25.089</f>
        <v>328.4571725</v>
      </c>
      <c r="U414" s="43">
        <f t="shared" si="1147"/>
        <v>7.820408868</v>
      </c>
      <c r="V414" s="40">
        <f t="shared" si="1148"/>
        <v>243.8333333</v>
      </c>
      <c r="X414" s="46" t="s">
        <v>33</v>
      </c>
      <c r="Y414" s="46">
        <v>6.0</v>
      </c>
      <c r="Z414" s="46">
        <f t="shared" ref="Z414:AI414" si="1156">SUM(Z408:Z413)</f>
        <v>186</v>
      </c>
      <c r="AA414" s="47">
        <f t="shared" si="1156"/>
        <v>182</v>
      </c>
      <c r="AB414" s="48">
        <f t="shared" si="1156"/>
        <v>34548.101</v>
      </c>
      <c r="AC414" s="47">
        <f t="shared" si="1156"/>
        <v>10994</v>
      </c>
      <c r="AD414" s="47">
        <f t="shared" si="1156"/>
        <v>411</v>
      </c>
      <c r="AE414" s="47">
        <f t="shared" si="1156"/>
        <v>11405</v>
      </c>
      <c r="AF414" s="47">
        <f t="shared" si="1156"/>
        <v>16273</v>
      </c>
      <c r="AG414" s="47">
        <f t="shared" si="1156"/>
        <v>422</v>
      </c>
      <c r="AH414" s="47">
        <f t="shared" si="1156"/>
        <v>16695</v>
      </c>
      <c r="AI414" s="47">
        <f t="shared" si="1156"/>
        <v>28100</v>
      </c>
      <c r="AJ414" s="49">
        <f t="shared" si="1152"/>
        <v>189.8247308</v>
      </c>
      <c r="AK414" s="46">
        <f>SUM(AK408:AK413)</f>
        <v>35074</v>
      </c>
      <c r="AL414" s="50">
        <f t="shared" si="1130"/>
        <v>0.8011632548</v>
      </c>
      <c r="AM414" s="51">
        <v>1.5</v>
      </c>
      <c r="AN414" s="50">
        <f t="shared" si="1132"/>
        <v>0.542239162</v>
      </c>
      <c r="AO414" s="52">
        <f t="shared" si="1133"/>
        <v>0.8133587429</v>
      </c>
      <c r="AP414" s="51">
        <f>SUM(AP408:AP413)</f>
        <v>1303.489768</v>
      </c>
      <c r="AQ414" s="51">
        <f>AP414/AA414</f>
        <v>7.162031693</v>
      </c>
      <c r="AR414" s="47">
        <f t="shared" si="1135"/>
        <v>154.3956044</v>
      </c>
    </row>
    <row r="415" ht="15.75" customHeight="1">
      <c r="A415" s="21"/>
      <c r="B415" s="38">
        <v>5.0</v>
      </c>
      <c r="C415" s="38" t="s">
        <v>34</v>
      </c>
      <c r="D415" s="39">
        <v>40.0</v>
      </c>
      <c r="E415" s="40">
        <f>IFERROR(__xludf.DUMMYFUNCTION("COUNT(IMPORTRANGE(""https://docs.google.com/spreadsheets/d/1u99JxAoytGQQ8GcjxXl38CGdyEWy5uIbuJJHnsotyvk/edit"",""1!d2:d41""))"),40.0)</f>
        <v>40</v>
      </c>
      <c r="F415" s="45">
        <f>IFERROR(__xludf.DUMMYFUNCTION("SUM(IMPORTRANGE(""https://docs.google.com/spreadsheets/d/1u99JxAoytGQQ8GcjxXl38CGdyEWy5uIbuJJHnsotyvk/edit"",""1!Q2:Q41""))"),8007.324000000002)</f>
        <v>8007.324</v>
      </c>
      <c r="G415" s="40">
        <f>IFERROR(__xludf.DUMMYFUNCTION("IMPORTRANGE(""https://docs.google.com/spreadsheets/d/1u99JxAoytGQQ8GcjxXl38CGdyEWy5uIbuJJHnsotyvk/edit"",""1!e48"")"),2819.0)</f>
        <v>2819</v>
      </c>
      <c r="H415" s="40">
        <f>IFERROR(__xludf.DUMMYFUNCTION("IMPORTRANGE(""https://docs.google.com/spreadsheets/d/1u99JxAoytGQQ8GcjxXl38CGdyEWy5uIbuJJHnsotyvk/edit"",""1!e49"")"),0.0)</f>
        <v>0</v>
      </c>
      <c r="I415" s="40">
        <f t="shared" si="1140"/>
        <v>2819</v>
      </c>
      <c r="J415" s="40">
        <f>IFERROR(__xludf.DUMMYFUNCTION("IMPORTRANGE(""https://docs.google.com/spreadsheets/d/1u99JxAoytGQQ8GcjxXl38CGdyEWy5uIbuJJHnsotyvk/edit"",""1!e52"")"),3504.0)</f>
        <v>3504</v>
      </c>
      <c r="K415" s="40">
        <f>IFERROR(__xludf.DUMMYFUNCTION("IMPORTRANGE(""https://docs.google.com/spreadsheets/d/1u99JxAoytGQQ8GcjxXl38CGdyEWy5uIbuJJHnsotyvk/edit"",""1!e53"")"),0.0)</f>
        <v>0</v>
      </c>
      <c r="L415" s="40">
        <f t="shared" si="1141"/>
        <v>3504</v>
      </c>
      <c r="M415" s="40">
        <f t="shared" si="1142"/>
        <v>6323</v>
      </c>
      <c r="N415" s="41">
        <f t="shared" si="1143"/>
        <v>200.1831</v>
      </c>
      <c r="O415" s="38">
        <v>9354.0</v>
      </c>
      <c r="P415" s="42">
        <f t="shared" si="1144"/>
        <v>0.6759675005</v>
      </c>
      <c r="Q415" s="43">
        <v>1.5</v>
      </c>
      <c r="R415" s="42">
        <f t="shared" si="1145"/>
        <v>0.5264347157</v>
      </c>
      <c r="S415" s="44">
        <f t="shared" si="1146"/>
        <v>0.7896520735</v>
      </c>
      <c r="T415" s="43">
        <f>F415/30.713</f>
        <v>260.7144857</v>
      </c>
      <c r="U415" s="43">
        <f t="shared" si="1147"/>
        <v>6.517862143</v>
      </c>
      <c r="V415" s="40">
        <f t="shared" si="1148"/>
        <v>158.075</v>
      </c>
      <c r="X415" s="53" t="s">
        <v>35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6"/>
    </row>
    <row r="416" ht="15.75" customHeight="1">
      <c r="A416" s="21"/>
      <c r="B416" s="38">
        <v>6.0</v>
      </c>
      <c r="C416" s="38" t="s">
        <v>23</v>
      </c>
      <c r="D416" s="39">
        <v>35.0</v>
      </c>
      <c r="E416" s="40">
        <f>IFERROR(__xludf.DUMMYFUNCTION("COUNT(IMPORTRANGE(""https://docs.google.com/spreadsheets/d/1uVc-vnTn57HE53lwrUYNZP4sGKTXisrqOoZ-6EyvLzY/edit"",""1!d2:d36""))"),34.0)</f>
        <v>34</v>
      </c>
      <c r="F416" s="45">
        <f>IFERROR(__xludf.DUMMYFUNCTION("SUM(IMPORTRANGE(""https://docs.google.com/spreadsheets/d/1uVc-vnTn57HE53lwrUYNZP4sGKTXisrqOoZ-6EyvLzY/edit"",""1!Q2:Q36""))"),6680.519999999995)</f>
        <v>6680.52</v>
      </c>
      <c r="G416" s="40">
        <f>IFERROR(__xludf.DUMMYFUNCTION("IMPORTRANGE(""https://docs.google.com/spreadsheets/d/1uVc-vnTn57HE53lwrUYNZP4sGKTXisrqOoZ-6EyvLzY/edit"",""1!e43"")"),1627.0)</f>
        <v>1627</v>
      </c>
      <c r="H416" s="40">
        <f>IFERROR(__xludf.DUMMYFUNCTION("IMPORTRANGE(""https://docs.google.com/spreadsheets/d/1uVc-vnTn57HE53lwrUYNZP4sGKTXisrqOoZ-6EyvLzY/edit"",""1!e44"")"),0.0)</f>
        <v>0</v>
      </c>
      <c r="I416" s="40">
        <f t="shared" si="1140"/>
        <v>1627</v>
      </c>
      <c r="J416" s="40">
        <f>IFERROR(__xludf.DUMMYFUNCTION("IMPORTRANGE(""https://docs.google.com/spreadsheets/d/1uVc-vnTn57HE53lwrUYNZP4sGKTXisrqOoZ-6EyvLzY/edit"",""1!e47"")"),3262.0)</f>
        <v>3262</v>
      </c>
      <c r="K416" s="40">
        <f>IFERROR(__xludf.DUMMYFUNCTION("IMPORTRANGE(""https://docs.google.com/spreadsheets/d/1uVc-vnTn57HE53lwrUYNZP4sGKTXisrqOoZ-6EyvLzY/edit"",""1!e48"")"),0.0)</f>
        <v>0</v>
      </c>
      <c r="L416" s="40">
        <f t="shared" si="1141"/>
        <v>3262</v>
      </c>
      <c r="M416" s="40">
        <f t="shared" si="1142"/>
        <v>4889</v>
      </c>
      <c r="N416" s="41">
        <f t="shared" si="1143"/>
        <v>196.4858824</v>
      </c>
      <c r="O416" s="38">
        <v>6853.0</v>
      </c>
      <c r="P416" s="42">
        <f t="shared" si="1144"/>
        <v>0.7134101853</v>
      </c>
      <c r="Q416" s="43">
        <v>1.5</v>
      </c>
      <c r="R416" s="42">
        <f t="shared" si="1145"/>
        <v>0.4878861725</v>
      </c>
      <c r="S416" s="44">
        <f t="shared" si="1146"/>
        <v>0.7318292588</v>
      </c>
      <c r="T416" s="43">
        <f>F416/33.74</f>
        <v>198</v>
      </c>
      <c r="U416" s="43">
        <f t="shared" si="1147"/>
        <v>5.823529412</v>
      </c>
      <c r="V416" s="40">
        <f t="shared" si="1148"/>
        <v>143.7941176</v>
      </c>
      <c r="X416" s="14" t="s">
        <v>2</v>
      </c>
      <c r="Y416" s="14" t="s">
        <v>3</v>
      </c>
      <c r="Z416" s="14" t="s">
        <v>4</v>
      </c>
      <c r="AA416" s="14" t="s">
        <v>5</v>
      </c>
      <c r="AB416" s="15" t="s">
        <v>6</v>
      </c>
      <c r="AC416" s="14" t="s">
        <v>7</v>
      </c>
      <c r="AD416" s="14" t="s">
        <v>8</v>
      </c>
      <c r="AE416" s="14" t="s">
        <v>9</v>
      </c>
      <c r="AF416" s="14" t="s">
        <v>10</v>
      </c>
      <c r="AG416" s="14" t="s">
        <v>11</v>
      </c>
      <c r="AH416" s="14" t="s">
        <v>12</v>
      </c>
      <c r="AI416" s="14" t="s">
        <v>13</v>
      </c>
      <c r="AJ416" s="15" t="s">
        <v>14</v>
      </c>
      <c r="AK416" s="14" t="s">
        <v>15</v>
      </c>
      <c r="AL416" s="14" t="s">
        <v>16</v>
      </c>
      <c r="AM416" s="16" t="s">
        <v>17</v>
      </c>
      <c r="AN416" s="17" t="s">
        <v>18</v>
      </c>
      <c r="AO416" s="18" t="s">
        <v>19</v>
      </c>
      <c r="AP416" s="19" t="s">
        <v>20</v>
      </c>
      <c r="AQ416" s="19" t="s">
        <v>21</v>
      </c>
      <c r="AR416" s="20" t="s">
        <v>22</v>
      </c>
    </row>
    <row r="417" ht="15.75" customHeight="1">
      <c r="A417" s="21"/>
      <c r="B417" s="38">
        <v>7.0</v>
      </c>
      <c r="C417" s="38" t="s">
        <v>24</v>
      </c>
      <c r="D417" s="39">
        <v>44.0</v>
      </c>
      <c r="E417" s="54">
        <f>IFERROR(__xludf.DUMMYFUNCTION("COUNT(IMPORTRANGE(""https://docs.google.com/spreadsheets/d/1iuPvivSypupo44l6GtmR-2qZ3za7cTk7KzsOVp_kv2c/edit"",""1!d2:d45""))"),44.0)</f>
        <v>44</v>
      </c>
      <c r="F417" s="55">
        <f>IFERROR(__xludf.DUMMYFUNCTION("SUM(IMPORTRANGE(""https://docs.google.com/spreadsheets/d/1iuPvivSypupo44l6GtmR-2qZ3za7cTk7KzsOVp_kv2c/edit"",""1!Q2:Q45""))"),8029.355999999994)</f>
        <v>8029.356</v>
      </c>
      <c r="G417" s="54">
        <f>IFERROR(__xludf.DUMMYFUNCTION("IMPORTRANGE(""https://docs.google.com/spreadsheets/d/1iuPvivSypupo44l6GtmR-2qZ3za7cTk7KzsOVp_kv2c/edit"",""1!e53"")"),1194.0)</f>
        <v>1194</v>
      </c>
      <c r="H417" s="54">
        <f>IFERROR(__xludf.DUMMYFUNCTION("IMPORTRANGE(""https://docs.google.com/spreadsheets/d/1iuPvivSypupo44l6GtmR-2qZ3za7cTk7KzsOVp_kv2c/edit"",""1!e54"")"),0.0)</f>
        <v>0</v>
      </c>
      <c r="I417" s="54">
        <f t="shared" si="1140"/>
        <v>1194</v>
      </c>
      <c r="J417" s="54">
        <f>IFERROR(__xludf.DUMMYFUNCTION("IMPORTRANGE(""https://docs.google.com/spreadsheets/d/1iuPvivSypupo44l6GtmR-2qZ3za7cTk7KzsOVp_kv2c/edit"",""1!e57"")"),1455.0)</f>
        <v>1455</v>
      </c>
      <c r="K417" s="54">
        <f>IFERROR(__xludf.DUMMYFUNCTION("IMPORTRANGE(""https://docs.google.com/spreadsheets/d/1iuPvivSypupo44l6GtmR-2qZ3za7cTk7KzsOVp_kv2c/edit"",""1!e58"")"),0.0)</f>
        <v>0</v>
      </c>
      <c r="L417" s="40">
        <f t="shared" si="1141"/>
        <v>1455</v>
      </c>
      <c r="M417" s="40">
        <f t="shared" si="1142"/>
        <v>2649</v>
      </c>
      <c r="N417" s="41">
        <f t="shared" si="1143"/>
        <v>182.4853636</v>
      </c>
      <c r="O417" s="38">
        <v>1580.0</v>
      </c>
      <c r="P417" s="42">
        <f t="shared" si="1144"/>
        <v>1.676582278</v>
      </c>
      <c r="Q417" s="43">
        <v>1.5</v>
      </c>
      <c r="R417" s="42">
        <f t="shared" si="1145"/>
        <v>0.2199429195</v>
      </c>
      <c r="S417" s="44">
        <f t="shared" si="1146"/>
        <v>0.3299143792</v>
      </c>
      <c r="T417" s="43">
        <f>F417/26.805</f>
        <v>299.5469502</v>
      </c>
      <c r="U417" s="43">
        <f t="shared" si="1147"/>
        <v>6.807885232</v>
      </c>
      <c r="V417" s="40">
        <f t="shared" si="1148"/>
        <v>60.20454545</v>
      </c>
      <c r="X417" s="22">
        <v>1.0</v>
      </c>
      <c r="Y417" s="22" t="s">
        <v>28</v>
      </c>
      <c r="Z417" s="22">
        <f t="shared" ref="Z417:AI417" si="1157">SUM(D412)</f>
        <v>33</v>
      </c>
      <c r="AA417" s="23">
        <f t="shared" si="1157"/>
        <v>32</v>
      </c>
      <c r="AB417" s="25">
        <f t="shared" si="1157"/>
        <v>6234.135</v>
      </c>
      <c r="AC417" s="23">
        <f t="shared" si="1157"/>
        <v>2719</v>
      </c>
      <c r="AD417" s="23">
        <f t="shared" si="1157"/>
        <v>208</v>
      </c>
      <c r="AE417" s="23">
        <f t="shared" si="1157"/>
        <v>2927</v>
      </c>
      <c r="AF417" s="23">
        <f t="shared" si="1157"/>
        <v>3192</v>
      </c>
      <c r="AG417" s="23">
        <f t="shared" si="1157"/>
        <v>138</v>
      </c>
      <c r="AH417" s="23">
        <f t="shared" si="1157"/>
        <v>3330</v>
      </c>
      <c r="AI417" s="23">
        <f t="shared" si="1157"/>
        <v>6257</v>
      </c>
      <c r="AJ417" s="25">
        <f t="shared" ref="AJ417:AJ423" si="1160">AB417/AA417</f>
        <v>194.8167188</v>
      </c>
      <c r="AK417" s="22">
        <f t="shared" ref="AK417:AK418" si="1161">SUM(O412)</f>
        <v>7315</v>
      </c>
      <c r="AL417" s="26">
        <f t="shared" ref="AL417:AL423" si="1162">AI417/AK417</f>
        <v>0.8553656869</v>
      </c>
      <c r="AM417" s="27">
        <f t="shared" ref="AM417:AM418" si="1163">SUM(Q412)</f>
        <v>1.5</v>
      </c>
      <c r="AN417" s="26">
        <f t="shared" ref="AN417:AN423" si="1164">AO417/AM417</f>
        <v>0.6691118067</v>
      </c>
      <c r="AO417" s="28">
        <f t="shared" ref="AO417:AO423" si="1165">AI417/AB417</f>
        <v>1.00366771</v>
      </c>
      <c r="AP417" s="27">
        <f t="shared" ref="AP417:AQ417" si="1158">SUM(T412)</f>
        <v>201.7715312</v>
      </c>
      <c r="AQ417" s="27">
        <f t="shared" si="1158"/>
        <v>6.305360351</v>
      </c>
      <c r="AR417" s="23">
        <f t="shared" ref="AR417:AR423" si="1167">AI417/AA417</f>
        <v>195.53125</v>
      </c>
    </row>
    <row r="418" ht="15.75" customHeight="1">
      <c r="A418" s="21"/>
      <c r="B418" s="38">
        <v>8.0</v>
      </c>
      <c r="C418" s="38" t="s">
        <v>25</v>
      </c>
      <c r="D418" s="57">
        <v>32.0</v>
      </c>
      <c r="E418" s="40">
        <f>IFERROR(__xludf.DUMMYFUNCTION("COUNT(IMPORTRANGE(""https://docs.google.com/spreadsheets/d/1sqWX7UerdR9KR_duBzDNfjwbPG-3hLgV1LiN2ZVZ6Js/edit"",""1!d2:D33""))"),32.0)</f>
        <v>32</v>
      </c>
      <c r="F418" s="45">
        <f>IFERROR(__xludf.DUMMYFUNCTION("SUM(IMPORTRANGE(""https://docs.google.com/spreadsheets/d/1sqWX7UerdR9KR_duBzDNfjwbPG-3hLgV1LiN2ZVZ6Js/edit"",""1!Q2:Q33""))"),5963.536000000002)</f>
        <v>5963.536</v>
      </c>
      <c r="G418" s="40">
        <f>IFERROR(__xludf.DUMMYFUNCTION("IMPORTRANGE(""https://docs.google.com/spreadsheets/d/1sqWX7UerdR9KR_duBzDNfjwbPG-3hLgV1LiN2ZVZ6Js/edit"",""1!e40"")"),2444.0)</f>
        <v>2444</v>
      </c>
      <c r="H418" s="40">
        <f>IFERROR(__xludf.DUMMYFUNCTION("IMPORTRANGE(""https://docs.google.com/spreadsheets/d/1sqWX7UerdR9KR_duBzDNfjwbPG-3hLgV1LiN2ZVZ6Js/edit"",""1!e41"")"),331.0)</f>
        <v>331</v>
      </c>
      <c r="I418" s="40">
        <f t="shared" si="1140"/>
        <v>2775</v>
      </c>
      <c r="J418" s="40">
        <f>IFERROR(__xludf.DUMMYFUNCTION("IMPORTRANGE(""https://docs.google.com/spreadsheets/d/1sqWX7UerdR9KR_duBzDNfjwbPG-3hLgV1LiN2ZVZ6Js/edit"",""1!e44"")"),3085.0)</f>
        <v>3085</v>
      </c>
      <c r="K418" s="40">
        <f>IFERROR(__xludf.DUMMYFUNCTION("IMPORTRANGE(""https://docs.google.com/spreadsheets/d/1sqWX7UerdR9KR_duBzDNfjwbPG-3hLgV1LiN2ZVZ6Js/edit"",""1!e45"")"),319.0)</f>
        <v>319</v>
      </c>
      <c r="L418" s="40">
        <f>J418+K418</f>
        <v>3404</v>
      </c>
      <c r="M418" s="40">
        <f t="shared" si="1142"/>
        <v>6179</v>
      </c>
      <c r="N418" s="41">
        <f t="shared" si="1143"/>
        <v>186.3605</v>
      </c>
      <c r="O418" s="38">
        <v>6622.0</v>
      </c>
      <c r="P418" s="42">
        <f t="shared" si="1144"/>
        <v>0.9331017819</v>
      </c>
      <c r="Q418" s="43">
        <v>1.5</v>
      </c>
      <c r="R418" s="42">
        <f t="shared" si="1145"/>
        <v>0.6907534948</v>
      </c>
      <c r="S418" s="44">
        <f t="shared" si="1146"/>
        <v>1.036130242</v>
      </c>
      <c r="T418" s="43">
        <f>F418/23.84</f>
        <v>250.1483221</v>
      </c>
      <c r="U418" s="43">
        <f t="shared" si="1147"/>
        <v>7.817135067</v>
      </c>
      <c r="V418" s="40">
        <f t="shared" si="1148"/>
        <v>193.09375</v>
      </c>
      <c r="X418" s="31">
        <v>2.0</v>
      </c>
      <c r="Y418" s="31" t="s">
        <v>30</v>
      </c>
      <c r="Z418" s="31">
        <f t="shared" ref="Z418:AI418" si="1159">SUM(D413)</f>
        <v>60</v>
      </c>
      <c r="AA418" s="32">
        <f t="shared" si="1159"/>
        <v>59</v>
      </c>
      <c r="AB418" s="33">
        <f t="shared" si="1159"/>
        <v>11739.692</v>
      </c>
      <c r="AC418" s="32">
        <f t="shared" si="1159"/>
        <v>3754</v>
      </c>
      <c r="AD418" s="32">
        <f t="shared" si="1159"/>
        <v>14</v>
      </c>
      <c r="AE418" s="32">
        <f t="shared" si="1159"/>
        <v>3768</v>
      </c>
      <c r="AF418" s="32">
        <f t="shared" si="1159"/>
        <v>5982</v>
      </c>
      <c r="AG418" s="32">
        <f t="shared" si="1159"/>
        <v>0</v>
      </c>
      <c r="AH418" s="32">
        <f t="shared" si="1159"/>
        <v>5982</v>
      </c>
      <c r="AI418" s="32">
        <f t="shared" si="1159"/>
        <v>9750</v>
      </c>
      <c r="AJ418" s="34">
        <f t="shared" si="1160"/>
        <v>198.9778305</v>
      </c>
      <c r="AK418" s="31">
        <f t="shared" si="1161"/>
        <v>11164</v>
      </c>
      <c r="AL418" s="35">
        <f t="shared" si="1162"/>
        <v>0.8733428879</v>
      </c>
      <c r="AM418" s="36">
        <f t="shared" si="1163"/>
        <v>1.5</v>
      </c>
      <c r="AN418" s="35">
        <f t="shared" si="1164"/>
        <v>0.5536772174</v>
      </c>
      <c r="AO418" s="37">
        <f t="shared" si="1165"/>
        <v>0.8305158261</v>
      </c>
      <c r="AP418" s="36">
        <f t="shared" ref="AP418:AQ418" si="1166">SUM(T413)</f>
        <v>396.5710232</v>
      </c>
      <c r="AQ418" s="36">
        <f t="shared" si="1166"/>
        <v>6.721542766</v>
      </c>
      <c r="AR418" s="32">
        <f t="shared" si="1167"/>
        <v>165.2542373</v>
      </c>
    </row>
    <row r="419" ht="15.75" customHeight="1">
      <c r="A419" s="21"/>
      <c r="B419" s="38">
        <v>9.0</v>
      </c>
      <c r="C419" s="38" t="s">
        <v>36</v>
      </c>
      <c r="D419" s="58">
        <v>30.0</v>
      </c>
      <c r="E419" s="40">
        <f>IFERROR(__xludf.DUMMYFUNCTION("COUNT(IMPORTRANGE(""https://docs.google.com/spreadsheets/d/1YNna43iTSqnwwbMJgTIPHSJEoDO8RGPRFg5pJCoQR_Y/edit"",""1!d2:d31""))"),29.0)</f>
        <v>29</v>
      </c>
      <c r="F419" s="45">
        <f>IFERROR(__xludf.DUMMYFUNCTION("SUM(IMPORTRANGE(""https://docs.google.com/spreadsheets/d/1YNna43iTSqnwwbMJgTIPHSJEoDO8RGPRFg5pJCoQR_Y/edit"",""1!Q2:Q31""))"),4875.344999999998)</f>
        <v>4875.345</v>
      </c>
      <c r="G419" s="40">
        <f>IFERROR(__xludf.DUMMYFUNCTION("IMPORTRANGE(""https://docs.google.com/spreadsheets/d/1YNna43iTSqnwwbMJgTIPHSJEoDO8RGPRFg5pJCoQR_Y/edit"",""1!e38"")"),1728.0)</f>
        <v>1728</v>
      </c>
      <c r="H419" s="40">
        <f>IFERROR(__xludf.DUMMYFUNCTION("IMPORTRANGE(""https://docs.google.com/spreadsheets/d/1YNna43iTSqnwwbMJgTIPHSJEoDO8RGPRFg5pJCoQR_Y/edit"",""1!e39"")"),0.0)</f>
        <v>0</v>
      </c>
      <c r="I419" s="40">
        <f t="shared" si="1140"/>
        <v>1728</v>
      </c>
      <c r="J419" s="40">
        <f>IFERROR(__xludf.DUMMYFUNCTION("IMPORTRANGE(""https://docs.google.com/spreadsheets/d/1YNna43iTSqnwwbMJgTIPHSJEoDO8RGPRFg5pJCoQR_Y/edit"",""1!e42"")"),2407.0)</f>
        <v>2407</v>
      </c>
      <c r="K419" s="40">
        <f>IFERROR(__xludf.DUMMYFUNCTION("IMPORTRANGE(""https://docs.google.com/spreadsheets/d/1YNna43iTSqnwwbMJgTIPHSJEoDO8RGPRFg5pJCoQR_Y/edit"",""1!e43"")"),20.0)</f>
        <v>20</v>
      </c>
      <c r="L419" s="40">
        <f t="shared" ref="L419:L428" si="1170">SUM(J419:K419)</f>
        <v>2427</v>
      </c>
      <c r="M419" s="40">
        <f t="shared" si="1142"/>
        <v>4155</v>
      </c>
      <c r="N419" s="41">
        <f t="shared" si="1143"/>
        <v>168.1153448</v>
      </c>
      <c r="O419" s="38">
        <v>4796.0</v>
      </c>
      <c r="P419" s="42">
        <f t="shared" si="1144"/>
        <v>0.8663469558</v>
      </c>
      <c r="Q419" s="43">
        <v>1.5</v>
      </c>
      <c r="R419" s="42">
        <f t="shared" si="1145"/>
        <v>0.5681649196</v>
      </c>
      <c r="S419" s="44">
        <f t="shared" si="1146"/>
        <v>0.8522473794</v>
      </c>
      <c r="T419" s="43">
        <f>F419/37.414</f>
        <v>130.3080398</v>
      </c>
      <c r="U419" s="43">
        <f t="shared" si="1147"/>
        <v>4.493380682</v>
      </c>
      <c r="V419" s="40">
        <f t="shared" si="1148"/>
        <v>143.2758621</v>
      </c>
      <c r="X419" s="22">
        <v>3.0</v>
      </c>
      <c r="Y419" s="22" t="s">
        <v>34</v>
      </c>
      <c r="Z419" s="22">
        <f t="shared" ref="Z419:AI419" si="1168">SUM(D415)</f>
        <v>40</v>
      </c>
      <c r="AA419" s="23">
        <f t="shared" si="1168"/>
        <v>40</v>
      </c>
      <c r="AB419" s="24">
        <f t="shared" si="1168"/>
        <v>8007.324</v>
      </c>
      <c r="AC419" s="23">
        <f t="shared" si="1168"/>
        <v>2819</v>
      </c>
      <c r="AD419" s="23">
        <f t="shared" si="1168"/>
        <v>0</v>
      </c>
      <c r="AE419" s="23">
        <f t="shared" si="1168"/>
        <v>2819</v>
      </c>
      <c r="AF419" s="23">
        <f t="shared" si="1168"/>
        <v>3504</v>
      </c>
      <c r="AG419" s="23">
        <f t="shared" si="1168"/>
        <v>0</v>
      </c>
      <c r="AH419" s="23">
        <f t="shared" si="1168"/>
        <v>3504</v>
      </c>
      <c r="AI419" s="23">
        <f t="shared" si="1168"/>
        <v>6323</v>
      </c>
      <c r="AJ419" s="25">
        <f t="shared" si="1160"/>
        <v>200.1831</v>
      </c>
      <c r="AK419" s="22">
        <f>SUM(O415)</f>
        <v>9354</v>
      </c>
      <c r="AL419" s="26">
        <f t="shared" si="1162"/>
        <v>0.6759675005</v>
      </c>
      <c r="AM419" s="27">
        <f>SUM(Q415)</f>
        <v>1.5</v>
      </c>
      <c r="AN419" s="26">
        <f t="shared" si="1164"/>
        <v>0.5264347157</v>
      </c>
      <c r="AO419" s="28">
        <f t="shared" si="1165"/>
        <v>0.7896520735</v>
      </c>
      <c r="AP419" s="27">
        <f t="shared" ref="AP419:AQ419" si="1169">SUM(T415)</f>
        <v>260.7144857</v>
      </c>
      <c r="AQ419" s="27">
        <f t="shared" si="1169"/>
        <v>6.517862143</v>
      </c>
      <c r="AR419" s="23">
        <f t="shared" si="1167"/>
        <v>158.075</v>
      </c>
    </row>
    <row r="420" ht="15.75" customHeight="1">
      <c r="A420" s="21"/>
      <c r="B420" s="38">
        <v>10.0</v>
      </c>
      <c r="C420" s="38" t="s">
        <v>37</v>
      </c>
      <c r="D420" s="39">
        <v>30.0</v>
      </c>
      <c r="E420" s="40">
        <f>IFERROR(__xludf.DUMMYFUNCTION("COUNT(IMPORTRANGE(""https://docs.google.com/spreadsheets/d/1913Df5BsXS_b-nClL8LOK5w0engQYTl1mPOiyngRtO0/edit"",""1!d2:d31""))"),28.0)</f>
        <v>28</v>
      </c>
      <c r="F420" s="45">
        <f>IFERROR(__xludf.DUMMYFUNCTION("SUM(IMPORTRANGE(""https://docs.google.com/spreadsheets/d/1913Df5BsXS_b-nClL8LOK5w0engQYTl1mPOiyngRtO0/edit"",""1!Q2:Q31""))"),5465.100000000002)</f>
        <v>5465.1</v>
      </c>
      <c r="G420" s="40">
        <f>IFERROR(__xludf.DUMMYFUNCTION("(IMPORTRANGE(""https://docs.google.com/spreadsheets/d/1913Df5BsXS_b-nClL8LOK5w0engQYTl1mPOiyngRtO0/edit"",""1!e38""))"),2135.0)</f>
        <v>2135</v>
      </c>
      <c r="H420" s="40">
        <f>IFERROR(__xludf.DUMMYFUNCTION("(IMPORTRANGE(""https://docs.google.com/spreadsheets/d/1913Df5BsXS_b-nClL8LOK5w0engQYTl1mPOiyngRtO0/edit"",""1!e39""))"),0.0)</f>
        <v>0</v>
      </c>
      <c r="I420" s="40">
        <f t="shared" si="1140"/>
        <v>2135</v>
      </c>
      <c r="J420" s="40">
        <f>IFERROR(__xludf.DUMMYFUNCTION("(IMPORTRANGE(""https://docs.google.com/spreadsheets/d/1913Df5BsXS_b-nClL8LOK5w0engQYTl1mPOiyngRtO0/edit"",""1!e42""))"),3182.0)</f>
        <v>3182</v>
      </c>
      <c r="K420" s="40">
        <f>IFERROR(__xludf.DUMMYFUNCTION("(IMPORTRANGE(""https://docs.google.com/spreadsheets/d/1913Df5BsXS_b-nClL8LOK5w0engQYTl1mPOiyngRtO0/edit"",""1!e43""))"),0.0)</f>
        <v>0</v>
      </c>
      <c r="L420" s="40">
        <f t="shared" si="1170"/>
        <v>3182</v>
      </c>
      <c r="M420" s="40">
        <f t="shared" si="1142"/>
        <v>5317</v>
      </c>
      <c r="N420" s="41">
        <f t="shared" si="1143"/>
        <v>195.1821429</v>
      </c>
      <c r="O420" s="38">
        <v>5887.0</v>
      </c>
      <c r="P420" s="42">
        <f t="shared" si="1144"/>
        <v>0.9031764906</v>
      </c>
      <c r="Q420" s="43">
        <v>1.5</v>
      </c>
      <c r="R420" s="42">
        <f t="shared" si="1145"/>
        <v>0.6486005136</v>
      </c>
      <c r="S420" s="44">
        <f t="shared" si="1146"/>
        <v>0.9729007703</v>
      </c>
      <c r="T420" s="43">
        <f>F420/24.792</f>
        <v>220.4380445</v>
      </c>
      <c r="U420" s="43">
        <f t="shared" si="1147"/>
        <v>7.872787305</v>
      </c>
      <c r="V420" s="40">
        <f t="shared" si="1148"/>
        <v>189.8928571</v>
      </c>
      <c r="X420" s="31">
        <v>4.0</v>
      </c>
      <c r="Y420" s="31" t="s">
        <v>38</v>
      </c>
      <c r="Z420" s="31">
        <f t="shared" ref="Z420:AI420" si="1171">SUM(D423)</f>
        <v>30</v>
      </c>
      <c r="AA420" s="32">
        <f t="shared" si="1171"/>
        <v>30</v>
      </c>
      <c r="AB420" s="33">
        <f t="shared" si="1171"/>
        <v>6034.986</v>
      </c>
      <c r="AC420" s="32">
        <f t="shared" si="1171"/>
        <v>1876</v>
      </c>
      <c r="AD420" s="32">
        <f t="shared" si="1171"/>
        <v>79</v>
      </c>
      <c r="AE420" s="32">
        <f t="shared" si="1171"/>
        <v>1955</v>
      </c>
      <c r="AF420" s="32">
        <f t="shared" si="1171"/>
        <v>2967</v>
      </c>
      <c r="AG420" s="32">
        <f t="shared" si="1171"/>
        <v>140</v>
      </c>
      <c r="AH420" s="32">
        <f t="shared" si="1171"/>
        <v>3107</v>
      </c>
      <c r="AI420" s="32">
        <f t="shared" si="1171"/>
        <v>5062</v>
      </c>
      <c r="AJ420" s="34">
        <f t="shared" si="1160"/>
        <v>201.1662</v>
      </c>
      <c r="AK420" s="31">
        <v>7324.0</v>
      </c>
      <c r="AL420" s="35">
        <f t="shared" si="1162"/>
        <v>0.6911523758</v>
      </c>
      <c r="AM420" s="36">
        <f>SUM(Q423)</f>
        <v>1.5</v>
      </c>
      <c r="AN420" s="35">
        <f t="shared" si="1164"/>
        <v>0.5591838435</v>
      </c>
      <c r="AO420" s="37">
        <f t="shared" si="1165"/>
        <v>0.8387757652</v>
      </c>
      <c r="AP420" s="36">
        <f t="shared" ref="AP420:AQ420" si="1172">SUM(T423)</f>
        <v>146.4624681</v>
      </c>
      <c r="AQ420" s="36">
        <f t="shared" si="1172"/>
        <v>4.882082272</v>
      </c>
      <c r="AR420" s="32">
        <f t="shared" si="1167"/>
        <v>168.7333333</v>
      </c>
    </row>
    <row r="421" ht="15.75" customHeight="1">
      <c r="A421" s="21"/>
      <c r="B421" s="38">
        <v>12.0</v>
      </c>
      <c r="C421" s="38" t="s">
        <v>39</v>
      </c>
      <c r="D421" s="39">
        <v>28.0</v>
      </c>
      <c r="E421" s="40">
        <f>IFERROR(__xludf.DUMMYFUNCTION("COUNT(IMPORTRANGE(""https://docs.google.com/spreadsheets/d/1wMeol_MpSIcocGxt3WZGl46mJ2tc80mANPvP_YzaP18/edit"",""1!d2:d29""))"),27.0)</f>
        <v>27</v>
      </c>
      <c r="F421" s="45">
        <f>IFERROR(__xludf.DUMMYFUNCTION("SUM(IMPORTRANGE(""https://docs.google.com/spreadsheets/d/1wMeol_MpSIcocGxt3WZGl46mJ2tc80mANPvP_YzaP18/edit"",""1!Q2:Q29""))"),5318.459)</f>
        <v>5318.459</v>
      </c>
      <c r="G421" s="40">
        <f>IFERROR(__xludf.DUMMYFUNCTION("IMPORTRANGE(""https://docs.google.com/spreadsheets/d/1wMeol_MpSIcocGxt3WZGl46mJ2tc80mANPvP_YzaP18/edit"",""1!e36"")"),1229.0)</f>
        <v>1229</v>
      </c>
      <c r="H421" s="40">
        <f>IFERROR(__xludf.DUMMYFUNCTION("(IMPORTRANGE(""https://docs.google.com/spreadsheets/d/1wMeol_MpSIcocGxt3WZGl46mJ2tc80mANPvP_YzaP18/edit"",""1!e37""))"),0.0)</f>
        <v>0</v>
      </c>
      <c r="I421" s="40">
        <f t="shared" si="1140"/>
        <v>1229</v>
      </c>
      <c r="J421" s="40">
        <f>IFERROR(__xludf.DUMMYFUNCTION("IMPORTRANGE(""https://docs.google.com/spreadsheets/d/1wMeol_MpSIcocGxt3WZGl46mJ2tc80mANPvP_YzaP18/edit"",""1!e40"")"),1740.0)</f>
        <v>1740</v>
      </c>
      <c r="K421" s="40">
        <f>IFERROR(__xludf.DUMMYFUNCTION("IMPORTRANGE(""https://docs.google.com/spreadsheets/d/1wMeol_MpSIcocGxt3WZGl46mJ2tc80mANPvP_YzaP18/edit"",""1!e41"")"),0.0)</f>
        <v>0</v>
      </c>
      <c r="L421" s="40">
        <f t="shared" si="1170"/>
        <v>1740</v>
      </c>
      <c r="M421" s="40">
        <f t="shared" si="1142"/>
        <v>2969</v>
      </c>
      <c r="N421" s="41">
        <f t="shared" si="1143"/>
        <v>196.979963</v>
      </c>
      <c r="O421" s="38">
        <v>3569.0</v>
      </c>
      <c r="P421" s="42">
        <f t="shared" si="1144"/>
        <v>0.8318856823</v>
      </c>
      <c r="Q421" s="43">
        <v>1.5</v>
      </c>
      <c r="R421" s="42">
        <f t="shared" si="1145"/>
        <v>0.3721629392</v>
      </c>
      <c r="S421" s="44">
        <f t="shared" si="1146"/>
        <v>0.5582444088</v>
      </c>
      <c r="T421" s="43">
        <f>F421/21.463</f>
        <v>247.7966268</v>
      </c>
      <c r="U421" s="43">
        <f t="shared" si="1147"/>
        <v>9.177652843</v>
      </c>
      <c r="V421" s="40">
        <f t="shared" si="1148"/>
        <v>109.962963</v>
      </c>
      <c r="X421" s="31">
        <v>5.0</v>
      </c>
      <c r="Y421" s="31" t="s">
        <v>40</v>
      </c>
      <c r="Z421" s="31">
        <f t="shared" ref="Z421:AI421" si="1173">SUM(D425)</f>
        <v>30</v>
      </c>
      <c r="AA421" s="32">
        <f t="shared" si="1173"/>
        <v>30</v>
      </c>
      <c r="AB421" s="33">
        <f t="shared" si="1173"/>
        <v>5660.157</v>
      </c>
      <c r="AC421" s="32">
        <f t="shared" si="1173"/>
        <v>3382</v>
      </c>
      <c r="AD421" s="32">
        <f t="shared" si="1173"/>
        <v>0</v>
      </c>
      <c r="AE421" s="32">
        <f t="shared" si="1173"/>
        <v>3382</v>
      </c>
      <c r="AF421" s="32">
        <f t="shared" si="1173"/>
        <v>3798</v>
      </c>
      <c r="AG421" s="32">
        <f t="shared" si="1173"/>
        <v>0</v>
      </c>
      <c r="AH421" s="32">
        <f t="shared" si="1173"/>
        <v>3798</v>
      </c>
      <c r="AI421" s="32">
        <f t="shared" si="1173"/>
        <v>7180</v>
      </c>
      <c r="AJ421" s="34">
        <f t="shared" si="1160"/>
        <v>188.6719</v>
      </c>
      <c r="AK421" s="31">
        <f t="shared" ref="AK421:AK422" si="1176">SUM(O425)</f>
        <v>8239</v>
      </c>
      <c r="AL421" s="35">
        <f t="shared" si="1162"/>
        <v>0.8714649836</v>
      </c>
      <c r="AM421" s="36">
        <f t="shared" ref="AM421:AM422" si="1177">SUM(Q425)</f>
        <v>1.5</v>
      </c>
      <c r="AN421" s="35">
        <f t="shared" si="1164"/>
        <v>0.8456773667</v>
      </c>
      <c r="AO421" s="37">
        <f t="shared" si="1165"/>
        <v>1.26851605</v>
      </c>
      <c r="AP421" s="36">
        <f t="shared" ref="AP421:AQ421" si="1174">SUM(T425)</f>
        <v>199</v>
      </c>
      <c r="AQ421" s="36">
        <f t="shared" si="1174"/>
        <v>6.633333333</v>
      </c>
      <c r="AR421" s="32">
        <f t="shared" si="1167"/>
        <v>239.3333333</v>
      </c>
    </row>
    <row r="422" ht="15.75" customHeight="1">
      <c r="A422" s="21"/>
      <c r="B422" s="38">
        <v>12.0</v>
      </c>
      <c r="C422" s="38" t="s">
        <v>41</v>
      </c>
      <c r="D422" s="39">
        <v>24.0</v>
      </c>
      <c r="E422" s="40">
        <f>IFERROR(__xludf.DUMMYFUNCTION("COUNT(IMPORTRANGE(""https://docs.google.com/spreadsheets/d/1sHk6_yuc4kORC_xnhEeazoemV_hVUQVqRpfoNae-PLk/edit"",""1!d2:d25""))"),24.0)</f>
        <v>24</v>
      </c>
      <c r="F422" s="45">
        <f>IFERROR(__xludf.DUMMYFUNCTION("SUM(IMPORTRANGE(""https://docs.google.com/spreadsheets/d/1sHk6_yuc4kORC_xnhEeazoemV_hVUQVqRpfoNae-PLk/edit"",""1!Q2:Q25""))"),4793.152000000001)</f>
        <v>4793.152</v>
      </c>
      <c r="G422" s="40">
        <f>IFERROR(__xludf.DUMMYFUNCTION("IMPORTRANGE(""https://docs.google.com/spreadsheets/d/1sHk6_yuc4kORC_xnhEeazoemV_hVUQVqRpfoNae-PLk/edit"",""1!e32"")"),1363.0)</f>
        <v>1363</v>
      </c>
      <c r="H422" s="40">
        <f>IFERROR(__xludf.DUMMYFUNCTION("IMPORTRANGE(""https://docs.google.com/spreadsheets/d/1sHk6_yuc4kORC_xnhEeazoemV_hVUQVqRpfoNae-PLk/edit"",""1!e33"")"),0.0)</f>
        <v>0</v>
      </c>
      <c r="I422" s="40">
        <f t="shared" si="1140"/>
        <v>1363</v>
      </c>
      <c r="J422" s="40">
        <f>IFERROR(__xludf.DUMMYFUNCTION("IMPORTRANGE(""https://docs.google.com/spreadsheets/d/1sHk6_yuc4kORC_xnhEeazoemV_hVUQVqRpfoNae-PLk/edit"",""1!e36"")"),1818.0)</f>
        <v>1818</v>
      </c>
      <c r="K422" s="40">
        <f>IFERROR(__xludf.DUMMYFUNCTION("IMPORTRANGE(""https://docs.google.com/spreadsheets/d/1sHk6_yuc4kORC_xnhEeazoemV_hVUQVqRpfoNae-PLk/edit"",""1!e37"")"),0.0)</f>
        <v>0</v>
      </c>
      <c r="L422" s="40">
        <f t="shared" si="1170"/>
        <v>1818</v>
      </c>
      <c r="M422" s="40">
        <f t="shared" si="1142"/>
        <v>3181</v>
      </c>
      <c r="N422" s="41">
        <f t="shared" si="1143"/>
        <v>199.7146667</v>
      </c>
      <c r="O422" s="38">
        <v>3801.0</v>
      </c>
      <c r="P422" s="42">
        <f t="shared" si="1144"/>
        <v>0.8368850303</v>
      </c>
      <c r="Q422" s="43">
        <v>1.5</v>
      </c>
      <c r="R422" s="42">
        <f t="shared" si="1145"/>
        <v>0.4424367653</v>
      </c>
      <c r="S422" s="44">
        <f t="shared" si="1146"/>
        <v>0.663655148</v>
      </c>
      <c r="T422" s="43">
        <f>F422/29.628</f>
        <v>161.7777778</v>
      </c>
      <c r="U422" s="43">
        <f t="shared" si="1147"/>
        <v>6.740740741</v>
      </c>
      <c r="V422" s="40">
        <f t="shared" si="1148"/>
        <v>132.5416667</v>
      </c>
      <c r="X422" s="22">
        <v>6.0</v>
      </c>
      <c r="Y422" s="22" t="s">
        <v>42</v>
      </c>
      <c r="Z422" s="22">
        <f t="shared" ref="Z422:AI422" si="1175">SUM(D426)</f>
        <v>33</v>
      </c>
      <c r="AA422" s="23">
        <f t="shared" si="1175"/>
        <v>33</v>
      </c>
      <c r="AB422" s="24">
        <f t="shared" si="1175"/>
        <v>6597.215</v>
      </c>
      <c r="AC422" s="23">
        <f t="shared" si="1175"/>
        <v>3014</v>
      </c>
      <c r="AD422" s="23">
        <f t="shared" si="1175"/>
        <v>234</v>
      </c>
      <c r="AE422" s="23">
        <f t="shared" si="1175"/>
        <v>3248</v>
      </c>
      <c r="AF422" s="23">
        <f t="shared" si="1175"/>
        <v>4605</v>
      </c>
      <c r="AG422" s="23">
        <f t="shared" si="1175"/>
        <v>108</v>
      </c>
      <c r="AH422" s="23">
        <f t="shared" si="1175"/>
        <v>4713</v>
      </c>
      <c r="AI422" s="23">
        <f t="shared" si="1175"/>
        <v>7961</v>
      </c>
      <c r="AJ422" s="25">
        <f t="shared" si="1160"/>
        <v>199.9156061</v>
      </c>
      <c r="AK422" s="22">
        <f t="shared" si="1176"/>
        <v>9877</v>
      </c>
      <c r="AL422" s="26">
        <f t="shared" si="1162"/>
        <v>0.8060139719</v>
      </c>
      <c r="AM422" s="27">
        <f t="shared" si="1177"/>
        <v>1.5</v>
      </c>
      <c r="AN422" s="26">
        <f t="shared" si="1164"/>
        <v>0.8044808807</v>
      </c>
      <c r="AO422" s="28">
        <f t="shared" si="1165"/>
        <v>1.206721321</v>
      </c>
      <c r="AP422" s="27">
        <f t="shared" ref="AP422:AQ422" si="1178">SUM(T426)</f>
        <v>252.2353279</v>
      </c>
      <c r="AQ422" s="27">
        <f t="shared" si="1178"/>
        <v>7.643494783</v>
      </c>
      <c r="AR422" s="23">
        <f t="shared" si="1167"/>
        <v>241.2424242</v>
      </c>
    </row>
    <row r="423" ht="15.75" customHeight="1">
      <c r="A423" s="21"/>
      <c r="B423" s="38">
        <v>13.0</v>
      </c>
      <c r="C423" s="38" t="s">
        <v>43</v>
      </c>
      <c r="D423" s="39">
        <v>30.0</v>
      </c>
      <c r="E423" s="40">
        <f>IFERROR(__xludf.DUMMYFUNCTION("COUNT(IMPORTRANGE(""https://docs.google.com/spreadsheets/d/1uGXvAN2jA6kmcEHUY4KqOHHewllZsujDdA6KVDfBCoA/edit"",""1!d2:d31""))"),30.0)</f>
        <v>30</v>
      </c>
      <c r="F423" s="45">
        <f>IFERROR(__xludf.DUMMYFUNCTION("SUM(IMPORTRANGE(""https://docs.google.com/spreadsheets/d/1uGXvAN2jA6kmcEHUY4KqOHHewllZsujDdA6KVDfBCoA/edit"",""1!Q2:Q31""))"),6034.986)</f>
        <v>6034.986</v>
      </c>
      <c r="G423" s="40">
        <f>IFERROR(__xludf.DUMMYFUNCTION("IMPORTRANGE(""https://docs.google.com/spreadsheets/d/1uGXvAN2jA6kmcEHUY4KqOHHewllZsujDdA6KVDfBCoA/edit"",""1!e38"")"),1876.0)</f>
        <v>1876</v>
      </c>
      <c r="H423" s="40">
        <f>IFERROR(__xludf.DUMMYFUNCTION("IMPORTRANGE(""https://docs.google.com/spreadsheets/d/1uGXvAN2jA6kmcEHUY4KqOHHewllZsujDdA6KVDfBCoA/edit"",""1!e39"")"),79.0)</f>
        <v>79</v>
      </c>
      <c r="I423" s="40">
        <f t="shared" si="1140"/>
        <v>1955</v>
      </c>
      <c r="J423" s="40">
        <f>IFERROR(__xludf.DUMMYFUNCTION("IMPORTRANGE(""https://docs.google.com/spreadsheets/d/1uGXvAN2jA6kmcEHUY4KqOHHewllZsujDdA6KVDfBCoA/edit"",""1!e42"")"),2967.0)</f>
        <v>2967</v>
      </c>
      <c r="K423" s="40">
        <f>IFERROR(__xludf.DUMMYFUNCTION("IMPORTRANGE(""https://docs.google.com/spreadsheets/d/1uGXvAN2jA6kmcEHUY4KqOHHewllZsujDdA6KVDfBCoA/edit"",""1!e43"")"),140.0)</f>
        <v>140</v>
      </c>
      <c r="L423" s="40">
        <f t="shared" si="1170"/>
        <v>3107</v>
      </c>
      <c r="M423" s="40">
        <f t="shared" si="1142"/>
        <v>5062</v>
      </c>
      <c r="N423" s="41">
        <f t="shared" si="1143"/>
        <v>201.1662</v>
      </c>
      <c r="O423" s="38">
        <v>8345.0</v>
      </c>
      <c r="P423" s="42">
        <f t="shared" si="1144"/>
        <v>0.6065907729</v>
      </c>
      <c r="Q423" s="43">
        <v>1.5</v>
      </c>
      <c r="R423" s="42">
        <f t="shared" si="1145"/>
        <v>0.5591838435</v>
      </c>
      <c r="S423" s="44">
        <f t="shared" si="1146"/>
        <v>0.8387757652</v>
      </c>
      <c r="T423" s="43">
        <f>F423/41.205</f>
        <v>146.4624681</v>
      </c>
      <c r="U423" s="43">
        <f t="shared" si="1147"/>
        <v>4.882082272</v>
      </c>
      <c r="V423" s="40">
        <f t="shared" si="1148"/>
        <v>168.7333333</v>
      </c>
      <c r="X423" s="46" t="s">
        <v>33</v>
      </c>
      <c r="Y423" s="46">
        <v>6.0</v>
      </c>
      <c r="Z423" s="46">
        <f t="shared" ref="Z423:AI423" si="1179">SUM(Z417:Z422)</f>
        <v>226</v>
      </c>
      <c r="AA423" s="47">
        <f t="shared" si="1179"/>
        <v>224</v>
      </c>
      <c r="AB423" s="49">
        <f t="shared" si="1179"/>
        <v>44273.509</v>
      </c>
      <c r="AC423" s="47">
        <f t="shared" si="1179"/>
        <v>17564</v>
      </c>
      <c r="AD423" s="47">
        <f t="shared" si="1179"/>
        <v>535</v>
      </c>
      <c r="AE423" s="47">
        <f t="shared" si="1179"/>
        <v>18099</v>
      </c>
      <c r="AF423" s="47">
        <f t="shared" si="1179"/>
        <v>24048</v>
      </c>
      <c r="AG423" s="47">
        <f t="shared" si="1179"/>
        <v>386</v>
      </c>
      <c r="AH423" s="47">
        <f t="shared" si="1179"/>
        <v>24434</v>
      </c>
      <c r="AI423" s="47">
        <f t="shared" si="1179"/>
        <v>42533</v>
      </c>
      <c r="AJ423" s="49">
        <f t="shared" si="1160"/>
        <v>197.6495938</v>
      </c>
      <c r="AK423" s="46">
        <f>SUM(AK417:AK422)</f>
        <v>53273</v>
      </c>
      <c r="AL423" s="50">
        <f t="shared" si="1162"/>
        <v>0.7983969365</v>
      </c>
      <c r="AM423" s="51">
        <v>1.5</v>
      </c>
      <c r="AN423" s="50">
        <f t="shared" si="1164"/>
        <v>0.6404582328</v>
      </c>
      <c r="AO423" s="52">
        <f t="shared" si="1165"/>
        <v>0.9606873492</v>
      </c>
      <c r="AP423" s="51">
        <f>SUM(AP417:AP422)</f>
        <v>1456.754836</v>
      </c>
      <c r="AQ423" s="51">
        <f>AP423/AA423</f>
        <v>6.503369804</v>
      </c>
      <c r="AR423" s="47">
        <f t="shared" si="1167"/>
        <v>189.8794643</v>
      </c>
    </row>
    <row r="424" ht="15.75" customHeight="1">
      <c r="A424" s="21"/>
      <c r="B424" s="38">
        <v>14.0</v>
      </c>
      <c r="C424" s="38" t="s">
        <v>27</v>
      </c>
      <c r="D424" s="39">
        <v>30.0</v>
      </c>
      <c r="E424" s="40">
        <f>IFERROR(__xludf.DUMMYFUNCTION("COUNT(IMPORTRANGE(""https://docs.google.com/spreadsheets/d/1iYtf3wkjJIgOL8ej0-L89wY8FLXKi6EiRbi9UqA1Bzw/edit"",""1!d2:d31""))"),29.0)</f>
        <v>29</v>
      </c>
      <c r="F424" s="45">
        <f>IFERROR(__xludf.DUMMYFUNCTION("SUM(IMPORTRANGE(""https://docs.google.com/spreadsheets/d/1iYtf3wkjJIgOL8ej0-L89wY8FLXKi6EiRbi9UqA1Bzw/edit"",""1!Q2:Q31""))"),5631.663000000001)</f>
        <v>5631.663</v>
      </c>
      <c r="G424" s="40">
        <f>IFERROR(__xludf.DUMMYFUNCTION("IMPORTRANGE(""https://docs.google.com/spreadsheets/d/1iYtf3wkjJIgOL8ej0-L89wY8FLXKi6EiRbi9UqA1Bzw/edit"",""1!e38"")"),2486.0)</f>
        <v>2486</v>
      </c>
      <c r="H424" s="40">
        <f>IFERROR(__xludf.DUMMYFUNCTION("IMPORTRANGE(""https://docs.google.com/spreadsheets/d/1iYtf3wkjJIgOL8ej0-L89wY8FLXKi6EiRbi9UqA1Bzw/edit"",""1!e39"")"),80.0)</f>
        <v>80</v>
      </c>
      <c r="I424" s="40">
        <f t="shared" si="1140"/>
        <v>2566</v>
      </c>
      <c r="J424" s="40">
        <f>IFERROR(__xludf.DUMMYFUNCTION("IMPORTRANGE(""https://docs.google.com/spreadsheets/d/1iYtf3wkjJIgOL8ej0-L89wY8FLXKi6EiRbi9UqA1Bzw/edit"",""1!e42"")"),2945.0)</f>
        <v>2945</v>
      </c>
      <c r="K424" s="40">
        <f>IFERROR(__xludf.DUMMYFUNCTION("IMPORTRANGE(""https://docs.google.com/spreadsheets/d/1iYtf3wkjJIgOL8ej0-L89wY8FLXKi6EiRbi9UqA1Bzw/edit"",""1!e43"")"),88.0)</f>
        <v>88</v>
      </c>
      <c r="L424" s="40">
        <f t="shared" si="1170"/>
        <v>3033</v>
      </c>
      <c r="M424" s="40">
        <f t="shared" si="1142"/>
        <v>5599</v>
      </c>
      <c r="N424" s="41">
        <f t="shared" si="1143"/>
        <v>194.1952759</v>
      </c>
      <c r="O424" s="38">
        <v>8101.0</v>
      </c>
      <c r="P424" s="42">
        <f t="shared" si="1144"/>
        <v>0.6911492408</v>
      </c>
      <c r="Q424" s="43">
        <v>1.5</v>
      </c>
      <c r="R424" s="42">
        <f t="shared" si="1145"/>
        <v>0.6628000764</v>
      </c>
      <c r="S424" s="44">
        <f t="shared" si="1146"/>
        <v>0.9942001146</v>
      </c>
      <c r="T424" s="43">
        <f>F424/19.985</f>
        <v>281.7944959</v>
      </c>
      <c r="U424" s="43">
        <f t="shared" si="1147"/>
        <v>9.717051582</v>
      </c>
      <c r="V424" s="40">
        <f t="shared" si="1148"/>
        <v>193.0689655</v>
      </c>
      <c r="X424" s="59" t="s">
        <v>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6"/>
    </row>
    <row r="425" ht="15.75" customHeight="1">
      <c r="A425" s="21"/>
      <c r="B425" s="38">
        <v>15.0</v>
      </c>
      <c r="C425" s="38" t="s">
        <v>40</v>
      </c>
      <c r="D425" s="39">
        <v>30.0</v>
      </c>
      <c r="E425" s="40">
        <f>IFERROR(__xludf.DUMMYFUNCTION("COUNT(IMPORTRANGE(""https://docs.google.com/spreadsheets/d/1Wdf8MsoDBzMSsrzOXwaGQzbVjVqOWfKSqYmbncevZgA/edit"",""1!d2:d31""))"),30.0)</f>
        <v>30</v>
      </c>
      <c r="F425" s="45">
        <f>IFERROR(__xludf.DUMMYFUNCTION("SUM(IMPORTRANGE(""https://docs.google.com/spreadsheets/d/1Wdf8MsoDBzMSsrzOXwaGQzbVjVqOWfKSqYmbncevZgA/edit"",""1!Q2:Q31""))"),5660.156999999998)</f>
        <v>5660.157</v>
      </c>
      <c r="G425" s="40">
        <f>IFERROR(__xludf.DUMMYFUNCTION("IMPORTRANGE(""https://docs.google.com/spreadsheets/d/1Wdf8MsoDBzMSsrzOXwaGQzbVjVqOWfKSqYmbncevZgA/edit"",""1!e38"")"),3382.0)</f>
        <v>3382</v>
      </c>
      <c r="H425" s="40">
        <f>IFERROR(__xludf.DUMMYFUNCTION("IMPORTRANGE(""https://docs.google.com/spreadsheets/d/1Wdf8MsoDBzMSsrzOXwaGQzbVjVqOWfKSqYmbncevZgA/edit"",""1!e39"")"),0.0)</f>
        <v>0</v>
      </c>
      <c r="I425" s="40">
        <f t="shared" si="1140"/>
        <v>3382</v>
      </c>
      <c r="J425" s="40">
        <f>IFERROR(__xludf.DUMMYFUNCTION("IMPORTRANGE(""https://docs.google.com/spreadsheets/d/1Wdf8MsoDBzMSsrzOXwaGQzbVjVqOWfKSqYmbncevZgA/edit"",""1!e42"")"),3798.0)</f>
        <v>3798</v>
      </c>
      <c r="K425" s="40">
        <f>IFERROR(__xludf.DUMMYFUNCTION("IMPORTRANGE(""https://docs.google.com/spreadsheets/d/1Wdf8MsoDBzMSsrzOXwaGQzbVjVqOWfKSqYmbncevZgA/edit"",""1!e43"")"),0.0)</f>
        <v>0</v>
      </c>
      <c r="L425" s="40">
        <f t="shared" si="1170"/>
        <v>3798</v>
      </c>
      <c r="M425" s="40">
        <f t="shared" si="1142"/>
        <v>7180</v>
      </c>
      <c r="N425" s="41">
        <f t="shared" si="1143"/>
        <v>188.6719</v>
      </c>
      <c r="O425" s="38">
        <v>8239.0</v>
      </c>
      <c r="P425" s="42">
        <f t="shared" si="1144"/>
        <v>0.8714649836</v>
      </c>
      <c r="Q425" s="43">
        <v>1.5</v>
      </c>
      <c r="R425" s="42">
        <f t="shared" si="1145"/>
        <v>0.8456773667</v>
      </c>
      <c r="S425" s="44">
        <f t="shared" si="1146"/>
        <v>1.26851605</v>
      </c>
      <c r="T425" s="43">
        <f>F425/28.443</f>
        <v>199</v>
      </c>
      <c r="U425" s="43">
        <f t="shared" si="1147"/>
        <v>6.633333333</v>
      </c>
      <c r="V425" s="40">
        <f t="shared" si="1148"/>
        <v>239.3333333</v>
      </c>
      <c r="X425" s="14" t="s">
        <v>2</v>
      </c>
      <c r="Y425" s="14" t="s">
        <v>3</v>
      </c>
      <c r="Z425" s="14" t="s">
        <v>4</v>
      </c>
      <c r="AA425" s="14" t="s">
        <v>5</v>
      </c>
      <c r="AB425" s="15" t="s">
        <v>6</v>
      </c>
      <c r="AC425" s="14" t="s">
        <v>7</v>
      </c>
      <c r="AD425" s="14" t="s">
        <v>8</v>
      </c>
      <c r="AE425" s="14" t="s">
        <v>9</v>
      </c>
      <c r="AF425" s="14" t="s">
        <v>10</v>
      </c>
      <c r="AG425" s="14" t="s">
        <v>11</v>
      </c>
      <c r="AH425" s="14" t="s">
        <v>12</v>
      </c>
      <c r="AI425" s="14" t="s">
        <v>13</v>
      </c>
      <c r="AJ425" s="15" t="s">
        <v>14</v>
      </c>
      <c r="AK425" s="14" t="s">
        <v>15</v>
      </c>
      <c r="AL425" s="14" t="s">
        <v>16</v>
      </c>
      <c r="AM425" s="16" t="s">
        <v>17</v>
      </c>
      <c r="AN425" s="17" t="s">
        <v>18</v>
      </c>
      <c r="AO425" s="18" t="s">
        <v>19</v>
      </c>
      <c r="AP425" s="19" t="s">
        <v>20</v>
      </c>
      <c r="AQ425" s="19" t="s">
        <v>21</v>
      </c>
      <c r="AR425" s="20" t="s">
        <v>22</v>
      </c>
    </row>
    <row r="426" ht="15.75" customHeight="1">
      <c r="A426" s="21"/>
      <c r="B426" s="38">
        <v>16.0</v>
      </c>
      <c r="C426" s="38" t="s">
        <v>42</v>
      </c>
      <c r="D426" s="39">
        <v>33.0</v>
      </c>
      <c r="E426" s="40">
        <f>IFERROR(__xludf.DUMMYFUNCTION("COUNT(IMPORTRANGE(""https://docs.google.com/spreadsheets/d/1Z5uB5HbeAKcHmG4EOw3rf2J8NpyvDiha6RReERAMvA0/edit"",""1!d2:d34""))"),33.0)</f>
        <v>33</v>
      </c>
      <c r="F426" s="45">
        <f>IFERROR(__xludf.DUMMYFUNCTION("SUM(IMPORTRANGE(""https://docs.google.com/spreadsheets/d/1Z5uB5HbeAKcHmG4EOw3rf2J8NpyvDiha6RReERAMvA0/edit"",""1!Q2:Q34""))"),6597.214999999997)</f>
        <v>6597.215</v>
      </c>
      <c r="G426" s="40">
        <f>IFERROR(__xludf.DUMMYFUNCTION("IMPORTRANGE(""https://docs.google.com/spreadsheets/d/1Z5uB5HbeAKcHmG4EOw3rf2J8NpyvDiha6RReERAMvA0/edit"",""1!e41"")"),3014.0)</f>
        <v>3014</v>
      </c>
      <c r="H426" s="40">
        <f>IFERROR(__xludf.DUMMYFUNCTION("IMPORTRANGE(""https://docs.google.com/spreadsheets/d/1Z5uB5HbeAKcHmG4EOw3rf2J8NpyvDiha6RReERAMvA0/edit"",""1!e42"")"),234.0)</f>
        <v>234</v>
      </c>
      <c r="I426" s="40">
        <f t="shared" si="1140"/>
        <v>3248</v>
      </c>
      <c r="J426" s="40">
        <f>IFERROR(__xludf.DUMMYFUNCTION("IMPORTRANGE(""https://docs.google.com/spreadsheets/d/1Z5uB5HbeAKcHmG4EOw3rf2J8NpyvDiha6RReERAMvA0/edit"",""1!e45"")"),4605.0)</f>
        <v>4605</v>
      </c>
      <c r="K426" s="40">
        <f>IFERROR(__xludf.DUMMYFUNCTION("IMPORTRANGE(""https://docs.google.com/spreadsheets/d/1Z5uB5HbeAKcHmG4EOw3rf2J8NpyvDiha6RReERAMvA0/edit"",""1!e46"")"),108.0)</f>
        <v>108</v>
      </c>
      <c r="L426" s="40">
        <f t="shared" si="1170"/>
        <v>4713</v>
      </c>
      <c r="M426" s="40">
        <f t="shared" si="1142"/>
        <v>7961</v>
      </c>
      <c r="N426" s="41">
        <f t="shared" si="1143"/>
        <v>199.9156061</v>
      </c>
      <c r="O426" s="38">
        <v>9877.0</v>
      </c>
      <c r="P426" s="42">
        <f t="shared" si="1144"/>
        <v>0.8060139719</v>
      </c>
      <c r="Q426" s="43">
        <v>1.5</v>
      </c>
      <c r="R426" s="42">
        <f t="shared" si="1145"/>
        <v>0.8044808807</v>
      </c>
      <c r="S426" s="44">
        <f t="shared" si="1146"/>
        <v>1.206721321</v>
      </c>
      <c r="T426" s="43">
        <f>F426/26.155</f>
        <v>252.2353279</v>
      </c>
      <c r="U426" s="43">
        <f t="shared" si="1147"/>
        <v>7.643494783</v>
      </c>
      <c r="V426" s="40">
        <f t="shared" si="1148"/>
        <v>241.2424242</v>
      </c>
      <c r="X426" s="31">
        <v>1.0</v>
      </c>
      <c r="Y426" s="31" t="s">
        <v>26</v>
      </c>
      <c r="Z426" s="31">
        <f t="shared" ref="Z426:AI426" si="1180">SUM(D411)</f>
        <v>20</v>
      </c>
      <c r="AA426" s="32">
        <f t="shared" si="1180"/>
        <v>20</v>
      </c>
      <c r="AB426" s="34">
        <f t="shared" si="1180"/>
        <v>3935.295</v>
      </c>
      <c r="AC426" s="32">
        <f t="shared" si="1180"/>
        <v>2229</v>
      </c>
      <c r="AD426" s="32">
        <f t="shared" si="1180"/>
        <v>0</v>
      </c>
      <c r="AE426" s="32">
        <f t="shared" si="1180"/>
        <v>2229</v>
      </c>
      <c r="AF426" s="32">
        <f t="shared" si="1180"/>
        <v>2661</v>
      </c>
      <c r="AG426" s="32">
        <f t="shared" si="1180"/>
        <v>47</v>
      </c>
      <c r="AH426" s="32">
        <f t="shared" si="1180"/>
        <v>2708</v>
      </c>
      <c r="AI426" s="32">
        <f t="shared" si="1180"/>
        <v>4937</v>
      </c>
      <c r="AJ426" s="34">
        <f t="shared" ref="AJ426:AJ432" si="1183">AB426/AA426</f>
        <v>196.76475</v>
      </c>
      <c r="AK426" s="31">
        <f>SUM(O411)</f>
        <v>5161</v>
      </c>
      <c r="AL426" s="35">
        <f t="shared" ref="AL426:AL432" si="1184">AI426/AK426</f>
        <v>0.9565975586</v>
      </c>
      <c r="AM426" s="36">
        <f>SUM(Q411)</f>
        <v>1.5</v>
      </c>
      <c r="AN426" s="35">
        <f t="shared" ref="AN426:AN432" si="1185">AO426/AM426</f>
        <v>0.8363625429</v>
      </c>
      <c r="AO426" s="37">
        <f t="shared" ref="AO426:AO432" si="1186">AI426/AB426</f>
        <v>1.254543814</v>
      </c>
      <c r="AP426" s="36">
        <f t="shared" ref="AP426:AQ426" si="1181">SUM(T411)</f>
        <v>273</v>
      </c>
      <c r="AQ426" s="36">
        <f t="shared" si="1181"/>
        <v>13.65</v>
      </c>
      <c r="AR426" s="32">
        <f t="shared" ref="AR426:AR432" si="1188">AI426/AA426</f>
        <v>246.85</v>
      </c>
    </row>
    <row r="427" ht="15.75" customHeight="1">
      <c r="A427" s="21"/>
      <c r="B427" s="38">
        <v>17.0</v>
      </c>
      <c r="C427" s="38" t="s">
        <v>29</v>
      </c>
      <c r="D427" s="39">
        <v>30.0</v>
      </c>
      <c r="E427" s="40">
        <f>IFERROR(__xludf.DUMMYFUNCTION("COUNT(IMPORTRANGE(""https://docs.google.com/spreadsheets/d/1wfJqI0e9wVPqEQv3N6b8KgINjqI0OBECEyIFeY9j3i8/edit"",""1!d2:d31""))"),29.0)</f>
        <v>29</v>
      </c>
      <c r="F427" s="45">
        <f>IFERROR(__xludf.DUMMYFUNCTION("SUM(IMPORTRANGE(""https://docs.google.com/spreadsheets/d/1wfJqI0e9wVPqEQv3N6b8KgINjqI0OBECEyIFeY9j3i8/edit"",""1!Q2:Q31""))"),5722.055999999998)</f>
        <v>5722.056</v>
      </c>
      <c r="G427" s="40">
        <f>IFERROR(__xludf.DUMMYFUNCTION("IMPORTRANGE(""https://docs.google.com/spreadsheets/d/1wfJqI0e9wVPqEQv3N6b8KgINjqI0OBECEyIFeY9j3i8/edit"",""1!e38"")"),2610.0)</f>
        <v>2610</v>
      </c>
      <c r="H427" s="40">
        <f>IFERROR(__xludf.DUMMYFUNCTION("IMPORTRANGE(""https://docs.google.com/spreadsheets/d/1wfJqI0e9wVPqEQv3N6b8KgINjqI0OBECEyIFeY9j3i8/edit"",""1!e39"")"),0.0)</f>
        <v>0</v>
      </c>
      <c r="I427" s="40">
        <f t="shared" si="1140"/>
        <v>2610</v>
      </c>
      <c r="J427" s="40">
        <f>IFERROR(__xludf.DUMMYFUNCTION("IMPORTRANGE(""https://docs.google.com/spreadsheets/d/1wfJqI0e9wVPqEQv3N6b8KgINjqI0OBECEyIFeY9j3i8/edit"",""1!e42"")"),4378.0)</f>
        <v>4378</v>
      </c>
      <c r="K427" s="40">
        <f>IFERROR(__xludf.DUMMYFUNCTION("IMPORTRANGE(""https://docs.google.com/spreadsheets/d/1wfJqI0e9wVPqEQv3N6b8KgINjqI0OBECEyIFeY9j3i8/edit"",""1!e43"")"),0.0)</f>
        <v>0</v>
      </c>
      <c r="L427" s="40">
        <f t="shared" si="1170"/>
        <v>4378</v>
      </c>
      <c r="M427" s="40">
        <f t="shared" si="1142"/>
        <v>6988</v>
      </c>
      <c r="N427" s="41">
        <f t="shared" si="1143"/>
        <v>197.3122759</v>
      </c>
      <c r="O427" s="38">
        <v>9201.0</v>
      </c>
      <c r="P427" s="42">
        <f t="shared" si="1144"/>
        <v>0.7594826649</v>
      </c>
      <c r="Q427" s="43">
        <v>1.5</v>
      </c>
      <c r="R427" s="42">
        <f t="shared" si="1145"/>
        <v>0.8141595725</v>
      </c>
      <c r="S427" s="44">
        <f t="shared" si="1146"/>
        <v>1.221239359</v>
      </c>
      <c r="T427" s="43">
        <f>F427/26.491</f>
        <v>216</v>
      </c>
      <c r="U427" s="43">
        <f t="shared" si="1147"/>
        <v>7.448275862</v>
      </c>
      <c r="V427" s="40">
        <f t="shared" si="1148"/>
        <v>240.9655172</v>
      </c>
      <c r="X427" s="31">
        <v>2.0</v>
      </c>
      <c r="Y427" s="31" t="s">
        <v>32</v>
      </c>
      <c r="Z427" s="31">
        <f t="shared" ref="Z427:AI427" si="1182">SUM(D414)</f>
        <v>42</v>
      </c>
      <c r="AA427" s="32">
        <f t="shared" si="1182"/>
        <v>42</v>
      </c>
      <c r="AB427" s="33">
        <f t="shared" si="1182"/>
        <v>8240.662</v>
      </c>
      <c r="AC427" s="31">
        <f t="shared" si="1182"/>
        <v>4515</v>
      </c>
      <c r="AD427" s="31">
        <f t="shared" si="1182"/>
        <v>0</v>
      </c>
      <c r="AE427" s="32">
        <f t="shared" si="1182"/>
        <v>4515</v>
      </c>
      <c r="AF427" s="31">
        <f t="shared" si="1182"/>
        <v>5726</v>
      </c>
      <c r="AG427" s="31">
        <f t="shared" si="1182"/>
        <v>0</v>
      </c>
      <c r="AH427" s="32">
        <f t="shared" si="1182"/>
        <v>5726</v>
      </c>
      <c r="AI427" s="32">
        <f t="shared" si="1182"/>
        <v>10241</v>
      </c>
      <c r="AJ427" s="34">
        <f t="shared" si="1183"/>
        <v>196.2062381</v>
      </c>
      <c r="AK427" s="31">
        <f>SUM(O414)</f>
        <v>13817</v>
      </c>
      <c r="AL427" s="35">
        <f t="shared" si="1184"/>
        <v>0.7411883911</v>
      </c>
      <c r="AM427" s="36">
        <f>SUM(Q414)</f>
        <v>1.5</v>
      </c>
      <c r="AN427" s="35">
        <f t="shared" si="1185"/>
        <v>0.8284933096</v>
      </c>
      <c r="AO427" s="37">
        <f t="shared" si="1186"/>
        <v>1.242739964</v>
      </c>
      <c r="AP427" s="36">
        <f t="shared" ref="AP427:AQ427" si="1187">SUM(T414)</f>
        <v>328.4571725</v>
      </c>
      <c r="AQ427" s="36">
        <f t="shared" si="1187"/>
        <v>7.820408868</v>
      </c>
      <c r="AR427" s="32">
        <f t="shared" si="1188"/>
        <v>243.8333333</v>
      </c>
    </row>
    <row r="428" ht="15.75" customHeight="1">
      <c r="A428" s="21"/>
      <c r="B428" s="38">
        <v>18.0</v>
      </c>
      <c r="C428" s="38" t="s">
        <v>31</v>
      </c>
      <c r="D428" s="39">
        <v>15.0</v>
      </c>
      <c r="E428" s="40">
        <f>IFERROR(__xludf.DUMMYFUNCTION("COUNT(IMPORTRANGE(""https://docs.google.com/spreadsheets/d/1-y2KhTAo7d8kowgUuWUDfRQuRMUAFteRYEXorT3_wOs/edit"",""1!d2:d16""))"),14.0)</f>
        <v>14</v>
      </c>
      <c r="F428" s="41">
        <f>IFERROR(__xludf.DUMMYFUNCTION("SUM(IMPORTRANGE(""https://docs.google.com/spreadsheets/d/1-y2KhTAo7d8kowgUuWUDfRQuRMUAFteRYEXorT3_wOs/edit"",""1!Q2:Q16""))"),2520.9699999999993)</f>
        <v>2520.97</v>
      </c>
      <c r="G428" s="40">
        <f>IFERROR(__xludf.DUMMYFUNCTION("IMPORTRANGE(""https://docs.google.com/spreadsheets/d/1-y2KhTAo7d8kowgUuWUDfRQuRMUAFteRYEXorT3_wOs/edit"",""1!e23"")"),633.0)</f>
        <v>633</v>
      </c>
      <c r="H428" s="40">
        <f>IFERROR(__xludf.DUMMYFUNCTION("IMPORTRANGE(""https://docs.google.com/spreadsheets/d/1-y2KhTAo7d8kowgUuWUDfRQuRMUAFteRYEXorT3_wOs/edit"",""1!e24"")"),0.0)</f>
        <v>0</v>
      </c>
      <c r="I428" s="40">
        <f t="shared" si="1140"/>
        <v>633</v>
      </c>
      <c r="J428" s="40">
        <f>IFERROR(__xludf.DUMMYFUNCTION("IMPORTRANGE(""https://docs.google.com/spreadsheets/d/1-y2KhTAo7d8kowgUuWUDfRQuRMUAFteRYEXorT3_wOs/edit"",""1!e27"")"),1148.0)</f>
        <v>1148</v>
      </c>
      <c r="K428" s="40">
        <f>IFERROR(__xludf.DUMMYFUNCTION("IMPORTRANGE(""https://docs.google.com/spreadsheets/d/1-y2KhTAo7d8kowgUuWUDfRQuRMUAFteRYEXorT3_wOs/edit"",""1!e28"")"),15.0)</f>
        <v>15</v>
      </c>
      <c r="L428" s="40">
        <f t="shared" si="1170"/>
        <v>1163</v>
      </c>
      <c r="M428" s="40">
        <f t="shared" si="1142"/>
        <v>1796</v>
      </c>
      <c r="N428" s="41">
        <f t="shared" si="1143"/>
        <v>180.0692857</v>
      </c>
      <c r="O428" s="38">
        <v>2717.0</v>
      </c>
      <c r="P428" s="42">
        <f t="shared" si="1144"/>
        <v>0.6610231873</v>
      </c>
      <c r="Q428" s="43">
        <v>1.5</v>
      </c>
      <c r="R428" s="42">
        <f t="shared" si="1145"/>
        <v>0.4749494573</v>
      </c>
      <c r="S428" s="44">
        <f t="shared" si="1146"/>
        <v>0.7124241859</v>
      </c>
      <c r="T428" s="43">
        <f>F428/43.465</f>
        <v>58</v>
      </c>
      <c r="U428" s="43">
        <f t="shared" si="1147"/>
        <v>4.142857143</v>
      </c>
      <c r="V428" s="40">
        <f t="shared" si="1148"/>
        <v>128.2857143</v>
      </c>
      <c r="X428" s="31">
        <v>3.0</v>
      </c>
      <c r="Y428" s="31" t="s">
        <v>36</v>
      </c>
      <c r="Z428" s="31">
        <f t="shared" ref="Z428:AI428" si="1189">SUM(D419)</f>
        <v>30</v>
      </c>
      <c r="AA428" s="32">
        <f t="shared" si="1189"/>
        <v>29</v>
      </c>
      <c r="AB428" s="33">
        <f t="shared" si="1189"/>
        <v>4875.345</v>
      </c>
      <c r="AC428" s="32">
        <f t="shared" si="1189"/>
        <v>1728</v>
      </c>
      <c r="AD428" s="32">
        <f t="shared" si="1189"/>
        <v>0</v>
      </c>
      <c r="AE428" s="32">
        <f t="shared" si="1189"/>
        <v>1728</v>
      </c>
      <c r="AF428" s="32">
        <f t="shared" si="1189"/>
        <v>2407</v>
      </c>
      <c r="AG428" s="32">
        <f t="shared" si="1189"/>
        <v>20</v>
      </c>
      <c r="AH428" s="32">
        <f t="shared" si="1189"/>
        <v>2427</v>
      </c>
      <c r="AI428" s="32">
        <f t="shared" si="1189"/>
        <v>4155</v>
      </c>
      <c r="AJ428" s="34">
        <f t="shared" si="1183"/>
        <v>168.1153448</v>
      </c>
      <c r="AK428" s="31">
        <f t="shared" ref="AK428:AK431" si="1193">SUM(O419)</f>
        <v>4796</v>
      </c>
      <c r="AL428" s="35">
        <f t="shared" si="1184"/>
        <v>0.8663469558</v>
      </c>
      <c r="AM428" s="36">
        <f t="shared" ref="AM428:AM431" si="1194">SUM(Q419)</f>
        <v>1.5</v>
      </c>
      <c r="AN428" s="35">
        <f t="shared" si="1185"/>
        <v>0.5681649196</v>
      </c>
      <c r="AO428" s="37">
        <f t="shared" si="1186"/>
        <v>0.8522473794</v>
      </c>
      <c r="AP428" s="36">
        <f t="shared" ref="AP428:AQ428" si="1190">SUM(T419)</f>
        <v>130.3080398</v>
      </c>
      <c r="AQ428" s="36">
        <f t="shared" si="1190"/>
        <v>4.493380682</v>
      </c>
      <c r="AR428" s="32">
        <f t="shared" si="1188"/>
        <v>143.2758621</v>
      </c>
    </row>
    <row r="429" ht="15.75" customHeight="1">
      <c r="A429" s="21"/>
      <c r="B429" s="60" t="s">
        <v>33</v>
      </c>
      <c r="C429" s="60">
        <v>18.0</v>
      </c>
      <c r="D429" s="60">
        <f t="shared" ref="D429:M429" si="1191">SUM(D411:D428)</f>
        <v>586</v>
      </c>
      <c r="E429" s="61">
        <f t="shared" si="1191"/>
        <v>576</v>
      </c>
      <c r="F429" s="62">
        <f t="shared" si="1191"/>
        <v>111449.623</v>
      </c>
      <c r="G429" s="61">
        <f t="shared" si="1191"/>
        <v>41757</v>
      </c>
      <c r="H429" s="61">
        <f t="shared" si="1191"/>
        <v>946</v>
      </c>
      <c r="I429" s="61">
        <f t="shared" si="1191"/>
        <v>42703</v>
      </c>
      <c r="J429" s="61">
        <f t="shared" si="1191"/>
        <v>57855</v>
      </c>
      <c r="K429" s="61">
        <f t="shared" si="1191"/>
        <v>875</v>
      </c>
      <c r="L429" s="61">
        <f t="shared" si="1191"/>
        <v>58730</v>
      </c>
      <c r="M429" s="61">
        <f t="shared" si="1191"/>
        <v>101433</v>
      </c>
      <c r="N429" s="62">
        <f t="shared" si="1143"/>
        <v>193.4889288</v>
      </c>
      <c r="O429" s="60">
        <f>SUM(O411:O428)</f>
        <v>126399</v>
      </c>
      <c r="P429" s="63">
        <f t="shared" si="1144"/>
        <v>0.8024826146</v>
      </c>
      <c r="Q429" s="64">
        <v>1.5</v>
      </c>
      <c r="R429" s="63">
        <f t="shared" si="1145"/>
        <v>0.6067494728</v>
      </c>
      <c r="S429" s="65">
        <f t="shared" si="1146"/>
        <v>0.9101242092</v>
      </c>
      <c r="T429" s="64">
        <f>SUM(T411:T428)</f>
        <v>4122.022266</v>
      </c>
      <c r="U429" s="64">
        <f t="shared" si="1147"/>
        <v>7.156288656</v>
      </c>
      <c r="V429" s="61">
        <f t="shared" si="1148"/>
        <v>176.0989583</v>
      </c>
      <c r="X429" s="31">
        <v>4.0</v>
      </c>
      <c r="Y429" s="31" t="s">
        <v>37</v>
      </c>
      <c r="Z429" s="31">
        <f t="shared" ref="Z429:AI429" si="1192">SUM(D420)</f>
        <v>30</v>
      </c>
      <c r="AA429" s="32">
        <f t="shared" si="1192"/>
        <v>28</v>
      </c>
      <c r="AB429" s="33">
        <f t="shared" si="1192"/>
        <v>5465.1</v>
      </c>
      <c r="AC429" s="32">
        <f t="shared" si="1192"/>
        <v>2135</v>
      </c>
      <c r="AD429" s="32">
        <f t="shared" si="1192"/>
        <v>0</v>
      </c>
      <c r="AE429" s="32">
        <f t="shared" si="1192"/>
        <v>2135</v>
      </c>
      <c r="AF429" s="32">
        <f t="shared" si="1192"/>
        <v>3182</v>
      </c>
      <c r="AG429" s="32">
        <f t="shared" si="1192"/>
        <v>0</v>
      </c>
      <c r="AH429" s="32">
        <f t="shared" si="1192"/>
        <v>3182</v>
      </c>
      <c r="AI429" s="32">
        <f t="shared" si="1192"/>
        <v>5317</v>
      </c>
      <c r="AJ429" s="34">
        <f t="shared" si="1183"/>
        <v>195.1821429</v>
      </c>
      <c r="AK429" s="31">
        <f t="shared" si="1193"/>
        <v>5887</v>
      </c>
      <c r="AL429" s="35">
        <f t="shared" si="1184"/>
        <v>0.9031764906</v>
      </c>
      <c r="AM429" s="36">
        <f t="shared" si="1194"/>
        <v>1.5</v>
      </c>
      <c r="AN429" s="35">
        <f t="shared" si="1185"/>
        <v>0.6486005136</v>
      </c>
      <c r="AO429" s="37">
        <f t="shared" si="1186"/>
        <v>0.9729007703</v>
      </c>
      <c r="AP429" s="36">
        <f t="shared" ref="AP429:AQ429" si="1195">SUM(T420)</f>
        <v>220.4380445</v>
      </c>
      <c r="AQ429" s="36">
        <f t="shared" si="1195"/>
        <v>7.872787305</v>
      </c>
      <c r="AR429" s="32">
        <f t="shared" si="1188"/>
        <v>189.8928571</v>
      </c>
    </row>
    <row r="430" ht="15.7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X430" s="31">
        <v>5.0</v>
      </c>
      <c r="Y430" s="31" t="s">
        <v>39</v>
      </c>
      <c r="Z430" s="31">
        <f t="shared" ref="Z430:AI430" si="1196">SUM(D421)</f>
        <v>28</v>
      </c>
      <c r="AA430" s="32">
        <f t="shared" si="1196"/>
        <v>27</v>
      </c>
      <c r="AB430" s="33">
        <f t="shared" si="1196"/>
        <v>5318.459</v>
      </c>
      <c r="AC430" s="32">
        <f t="shared" si="1196"/>
        <v>1229</v>
      </c>
      <c r="AD430" s="32">
        <f t="shared" si="1196"/>
        <v>0</v>
      </c>
      <c r="AE430" s="32">
        <f t="shared" si="1196"/>
        <v>1229</v>
      </c>
      <c r="AF430" s="32">
        <f t="shared" si="1196"/>
        <v>1740</v>
      </c>
      <c r="AG430" s="32">
        <f t="shared" si="1196"/>
        <v>0</v>
      </c>
      <c r="AH430" s="32">
        <f t="shared" si="1196"/>
        <v>1740</v>
      </c>
      <c r="AI430" s="32">
        <f t="shared" si="1196"/>
        <v>2969</v>
      </c>
      <c r="AJ430" s="34">
        <f t="shared" si="1183"/>
        <v>196.979963</v>
      </c>
      <c r="AK430" s="31">
        <f t="shared" si="1193"/>
        <v>3569</v>
      </c>
      <c r="AL430" s="35">
        <f t="shared" si="1184"/>
        <v>0.8318856823</v>
      </c>
      <c r="AM430" s="36">
        <f t="shared" si="1194"/>
        <v>1.5</v>
      </c>
      <c r="AN430" s="35">
        <f t="shared" si="1185"/>
        <v>0.3721629392</v>
      </c>
      <c r="AO430" s="37">
        <f t="shared" si="1186"/>
        <v>0.5582444088</v>
      </c>
      <c r="AP430" s="36">
        <f t="shared" ref="AP430:AQ430" si="1197">SUM(T421)</f>
        <v>247.7966268</v>
      </c>
      <c r="AQ430" s="36">
        <f t="shared" si="1197"/>
        <v>9.177652843</v>
      </c>
      <c r="AR430" s="32">
        <f t="shared" si="1188"/>
        <v>109.962963</v>
      </c>
    </row>
    <row r="431" ht="15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X431" s="31">
        <v>6.0</v>
      </c>
      <c r="Y431" s="31" t="s">
        <v>41</v>
      </c>
      <c r="Z431" s="31">
        <f t="shared" ref="Z431:AI431" si="1198">SUM(D422)</f>
        <v>24</v>
      </c>
      <c r="AA431" s="32">
        <f t="shared" si="1198"/>
        <v>24</v>
      </c>
      <c r="AB431" s="33">
        <f t="shared" si="1198"/>
        <v>4793.152</v>
      </c>
      <c r="AC431" s="32">
        <f t="shared" si="1198"/>
        <v>1363</v>
      </c>
      <c r="AD431" s="32">
        <f t="shared" si="1198"/>
        <v>0</v>
      </c>
      <c r="AE431" s="32">
        <f t="shared" si="1198"/>
        <v>1363</v>
      </c>
      <c r="AF431" s="32">
        <f t="shared" si="1198"/>
        <v>1818</v>
      </c>
      <c r="AG431" s="32">
        <f t="shared" si="1198"/>
        <v>0</v>
      </c>
      <c r="AH431" s="32">
        <f t="shared" si="1198"/>
        <v>1818</v>
      </c>
      <c r="AI431" s="32">
        <f t="shared" si="1198"/>
        <v>3181</v>
      </c>
      <c r="AJ431" s="34">
        <f t="shared" si="1183"/>
        <v>199.7146667</v>
      </c>
      <c r="AK431" s="31">
        <f t="shared" si="1193"/>
        <v>3801</v>
      </c>
      <c r="AL431" s="35">
        <f t="shared" si="1184"/>
        <v>0.8368850303</v>
      </c>
      <c r="AM431" s="36">
        <f t="shared" si="1194"/>
        <v>1.5</v>
      </c>
      <c r="AN431" s="35">
        <f t="shared" si="1185"/>
        <v>0.4424367653</v>
      </c>
      <c r="AO431" s="37">
        <f t="shared" si="1186"/>
        <v>0.663655148</v>
      </c>
      <c r="AP431" s="36">
        <f t="shared" ref="AP431:AQ431" si="1199">SUM(T422)</f>
        <v>161.7777778</v>
      </c>
      <c r="AQ431" s="36">
        <f t="shared" si="1199"/>
        <v>6.740740741</v>
      </c>
      <c r="AR431" s="32">
        <f t="shared" si="1188"/>
        <v>132.5416667</v>
      </c>
    </row>
    <row r="432" ht="15.75" customHeight="1">
      <c r="A432" s="1" t="s">
        <v>45</v>
      </c>
      <c r="D432" s="2"/>
      <c r="X432" s="46" t="s">
        <v>33</v>
      </c>
      <c r="Y432" s="46">
        <v>6.0</v>
      </c>
      <c r="Z432" s="46">
        <f t="shared" ref="Z432:AI432" si="1200">SUM(Z426:Z431)</f>
        <v>174</v>
      </c>
      <c r="AA432" s="47">
        <f t="shared" si="1200"/>
        <v>170</v>
      </c>
      <c r="AB432" s="49">
        <f t="shared" si="1200"/>
        <v>32628.013</v>
      </c>
      <c r="AC432" s="47">
        <f t="shared" si="1200"/>
        <v>13199</v>
      </c>
      <c r="AD432" s="47">
        <f t="shared" si="1200"/>
        <v>0</v>
      </c>
      <c r="AE432" s="47">
        <f t="shared" si="1200"/>
        <v>13199</v>
      </c>
      <c r="AF432" s="47">
        <f t="shared" si="1200"/>
        <v>17534</v>
      </c>
      <c r="AG432" s="47">
        <f t="shared" si="1200"/>
        <v>67</v>
      </c>
      <c r="AH432" s="47">
        <f t="shared" si="1200"/>
        <v>17601</v>
      </c>
      <c r="AI432" s="47">
        <f t="shared" si="1200"/>
        <v>30800</v>
      </c>
      <c r="AJ432" s="49">
        <f t="shared" si="1183"/>
        <v>191.9294882</v>
      </c>
      <c r="AK432" s="46">
        <f>SUM(AK426:AK431)</f>
        <v>37031</v>
      </c>
      <c r="AL432" s="50">
        <f t="shared" si="1184"/>
        <v>0.8317355729</v>
      </c>
      <c r="AM432" s="51">
        <v>1.5</v>
      </c>
      <c r="AN432" s="50">
        <f t="shared" si="1185"/>
        <v>0.6293160829</v>
      </c>
      <c r="AO432" s="52">
        <f t="shared" si="1186"/>
        <v>0.9439741243</v>
      </c>
      <c r="AP432" s="51">
        <f>SUM(AP426:AP431)</f>
        <v>1361.777661</v>
      </c>
      <c r="AQ432" s="51">
        <f>AP432/AA432</f>
        <v>8.010456831</v>
      </c>
      <c r="AR432" s="47">
        <f t="shared" si="1188"/>
        <v>181.1764706</v>
      </c>
    </row>
    <row r="433" ht="15.75" customHeight="1">
      <c r="A433" s="1" t="s">
        <v>45</v>
      </c>
      <c r="D433" s="2"/>
      <c r="X433" s="66" t="s">
        <v>1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6"/>
    </row>
    <row r="434" ht="15.75" customHeight="1">
      <c r="A434" s="7">
        <v>46282.0</v>
      </c>
      <c r="B434" s="8" t="s">
        <v>2</v>
      </c>
      <c r="C434" s="8" t="s">
        <v>3</v>
      </c>
      <c r="D434" s="8" t="s">
        <v>4</v>
      </c>
      <c r="E434" s="8" t="s">
        <v>5</v>
      </c>
      <c r="F434" s="9" t="s">
        <v>6</v>
      </c>
      <c r="G434" s="8" t="s">
        <v>7</v>
      </c>
      <c r="H434" s="8" t="s">
        <v>8</v>
      </c>
      <c r="I434" s="8" t="s">
        <v>9</v>
      </c>
      <c r="J434" s="8" t="s">
        <v>10</v>
      </c>
      <c r="K434" s="8" t="s">
        <v>11</v>
      </c>
      <c r="L434" s="8" t="s">
        <v>12</v>
      </c>
      <c r="M434" s="8" t="s">
        <v>13</v>
      </c>
      <c r="N434" s="9" t="s">
        <v>14</v>
      </c>
      <c r="O434" s="8" t="s">
        <v>15</v>
      </c>
      <c r="P434" s="8" t="s">
        <v>16</v>
      </c>
      <c r="Q434" s="8" t="s">
        <v>17</v>
      </c>
      <c r="R434" s="8" t="s">
        <v>18</v>
      </c>
      <c r="S434" s="11" t="s">
        <v>19</v>
      </c>
      <c r="T434" s="12" t="s">
        <v>20</v>
      </c>
      <c r="U434" s="12" t="s">
        <v>21</v>
      </c>
      <c r="V434" s="13" t="s">
        <v>22</v>
      </c>
      <c r="X434" s="14" t="s">
        <v>2</v>
      </c>
      <c r="Y434" s="14" t="s">
        <v>3</v>
      </c>
      <c r="Z434" s="14" t="s">
        <v>4</v>
      </c>
      <c r="AA434" s="14" t="s">
        <v>5</v>
      </c>
      <c r="AB434" s="15" t="s">
        <v>6</v>
      </c>
      <c r="AC434" s="14" t="s">
        <v>7</v>
      </c>
      <c r="AD434" s="14" t="s">
        <v>8</v>
      </c>
      <c r="AE434" s="14" t="s">
        <v>9</v>
      </c>
      <c r="AF434" s="14" t="s">
        <v>10</v>
      </c>
      <c r="AG434" s="14" t="s">
        <v>11</v>
      </c>
      <c r="AH434" s="14" t="s">
        <v>12</v>
      </c>
      <c r="AI434" s="14" t="s">
        <v>13</v>
      </c>
      <c r="AJ434" s="15" t="s">
        <v>14</v>
      </c>
      <c r="AK434" s="14" t="s">
        <v>15</v>
      </c>
      <c r="AL434" s="14" t="s">
        <v>16</v>
      </c>
      <c r="AM434" s="16" t="s">
        <v>17</v>
      </c>
      <c r="AN434" s="17" t="s">
        <v>18</v>
      </c>
      <c r="AO434" s="18" t="s">
        <v>19</v>
      </c>
      <c r="AP434" s="19" t="s">
        <v>20</v>
      </c>
      <c r="AQ434" s="19" t="s">
        <v>21</v>
      </c>
      <c r="AR434" s="20" t="s">
        <v>22</v>
      </c>
    </row>
    <row r="435" ht="15.7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X435" s="22">
        <v>1.0</v>
      </c>
      <c r="Y435" s="22" t="s">
        <v>23</v>
      </c>
      <c r="Z435" s="22">
        <f t="shared" ref="Z435:AI435" si="1201">SUM(D443)</f>
        <v>35</v>
      </c>
      <c r="AA435" s="23">
        <f t="shared" si="1201"/>
        <v>34</v>
      </c>
      <c r="AB435" s="24">
        <f t="shared" si="1201"/>
        <v>6680.52</v>
      </c>
      <c r="AC435" s="23">
        <f t="shared" si="1201"/>
        <v>1627</v>
      </c>
      <c r="AD435" s="23">
        <f t="shared" si="1201"/>
        <v>0</v>
      </c>
      <c r="AE435" s="23">
        <f t="shared" si="1201"/>
        <v>1627</v>
      </c>
      <c r="AF435" s="23">
        <f t="shared" si="1201"/>
        <v>3262</v>
      </c>
      <c r="AG435" s="23">
        <f t="shared" si="1201"/>
        <v>0</v>
      </c>
      <c r="AH435" s="23">
        <f t="shared" si="1201"/>
        <v>3262</v>
      </c>
      <c r="AI435" s="23">
        <f t="shared" si="1201"/>
        <v>4889</v>
      </c>
      <c r="AJ435" s="25">
        <f t="shared" ref="AJ435:AJ437" si="1204">AB435/AA435</f>
        <v>196.4858824</v>
      </c>
      <c r="AK435" s="22">
        <f>SUM(O443)</f>
        <v>6853</v>
      </c>
      <c r="AL435" s="26">
        <f t="shared" ref="AL435:AL441" si="1205">AI435/AK435</f>
        <v>0.7134101853</v>
      </c>
      <c r="AM435" s="27">
        <f t="shared" ref="AM435:AM437" si="1206">SUM(Q443)</f>
        <v>1.5</v>
      </c>
      <c r="AN435" s="26">
        <f t="shared" ref="AN435:AN441" si="1207">AO435/AM435</f>
        <v>0.4878861725</v>
      </c>
      <c r="AO435" s="28">
        <f t="shared" ref="AO435:AO441" si="1208">AI435/AB435</f>
        <v>0.7318292588</v>
      </c>
      <c r="AP435" s="27">
        <f t="shared" ref="AP435:AQ435" si="1202">SUM(T443)</f>
        <v>198</v>
      </c>
      <c r="AQ435" s="27">
        <f t="shared" si="1202"/>
        <v>5.823529412</v>
      </c>
      <c r="AR435" s="23">
        <f t="shared" ref="AR435:AR441" si="1210">AI435/AA435</f>
        <v>143.7941176</v>
      </c>
    </row>
    <row r="436" ht="15.7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X436" s="22">
        <v>2.0</v>
      </c>
      <c r="Y436" s="22" t="s">
        <v>24</v>
      </c>
      <c r="Z436" s="22">
        <f t="shared" ref="Z436:AI436" si="1203">SUM(D444)</f>
        <v>44</v>
      </c>
      <c r="AA436" s="23">
        <f t="shared" si="1203"/>
        <v>44</v>
      </c>
      <c r="AB436" s="24">
        <f t="shared" si="1203"/>
        <v>8029.356</v>
      </c>
      <c r="AC436" s="23">
        <f t="shared" si="1203"/>
        <v>1194</v>
      </c>
      <c r="AD436" s="23">
        <f t="shared" si="1203"/>
        <v>0</v>
      </c>
      <c r="AE436" s="23">
        <f t="shared" si="1203"/>
        <v>1194</v>
      </c>
      <c r="AF436" s="23">
        <f t="shared" si="1203"/>
        <v>1455</v>
      </c>
      <c r="AG436" s="23">
        <f t="shared" si="1203"/>
        <v>0</v>
      </c>
      <c r="AH436" s="23">
        <f t="shared" si="1203"/>
        <v>1455</v>
      </c>
      <c r="AI436" s="23">
        <f t="shared" si="1203"/>
        <v>2649</v>
      </c>
      <c r="AJ436" s="25">
        <f t="shared" si="1204"/>
        <v>182.4853636</v>
      </c>
      <c r="AK436" s="22">
        <v>1580.0</v>
      </c>
      <c r="AL436" s="26">
        <f t="shared" si="1205"/>
        <v>1.676582278</v>
      </c>
      <c r="AM436" s="27">
        <f t="shared" si="1206"/>
        <v>1.5</v>
      </c>
      <c r="AN436" s="26">
        <f t="shared" si="1207"/>
        <v>0.2199429195</v>
      </c>
      <c r="AO436" s="28">
        <f t="shared" si="1208"/>
        <v>0.3299143792</v>
      </c>
      <c r="AP436" s="27">
        <f t="shared" ref="AP436:AQ436" si="1209">SUM(T444)</f>
        <v>299.5469502</v>
      </c>
      <c r="AQ436" s="27">
        <f t="shared" si="1209"/>
        <v>6.807885232</v>
      </c>
      <c r="AR436" s="23">
        <f t="shared" si="1210"/>
        <v>60.20454545</v>
      </c>
    </row>
    <row r="437" ht="15.75" customHeight="1">
      <c r="A437" s="21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X437" s="31">
        <v>3.0</v>
      </c>
      <c r="Y437" s="31" t="s">
        <v>25</v>
      </c>
      <c r="Z437" s="31">
        <f t="shared" ref="Z437:AI437" si="1211">SUM(D445)</f>
        <v>32</v>
      </c>
      <c r="AA437" s="32">
        <f t="shared" si="1211"/>
        <v>32</v>
      </c>
      <c r="AB437" s="33">
        <f t="shared" si="1211"/>
        <v>5963.536</v>
      </c>
      <c r="AC437" s="32">
        <f t="shared" si="1211"/>
        <v>2444</v>
      </c>
      <c r="AD437" s="32">
        <f t="shared" si="1211"/>
        <v>331</v>
      </c>
      <c r="AE437" s="32">
        <f t="shared" si="1211"/>
        <v>2775</v>
      </c>
      <c r="AF437" s="32">
        <f t="shared" si="1211"/>
        <v>3085</v>
      </c>
      <c r="AG437" s="32">
        <f t="shared" si="1211"/>
        <v>319</v>
      </c>
      <c r="AH437" s="32">
        <f t="shared" si="1211"/>
        <v>3404</v>
      </c>
      <c r="AI437" s="32">
        <f t="shared" si="1211"/>
        <v>6179</v>
      </c>
      <c r="AJ437" s="34">
        <f t="shared" si="1204"/>
        <v>186.3605</v>
      </c>
      <c r="AK437" s="31">
        <f>SUM(O445)</f>
        <v>6622</v>
      </c>
      <c r="AL437" s="35">
        <f t="shared" si="1205"/>
        <v>0.9331017819</v>
      </c>
      <c r="AM437" s="36">
        <f t="shared" si="1206"/>
        <v>1.5</v>
      </c>
      <c r="AN437" s="35">
        <f t="shared" si="1207"/>
        <v>0.6907534948</v>
      </c>
      <c r="AO437" s="37">
        <f t="shared" si="1208"/>
        <v>1.036130242</v>
      </c>
      <c r="AP437" s="36">
        <f t="shared" ref="AP437:AQ437" si="1212">SUM(T445)</f>
        <v>250.1483221</v>
      </c>
      <c r="AQ437" s="36">
        <f t="shared" si="1212"/>
        <v>7.817135067</v>
      </c>
      <c r="AR437" s="32">
        <f t="shared" si="1210"/>
        <v>193.09375</v>
      </c>
    </row>
    <row r="438" ht="15.75" customHeight="1">
      <c r="A438" s="21"/>
      <c r="B438" s="38">
        <v>1.0</v>
      </c>
      <c r="C438" s="38" t="s">
        <v>26</v>
      </c>
      <c r="D438" s="39">
        <v>20.0</v>
      </c>
      <c r="E438" s="40">
        <f>IFERROR(__xludf.DUMMYFUNCTION("COUNT(IMPORTRANGE(""https://docs.google.com/spreadsheets/d/1F0NpMx7WhcgPgxTWpryY3Z1CGg56FL6aiL4mHs43w4E/edit"",""1!d2:d21""))"),20.0)</f>
        <v>20</v>
      </c>
      <c r="F438" s="41">
        <f>IFERROR(__xludf.DUMMYFUNCTION("SUM(IMPORTRANGE(""https://docs.google.com/spreadsheets/d/1F0NpMx7WhcgPgxTWpryY3Z1CGg56FL6aiL4mHs43w4E/edit"",""1!Q2:Q21""))"),3935.2949999999996)</f>
        <v>3935.295</v>
      </c>
      <c r="G438" s="40">
        <f>IFERROR(__xludf.DUMMYFUNCTION("IMPORTRANGE(""https://docs.google.com/spreadsheets/d/1F0NpMx7WhcgPgxTWpryY3Z1CGg56FL6aiL4mHs43w4E/edit"",""1!e28"")"),2229.0)</f>
        <v>2229</v>
      </c>
      <c r="H438" s="40">
        <f>IFERROR(__xludf.DUMMYFUNCTION("IMPORTRANGE(""https://docs.google.com/spreadsheets/d/1F0NpMx7WhcgPgxTWpryY3Z1CGg56FL6aiL4mHs43w4E/edit"",""1!e29"")"),0.0)</f>
        <v>0</v>
      </c>
      <c r="I438" s="40">
        <f t="shared" ref="I438:I455" si="1215">SUM(G438:H438)</f>
        <v>2229</v>
      </c>
      <c r="J438" s="40">
        <f>IFERROR(__xludf.DUMMYFUNCTION("IMPORTRANGE(""https://docs.google.com/spreadsheets/d/1F0NpMx7WhcgPgxTWpryY3Z1CGg56FL6aiL4mHs43w4E/edit"",""1!e32"")"),2661.0)</f>
        <v>2661</v>
      </c>
      <c r="K438" s="40">
        <f>IFERROR(__xludf.DUMMYFUNCTION("IMPORTRANGE(""https://docs.google.com/spreadsheets/d/1F0NpMx7WhcgPgxTWpryY3Z1CGg56FL6aiL4mHs43w4E/edit"",""1!e33"")"),47.0)</f>
        <v>47</v>
      </c>
      <c r="L438" s="40">
        <f t="shared" ref="L438:L444" si="1216">SUM(J438:K438)</f>
        <v>2708</v>
      </c>
      <c r="M438" s="40">
        <f t="shared" ref="M438:M455" si="1217">SUM(I438+L438)</f>
        <v>4937</v>
      </c>
      <c r="N438" s="41">
        <f t="shared" ref="N438:N456" si="1218">F438/E438</f>
        <v>196.76475</v>
      </c>
      <c r="O438" s="38">
        <v>5161.0</v>
      </c>
      <c r="P438" s="42">
        <f t="shared" ref="P438:P456" si="1219">M438/O438</f>
        <v>0.9565975586</v>
      </c>
      <c r="Q438" s="43">
        <v>1.5</v>
      </c>
      <c r="R438" s="42">
        <f t="shared" ref="R438:R456" si="1220">S438/Q438</f>
        <v>0.8363625429</v>
      </c>
      <c r="S438" s="44">
        <f t="shared" ref="S438:S456" si="1221">M438/F438</f>
        <v>1.254543814</v>
      </c>
      <c r="T438" s="43">
        <f>F438/14.415</f>
        <v>273</v>
      </c>
      <c r="U438" s="43">
        <f t="shared" ref="U438:U456" si="1222">T438/E438</f>
        <v>13.65</v>
      </c>
      <c r="V438" s="40">
        <f t="shared" ref="V438:V456" si="1223">M438/E438</f>
        <v>246.85</v>
      </c>
      <c r="X438" s="22">
        <v>4.0</v>
      </c>
      <c r="Y438" s="22" t="s">
        <v>27</v>
      </c>
      <c r="Z438" s="22">
        <f t="shared" ref="Z438:AK438" si="1213">SUM(D451)</f>
        <v>30</v>
      </c>
      <c r="AA438" s="23">
        <f t="shared" si="1213"/>
        <v>29</v>
      </c>
      <c r="AB438" s="24">
        <f t="shared" si="1213"/>
        <v>5631.663</v>
      </c>
      <c r="AC438" s="23">
        <f t="shared" si="1213"/>
        <v>2486</v>
      </c>
      <c r="AD438" s="23">
        <f t="shared" si="1213"/>
        <v>80</v>
      </c>
      <c r="AE438" s="23">
        <f t="shared" si="1213"/>
        <v>2566</v>
      </c>
      <c r="AF438" s="23">
        <f t="shared" si="1213"/>
        <v>2945</v>
      </c>
      <c r="AG438" s="23">
        <f t="shared" si="1213"/>
        <v>88</v>
      </c>
      <c r="AH438" s="23">
        <f t="shared" si="1213"/>
        <v>3033</v>
      </c>
      <c r="AI438" s="23">
        <f t="shared" si="1213"/>
        <v>5599</v>
      </c>
      <c r="AJ438" s="25">
        <f t="shared" si="1213"/>
        <v>194.1952759</v>
      </c>
      <c r="AK438" s="22">
        <f t="shared" si="1213"/>
        <v>8101</v>
      </c>
      <c r="AL438" s="26">
        <f t="shared" si="1205"/>
        <v>0.6911492408</v>
      </c>
      <c r="AM438" s="27">
        <f>SUM(Q451)</f>
        <v>1.5</v>
      </c>
      <c r="AN438" s="26">
        <f t="shared" si="1207"/>
        <v>0.6628000764</v>
      </c>
      <c r="AO438" s="28">
        <f t="shared" si="1208"/>
        <v>0.9942001146</v>
      </c>
      <c r="AP438" s="27">
        <f t="shared" ref="AP438:AQ438" si="1214">SUM(T451)</f>
        <v>281.7944959</v>
      </c>
      <c r="AQ438" s="27">
        <f t="shared" si="1214"/>
        <v>9.717051582</v>
      </c>
      <c r="AR438" s="23">
        <f t="shared" si="1210"/>
        <v>193.0689655</v>
      </c>
    </row>
    <row r="439" ht="15.75" customHeight="1">
      <c r="A439" s="21"/>
      <c r="B439" s="38">
        <v>2.0</v>
      </c>
      <c r="C439" s="38" t="s">
        <v>28</v>
      </c>
      <c r="D439" s="39">
        <v>33.0</v>
      </c>
      <c r="E439" s="40">
        <f>IFERROR(__xludf.DUMMYFUNCTION("COUNT(IMPORTRANGE(""https://docs.google.com/spreadsheets/d/1H9vAqftAHb0OdeSGXHTnJFzoWUgpoH31sc0sHNN8y1o/edit"",""1!d2:d34""))"),32.0)</f>
        <v>32</v>
      </c>
      <c r="F439" s="41">
        <f>IFERROR(__xludf.DUMMYFUNCTION("SUM(IMPORTRANGE(""https://docs.google.com/spreadsheets/d/1H9vAqftAHb0OdeSGXHTnJFzoWUgpoH31sc0sHNN8y1o/edit"",""1!Q2:Q34""))"),6234.134999999998)</f>
        <v>6234.135</v>
      </c>
      <c r="G439" s="40">
        <f>IFERROR(__xludf.DUMMYFUNCTION("IMPORTRANGE(""https://docs.google.com/spreadsheets/d/1H9vAqftAHb0OdeSGXHTnJFzoWUgpoH31sc0sHNN8y1o/edit"",""1!e41"")"),2719.0)</f>
        <v>2719</v>
      </c>
      <c r="H439" s="40">
        <f>IFERROR(__xludf.DUMMYFUNCTION("IMPORTRANGE(""https://docs.google.com/spreadsheets/d/1H9vAqftAHb0OdeSGXHTnJFzoWUgpoH31sc0sHNN8y1o/edit"",""1!e42"")"),208.0)</f>
        <v>208</v>
      </c>
      <c r="I439" s="40">
        <f t="shared" si="1215"/>
        <v>2927</v>
      </c>
      <c r="J439" s="40">
        <f>IFERROR(__xludf.DUMMYFUNCTION("IMPORTRANGE(""https://docs.google.com/spreadsheets/d/1H9vAqftAHb0OdeSGXHTnJFzoWUgpoH31sc0sHNN8y1o/edit"",""1!e45"")"),3192.0)</f>
        <v>3192</v>
      </c>
      <c r="K439" s="40">
        <f>IFERROR(__xludf.DUMMYFUNCTION("IMPORTRANGE(""https://docs.google.com/spreadsheets/d/1H9vAqftAHb0OdeSGXHTnJFzoWUgpoH31sc0sHNN8y1o/edit"",""1!e46"")"),138.0)</f>
        <v>138</v>
      </c>
      <c r="L439" s="40">
        <f t="shared" si="1216"/>
        <v>3330</v>
      </c>
      <c r="M439" s="40">
        <f t="shared" si="1217"/>
        <v>6257</v>
      </c>
      <c r="N439" s="41">
        <f t="shared" si="1218"/>
        <v>194.8167188</v>
      </c>
      <c r="O439" s="38">
        <v>7315.0</v>
      </c>
      <c r="P439" s="42">
        <f t="shared" si="1219"/>
        <v>0.8553656869</v>
      </c>
      <c r="Q439" s="43">
        <v>1.5</v>
      </c>
      <c r="R439" s="42">
        <f t="shared" si="1220"/>
        <v>0.6691118067</v>
      </c>
      <c r="S439" s="44">
        <f t="shared" si="1221"/>
        <v>1.00366771</v>
      </c>
      <c r="T439" s="43">
        <f>F439/30.897</f>
        <v>201.7715312</v>
      </c>
      <c r="U439" s="43">
        <f t="shared" si="1222"/>
        <v>6.305360351</v>
      </c>
      <c r="V439" s="40">
        <f t="shared" si="1223"/>
        <v>195.53125</v>
      </c>
      <c r="X439" s="22">
        <v>5.0</v>
      </c>
      <c r="Y439" s="22" t="s">
        <v>29</v>
      </c>
      <c r="Z439" s="22">
        <f t="shared" ref="Z439:AI439" si="1224">SUM(D454)</f>
        <v>30</v>
      </c>
      <c r="AA439" s="23">
        <f t="shared" si="1224"/>
        <v>29</v>
      </c>
      <c r="AB439" s="24">
        <f t="shared" si="1224"/>
        <v>5722.056</v>
      </c>
      <c r="AC439" s="23">
        <f t="shared" si="1224"/>
        <v>2610</v>
      </c>
      <c r="AD439" s="23">
        <f t="shared" si="1224"/>
        <v>0</v>
      </c>
      <c r="AE439" s="23">
        <f t="shared" si="1224"/>
        <v>2610</v>
      </c>
      <c r="AF439" s="23">
        <f t="shared" si="1224"/>
        <v>4378</v>
      </c>
      <c r="AG439" s="23">
        <f t="shared" si="1224"/>
        <v>0</v>
      </c>
      <c r="AH439" s="23">
        <f t="shared" si="1224"/>
        <v>4378</v>
      </c>
      <c r="AI439" s="23">
        <f t="shared" si="1224"/>
        <v>6988</v>
      </c>
      <c r="AJ439" s="25">
        <f t="shared" ref="AJ439:AJ441" si="1227">AB439/AA439</f>
        <v>197.3122759</v>
      </c>
      <c r="AK439" s="22">
        <f t="shared" ref="AK439:AK440" si="1228">SUM(O454)</f>
        <v>9201</v>
      </c>
      <c r="AL439" s="26">
        <f t="shared" si="1205"/>
        <v>0.7594826649</v>
      </c>
      <c r="AM439" s="27">
        <f t="shared" ref="AM439:AM440" si="1229">SUM(Q454)</f>
        <v>1.5</v>
      </c>
      <c r="AN439" s="26">
        <f t="shared" si="1207"/>
        <v>0.8141595725</v>
      </c>
      <c r="AO439" s="28">
        <f t="shared" si="1208"/>
        <v>1.221239359</v>
      </c>
      <c r="AP439" s="27">
        <f t="shared" ref="AP439:AQ439" si="1225">SUM(T454)</f>
        <v>216</v>
      </c>
      <c r="AQ439" s="27">
        <f t="shared" si="1225"/>
        <v>7.448275862</v>
      </c>
      <c r="AR439" s="23">
        <f t="shared" si="1210"/>
        <v>240.9655172</v>
      </c>
    </row>
    <row r="440" ht="15.75" customHeight="1">
      <c r="A440" s="21"/>
      <c r="B440" s="38">
        <v>3.0</v>
      </c>
      <c r="C440" s="38" t="s">
        <v>30</v>
      </c>
      <c r="D440" s="39">
        <v>60.0</v>
      </c>
      <c r="E440" s="40">
        <f>IFERROR(__xludf.DUMMYFUNCTION("COUNT(IMPORTRANGE(""https://docs.google.com/spreadsheets/d/1EWN6nfpuVxbUE_9opjYCWaI7MTm5xsF6ssjklSbMZnA/edit"",""1!d2:d61""))"),59.0)</f>
        <v>59</v>
      </c>
      <c r="F440" s="45">
        <f>IFERROR(__xludf.DUMMYFUNCTION("SUM(IMPORTRANGE(""https://docs.google.com/spreadsheets/d/1EWN6nfpuVxbUE_9opjYCWaI7MTm5xsF6ssjklSbMZnA/edit"",""1!Q2:Q61""))"),11739.691999999988)</f>
        <v>11739.692</v>
      </c>
      <c r="G440" s="40">
        <f>IFERROR(__xludf.DUMMYFUNCTION("IMPORTRANGE(""https://docs.google.com/spreadsheets/d/1EWN6nfpuVxbUE_9opjYCWaI7MTm5xsF6ssjklSbMZnA/edit"",""1!e68"")"),3754.0)</f>
        <v>3754</v>
      </c>
      <c r="H440" s="40">
        <f>IFERROR(__xludf.DUMMYFUNCTION("IMPORTRANGE(""https://docs.google.com/spreadsheets/d/1EWN6nfpuVxbUE_9opjYCWaI7MTm5xsF6ssjklSbMZnA/edit"",""1!e69"")"),14.0)</f>
        <v>14</v>
      </c>
      <c r="I440" s="40">
        <f t="shared" si="1215"/>
        <v>3768</v>
      </c>
      <c r="J440" s="40">
        <f>IFERROR(__xludf.DUMMYFUNCTION("IMPORTRANGE(""https://docs.google.com/spreadsheets/d/1EWN6nfpuVxbUE_9opjYCWaI7MTm5xsF6ssjklSbMZnA/edit"",""1!e72"")"),5982.0)</f>
        <v>5982</v>
      </c>
      <c r="K440" s="40">
        <f>IFERROR(__xludf.DUMMYFUNCTION("IMPORTRANGE(""https://docs.google.com/spreadsheets/d/1EWN6nfpuVxbUE_9opjYCWaI7MTm5xsF6ssjklSbMZnA/edit"",""1!e73"")"),0.0)</f>
        <v>0</v>
      </c>
      <c r="L440" s="40">
        <f t="shared" si="1216"/>
        <v>5982</v>
      </c>
      <c r="M440" s="40">
        <f t="shared" si="1217"/>
        <v>9750</v>
      </c>
      <c r="N440" s="41">
        <f t="shared" si="1218"/>
        <v>198.9778305</v>
      </c>
      <c r="O440" s="38">
        <v>11164.0</v>
      </c>
      <c r="P440" s="42">
        <f t="shared" si="1219"/>
        <v>0.8733428879</v>
      </c>
      <c r="Q440" s="43">
        <v>1.5</v>
      </c>
      <c r="R440" s="42">
        <f t="shared" si="1220"/>
        <v>0.5536772174</v>
      </c>
      <c r="S440" s="44">
        <f t="shared" si="1221"/>
        <v>0.8305158261</v>
      </c>
      <c r="T440" s="43">
        <f>F440/29.603</f>
        <v>396.5710232</v>
      </c>
      <c r="U440" s="43">
        <f t="shared" si="1222"/>
        <v>6.721542766</v>
      </c>
      <c r="V440" s="40">
        <f t="shared" si="1223"/>
        <v>165.2542373</v>
      </c>
      <c r="X440" s="22">
        <v>6.0</v>
      </c>
      <c r="Y440" s="22" t="s">
        <v>31</v>
      </c>
      <c r="Z440" s="22">
        <f t="shared" ref="Z440:AI440" si="1226">SUM(D455)</f>
        <v>15</v>
      </c>
      <c r="AA440" s="23">
        <f t="shared" si="1226"/>
        <v>14</v>
      </c>
      <c r="AB440" s="25">
        <f t="shared" si="1226"/>
        <v>2520.97</v>
      </c>
      <c r="AC440" s="23">
        <f t="shared" si="1226"/>
        <v>633</v>
      </c>
      <c r="AD440" s="23">
        <f t="shared" si="1226"/>
        <v>0</v>
      </c>
      <c r="AE440" s="23">
        <f t="shared" si="1226"/>
        <v>633</v>
      </c>
      <c r="AF440" s="23">
        <f t="shared" si="1226"/>
        <v>1148</v>
      </c>
      <c r="AG440" s="23">
        <f t="shared" si="1226"/>
        <v>15</v>
      </c>
      <c r="AH440" s="23">
        <f t="shared" si="1226"/>
        <v>1163</v>
      </c>
      <c r="AI440" s="23">
        <f t="shared" si="1226"/>
        <v>1796</v>
      </c>
      <c r="AJ440" s="25">
        <f t="shared" si="1227"/>
        <v>180.0692857</v>
      </c>
      <c r="AK440" s="22">
        <f t="shared" si="1228"/>
        <v>2717</v>
      </c>
      <c r="AL440" s="26">
        <f t="shared" si="1205"/>
        <v>0.6610231873</v>
      </c>
      <c r="AM440" s="27">
        <f t="shared" si="1229"/>
        <v>1.5</v>
      </c>
      <c r="AN440" s="26">
        <f t="shared" si="1207"/>
        <v>0.4749494573</v>
      </c>
      <c r="AO440" s="28">
        <f t="shared" si="1208"/>
        <v>0.7124241859</v>
      </c>
      <c r="AP440" s="27">
        <f t="shared" ref="AP440:AQ440" si="1230">SUM(T455)</f>
        <v>58</v>
      </c>
      <c r="AQ440" s="27">
        <f t="shared" si="1230"/>
        <v>4.142857143</v>
      </c>
      <c r="AR440" s="23">
        <f t="shared" si="1210"/>
        <v>128.2857143</v>
      </c>
    </row>
    <row r="441" ht="15.75" customHeight="1">
      <c r="A441" s="21"/>
      <c r="B441" s="38">
        <v>4.0</v>
      </c>
      <c r="C441" s="38" t="s">
        <v>32</v>
      </c>
      <c r="D441" s="39">
        <v>42.0</v>
      </c>
      <c r="E441" s="40">
        <f>IFERROR(__xludf.DUMMYFUNCTION("COUNT(IMPORTRANGE(""https://docs.google.com/spreadsheets/d/1Rmar8QqWK4XOJ-eY6xMzkAfDSw0srEXcAw89ilArun8/edit"",""1!d2:d43""))"),42.0)</f>
        <v>42</v>
      </c>
      <c r="F441" s="45">
        <f>IFERROR(__xludf.DUMMYFUNCTION("SUM(IMPORTRANGE(""https://docs.google.com/spreadsheets/d/1Rmar8QqWK4XOJ-eY6xMzkAfDSw0srEXcAw89ilArun8/edit"",""1!Q2:Q43""))"),8240.661999999991)</f>
        <v>8240.662</v>
      </c>
      <c r="G441" s="38">
        <f>IFERROR(__xludf.DUMMYFUNCTION("IMPORTRANGE(""https://docs.google.com/spreadsheets/d/1Rmar8QqWK4XOJ-eY6xMzkAfDSw0srEXcAw89ilArun8/edit"",""1!e50"")"),4515.0)</f>
        <v>4515</v>
      </c>
      <c r="H441" s="38">
        <f>IFERROR(__xludf.DUMMYFUNCTION("IMPORTRANGE(""https://docs.google.com/spreadsheets/d/1Rmar8QqWK4XOJ-eY6xMzkAfDSw0srEXcAw89ilArun8/edit"",""1!e51"")"),0.0)</f>
        <v>0</v>
      </c>
      <c r="I441" s="40">
        <f t="shared" si="1215"/>
        <v>4515</v>
      </c>
      <c r="J441" s="38">
        <f>IFERROR(__xludf.DUMMYFUNCTION("IMPORTRANGE(""https://docs.google.com/spreadsheets/d/1Rmar8QqWK4XOJ-eY6xMzkAfDSw0srEXcAw89ilArun8/edit"",""1!e54"")"),5726.0)</f>
        <v>5726</v>
      </c>
      <c r="K441" s="38">
        <f>IFERROR(__xludf.DUMMYFUNCTION("IMPORTRANGE(""https://docs.google.com/spreadsheets/d/1Rmar8QqWK4XOJ-eY6xMzkAfDSw0srEXcAw89ilArun8/edit"",""1!e55"")"),0.0)</f>
        <v>0</v>
      </c>
      <c r="L441" s="40">
        <f t="shared" si="1216"/>
        <v>5726</v>
      </c>
      <c r="M441" s="40">
        <f t="shared" si="1217"/>
        <v>10241</v>
      </c>
      <c r="N441" s="41">
        <f t="shared" si="1218"/>
        <v>196.2062381</v>
      </c>
      <c r="O441" s="38">
        <v>13817.0</v>
      </c>
      <c r="P441" s="42">
        <f t="shared" si="1219"/>
        <v>0.7411883911</v>
      </c>
      <c r="Q441" s="43">
        <v>1.5</v>
      </c>
      <c r="R441" s="42">
        <f t="shared" si="1220"/>
        <v>0.8284933096</v>
      </c>
      <c r="S441" s="44">
        <f t="shared" si="1221"/>
        <v>1.242739964</v>
      </c>
      <c r="T441" s="43">
        <f>F441/25.089</f>
        <v>328.4571725</v>
      </c>
      <c r="U441" s="43">
        <f t="shared" si="1222"/>
        <v>7.820408868</v>
      </c>
      <c r="V441" s="40">
        <f t="shared" si="1223"/>
        <v>243.8333333</v>
      </c>
      <c r="X441" s="46" t="s">
        <v>33</v>
      </c>
      <c r="Y441" s="46">
        <v>6.0</v>
      </c>
      <c r="Z441" s="46">
        <f t="shared" ref="Z441:AI441" si="1231">SUM(Z435:Z440)</f>
        <v>186</v>
      </c>
      <c r="AA441" s="47">
        <f t="shared" si="1231"/>
        <v>182</v>
      </c>
      <c r="AB441" s="48">
        <f t="shared" si="1231"/>
        <v>34548.101</v>
      </c>
      <c r="AC441" s="47">
        <f t="shared" si="1231"/>
        <v>10994</v>
      </c>
      <c r="AD441" s="47">
        <f t="shared" si="1231"/>
        <v>411</v>
      </c>
      <c r="AE441" s="47">
        <f t="shared" si="1231"/>
        <v>11405</v>
      </c>
      <c r="AF441" s="47">
        <f t="shared" si="1231"/>
        <v>16273</v>
      </c>
      <c r="AG441" s="47">
        <f t="shared" si="1231"/>
        <v>422</v>
      </c>
      <c r="AH441" s="47">
        <f t="shared" si="1231"/>
        <v>16695</v>
      </c>
      <c r="AI441" s="47">
        <f t="shared" si="1231"/>
        <v>28100</v>
      </c>
      <c r="AJ441" s="49">
        <f t="shared" si="1227"/>
        <v>189.8247308</v>
      </c>
      <c r="AK441" s="46">
        <f>SUM(AK435:AK440)</f>
        <v>35074</v>
      </c>
      <c r="AL441" s="50">
        <f t="shared" si="1205"/>
        <v>0.8011632548</v>
      </c>
      <c r="AM441" s="51">
        <v>1.5</v>
      </c>
      <c r="AN441" s="50">
        <f t="shared" si="1207"/>
        <v>0.542239162</v>
      </c>
      <c r="AO441" s="52">
        <f t="shared" si="1208"/>
        <v>0.8133587429</v>
      </c>
      <c r="AP441" s="51">
        <f>SUM(AP435:AP440)</f>
        <v>1303.489768</v>
      </c>
      <c r="AQ441" s="51">
        <f>AP441/AA441</f>
        <v>7.162031693</v>
      </c>
      <c r="AR441" s="47">
        <f t="shared" si="1210"/>
        <v>154.3956044</v>
      </c>
    </row>
    <row r="442" ht="15.75" customHeight="1">
      <c r="A442" s="21"/>
      <c r="B442" s="38">
        <v>5.0</v>
      </c>
      <c r="C442" s="38" t="s">
        <v>34</v>
      </c>
      <c r="D442" s="39">
        <v>40.0</v>
      </c>
      <c r="E442" s="40">
        <f>IFERROR(__xludf.DUMMYFUNCTION("COUNT(IMPORTRANGE(""https://docs.google.com/spreadsheets/d/1u99JxAoytGQQ8GcjxXl38CGdyEWy5uIbuJJHnsotyvk/edit"",""1!d2:d41""))"),40.0)</f>
        <v>40</v>
      </c>
      <c r="F442" s="45">
        <f>IFERROR(__xludf.DUMMYFUNCTION("SUM(IMPORTRANGE(""https://docs.google.com/spreadsheets/d/1u99JxAoytGQQ8GcjxXl38CGdyEWy5uIbuJJHnsotyvk/edit"",""1!Q2:Q41""))"),8007.324000000002)</f>
        <v>8007.324</v>
      </c>
      <c r="G442" s="40">
        <f>IFERROR(__xludf.DUMMYFUNCTION("IMPORTRANGE(""https://docs.google.com/spreadsheets/d/1u99JxAoytGQQ8GcjxXl38CGdyEWy5uIbuJJHnsotyvk/edit"",""1!e48"")"),2819.0)</f>
        <v>2819</v>
      </c>
      <c r="H442" s="40">
        <f>IFERROR(__xludf.DUMMYFUNCTION("IMPORTRANGE(""https://docs.google.com/spreadsheets/d/1u99JxAoytGQQ8GcjxXl38CGdyEWy5uIbuJJHnsotyvk/edit"",""1!e49"")"),0.0)</f>
        <v>0</v>
      </c>
      <c r="I442" s="40">
        <f t="shared" si="1215"/>
        <v>2819</v>
      </c>
      <c r="J442" s="40">
        <f>IFERROR(__xludf.DUMMYFUNCTION("IMPORTRANGE(""https://docs.google.com/spreadsheets/d/1u99JxAoytGQQ8GcjxXl38CGdyEWy5uIbuJJHnsotyvk/edit"",""1!e52"")"),3504.0)</f>
        <v>3504</v>
      </c>
      <c r="K442" s="40">
        <f>IFERROR(__xludf.DUMMYFUNCTION("IMPORTRANGE(""https://docs.google.com/spreadsheets/d/1u99JxAoytGQQ8GcjxXl38CGdyEWy5uIbuJJHnsotyvk/edit"",""1!e53"")"),0.0)</f>
        <v>0</v>
      </c>
      <c r="L442" s="40">
        <f t="shared" si="1216"/>
        <v>3504</v>
      </c>
      <c r="M442" s="40">
        <f t="shared" si="1217"/>
        <v>6323</v>
      </c>
      <c r="N442" s="41">
        <f t="shared" si="1218"/>
        <v>200.1831</v>
      </c>
      <c r="O442" s="38">
        <v>9354.0</v>
      </c>
      <c r="P442" s="42">
        <f t="shared" si="1219"/>
        <v>0.6759675005</v>
      </c>
      <c r="Q442" s="43">
        <v>1.5</v>
      </c>
      <c r="R442" s="42">
        <f t="shared" si="1220"/>
        <v>0.5264347157</v>
      </c>
      <c r="S442" s="44">
        <f t="shared" si="1221"/>
        <v>0.7896520735</v>
      </c>
      <c r="T442" s="43">
        <f>F442/30.713</f>
        <v>260.7144857</v>
      </c>
      <c r="U442" s="43">
        <f t="shared" si="1222"/>
        <v>6.517862143</v>
      </c>
      <c r="V442" s="40">
        <f t="shared" si="1223"/>
        <v>158.075</v>
      </c>
      <c r="X442" s="53" t="s">
        <v>35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6"/>
    </row>
    <row r="443" ht="15.75" customHeight="1">
      <c r="A443" s="21"/>
      <c r="B443" s="38">
        <v>6.0</v>
      </c>
      <c r="C443" s="38" t="s">
        <v>23</v>
      </c>
      <c r="D443" s="39">
        <v>35.0</v>
      </c>
      <c r="E443" s="40">
        <f>IFERROR(__xludf.DUMMYFUNCTION("COUNT(IMPORTRANGE(""https://docs.google.com/spreadsheets/d/1uVc-vnTn57HE53lwrUYNZP4sGKTXisrqOoZ-6EyvLzY/edit"",""1!d2:d36""))"),34.0)</f>
        <v>34</v>
      </c>
      <c r="F443" s="45">
        <f>IFERROR(__xludf.DUMMYFUNCTION("SUM(IMPORTRANGE(""https://docs.google.com/spreadsheets/d/1uVc-vnTn57HE53lwrUYNZP4sGKTXisrqOoZ-6EyvLzY/edit"",""1!Q2:Q36""))"),6680.519999999995)</f>
        <v>6680.52</v>
      </c>
      <c r="G443" s="40">
        <f>IFERROR(__xludf.DUMMYFUNCTION("IMPORTRANGE(""https://docs.google.com/spreadsheets/d/1uVc-vnTn57HE53lwrUYNZP4sGKTXisrqOoZ-6EyvLzY/edit"",""1!e43"")"),1627.0)</f>
        <v>1627</v>
      </c>
      <c r="H443" s="40">
        <f>IFERROR(__xludf.DUMMYFUNCTION("IMPORTRANGE(""https://docs.google.com/spreadsheets/d/1uVc-vnTn57HE53lwrUYNZP4sGKTXisrqOoZ-6EyvLzY/edit"",""1!e44"")"),0.0)</f>
        <v>0</v>
      </c>
      <c r="I443" s="40">
        <f t="shared" si="1215"/>
        <v>1627</v>
      </c>
      <c r="J443" s="40">
        <f>IFERROR(__xludf.DUMMYFUNCTION("IMPORTRANGE(""https://docs.google.com/spreadsheets/d/1uVc-vnTn57HE53lwrUYNZP4sGKTXisrqOoZ-6EyvLzY/edit"",""1!e47"")"),3262.0)</f>
        <v>3262</v>
      </c>
      <c r="K443" s="40">
        <f>IFERROR(__xludf.DUMMYFUNCTION("IMPORTRANGE(""https://docs.google.com/spreadsheets/d/1uVc-vnTn57HE53lwrUYNZP4sGKTXisrqOoZ-6EyvLzY/edit"",""1!e48"")"),0.0)</f>
        <v>0</v>
      </c>
      <c r="L443" s="40">
        <f t="shared" si="1216"/>
        <v>3262</v>
      </c>
      <c r="M443" s="40">
        <f t="shared" si="1217"/>
        <v>4889</v>
      </c>
      <c r="N443" s="41">
        <f t="shared" si="1218"/>
        <v>196.4858824</v>
      </c>
      <c r="O443" s="38">
        <v>6853.0</v>
      </c>
      <c r="P443" s="42">
        <f t="shared" si="1219"/>
        <v>0.7134101853</v>
      </c>
      <c r="Q443" s="43">
        <v>1.5</v>
      </c>
      <c r="R443" s="42">
        <f t="shared" si="1220"/>
        <v>0.4878861725</v>
      </c>
      <c r="S443" s="44">
        <f t="shared" si="1221"/>
        <v>0.7318292588</v>
      </c>
      <c r="T443" s="43">
        <f>F443/33.74</f>
        <v>198</v>
      </c>
      <c r="U443" s="43">
        <f t="shared" si="1222"/>
        <v>5.823529412</v>
      </c>
      <c r="V443" s="40">
        <f t="shared" si="1223"/>
        <v>143.7941176</v>
      </c>
      <c r="X443" s="14" t="s">
        <v>2</v>
      </c>
      <c r="Y443" s="14" t="s">
        <v>3</v>
      </c>
      <c r="Z443" s="14" t="s">
        <v>4</v>
      </c>
      <c r="AA443" s="14" t="s">
        <v>5</v>
      </c>
      <c r="AB443" s="15" t="s">
        <v>6</v>
      </c>
      <c r="AC443" s="14" t="s">
        <v>7</v>
      </c>
      <c r="AD443" s="14" t="s">
        <v>8</v>
      </c>
      <c r="AE443" s="14" t="s">
        <v>9</v>
      </c>
      <c r="AF443" s="14" t="s">
        <v>10</v>
      </c>
      <c r="AG443" s="14" t="s">
        <v>11</v>
      </c>
      <c r="AH443" s="14" t="s">
        <v>12</v>
      </c>
      <c r="AI443" s="14" t="s">
        <v>13</v>
      </c>
      <c r="AJ443" s="15" t="s">
        <v>14</v>
      </c>
      <c r="AK443" s="14" t="s">
        <v>15</v>
      </c>
      <c r="AL443" s="14" t="s">
        <v>16</v>
      </c>
      <c r="AM443" s="16" t="s">
        <v>17</v>
      </c>
      <c r="AN443" s="17" t="s">
        <v>18</v>
      </c>
      <c r="AO443" s="18" t="s">
        <v>19</v>
      </c>
      <c r="AP443" s="19" t="s">
        <v>20</v>
      </c>
      <c r="AQ443" s="19" t="s">
        <v>21</v>
      </c>
      <c r="AR443" s="20" t="s">
        <v>22</v>
      </c>
    </row>
    <row r="444" ht="15.75" customHeight="1">
      <c r="A444" s="21"/>
      <c r="B444" s="38">
        <v>7.0</v>
      </c>
      <c r="C444" s="38" t="s">
        <v>24</v>
      </c>
      <c r="D444" s="39">
        <v>44.0</v>
      </c>
      <c r="E444" s="54">
        <f>IFERROR(__xludf.DUMMYFUNCTION("COUNT(IMPORTRANGE(""https://docs.google.com/spreadsheets/d/1iuPvivSypupo44l6GtmR-2qZ3za7cTk7KzsOVp_kv2c/edit"",""1!d2:d45""))"),44.0)</f>
        <v>44</v>
      </c>
      <c r="F444" s="55">
        <f>IFERROR(__xludf.DUMMYFUNCTION("SUM(IMPORTRANGE(""https://docs.google.com/spreadsheets/d/1iuPvivSypupo44l6GtmR-2qZ3za7cTk7KzsOVp_kv2c/edit"",""1!Q2:Q45""))"),8029.355999999994)</f>
        <v>8029.356</v>
      </c>
      <c r="G444" s="54">
        <f>IFERROR(__xludf.DUMMYFUNCTION("IMPORTRANGE(""https://docs.google.com/spreadsheets/d/1iuPvivSypupo44l6GtmR-2qZ3za7cTk7KzsOVp_kv2c/edit"",""1!e53"")"),1194.0)</f>
        <v>1194</v>
      </c>
      <c r="H444" s="54">
        <f>IFERROR(__xludf.DUMMYFUNCTION("IMPORTRANGE(""https://docs.google.com/spreadsheets/d/1iuPvivSypupo44l6GtmR-2qZ3za7cTk7KzsOVp_kv2c/edit"",""1!e54"")"),0.0)</f>
        <v>0</v>
      </c>
      <c r="I444" s="54">
        <f t="shared" si="1215"/>
        <v>1194</v>
      </c>
      <c r="J444" s="54">
        <f>IFERROR(__xludf.DUMMYFUNCTION("IMPORTRANGE(""https://docs.google.com/spreadsheets/d/1iuPvivSypupo44l6GtmR-2qZ3za7cTk7KzsOVp_kv2c/edit"",""1!e57"")"),1455.0)</f>
        <v>1455</v>
      </c>
      <c r="K444" s="54">
        <f>IFERROR(__xludf.DUMMYFUNCTION("IMPORTRANGE(""https://docs.google.com/spreadsheets/d/1iuPvivSypupo44l6GtmR-2qZ3za7cTk7KzsOVp_kv2c/edit"",""1!e58"")"),0.0)</f>
        <v>0</v>
      </c>
      <c r="L444" s="40">
        <f t="shared" si="1216"/>
        <v>1455</v>
      </c>
      <c r="M444" s="40">
        <f t="shared" si="1217"/>
        <v>2649</v>
      </c>
      <c r="N444" s="41">
        <f t="shared" si="1218"/>
        <v>182.4853636</v>
      </c>
      <c r="O444" s="38">
        <v>1580.0</v>
      </c>
      <c r="P444" s="42">
        <f t="shared" si="1219"/>
        <v>1.676582278</v>
      </c>
      <c r="Q444" s="43">
        <v>1.5</v>
      </c>
      <c r="R444" s="42">
        <f t="shared" si="1220"/>
        <v>0.2199429195</v>
      </c>
      <c r="S444" s="44">
        <f t="shared" si="1221"/>
        <v>0.3299143792</v>
      </c>
      <c r="T444" s="43">
        <f>F444/26.805</f>
        <v>299.5469502</v>
      </c>
      <c r="U444" s="43">
        <f t="shared" si="1222"/>
        <v>6.807885232</v>
      </c>
      <c r="V444" s="40">
        <f t="shared" si="1223"/>
        <v>60.20454545</v>
      </c>
      <c r="X444" s="22">
        <v>1.0</v>
      </c>
      <c r="Y444" s="22" t="s">
        <v>28</v>
      </c>
      <c r="Z444" s="22">
        <f t="shared" ref="Z444:AI444" si="1232">SUM(D439)</f>
        <v>33</v>
      </c>
      <c r="AA444" s="23">
        <f t="shared" si="1232"/>
        <v>32</v>
      </c>
      <c r="AB444" s="25">
        <f t="shared" si="1232"/>
        <v>6234.135</v>
      </c>
      <c r="AC444" s="23">
        <f t="shared" si="1232"/>
        <v>2719</v>
      </c>
      <c r="AD444" s="23">
        <f t="shared" si="1232"/>
        <v>208</v>
      </c>
      <c r="AE444" s="23">
        <f t="shared" si="1232"/>
        <v>2927</v>
      </c>
      <c r="AF444" s="23">
        <f t="shared" si="1232"/>
        <v>3192</v>
      </c>
      <c r="AG444" s="23">
        <f t="shared" si="1232"/>
        <v>138</v>
      </c>
      <c r="AH444" s="23">
        <f t="shared" si="1232"/>
        <v>3330</v>
      </c>
      <c r="AI444" s="23">
        <f t="shared" si="1232"/>
        <v>6257</v>
      </c>
      <c r="AJ444" s="25">
        <f t="shared" ref="AJ444:AJ450" si="1235">AB444/AA444</f>
        <v>194.8167188</v>
      </c>
      <c r="AK444" s="22">
        <f t="shared" ref="AK444:AK445" si="1236">SUM(O439)</f>
        <v>7315</v>
      </c>
      <c r="AL444" s="26">
        <f t="shared" ref="AL444:AL450" si="1237">AI444/AK444</f>
        <v>0.8553656869</v>
      </c>
      <c r="AM444" s="27">
        <f t="shared" ref="AM444:AM445" si="1238">SUM(Q439)</f>
        <v>1.5</v>
      </c>
      <c r="AN444" s="26">
        <f t="shared" ref="AN444:AN450" si="1239">AO444/AM444</f>
        <v>0.6691118067</v>
      </c>
      <c r="AO444" s="28">
        <f t="shared" ref="AO444:AO450" si="1240">AI444/AB444</f>
        <v>1.00366771</v>
      </c>
      <c r="AP444" s="27">
        <f t="shared" ref="AP444:AQ444" si="1233">SUM(T439)</f>
        <v>201.7715312</v>
      </c>
      <c r="AQ444" s="27">
        <f t="shared" si="1233"/>
        <v>6.305360351</v>
      </c>
      <c r="AR444" s="23">
        <f t="shared" ref="AR444:AR450" si="1242">AI444/AA444</f>
        <v>195.53125</v>
      </c>
    </row>
    <row r="445" ht="15.75" customHeight="1">
      <c r="A445" s="21"/>
      <c r="B445" s="38">
        <v>8.0</v>
      </c>
      <c r="C445" s="38" t="s">
        <v>25</v>
      </c>
      <c r="D445" s="57">
        <v>32.0</v>
      </c>
      <c r="E445" s="40">
        <f>IFERROR(__xludf.DUMMYFUNCTION("COUNT(IMPORTRANGE(""https://docs.google.com/spreadsheets/d/1sqWX7UerdR9KR_duBzDNfjwbPG-3hLgV1LiN2ZVZ6Js/edit"",""1!d2:D33""))"),32.0)</f>
        <v>32</v>
      </c>
      <c r="F445" s="45">
        <f>IFERROR(__xludf.DUMMYFUNCTION("SUM(IMPORTRANGE(""https://docs.google.com/spreadsheets/d/1sqWX7UerdR9KR_duBzDNfjwbPG-3hLgV1LiN2ZVZ6Js/edit"",""1!Q2:Q33""))"),5963.536000000002)</f>
        <v>5963.536</v>
      </c>
      <c r="G445" s="40">
        <f>IFERROR(__xludf.DUMMYFUNCTION("IMPORTRANGE(""https://docs.google.com/spreadsheets/d/1sqWX7UerdR9KR_duBzDNfjwbPG-3hLgV1LiN2ZVZ6Js/edit"",""1!e40"")"),2444.0)</f>
        <v>2444</v>
      </c>
      <c r="H445" s="40">
        <f>IFERROR(__xludf.DUMMYFUNCTION("IMPORTRANGE(""https://docs.google.com/spreadsheets/d/1sqWX7UerdR9KR_duBzDNfjwbPG-3hLgV1LiN2ZVZ6Js/edit"",""1!e41"")"),331.0)</f>
        <v>331</v>
      </c>
      <c r="I445" s="40">
        <f t="shared" si="1215"/>
        <v>2775</v>
      </c>
      <c r="J445" s="40">
        <f>IFERROR(__xludf.DUMMYFUNCTION("IMPORTRANGE(""https://docs.google.com/spreadsheets/d/1sqWX7UerdR9KR_duBzDNfjwbPG-3hLgV1LiN2ZVZ6Js/edit"",""1!e44"")"),3085.0)</f>
        <v>3085</v>
      </c>
      <c r="K445" s="40">
        <f>IFERROR(__xludf.DUMMYFUNCTION("IMPORTRANGE(""https://docs.google.com/spreadsheets/d/1sqWX7UerdR9KR_duBzDNfjwbPG-3hLgV1LiN2ZVZ6Js/edit"",""1!e45"")"),319.0)</f>
        <v>319</v>
      </c>
      <c r="L445" s="40">
        <f>J445+K445</f>
        <v>3404</v>
      </c>
      <c r="M445" s="40">
        <f t="shared" si="1217"/>
        <v>6179</v>
      </c>
      <c r="N445" s="41">
        <f t="shared" si="1218"/>
        <v>186.3605</v>
      </c>
      <c r="O445" s="38">
        <v>6622.0</v>
      </c>
      <c r="P445" s="42">
        <f t="shared" si="1219"/>
        <v>0.9331017819</v>
      </c>
      <c r="Q445" s="43">
        <v>1.5</v>
      </c>
      <c r="R445" s="42">
        <f t="shared" si="1220"/>
        <v>0.6907534948</v>
      </c>
      <c r="S445" s="44">
        <f t="shared" si="1221"/>
        <v>1.036130242</v>
      </c>
      <c r="T445" s="43">
        <f>F445/23.84</f>
        <v>250.1483221</v>
      </c>
      <c r="U445" s="43">
        <f t="shared" si="1222"/>
        <v>7.817135067</v>
      </c>
      <c r="V445" s="40">
        <f t="shared" si="1223"/>
        <v>193.09375</v>
      </c>
      <c r="X445" s="31">
        <v>2.0</v>
      </c>
      <c r="Y445" s="31" t="s">
        <v>30</v>
      </c>
      <c r="Z445" s="31">
        <f t="shared" ref="Z445:AI445" si="1234">SUM(D440)</f>
        <v>60</v>
      </c>
      <c r="AA445" s="32">
        <f t="shared" si="1234"/>
        <v>59</v>
      </c>
      <c r="AB445" s="33">
        <f t="shared" si="1234"/>
        <v>11739.692</v>
      </c>
      <c r="AC445" s="32">
        <f t="shared" si="1234"/>
        <v>3754</v>
      </c>
      <c r="AD445" s="32">
        <f t="shared" si="1234"/>
        <v>14</v>
      </c>
      <c r="AE445" s="32">
        <f t="shared" si="1234"/>
        <v>3768</v>
      </c>
      <c r="AF445" s="32">
        <f t="shared" si="1234"/>
        <v>5982</v>
      </c>
      <c r="AG445" s="32">
        <f t="shared" si="1234"/>
        <v>0</v>
      </c>
      <c r="AH445" s="32">
        <f t="shared" si="1234"/>
        <v>5982</v>
      </c>
      <c r="AI445" s="32">
        <f t="shared" si="1234"/>
        <v>9750</v>
      </c>
      <c r="AJ445" s="34">
        <f t="shared" si="1235"/>
        <v>198.9778305</v>
      </c>
      <c r="AK445" s="31">
        <f t="shared" si="1236"/>
        <v>11164</v>
      </c>
      <c r="AL445" s="35">
        <f t="shared" si="1237"/>
        <v>0.8733428879</v>
      </c>
      <c r="AM445" s="36">
        <f t="shared" si="1238"/>
        <v>1.5</v>
      </c>
      <c r="AN445" s="35">
        <f t="shared" si="1239"/>
        <v>0.5536772174</v>
      </c>
      <c r="AO445" s="37">
        <f t="shared" si="1240"/>
        <v>0.8305158261</v>
      </c>
      <c r="AP445" s="36">
        <f t="shared" ref="AP445:AQ445" si="1241">SUM(T440)</f>
        <v>396.5710232</v>
      </c>
      <c r="AQ445" s="36">
        <f t="shared" si="1241"/>
        <v>6.721542766</v>
      </c>
      <c r="AR445" s="32">
        <f t="shared" si="1242"/>
        <v>165.2542373</v>
      </c>
    </row>
    <row r="446" ht="15.75" customHeight="1">
      <c r="A446" s="21"/>
      <c r="B446" s="38">
        <v>9.0</v>
      </c>
      <c r="C446" s="38" t="s">
        <v>36</v>
      </c>
      <c r="D446" s="58">
        <v>30.0</v>
      </c>
      <c r="E446" s="40">
        <f>IFERROR(__xludf.DUMMYFUNCTION("COUNT(IMPORTRANGE(""https://docs.google.com/spreadsheets/d/1YNna43iTSqnwwbMJgTIPHSJEoDO8RGPRFg5pJCoQR_Y/edit"",""1!d2:d31""))"),29.0)</f>
        <v>29</v>
      </c>
      <c r="F446" s="45">
        <f>IFERROR(__xludf.DUMMYFUNCTION("SUM(IMPORTRANGE(""https://docs.google.com/spreadsheets/d/1YNna43iTSqnwwbMJgTIPHSJEoDO8RGPRFg5pJCoQR_Y/edit"",""1!Q2:Q31""))"),4875.344999999998)</f>
        <v>4875.345</v>
      </c>
      <c r="G446" s="40">
        <f>IFERROR(__xludf.DUMMYFUNCTION("IMPORTRANGE(""https://docs.google.com/spreadsheets/d/1YNna43iTSqnwwbMJgTIPHSJEoDO8RGPRFg5pJCoQR_Y/edit"",""1!e38"")"),1728.0)</f>
        <v>1728</v>
      </c>
      <c r="H446" s="40">
        <f>IFERROR(__xludf.DUMMYFUNCTION("IMPORTRANGE(""https://docs.google.com/spreadsheets/d/1YNna43iTSqnwwbMJgTIPHSJEoDO8RGPRFg5pJCoQR_Y/edit"",""1!e39"")"),0.0)</f>
        <v>0</v>
      </c>
      <c r="I446" s="40">
        <f t="shared" si="1215"/>
        <v>1728</v>
      </c>
      <c r="J446" s="40">
        <f>IFERROR(__xludf.DUMMYFUNCTION("IMPORTRANGE(""https://docs.google.com/spreadsheets/d/1YNna43iTSqnwwbMJgTIPHSJEoDO8RGPRFg5pJCoQR_Y/edit"",""1!e42"")"),2407.0)</f>
        <v>2407</v>
      </c>
      <c r="K446" s="40">
        <f>IFERROR(__xludf.DUMMYFUNCTION("IMPORTRANGE(""https://docs.google.com/spreadsheets/d/1YNna43iTSqnwwbMJgTIPHSJEoDO8RGPRFg5pJCoQR_Y/edit"",""1!e43"")"),20.0)</f>
        <v>20</v>
      </c>
      <c r="L446" s="40">
        <f t="shared" ref="L446:L455" si="1245">SUM(J446:K446)</f>
        <v>2427</v>
      </c>
      <c r="M446" s="40">
        <f t="shared" si="1217"/>
        <v>4155</v>
      </c>
      <c r="N446" s="41">
        <f t="shared" si="1218"/>
        <v>168.1153448</v>
      </c>
      <c r="O446" s="38">
        <v>4796.0</v>
      </c>
      <c r="P446" s="42">
        <f t="shared" si="1219"/>
        <v>0.8663469558</v>
      </c>
      <c r="Q446" s="43">
        <v>1.5</v>
      </c>
      <c r="R446" s="42">
        <f t="shared" si="1220"/>
        <v>0.5681649196</v>
      </c>
      <c r="S446" s="44">
        <f t="shared" si="1221"/>
        <v>0.8522473794</v>
      </c>
      <c r="T446" s="43">
        <f>F446/37.414</f>
        <v>130.3080398</v>
      </c>
      <c r="U446" s="43">
        <f t="shared" si="1222"/>
        <v>4.493380682</v>
      </c>
      <c r="V446" s="40">
        <f t="shared" si="1223"/>
        <v>143.2758621</v>
      </c>
      <c r="X446" s="22">
        <v>3.0</v>
      </c>
      <c r="Y446" s="22" t="s">
        <v>34</v>
      </c>
      <c r="Z446" s="22">
        <f t="shared" ref="Z446:AI446" si="1243">SUM(D442)</f>
        <v>40</v>
      </c>
      <c r="AA446" s="23">
        <f t="shared" si="1243"/>
        <v>40</v>
      </c>
      <c r="AB446" s="24">
        <f t="shared" si="1243"/>
        <v>8007.324</v>
      </c>
      <c r="AC446" s="23">
        <f t="shared" si="1243"/>
        <v>2819</v>
      </c>
      <c r="AD446" s="23">
        <f t="shared" si="1243"/>
        <v>0</v>
      </c>
      <c r="AE446" s="23">
        <f t="shared" si="1243"/>
        <v>2819</v>
      </c>
      <c r="AF446" s="23">
        <f t="shared" si="1243"/>
        <v>3504</v>
      </c>
      <c r="AG446" s="23">
        <f t="shared" si="1243"/>
        <v>0</v>
      </c>
      <c r="AH446" s="23">
        <f t="shared" si="1243"/>
        <v>3504</v>
      </c>
      <c r="AI446" s="23">
        <f t="shared" si="1243"/>
        <v>6323</v>
      </c>
      <c r="AJ446" s="25">
        <f t="shared" si="1235"/>
        <v>200.1831</v>
      </c>
      <c r="AK446" s="22">
        <f>SUM(O442)</f>
        <v>9354</v>
      </c>
      <c r="AL446" s="26">
        <f t="shared" si="1237"/>
        <v>0.6759675005</v>
      </c>
      <c r="AM446" s="27">
        <f>SUM(Q442)</f>
        <v>1.5</v>
      </c>
      <c r="AN446" s="26">
        <f t="shared" si="1239"/>
        <v>0.5264347157</v>
      </c>
      <c r="AO446" s="28">
        <f t="shared" si="1240"/>
        <v>0.7896520735</v>
      </c>
      <c r="AP446" s="27">
        <f t="shared" ref="AP446:AQ446" si="1244">SUM(T442)</f>
        <v>260.7144857</v>
      </c>
      <c r="AQ446" s="27">
        <f t="shared" si="1244"/>
        <v>6.517862143</v>
      </c>
      <c r="AR446" s="23">
        <f t="shared" si="1242"/>
        <v>158.075</v>
      </c>
    </row>
    <row r="447" ht="15.75" customHeight="1">
      <c r="A447" s="21"/>
      <c r="B447" s="38">
        <v>10.0</v>
      </c>
      <c r="C447" s="38" t="s">
        <v>37</v>
      </c>
      <c r="D447" s="39">
        <v>30.0</v>
      </c>
      <c r="E447" s="40">
        <f>IFERROR(__xludf.DUMMYFUNCTION("COUNT(IMPORTRANGE(""https://docs.google.com/spreadsheets/d/1913Df5BsXS_b-nClL8LOK5w0engQYTl1mPOiyngRtO0/edit"",""1!d2:d31""))"),28.0)</f>
        <v>28</v>
      </c>
      <c r="F447" s="45">
        <f>IFERROR(__xludf.DUMMYFUNCTION("SUM(IMPORTRANGE(""https://docs.google.com/spreadsheets/d/1913Df5BsXS_b-nClL8LOK5w0engQYTl1mPOiyngRtO0/edit"",""1!Q2:Q31""))"),5465.100000000002)</f>
        <v>5465.1</v>
      </c>
      <c r="G447" s="40">
        <f>IFERROR(__xludf.DUMMYFUNCTION("(IMPORTRANGE(""https://docs.google.com/spreadsheets/d/1913Df5BsXS_b-nClL8LOK5w0engQYTl1mPOiyngRtO0/edit"",""1!e38""))"),2135.0)</f>
        <v>2135</v>
      </c>
      <c r="H447" s="40">
        <f>IFERROR(__xludf.DUMMYFUNCTION("(IMPORTRANGE(""https://docs.google.com/spreadsheets/d/1913Df5BsXS_b-nClL8LOK5w0engQYTl1mPOiyngRtO0/edit"",""1!e39""))"),0.0)</f>
        <v>0</v>
      </c>
      <c r="I447" s="40">
        <f t="shared" si="1215"/>
        <v>2135</v>
      </c>
      <c r="J447" s="40">
        <f>IFERROR(__xludf.DUMMYFUNCTION("(IMPORTRANGE(""https://docs.google.com/spreadsheets/d/1913Df5BsXS_b-nClL8LOK5w0engQYTl1mPOiyngRtO0/edit"",""1!e42""))"),3182.0)</f>
        <v>3182</v>
      </c>
      <c r="K447" s="40">
        <f>IFERROR(__xludf.DUMMYFUNCTION("(IMPORTRANGE(""https://docs.google.com/spreadsheets/d/1913Df5BsXS_b-nClL8LOK5w0engQYTl1mPOiyngRtO0/edit"",""1!e43""))"),0.0)</f>
        <v>0</v>
      </c>
      <c r="L447" s="40">
        <f t="shared" si="1245"/>
        <v>3182</v>
      </c>
      <c r="M447" s="40">
        <f t="shared" si="1217"/>
        <v>5317</v>
      </c>
      <c r="N447" s="41">
        <f t="shared" si="1218"/>
        <v>195.1821429</v>
      </c>
      <c r="O447" s="38">
        <v>5887.0</v>
      </c>
      <c r="P447" s="42">
        <f t="shared" si="1219"/>
        <v>0.9031764906</v>
      </c>
      <c r="Q447" s="43">
        <v>1.5</v>
      </c>
      <c r="R447" s="42">
        <f t="shared" si="1220"/>
        <v>0.6486005136</v>
      </c>
      <c r="S447" s="44">
        <f t="shared" si="1221"/>
        <v>0.9729007703</v>
      </c>
      <c r="T447" s="43">
        <f>F447/24.792</f>
        <v>220.4380445</v>
      </c>
      <c r="U447" s="43">
        <f t="shared" si="1222"/>
        <v>7.872787305</v>
      </c>
      <c r="V447" s="40">
        <f t="shared" si="1223"/>
        <v>189.8928571</v>
      </c>
      <c r="X447" s="31">
        <v>4.0</v>
      </c>
      <c r="Y447" s="31" t="s">
        <v>38</v>
      </c>
      <c r="Z447" s="31">
        <f t="shared" ref="Z447:AI447" si="1246">SUM(D450)</f>
        <v>30</v>
      </c>
      <c r="AA447" s="32">
        <f t="shared" si="1246"/>
        <v>30</v>
      </c>
      <c r="AB447" s="33">
        <f t="shared" si="1246"/>
        <v>6034.986</v>
      </c>
      <c r="AC447" s="32">
        <f t="shared" si="1246"/>
        <v>1876</v>
      </c>
      <c r="AD447" s="32">
        <f t="shared" si="1246"/>
        <v>79</v>
      </c>
      <c r="AE447" s="32">
        <f t="shared" si="1246"/>
        <v>1955</v>
      </c>
      <c r="AF447" s="32">
        <f t="shared" si="1246"/>
        <v>2967</v>
      </c>
      <c r="AG447" s="32">
        <f t="shared" si="1246"/>
        <v>140</v>
      </c>
      <c r="AH447" s="32">
        <f t="shared" si="1246"/>
        <v>3107</v>
      </c>
      <c r="AI447" s="32">
        <f t="shared" si="1246"/>
        <v>5062</v>
      </c>
      <c r="AJ447" s="34">
        <f t="shared" si="1235"/>
        <v>201.1662</v>
      </c>
      <c r="AK447" s="31">
        <v>7324.0</v>
      </c>
      <c r="AL447" s="35">
        <f t="shared" si="1237"/>
        <v>0.6911523758</v>
      </c>
      <c r="AM447" s="36">
        <f>SUM(Q450)</f>
        <v>1.5</v>
      </c>
      <c r="AN447" s="35">
        <f t="shared" si="1239"/>
        <v>0.5591838435</v>
      </c>
      <c r="AO447" s="37">
        <f t="shared" si="1240"/>
        <v>0.8387757652</v>
      </c>
      <c r="AP447" s="36">
        <f t="shared" ref="AP447:AQ447" si="1247">SUM(T450)</f>
        <v>146.4624681</v>
      </c>
      <c r="AQ447" s="36">
        <f t="shared" si="1247"/>
        <v>4.882082272</v>
      </c>
      <c r="AR447" s="32">
        <f t="shared" si="1242"/>
        <v>168.7333333</v>
      </c>
    </row>
    <row r="448" ht="15.75" customHeight="1">
      <c r="A448" s="21"/>
      <c r="B448" s="38">
        <v>12.0</v>
      </c>
      <c r="C448" s="38" t="s">
        <v>39</v>
      </c>
      <c r="D448" s="39">
        <v>28.0</v>
      </c>
      <c r="E448" s="40">
        <f>IFERROR(__xludf.DUMMYFUNCTION("COUNT(IMPORTRANGE(""https://docs.google.com/spreadsheets/d/1wMeol_MpSIcocGxt3WZGl46mJ2tc80mANPvP_YzaP18/edit"",""1!d2:d29""))"),27.0)</f>
        <v>27</v>
      </c>
      <c r="F448" s="45">
        <f>IFERROR(__xludf.DUMMYFUNCTION("SUM(IMPORTRANGE(""https://docs.google.com/spreadsheets/d/1wMeol_MpSIcocGxt3WZGl46mJ2tc80mANPvP_YzaP18/edit"",""1!Q2:Q29""))"),5318.459)</f>
        <v>5318.459</v>
      </c>
      <c r="G448" s="40">
        <f>IFERROR(__xludf.DUMMYFUNCTION("IMPORTRANGE(""https://docs.google.com/spreadsheets/d/1wMeol_MpSIcocGxt3WZGl46mJ2tc80mANPvP_YzaP18/edit"",""1!e36"")"),1229.0)</f>
        <v>1229</v>
      </c>
      <c r="H448" s="40">
        <f>IFERROR(__xludf.DUMMYFUNCTION("(IMPORTRANGE(""https://docs.google.com/spreadsheets/d/1wMeol_MpSIcocGxt3WZGl46mJ2tc80mANPvP_YzaP18/edit"",""1!e37""))"),0.0)</f>
        <v>0</v>
      </c>
      <c r="I448" s="40">
        <f t="shared" si="1215"/>
        <v>1229</v>
      </c>
      <c r="J448" s="40">
        <f>IFERROR(__xludf.DUMMYFUNCTION("IMPORTRANGE(""https://docs.google.com/spreadsheets/d/1wMeol_MpSIcocGxt3WZGl46mJ2tc80mANPvP_YzaP18/edit"",""1!e40"")"),1740.0)</f>
        <v>1740</v>
      </c>
      <c r="K448" s="40">
        <f>IFERROR(__xludf.DUMMYFUNCTION("IMPORTRANGE(""https://docs.google.com/spreadsheets/d/1wMeol_MpSIcocGxt3WZGl46mJ2tc80mANPvP_YzaP18/edit"",""1!e41"")"),0.0)</f>
        <v>0</v>
      </c>
      <c r="L448" s="40">
        <f t="shared" si="1245"/>
        <v>1740</v>
      </c>
      <c r="M448" s="40">
        <f t="shared" si="1217"/>
        <v>2969</v>
      </c>
      <c r="N448" s="41">
        <f t="shared" si="1218"/>
        <v>196.979963</v>
      </c>
      <c r="O448" s="38">
        <v>3569.0</v>
      </c>
      <c r="P448" s="42">
        <f t="shared" si="1219"/>
        <v>0.8318856823</v>
      </c>
      <c r="Q448" s="43">
        <v>1.5</v>
      </c>
      <c r="R448" s="42">
        <f t="shared" si="1220"/>
        <v>0.3721629392</v>
      </c>
      <c r="S448" s="44">
        <f t="shared" si="1221"/>
        <v>0.5582444088</v>
      </c>
      <c r="T448" s="43">
        <f>F448/21.463</f>
        <v>247.7966268</v>
      </c>
      <c r="U448" s="43">
        <f t="shared" si="1222"/>
        <v>9.177652843</v>
      </c>
      <c r="V448" s="40">
        <f t="shared" si="1223"/>
        <v>109.962963</v>
      </c>
      <c r="X448" s="31">
        <v>5.0</v>
      </c>
      <c r="Y448" s="31" t="s">
        <v>40</v>
      </c>
      <c r="Z448" s="31">
        <f t="shared" ref="Z448:AI448" si="1248">SUM(D452)</f>
        <v>30</v>
      </c>
      <c r="AA448" s="32">
        <f t="shared" si="1248"/>
        <v>30</v>
      </c>
      <c r="AB448" s="33">
        <f t="shared" si="1248"/>
        <v>5660.157</v>
      </c>
      <c r="AC448" s="32">
        <f t="shared" si="1248"/>
        <v>3382</v>
      </c>
      <c r="AD448" s="32">
        <f t="shared" si="1248"/>
        <v>0</v>
      </c>
      <c r="AE448" s="32">
        <f t="shared" si="1248"/>
        <v>3382</v>
      </c>
      <c r="AF448" s="32">
        <f t="shared" si="1248"/>
        <v>3798</v>
      </c>
      <c r="AG448" s="32">
        <f t="shared" si="1248"/>
        <v>0</v>
      </c>
      <c r="AH448" s="32">
        <f t="shared" si="1248"/>
        <v>3798</v>
      </c>
      <c r="AI448" s="32">
        <f t="shared" si="1248"/>
        <v>7180</v>
      </c>
      <c r="AJ448" s="34">
        <f t="shared" si="1235"/>
        <v>188.6719</v>
      </c>
      <c r="AK448" s="31">
        <f t="shared" ref="AK448:AK449" si="1251">SUM(O452)</f>
        <v>8239</v>
      </c>
      <c r="AL448" s="35">
        <f t="shared" si="1237"/>
        <v>0.8714649836</v>
      </c>
      <c r="AM448" s="36">
        <f t="shared" ref="AM448:AM449" si="1252">SUM(Q452)</f>
        <v>1.5</v>
      </c>
      <c r="AN448" s="35">
        <f t="shared" si="1239"/>
        <v>0.8456773667</v>
      </c>
      <c r="AO448" s="37">
        <f t="shared" si="1240"/>
        <v>1.26851605</v>
      </c>
      <c r="AP448" s="36">
        <f t="shared" ref="AP448:AQ448" si="1249">SUM(T452)</f>
        <v>199</v>
      </c>
      <c r="AQ448" s="36">
        <f t="shared" si="1249"/>
        <v>6.633333333</v>
      </c>
      <c r="AR448" s="32">
        <f t="shared" si="1242"/>
        <v>239.3333333</v>
      </c>
    </row>
    <row r="449" ht="15.75" customHeight="1">
      <c r="A449" s="21"/>
      <c r="B449" s="38">
        <v>12.0</v>
      </c>
      <c r="C449" s="38" t="s">
        <v>41</v>
      </c>
      <c r="D449" s="39">
        <v>24.0</v>
      </c>
      <c r="E449" s="40">
        <f>IFERROR(__xludf.DUMMYFUNCTION("COUNT(IMPORTRANGE(""https://docs.google.com/spreadsheets/d/1sHk6_yuc4kORC_xnhEeazoemV_hVUQVqRpfoNae-PLk/edit"",""1!d2:d25""))"),24.0)</f>
        <v>24</v>
      </c>
      <c r="F449" s="45">
        <f>IFERROR(__xludf.DUMMYFUNCTION("SUM(IMPORTRANGE(""https://docs.google.com/spreadsheets/d/1sHk6_yuc4kORC_xnhEeazoemV_hVUQVqRpfoNae-PLk/edit"",""1!Q2:Q25""))"),4793.152000000001)</f>
        <v>4793.152</v>
      </c>
      <c r="G449" s="40">
        <f>IFERROR(__xludf.DUMMYFUNCTION("IMPORTRANGE(""https://docs.google.com/spreadsheets/d/1sHk6_yuc4kORC_xnhEeazoemV_hVUQVqRpfoNae-PLk/edit"",""1!e32"")"),1363.0)</f>
        <v>1363</v>
      </c>
      <c r="H449" s="40">
        <f>IFERROR(__xludf.DUMMYFUNCTION("IMPORTRANGE(""https://docs.google.com/spreadsheets/d/1sHk6_yuc4kORC_xnhEeazoemV_hVUQVqRpfoNae-PLk/edit"",""1!e33"")"),0.0)</f>
        <v>0</v>
      </c>
      <c r="I449" s="40">
        <f t="shared" si="1215"/>
        <v>1363</v>
      </c>
      <c r="J449" s="40">
        <f>IFERROR(__xludf.DUMMYFUNCTION("IMPORTRANGE(""https://docs.google.com/spreadsheets/d/1sHk6_yuc4kORC_xnhEeazoemV_hVUQVqRpfoNae-PLk/edit"",""1!e36"")"),1818.0)</f>
        <v>1818</v>
      </c>
      <c r="K449" s="40">
        <f>IFERROR(__xludf.DUMMYFUNCTION("IMPORTRANGE(""https://docs.google.com/spreadsheets/d/1sHk6_yuc4kORC_xnhEeazoemV_hVUQVqRpfoNae-PLk/edit"",""1!e37"")"),0.0)</f>
        <v>0</v>
      </c>
      <c r="L449" s="40">
        <f t="shared" si="1245"/>
        <v>1818</v>
      </c>
      <c r="M449" s="40">
        <f t="shared" si="1217"/>
        <v>3181</v>
      </c>
      <c r="N449" s="41">
        <f t="shared" si="1218"/>
        <v>199.7146667</v>
      </c>
      <c r="O449" s="38">
        <v>3801.0</v>
      </c>
      <c r="P449" s="42">
        <f t="shared" si="1219"/>
        <v>0.8368850303</v>
      </c>
      <c r="Q449" s="43">
        <v>1.5</v>
      </c>
      <c r="R449" s="42">
        <f t="shared" si="1220"/>
        <v>0.4424367653</v>
      </c>
      <c r="S449" s="44">
        <f t="shared" si="1221"/>
        <v>0.663655148</v>
      </c>
      <c r="T449" s="43">
        <f>F449/29.628</f>
        <v>161.7777778</v>
      </c>
      <c r="U449" s="43">
        <f t="shared" si="1222"/>
        <v>6.740740741</v>
      </c>
      <c r="V449" s="40">
        <f t="shared" si="1223"/>
        <v>132.5416667</v>
      </c>
      <c r="X449" s="22">
        <v>6.0</v>
      </c>
      <c r="Y449" s="22" t="s">
        <v>42</v>
      </c>
      <c r="Z449" s="22">
        <f t="shared" ref="Z449:AI449" si="1250">SUM(D453)</f>
        <v>33</v>
      </c>
      <c r="AA449" s="23">
        <f t="shared" si="1250"/>
        <v>33</v>
      </c>
      <c r="AB449" s="24">
        <f t="shared" si="1250"/>
        <v>6597.215</v>
      </c>
      <c r="AC449" s="23">
        <f t="shared" si="1250"/>
        <v>3014</v>
      </c>
      <c r="AD449" s="23">
        <f t="shared" si="1250"/>
        <v>234</v>
      </c>
      <c r="AE449" s="23">
        <f t="shared" si="1250"/>
        <v>3248</v>
      </c>
      <c r="AF449" s="23">
        <f t="shared" si="1250"/>
        <v>4605</v>
      </c>
      <c r="AG449" s="23">
        <f t="shared" si="1250"/>
        <v>108</v>
      </c>
      <c r="AH449" s="23">
        <f t="shared" si="1250"/>
        <v>4713</v>
      </c>
      <c r="AI449" s="23">
        <f t="shared" si="1250"/>
        <v>7961</v>
      </c>
      <c r="AJ449" s="25">
        <f t="shared" si="1235"/>
        <v>199.9156061</v>
      </c>
      <c r="AK449" s="22">
        <f t="shared" si="1251"/>
        <v>9877</v>
      </c>
      <c r="AL449" s="26">
        <f t="shared" si="1237"/>
        <v>0.8060139719</v>
      </c>
      <c r="AM449" s="27">
        <f t="shared" si="1252"/>
        <v>1.5</v>
      </c>
      <c r="AN449" s="26">
        <f t="shared" si="1239"/>
        <v>0.8044808807</v>
      </c>
      <c r="AO449" s="28">
        <f t="shared" si="1240"/>
        <v>1.206721321</v>
      </c>
      <c r="AP449" s="27">
        <f t="shared" ref="AP449:AQ449" si="1253">SUM(T453)</f>
        <v>252.2353279</v>
      </c>
      <c r="AQ449" s="27">
        <f t="shared" si="1253"/>
        <v>7.643494783</v>
      </c>
      <c r="AR449" s="23">
        <f t="shared" si="1242"/>
        <v>241.2424242</v>
      </c>
    </row>
    <row r="450" ht="15.75" customHeight="1">
      <c r="A450" s="21"/>
      <c r="B450" s="38">
        <v>13.0</v>
      </c>
      <c r="C450" s="38" t="s">
        <v>43</v>
      </c>
      <c r="D450" s="39">
        <v>30.0</v>
      </c>
      <c r="E450" s="40">
        <f>IFERROR(__xludf.DUMMYFUNCTION("COUNT(IMPORTRANGE(""https://docs.google.com/spreadsheets/d/1uGXvAN2jA6kmcEHUY4KqOHHewllZsujDdA6KVDfBCoA/edit"",""1!d2:d31""))"),30.0)</f>
        <v>30</v>
      </c>
      <c r="F450" s="45">
        <f>IFERROR(__xludf.DUMMYFUNCTION("SUM(IMPORTRANGE(""https://docs.google.com/spreadsheets/d/1uGXvAN2jA6kmcEHUY4KqOHHewllZsujDdA6KVDfBCoA/edit"",""1!Q2:Q31""))"),6034.986)</f>
        <v>6034.986</v>
      </c>
      <c r="G450" s="40">
        <f>IFERROR(__xludf.DUMMYFUNCTION("IMPORTRANGE(""https://docs.google.com/spreadsheets/d/1uGXvAN2jA6kmcEHUY4KqOHHewllZsujDdA6KVDfBCoA/edit"",""1!e38"")"),1876.0)</f>
        <v>1876</v>
      </c>
      <c r="H450" s="40">
        <f>IFERROR(__xludf.DUMMYFUNCTION("IMPORTRANGE(""https://docs.google.com/spreadsheets/d/1uGXvAN2jA6kmcEHUY4KqOHHewllZsujDdA6KVDfBCoA/edit"",""1!e39"")"),79.0)</f>
        <v>79</v>
      </c>
      <c r="I450" s="40">
        <f t="shared" si="1215"/>
        <v>1955</v>
      </c>
      <c r="J450" s="40">
        <f>IFERROR(__xludf.DUMMYFUNCTION("IMPORTRANGE(""https://docs.google.com/spreadsheets/d/1uGXvAN2jA6kmcEHUY4KqOHHewllZsujDdA6KVDfBCoA/edit"",""1!e42"")"),2967.0)</f>
        <v>2967</v>
      </c>
      <c r="K450" s="40">
        <f>IFERROR(__xludf.DUMMYFUNCTION("IMPORTRANGE(""https://docs.google.com/spreadsheets/d/1uGXvAN2jA6kmcEHUY4KqOHHewllZsujDdA6KVDfBCoA/edit"",""1!e43"")"),140.0)</f>
        <v>140</v>
      </c>
      <c r="L450" s="40">
        <f t="shared" si="1245"/>
        <v>3107</v>
      </c>
      <c r="M450" s="40">
        <f t="shared" si="1217"/>
        <v>5062</v>
      </c>
      <c r="N450" s="41">
        <f t="shared" si="1218"/>
        <v>201.1662</v>
      </c>
      <c r="O450" s="38">
        <v>8345.0</v>
      </c>
      <c r="P450" s="42">
        <f t="shared" si="1219"/>
        <v>0.6065907729</v>
      </c>
      <c r="Q450" s="43">
        <v>1.5</v>
      </c>
      <c r="R450" s="42">
        <f t="shared" si="1220"/>
        <v>0.5591838435</v>
      </c>
      <c r="S450" s="44">
        <f t="shared" si="1221"/>
        <v>0.8387757652</v>
      </c>
      <c r="T450" s="43">
        <f>F450/41.205</f>
        <v>146.4624681</v>
      </c>
      <c r="U450" s="43">
        <f t="shared" si="1222"/>
        <v>4.882082272</v>
      </c>
      <c r="V450" s="40">
        <f t="shared" si="1223"/>
        <v>168.7333333</v>
      </c>
      <c r="X450" s="46" t="s">
        <v>33</v>
      </c>
      <c r="Y450" s="46">
        <v>6.0</v>
      </c>
      <c r="Z450" s="46">
        <f t="shared" ref="Z450:AI450" si="1254">SUM(Z444:Z449)</f>
        <v>226</v>
      </c>
      <c r="AA450" s="47">
        <f t="shared" si="1254"/>
        <v>224</v>
      </c>
      <c r="AB450" s="49">
        <f t="shared" si="1254"/>
        <v>44273.509</v>
      </c>
      <c r="AC450" s="47">
        <f t="shared" si="1254"/>
        <v>17564</v>
      </c>
      <c r="AD450" s="47">
        <f t="shared" si="1254"/>
        <v>535</v>
      </c>
      <c r="AE450" s="47">
        <f t="shared" si="1254"/>
        <v>18099</v>
      </c>
      <c r="AF450" s="47">
        <f t="shared" si="1254"/>
        <v>24048</v>
      </c>
      <c r="AG450" s="47">
        <f t="shared" si="1254"/>
        <v>386</v>
      </c>
      <c r="AH450" s="47">
        <f t="shared" si="1254"/>
        <v>24434</v>
      </c>
      <c r="AI450" s="47">
        <f t="shared" si="1254"/>
        <v>42533</v>
      </c>
      <c r="AJ450" s="49">
        <f t="shared" si="1235"/>
        <v>197.6495938</v>
      </c>
      <c r="AK450" s="46">
        <f>SUM(AK444:AK449)</f>
        <v>53273</v>
      </c>
      <c r="AL450" s="50">
        <f t="shared" si="1237"/>
        <v>0.7983969365</v>
      </c>
      <c r="AM450" s="51">
        <v>1.5</v>
      </c>
      <c r="AN450" s="50">
        <f t="shared" si="1239"/>
        <v>0.6404582328</v>
      </c>
      <c r="AO450" s="52">
        <f t="shared" si="1240"/>
        <v>0.9606873492</v>
      </c>
      <c r="AP450" s="51">
        <f>SUM(AP444:AP449)</f>
        <v>1456.754836</v>
      </c>
      <c r="AQ450" s="51">
        <f>AP450/AA450</f>
        <v>6.503369804</v>
      </c>
      <c r="AR450" s="47">
        <f t="shared" si="1242"/>
        <v>189.8794643</v>
      </c>
    </row>
    <row r="451" ht="15.75" customHeight="1">
      <c r="A451" s="21"/>
      <c r="B451" s="38">
        <v>14.0</v>
      </c>
      <c r="C451" s="38" t="s">
        <v>27</v>
      </c>
      <c r="D451" s="39">
        <v>30.0</v>
      </c>
      <c r="E451" s="40">
        <f>IFERROR(__xludf.DUMMYFUNCTION("COUNT(IMPORTRANGE(""https://docs.google.com/spreadsheets/d/1iYtf3wkjJIgOL8ej0-L89wY8FLXKi6EiRbi9UqA1Bzw/edit"",""1!d2:d31""))"),29.0)</f>
        <v>29</v>
      </c>
      <c r="F451" s="45">
        <f>IFERROR(__xludf.DUMMYFUNCTION("SUM(IMPORTRANGE(""https://docs.google.com/spreadsheets/d/1iYtf3wkjJIgOL8ej0-L89wY8FLXKi6EiRbi9UqA1Bzw/edit"",""1!Q2:Q31""))"),5631.663000000001)</f>
        <v>5631.663</v>
      </c>
      <c r="G451" s="40">
        <f>IFERROR(__xludf.DUMMYFUNCTION("IMPORTRANGE(""https://docs.google.com/spreadsheets/d/1iYtf3wkjJIgOL8ej0-L89wY8FLXKi6EiRbi9UqA1Bzw/edit"",""1!e38"")"),2486.0)</f>
        <v>2486</v>
      </c>
      <c r="H451" s="40">
        <f>IFERROR(__xludf.DUMMYFUNCTION("IMPORTRANGE(""https://docs.google.com/spreadsheets/d/1iYtf3wkjJIgOL8ej0-L89wY8FLXKi6EiRbi9UqA1Bzw/edit"",""1!e39"")"),80.0)</f>
        <v>80</v>
      </c>
      <c r="I451" s="40">
        <f t="shared" si="1215"/>
        <v>2566</v>
      </c>
      <c r="J451" s="40">
        <f>IFERROR(__xludf.DUMMYFUNCTION("IMPORTRANGE(""https://docs.google.com/spreadsheets/d/1iYtf3wkjJIgOL8ej0-L89wY8FLXKi6EiRbi9UqA1Bzw/edit"",""1!e42"")"),2945.0)</f>
        <v>2945</v>
      </c>
      <c r="K451" s="40">
        <f>IFERROR(__xludf.DUMMYFUNCTION("IMPORTRANGE(""https://docs.google.com/spreadsheets/d/1iYtf3wkjJIgOL8ej0-L89wY8FLXKi6EiRbi9UqA1Bzw/edit"",""1!e43"")"),88.0)</f>
        <v>88</v>
      </c>
      <c r="L451" s="40">
        <f t="shared" si="1245"/>
        <v>3033</v>
      </c>
      <c r="M451" s="40">
        <f t="shared" si="1217"/>
        <v>5599</v>
      </c>
      <c r="N451" s="41">
        <f t="shared" si="1218"/>
        <v>194.1952759</v>
      </c>
      <c r="O451" s="38">
        <v>8101.0</v>
      </c>
      <c r="P451" s="42">
        <f t="shared" si="1219"/>
        <v>0.6911492408</v>
      </c>
      <c r="Q451" s="43">
        <v>1.5</v>
      </c>
      <c r="R451" s="42">
        <f t="shared" si="1220"/>
        <v>0.6628000764</v>
      </c>
      <c r="S451" s="44">
        <f t="shared" si="1221"/>
        <v>0.9942001146</v>
      </c>
      <c r="T451" s="43">
        <f>F451/19.985</f>
        <v>281.7944959</v>
      </c>
      <c r="U451" s="43">
        <f t="shared" si="1222"/>
        <v>9.717051582</v>
      </c>
      <c r="V451" s="40">
        <f t="shared" si="1223"/>
        <v>193.0689655</v>
      </c>
      <c r="X451" s="59" t="s">
        <v>44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6"/>
    </row>
    <row r="452" ht="15.75" customHeight="1">
      <c r="A452" s="21"/>
      <c r="B452" s="38">
        <v>15.0</v>
      </c>
      <c r="C452" s="38" t="s">
        <v>40</v>
      </c>
      <c r="D452" s="39">
        <v>30.0</v>
      </c>
      <c r="E452" s="40">
        <f>IFERROR(__xludf.DUMMYFUNCTION("COUNT(IMPORTRANGE(""https://docs.google.com/spreadsheets/d/1Wdf8MsoDBzMSsrzOXwaGQzbVjVqOWfKSqYmbncevZgA/edit"",""1!d2:d31""))"),30.0)</f>
        <v>30</v>
      </c>
      <c r="F452" s="45">
        <f>IFERROR(__xludf.DUMMYFUNCTION("SUM(IMPORTRANGE(""https://docs.google.com/spreadsheets/d/1Wdf8MsoDBzMSsrzOXwaGQzbVjVqOWfKSqYmbncevZgA/edit"",""1!Q2:Q31""))"),5660.156999999998)</f>
        <v>5660.157</v>
      </c>
      <c r="G452" s="40">
        <f>IFERROR(__xludf.DUMMYFUNCTION("IMPORTRANGE(""https://docs.google.com/spreadsheets/d/1Wdf8MsoDBzMSsrzOXwaGQzbVjVqOWfKSqYmbncevZgA/edit"",""1!e38"")"),3382.0)</f>
        <v>3382</v>
      </c>
      <c r="H452" s="40">
        <f>IFERROR(__xludf.DUMMYFUNCTION("IMPORTRANGE(""https://docs.google.com/spreadsheets/d/1Wdf8MsoDBzMSsrzOXwaGQzbVjVqOWfKSqYmbncevZgA/edit"",""1!e39"")"),0.0)</f>
        <v>0</v>
      </c>
      <c r="I452" s="40">
        <f t="shared" si="1215"/>
        <v>3382</v>
      </c>
      <c r="J452" s="40">
        <f>IFERROR(__xludf.DUMMYFUNCTION("IMPORTRANGE(""https://docs.google.com/spreadsheets/d/1Wdf8MsoDBzMSsrzOXwaGQzbVjVqOWfKSqYmbncevZgA/edit"",""1!e42"")"),3798.0)</f>
        <v>3798</v>
      </c>
      <c r="K452" s="40">
        <f>IFERROR(__xludf.DUMMYFUNCTION("IMPORTRANGE(""https://docs.google.com/spreadsheets/d/1Wdf8MsoDBzMSsrzOXwaGQzbVjVqOWfKSqYmbncevZgA/edit"",""1!e43"")"),0.0)</f>
        <v>0</v>
      </c>
      <c r="L452" s="40">
        <f t="shared" si="1245"/>
        <v>3798</v>
      </c>
      <c r="M452" s="40">
        <f t="shared" si="1217"/>
        <v>7180</v>
      </c>
      <c r="N452" s="41">
        <f t="shared" si="1218"/>
        <v>188.6719</v>
      </c>
      <c r="O452" s="38">
        <v>8239.0</v>
      </c>
      <c r="P452" s="42">
        <f t="shared" si="1219"/>
        <v>0.8714649836</v>
      </c>
      <c r="Q452" s="43">
        <v>1.5</v>
      </c>
      <c r="R452" s="42">
        <f t="shared" si="1220"/>
        <v>0.8456773667</v>
      </c>
      <c r="S452" s="44">
        <f t="shared" si="1221"/>
        <v>1.26851605</v>
      </c>
      <c r="T452" s="43">
        <f>F452/28.443</f>
        <v>199</v>
      </c>
      <c r="U452" s="43">
        <f t="shared" si="1222"/>
        <v>6.633333333</v>
      </c>
      <c r="V452" s="40">
        <f t="shared" si="1223"/>
        <v>239.3333333</v>
      </c>
      <c r="X452" s="14" t="s">
        <v>2</v>
      </c>
      <c r="Y452" s="14" t="s">
        <v>3</v>
      </c>
      <c r="Z452" s="14" t="s">
        <v>4</v>
      </c>
      <c r="AA452" s="14" t="s">
        <v>5</v>
      </c>
      <c r="AB452" s="15" t="s">
        <v>6</v>
      </c>
      <c r="AC452" s="14" t="s">
        <v>7</v>
      </c>
      <c r="AD452" s="14" t="s">
        <v>8</v>
      </c>
      <c r="AE452" s="14" t="s">
        <v>9</v>
      </c>
      <c r="AF452" s="14" t="s">
        <v>10</v>
      </c>
      <c r="AG452" s="14" t="s">
        <v>11</v>
      </c>
      <c r="AH452" s="14" t="s">
        <v>12</v>
      </c>
      <c r="AI452" s="14" t="s">
        <v>13</v>
      </c>
      <c r="AJ452" s="15" t="s">
        <v>14</v>
      </c>
      <c r="AK452" s="14" t="s">
        <v>15</v>
      </c>
      <c r="AL452" s="14" t="s">
        <v>16</v>
      </c>
      <c r="AM452" s="16" t="s">
        <v>17</v>
      </c>
      <c r="AN452" s="17" t="s">
        <v>18</v>
      </c>
      <c r="AO452" s="18" t="s">
        <v>19</v>
      </c>
      <c r="AP452" s="19" t="s">
        <v>20</v>
      </c>
      <c r="AQ452" s="19" t="s">
        <v>21</v>
      </c>
      <c r="AR452" s="20" t="s">
        <v>22</v>
      </c>
    </row>
    <row r="453" ht="15.75" customHeight="1">
      <c r="A453" s="21"/>
      <c r="B453" s="38">
        <v>16.0</v>
      </c>
      <c r="C453" s="38" t="s">
        <v>42</v>
      </c>
      <c r="D453" s="39">
        <v>33.0</v>
      </c>
      <c r="E453" s="40">
        <f>IFERROR(__xludf.DUMMYFUNCTION("COUNT(IMPORTRANGE(""https://docs.google.com/spreadsheets/d/1Z5uB5HbeAKcHmG4EOw3rf2J8NpyvDiha6RReERAMvA0/edit"",""1!d2:d34""))"),33.0)</f>
        <v>33</v>
      </c>
      <c r="F453" s="45">
        <f>IFERROR(__xludf.DUMMYFUNCTION("SUM(IMPORTRANGE(""https://docs.google.com/spreadsheets/d/1Z5uB5HbeAKcHmG4EOw3rf2J8NpyvDiha6RReERAMvA0/edit"",""1!Q2:Q34""))"),6597.214999999997)</f>
        <v>6597.215</v>
      </c>
      <c r="G453" s="40">
        <f>IFERROR(__xludf.DUMMYFUNCTION("IMPORTRANGE(""https://docs.google.com/spreadsheets/d/1Z5uB5HbeAKcHmG4EOw3rf2J8NpyvDiha6RReERAMvA0/edit"",""1!e41"")"),3014.0)</f>
        <v>3014</v>
      </c>
      <c r="H453" s="40">
        <f>IFERROR(__xludf.DUMMYFUNCTION("IMPORTRANGE(""https://docs.google.com/spreadsheets/d/1Z5uB5HbeAKcHmG4EOw3rf2J8NpyvDiha6RReERAMvA0/edit"",""1!e42"")"),234.0)</f>
        <v>234</v>
      </c>
      <c r="I453" s="40">
        <f t="shared" si="1215"/>
        <v>3248</v>
      </c>
      <c r="J453" s="40">
        <f>IFERROR(__xludf.DUMMYFUNCTION("IMPORTRANGE(""https://docs.google.com/spreadsheets/d/1Z5uB5HbeAKcHmG4EOw3rf2J8NpyvDiha6RReERAMvA0/edit"",""1!e45"")"),4605.0)</f>
        <v>4605</v>
      </c>
      <c r="K453" s="40">
        <f>IFERROR(__xludf.DUMMYFUNCTION("IMPORTRANGE(""https://docs.google.com/spreadsheets/d/1Z5uB5HbeAKcHmG4EOw3rf2J8NpyvDiha6RReERAMvA0/edit"",""1!e46"")"),108.0)</f>
        <v>108</v>
      </c>
      <c r="L453" s="40">
        <f t="shared" si="1245"/>
        <v>4713</v>
      </c>
      <c r="M453" s="40">
        <f t="shared" si="1217"/>
        <v>7961</v>
      </c>
      <c r="N453" s="41">
        <f t="shared" si="1218"/>
        <v>199.9156061</v>
      </c>
      <c r="O453" s="38">
        <v>9877.0</v>
      </c>
      <c r="P453" s="42">
        <f t="shared" si="1219"/>
        <v>0.8060139719</v>
      </c>
      <c r="Q453" s="43">
        <v>1.5</v>
      </c>
      <c r="R453" s="42">
        <f t="shared" si="1220"/>
        <v>0.8044808807</v>
      </c>
      <c r="S453" s="44">
        <f t="shared" si="1221"/>
        <v>1.206721321</v>
      </c>
      <c r="T453" s="43">
        <f>F453/26.155</f>
        <v>252.2353279</v>
      </c>
      <c r="U453" s="43">
        <f t="shared" si="1222"/>
        <v>7.643494783</v>
      </c>
      <c r="V453" s="40">
        <f t="shared" si="1223"/>
        <v>241.2424242</v>
      </c>
      <c r="X453" s="31">
        <v>1.0</v>
      </c>
      <c r="Y453" s="31" t="s">
        <v>26</v>
      </c>
      <c r="Z453" s="31">
        <f t="shared" ref="Z453:AI453" si="1255">SUM(D438)</f>
        <v>20</v>
      </c>
      <c r="AA453" s="32">
        <f t="shared" si="1255"/>
        <v>20</v>
      </c>
      <c r="AB453" s="34">
        <f t="shared" si="1255"/>
        <v>3935.295</v>
      </c>
      <c r="AC453" s="32">
        <f t="shared" si="1255"/>
        <v>2229</v>
      </c>
      <c r="AD453" s="32">
        <f t="shared" si="1255"/>
        <v>0</v>
      </c>
      <c r="AE453" s="32">
        <f t="shared" si="1255"/>
        <v>2229</v>
      </c>
      <c r="AF453" s="32">
        <f t="shared" si="1255"/>
        <v>2661</v>
      </c>
      <c r="AG453" s="32">
        <f t="shared" si="1255"/>
        <v>47</v>
      </c>
      <c r="AH453" s="32">
        <f t="shared" si="1255"/>
        <v>2708</v>
      </c>
      <c r="AI453" s="32">
        <f t="shared" si="1255"/>
        <v>4937</v>
      </c>
      <c r="AJ453" s="34">
        <f t="shared" ref="AJ453:AJ459" si="1258">AB453/AA453</f>
        <v>196.76475</v>
      </c>
      <c r="AK453" s="31">
        <f>SUM(O438)</f>
        <v>5161</v>
      </c>
      <c r="AL453" s="35">
        <f t="shared" ref="AL453:AL459" si="1259">AI453/AK453</f>
        <v>0.9565975586</v>
      </c>
      <c r="AM453" s="36">
        <f>SUM(Q438)</f>
        <v>1.5</v>
      </c>
      <c r="AN453" s="35">
        <f t="shared" ref="AN453:AN459" si="1260">AO453/AM453</f>
        <v>0.8363625429</v>
      </c>
      <c r="AO453" s="37">
        <f t="shared" ref="AO453:AO459" si="1261">AI453/AB453</f>
        <v>1.254543814</v>
      </c>
      <c r="AP453" s="36">
        <f t="shared" ref="AP453:AQ453" si="1256">SUM(T438)</f>
        <v>273</v>
      </c>
      <c r="AQ453" s="36">
        <f t="shared" si="1256"/>
        <v>13.65</v>
      </c>
      <c r="AR453" s="32">
        <f t="shared" ref="AR453:AR459" si="1263">AI453/AA453</f>
        <v>246.85</v>
      </c>
    </row>
    <row r="454" ht="15.75" customHeight="1">
      <c r="A454" s="21"/>
      <c r="B454" s="38">
        <v>17.0</v>
      </c>
      <c r="C454" s="38" t="s">
        <v>29</v>
      </c>
      <c r="D454" s="39">
        <v>30.0</v>
      </c>
      <c r="E454" s="40">
        <f>IFERROR(__xludf.DUMMYFUNCTION("COUNT(IMPORTRANGE(""https://docs.google.com/spreadsheets/d/1wfJqI0e9wVPqEQv3N6b8KgINjqI0OBECEyIFeY9j3i8/edit"",""1!d2:d31""))"),29.0)</f>
        <v>29</v>
      </c>
      <c r="F454" s="45">
        <f>IFERROR(__xludf.DUMMYFUNCTION("SUM(IMPORTRANGE(""https://docs.google.com/spreadsheets/d/1wfJqI0e9wVPqEQv3N6b8KgINjqI0OBECEyIFeY9j3i8/edit"",""1!Q2:Q31""))"),5722.055999999998)</f>
        <v>5722.056</v>
      </c>
      <c r="G454" s="40">
        <f>IFERROR(__xludf.DUMMYFUNCTION("IMPORTRANGE(""https://docs.google.com/spreadsheets/d/1wfJqI0e9wVPqEQv3N6b8KgINjqI0OBECEyIFeY9j3i8/edit"",""1!e38"")"),2610.0)</f>
        <v>2610</v>
      </c>
      <c r="H454" s="40">
        <f>IFERROR(__xludf.DUMMYFUNCTION("IMPORTRANGE(""https://docs.google.com/spreadsheets/d/1wfJqI0e9wVPqEQv3N6b8KgINjqI0OBECEyIFeY9j3i8/edit"",""1!e39"")"),0.0)</f>
        <v>0</v>
      </c>
      <c r="I454" s="40">
        <f t="shared" si="1215"/>
        <v>2610</v>
      </c>
      <c r="J454" s="40">
        <f>IFERROR(__xludf.DUMMYFUNCTION("IMPORTRANGE(""https://docs.google.com/spreadsheets/d/1wfJqI0e9wVPqEQv3N6b8KgINjqI0OBECEyIFeY9j3i8/edit"",""1!e42"")"),4378.0)</f>
        <v>4378</v>
      </c>
      <c r="K454" s="40">
        <f>IFERROR(__xludf.DUMMYFUNCTION("IMPORTRANGE(""https://docs.google.com/spreadsheets/d/1wfJqI0e9wVPqEQv3N6b8KgINjqI0OBECEyIFeY9j3i8/edit"",""1!e43"")"),0.0)</f>
        <v>0</v>
      </c>
      <c r="L454" s="40">
        <f t="shared" si="1245"/>
        <v>4378</v>
      </c>
      <c r="M454" s="40">
        <f t="shared" si="1217"/>
        <v>6988</v>
      </c>
      <c r="N454" s="41">
        <f t="shared" si="1218"/>
        <v>197.3122759</v>
      </c>
      <c r="O454" s="38">
        <v>9201.0</v>
      </c>
      <c r="P454" s="42">
        <f t="shared" si="1219"/>
        <v>0.7594826649</v>
      </c>
      <c r="Q454" s="43">
        <v>1.5</v>
      </c>
      <c r="R454" s="42">
        <f t="shared" si="1220"/>
        <v>0.8141595725</v>
      </c>
      <c r="S454" s="44">
        <f t="shared" si="1221"/>
        <v>1.221239359</v>
      </c>
      <c r="T454" s="43">
        <f>F454/26.491</f>
        <v>216</v>
      </c>
      <c r="U454" s="43">
        <f t="shared" si="1222"/>
        <v>7.448275862</v>
      </c>
      <c r="V454" s="40">
        <f t="shared" si="1223"/>
        <v>240.9655172</v>
      </c>
      <c r="X454" s="31">
        <v>2.0</v>
      </c>
      <c r="Y454" s="31" t="s">
        <v>32</v>
      </c>
      <c r="Z454" s="31">
        <f t="shared" ref="Z454:AI454" si="1257">SUM(D441)</f>
        <v>42</v>
      </c>
      <c r="AA454" s="32">
        <f t="shared" si="1257"/>
        <v>42</v>
      </c>
      <c r="AB454" s="33">
        <f t="shared" si="1257"/>
        <v>8240.662</v>
      </c>
      <c r="AC454" s="31">
        <f t="shared" si="1257"/>
        <v>4515</v>
      </c>
      <c r="AD454" s="31">
        <f t="shared" si="1257"/>
        <v>0</v>
      </c>
      <c r="AE454" s="32">
        <f t="shared" si="1257"/>
        <v>4515</v>
      </c>
      <c r="AF454" s="31">
        <f t="shared" si="1257"/>
        <v>5726</v>
      </c>
      <c r="AG454" s="31">
        <f t="shared" si="1257"/>
        <v>0</v>
      </c>
      <c r="AH454" s="32">
        <f t="shared" si="1257"/>
        <v>5726</v>
      </c>
      <c r="AI454" s="32">
        <f t="shared" si="1257"/>
        <v>10241</v>
      </c>
      <c r="AJ454" s="34">
        <f t="shared" si="1258"/>
        <v>196.2062381</v>
      </c>
      <c r="AK454" s="31">
        <f>SUM(O441)</f>
        <v>13817</v>
      </c>
      <c r="AL454" s="35">
        <f t="shared" si="1259"/>
        <v>0.7411883911</v>
      </c>
      <c r="AM454" s="36">
        <f>SUM(Q441)</f>
        <v>1.5</v>
      </c>
      <c r="AN454" s="35">
        <f t="shared" si="1260"/>
        <v>0.8284933096</v>
      </c>
      <c r="AO454" s="37">
        <f t="shared" si="1261"/>
        <v>1.242739964</v>
      </c>
      <c r="AP454" s="36">
        <f t="shared" ref="AP454:AQ454" si="1262">SUM(T441)</f>
        <v>328.4571725</v>
      </c>
      <c r="AQ454" s="36">
        <f t="shared" si="1262"/>
        <v>7.820408868</v>
      </c>
      <c r="AR454" s="32">
        <f t="shared" si="1263"/>
        <v>243.8333333</v>
      </c>
    </row>
    <row r="455" ht="15.75" customHeight="1">
      <c r="A455" s="21"/>
      <c r="B455" s="38">
        <v>18.0</v>
      </c>
      <c r="C455" s="38" t="s">
        <v>31</v>
      </c>
      <c r="D455" s="39">
        <v>15.0</v>
      </c>
      <c r="E455" s="40">
        <f>IFERROR(__xludf.DUMMYFUNCTION("COUNT(IMPORTRANGE(""https://docs.google.com/spreadsheets/d/1-y2KhTAo7d8kowgUuWUDfRQuRMUAFteRYEXorT3_wOs/edit"",""1!d2:d16""))"),14.0)</f>
        <v>14</v>
      </c>
      <c r="F455" s="41">
        <f>IFERROR(__xludf.DUMMYFUNCTION("SUM(IMPORTRANGE(""https://docs.google.com/spreadsheets/d/1-y2KhTAo7d8kowgUuWUDfRQuRMUAFteRYEXorT3_wOs/edit"",""1!Q2:Q16""))"),2520.9699999999993)</f>
        <v>2520.97</v>
      </c>
      <c r="G455" s="40">
        <f>IFERROR(__xludf.DUMMYFUNCTION("IMPORTRANGE(""https://docs.google.com/spreadsheets/d/1-y2KhTAo7d8kowgUuWUDfRQuRMUAFteRYEXorT3_wOs/edit"",""1!e23"")"),633.0)</f>
        <v>633</v>
      </c>
      <c r="H455" s="40">
        <f>IFERROR(__xludf.DUMMYFUNCTION("IMPORTRANGE(""https://docs.google.com/spreadsheets/d/1-y2KhTAo7d8kowgUuWUDfRQuRMUAFteRYEXorT3_wOs/edit"",""1!e24"")"),0.0)</f>
        <v>0</v>
      </c>
      <c r="I455" s="40">
        <f t="shared" si="1215"/>
        <v>633</v>
      </c>
      <c r="J455" s="40">
        <f>IFERROR(__xludf.DUMMYFUNCTION("IMPORTRANGE(""https://docs.google.com/spreadsheets/d/1-y2KhTAo7d8kowgUuWUDfRQuRMUAFteRYEXorT3_wOs/edit"",""1!e27"")"),1148.0)</f>
        <v>1148</v>
      </c>
      <c r="K455" s="40">
        <f>IFERROR(__xludf.DUMMYFUNCTION("IMPORTRANGE(""https://docs.google.com/spreadsheets/d/1-y2KhTAo7d8kowgUuWUDfRQuRMUAFteRYEXorT3_wOs/edit"",""1!e28"")"),15.0)</f>
        <v>15</v>
      </c>
      <c r="L455" s="40">
        <f t="shared" si="1245"/>
        <v>1163</v>
      </c>
      <c r="M455" s="40">
        <f t="shared" si="1217"/>
        <v>1796</v>
      </c>
      <c r="N455" s="41">
        <f t="shared" si="1218"/>
        <v>180.0692857</v>
      </c>
      <c r="O455" s="38">
        <v>2717.0</v>
      </c>
      <c r="P455" s="42">
        <f t="shared" si="1219"/>
        <v>0.6610231873</v>
      </c>
      <c r="Q455" s="43">
        <v>1.5</v>
      </c>
      <c r="R455" s="42">
        <f t="shared" si="1220"/>
        <v>0.4749494573</v>
      </c>
      <c r="S455" s="44">
        <f t="shared" si="1221"/>
        <v>0.7124241859</v>
      </c>
      <c r="T455" s="43">
        <f>F455/43.465</f>
        <v>58</v>
      </c>
      <c r="U455" s="43">
        <f t="shared" si="1222"/>
        <v>4.142857143</v>
      </c>
      <c r="V455" s="40">
        <f t="shared" si="1223"/>
        <v>128.2857143</v>
      </c>
      <c r="X455" s="31">
        <v>3.0</v>
      </c>
      <c r="Y455" s="31" t="s">
        <v>36</v>
      </c>
      <c r="Z455" s="31">
        <f t="shared" ref="Z455:AI455" si="1264">SUM(D446)</f>
        <v>30</v>
      </c>
      <c r="AA455" s="32">
        <f t="shared" si="1264"/>
        <v>29</v>
      </c>
      <c r="AB455" s="33">
        <f t="shared" si="1264"/>
        <v>4875.345</v>
      </c>
      <c r="AC455" s="32">
        <f t="shared" si="1264"/>
        <v>1728</v>
      </c>
      <c r="AD455" s="32">
        <f t="shared" si="1264"/>
        <v>0</v>
      </c>
      <c r="AE455" s="32">
        <f t="shared" si="1264"/>
        <v>1728</v>
      </c>
      <c r="AF455" s="32">
        <f t="shared" si="1264"/>
        <v>2407</v>
      </c>
      <c r="AG455" s="32">
        <f t="shared" si="1264"/>
        <v>20</v>
      </c>
      <c r="AH455" s="32">
        <f t="shared" si="1264"/>
        <v>2427</v>
      </c>
      <c r="AI455" s="32">
        <f t="shared" si="1264"/>
        <v>4155</v>
      </c>
      <c r="AJ455" s="34">
        <f t="shared" si="1258"/>
        <v>168.1153448</v>
      </c>
      <c r="AK455" s="31">
        <f t="shared" ref="AK455:AK458" si="1268">SUM(O446)</f>
        <v>4796</v>
      </c>
      <c r="AL455" s="35">
        <f t="shared" si="1259"/>
        <v>0.8663469558</v>
      </c>
      <c r="AM455" s="36">
        <f t="shared" ref="AM455:AM458" si="1269">SUM(Q446)</f>
        <v>1.5</v>
      </c>
      <c r="AN455" s="35">
        <f t="shared" si="1260"/>
        <v>0.5681649196</v>
      </c>
      <c r="AO455" s="37">
        <f t="shared" si="1261"/>
        <v>0.8522473794</v>
      </c>
      <c r="AP455" s="36">
        <f t="shared" ref="AP455:AQ455" si="1265">SUM(T446)</f>
        <v>130.3080398</v>
      </c>
      <c r="AQ455" s="36">
        <f t="shared" si="1265"/>
        <v>4.493380682</v>
      </c>
      <c r="AR455" s="32">
        <f t="shared" si="1263"/>
        <v>143.2758621</v>
      </c>
    </row>
    <row r="456" ht="15.75" customHeight="1">
      <c r="A456" s="21"/>
      <c r="B456" s="60" t="s">
        <v>33</v>
      </c>
      <c r="C456" s="60">
        <v>18.0</v>
      </c>
      <c r="D456" s="60">
        <f t="shared" ref="D456:M456" si="1266">SUM(D438:D455)</f>
        <v>586</v>
      </c>
      <c r="E456" s="61">
        <f t="shared" si="1266"/>
        <v>576</v>
      </c>
      <c r="F456" s="62">
        <f t="shared" si="1266"/>
        <v>111449.623</v>
      </c>
      <c r="G456" s="61">
        <f t="shared" si="1266"/>
        <v>41757</v>
      </c>
      <c r="H456" s="61">
        <f t="shared" si="1266"/>
        <v>946</v>
      </c>
      <c r="I456" s="61">
        <f t="shared" si="1266"/>
        <v>42703</v>
      </c>
      <c r="J456" s="61">
        <f t="shared" si="1266"/>
        <v>57855</v>
      </c>
      <c r="K456" s="61">
        <f t="shared" si="1266"/>
        <v>875</v>
      </c>
      <c r="L456" s="61">
        <f t="shared" si="1266"/>
        <v>58730</v>
      </c>
      <c r="M456" s="61">
        <f t="shared" si="1266"/>
        <v>101433</v>
      </c>
      <c r="N456" s="62">
        <f t="shared" si="1218"/>
        <v>193.4889288</v>
      </c>
      <c r="O456" s="60">
        <f>SUM(O438:O455)</f>
        <v>126399</v>
      </c>
      <c r="P456" s="63">
        <f t="shared" si="1219"/>
        <v>0.8024826146</v>
      </c>
      <c r="Q456" s="64">
        <v>1.5</v>
      </c>
      <c r="R456" s="63">
        <f t="shared" si="1220"/>
        <v>0.6067494728</v>
      </c>
      <c r="S456" s="65">
        <f t="shared" si="1221"/>
        <v>0.9101242092</v>
      </c>
      <c r="T456" s="64">
        <f>SUM(T438:T455)</f>
        <v>4122.022266</v>
      </c>
      <c r="U456" s="64">
        <f t="shared" si="1222"/>
        <v>7.156288656</v>
      </c>
      <c r="V456" s="61">
        <f t="shared" si="1223"/>
        <v>176.0989583</v>
      </c>
      <c r="X456" s="31">
        <v>4.0</v>
      </c>
      <c r="Y456" s="31" t="s">
        <v>37</v>
      </c>
      <c r="Z456" s="31">
        <f t="shared" ref="Z456:AI456" si="1267">SUM(D447)</f>
        <v>30</v>
      </c>
      <c r="AA456" s="32">
        <f t="shared" si="1267"/>
        <v>28</v>
      </c>
      <c r="AB456" s="33">
        <f t="shared" si="1267"/>
        <v>5465.1</v>
      </c>
      <c r="AC456" s="32">
        <f t="shared" si="1267"/>
        <v>2135</v>
      </c>
      <c r="AD456" s="32">
        <f t="shared" si="1267"/>
        <v>0</v>
      </c>
      <c r="AE456" s="32">
        <f t="shared" si="1267"/>
        <v>2135</v>
      </c>
      <c r="AF456" s="32">
        <f t="shared" si="1267"/>
        <v>3182</v>
      </c>
      <c r="AG456" s="32">
        <f t="shared" si="1267"/>
        <v>0</v>
      </c>
      <c r="AH456" s="32">
        <f t="shared" si="1267"/>
        <v>3182</v>
      </c>
      <c r="AI456" s="32">
        <f t="shared" si="1267"/>
        <v>5317</v>
      </c>
      <c r="AJ456" s="34">
        <f t="shared" si="1258"/>
        <v>195.1821429</v>
      </c>
      <c r="AK456" s="31">
        <f t="shared" si="1268"/>
        <v>5887</v>
      </c>
      <c r="AL456" s="35">
        <f t="shared" si="1259"/>
        <v>0.9031764906</v>
      </c>
      <c r="AM456" s="36">
        <f t="shared" si="1269"/>
        <v>1.5</v>
      </c>
      <c r="AN456" s="35">
        <f t="shared" si="1260"/>
        <v>0.6486005136</v>
      </c>
      <c r="AO456" s="37">
        <f t="shared" si="1261"/>
        <v>0.9729007703</v>
      </c>
      <c r="AP456" s="36">
        <f t="shared" ref="AP456:AQ456" si="1270">SUM(T447)</f>
        <v>220.4380445</v>
      </c>
      <c r="AQ456" s="36">
        <f t="shared" si="1270"/>
        <v>7.872787305</v>
      </c>
      <c r="AR456" s="32">
        <f t="shared" si="1263"/>
        <v>189.8928571</v>
      </c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X457" s="31">
        <v>5.0</v>
      </c>
      <c r="Y457" s="31" t="s">
        <v>39</v>
      </c>
      <c r="Z457" s="31">
        <f t="shared" ref="Z457:AI457" si="1271">SUM(D448)</f>
        <v>28</v>
      </c>
      <c r="AA457" s="32">
        <f t="shared" si="1271"/>
        <v>27</v>
      </c>
      <c r="AB457" s="33">
        <f t="shared" si="1271"/>
        <v>5318.459</v>
      </c>
      <c r="AC457" s="32">
        <f t="shared" si="1271"/>
        <v>1229</v>
      </c>
      <c r="AD457" s="32">
        <f t="shared" si="1271"/>
        <v>0</v>
      </c>
      <c r="AE457" s="32">
        <f t="shared" si="1271"/>
        <v>1229</v>
      </c>
      <c r="AF457" s="32">
        <f t="shared" si="1271"/>
        <v>1740</v>
      </c>
      <c r="AG457" s="32">
        <f t="shared" si="1271"/>
        <v>0</v>
      </c>
      <c r="AH457" s="32">
        <f t="shared" si="1271"/>
        <v>1740</v>
      </c>
      <c r="AI457" s="32">
        <f t="shared" si="1271"/>
        <v>2969</v>
      </c>
      <c r="AJ457" s="34">
        <f t="shared" si="1258"/>
        <v>196.979963</v>
      </c>
      <c r="AK457" s="31">
        <f t="shared" si="1268"/>
        <v>3569</v>
      </c>
      <c r="AL457" s="35">
        <f t="shared" si="1259"/>
        <v>0.8318856823</v>
      </c>
      <c r="AM457" s="36">
        <f t="shared" si="1269"/>
        <v>1.5</v>
      </c>
      <c r="AN457" s="35">
        <f t="shared" si="1260"/>
        <v>0.3721629392</v>
      </c>
      <c r="AO457" s="37">
        <f t="shared" si="1261"/>
        <v>0.5582444088</v>
      </c>
      <c r="AP457" s="36">
        <f t="shared" ref="AP457:AQ457" si="1272">SUM(T448)</f>
        <v>247.7966268</v>
      </c>
      <c r="AQ457" s="36">
        <f t="shared" si="1272"/>
        <v>9.177652843</v>
      </c>
      <c r="AR457" s="32">
        <f t="shared" si="1263"/>
        <v>109.962963</v>
      </c>
    </row>
    <row r="458" ht="15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X458" s="31">
        <v>6.0</v>
      </c>
      <c r="Y458" s="31" t="s">
        <v>41</v>
      </c>
      <c r="Z458" s="31">
        <f t="shared" ref="Z458:AI458" si="1273">SUM(D449)</f>
        <v>24</v>
      </c>
      <c r="AA458" s="32">
        <f t="shared" si="1273"/>
        <v>24</v>
      </c>
      <c r="AB458" s="33">
        <f t="shared" si="1273"/>
        <v>4793.152</v>
      </c>
      <c r="AC458" s="32">
        <f t="shared" si="1273"/>
        <v>1363</v>
      </c>
      <c r="AD458" s="32">
        <f t="shared" si="1273"/>
        <v>0</v>
      </c>
      <c r="AE458" s="32">
        <f t="shared" si="1273"/>
        <v>1363</v>
      </c>
      <c r="AF458" s="32">
        <f t="shared" si="1273"/>
        <v>1818</v>
      </c>
      <c r="AG458" s="32">
        <f t="shared" si="1273"/>
        <v>0</v>
      </c>
      <c r="AH458" s="32">
        <f t="shared" si="1273"/>
        <v>1818</v>
      </c>
      <c r="AI458" s="32">
        <f t="shared" si="1273"/>
        <v>3181</v>
      </c>
      <c r="AJ458" s="34">
        <f t="shared" si="1258"/>
        <v>199.7146667</v>
      </c>
      <c r="AK458" s="31">
        <f t="shared" si="1268"/>
        <v>3801</v>
      </c>
      <c r="AL458" s="35">
        <f t="shared" si="1259"/>
        <v>0.8368850303</v>
      </c>
      <c r="AM458" s="36">
        <f t="shared" si="1269"/>
        <v>1.5</v>
      </c>
      <c r="AN458" s="35">
        <f t="shared" si="1260"/>
        <v>0.4424367653</v>
      </c>
      <c r="AO458" s="37">
        <f t="shared" si="1261"/>
        <v>0.663655148</v>
      </c>
      <c r="AP458" s="36">
        <f t="shared" ref="AP458:AQ458" si="1274">SUM(T449)</f>
        <v>161.7777778</v>
      </c>
      <c r="AQ458" s="36">
        <f t="shared" si="1274"/>
        <v>6.740740741</v>
      </c>
      <c r="AR458" s="32">
        <f t="shared" si="1263"/>
        <v>132.5416667</v>
      </c>
    </row>
    <row r="459" ht="15.75" customHeight="1">
      <c r="A459" s="1" t="s">
        <v>45</v>
      </c>
      <c r="D459" s="2"/>
      <c r="X459" s="46" t="s">
        <v>33</v>
      </c>
      <c r="Y459" s="46">
        <v>6.0</v>
      </c>
      <c r="Z459" s="46">
        <f t="shared" ref="Z459:AI459" si="1275">SUM(Z453:Z458)</f>
        <v>174</v>
      </c>
      <c r="AA459" s="47">
        <f t="shared" si="1275"/>
        <v>170</v>
      </c>
      <c r="AB459" s="49">
        <f t="shared" si="1275"/>
        <v>32628.013</v>
      </c>
      <c r="AC459" s="47">
        <f t="shared" si="1275"/>
        <v>13199</v>
      </c>
      <c r="AD459" s="47">
        <f t="shared" si="1275"/>
        <v>0</v>
      </c>
      <c r="AE459" s="47">
        <f t="shared" si="1275"/>
        <v>13199</v>
      </c>
      <c r="AF459" s="47">
        <f t="shared" si="1275"/>
        <v>17534</v>
      </c>
      <c r="AG459" s="47">
        <f t="shared" si="1275"/>
        <v>67</v>
      </c>
      <c r="AH459" s="47">
        <f t="shared" si="1275"/>
        <v>17601</v>
      </c>
      <c r="AI459" s="47">
        <f t="shared" si="1275"/>
        <v>30800</v>
      </c>
      <c r="AJ459" s="49">
        <f t="shared" si="1258"/>
        <v>191.9294882</v>
      </c>
      <c r="AK459" s="46">
        <f>SUM(AK453:AK458)</f>
        <v>37031</v>
      </c>
      <c r="AL459" s="50">
        <f t="shared" si="1259"/>
        <v>0.8317355729</v>
      </c>
      <c r="AM459" s="51">
        <v>1.5</v>
      </c>
      <c r="AN459" s="50">
        <f t="shared" si="1260"/>
        <v>0.6293160829</v>
      </c>
      <c r="AO459" s="52">
        <f t="shared" si="1261"/>
        <v>0.9439741243</v>
      </c>
      <c r="AP459" s="51">
        <f>SUM(AP453:AP458)</f>
        <v>1361.777661</v>
      </c>
      <c r="AQ459" s="51">
        <f>AP459/AA459</f>
        <v>8.010456831</v>
      </c>
      <c r="AR459" s="47">
        <f t="shared" si="1263"/>
        <v>181.1764706</v>
      </c>
    </row>
    <row r="460" ht="15.75" customHeight="1">
      <c r="A460" s="1" t="s">
        <v>45</v>
      </c>
      <c r="D460" s="2"/>
      <c r="X460" s="66" t="s">
        <v>1</v>
      </c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6"/>
    </row>
    <row r="461" ht="15.75" customHeight="1">
      <c r="A461" s="7">
        <v>46283.0</v>
      </c>
      <c r="B461" s="8" t="s">
        <v>2</v>
      </c>
      <c r="C461" s="8" t="s">
        <v>3</v>
      </c>
      <c r="D461" s="8" t="s">
        <v>4</v>
      </c>
      <c r="E461" s="8" t="s">
        <v>5</v>
      </c>
      <c r="F461" s="9" t="s">
        <v>6</v>
      </c>
      <c r="G461" s="8" t="s">
        <v>7</v>
      </c>
      <c r="H461" s="8" t="s">
        <v>8</v>
      </c>
      <c r="I461" s="8" t="s">
        <v>9</v>
      </c>
      <c r="J461" s="8" t="s">
        <v>10</v>
      </c>
      <c r="K461" s="8" t="s">
        <v>11</v>
      </c>
      <c r="L461" s="8" t="s">
        <v>12</v>
      </c>
      <c r="M461" s="8" t="s">
        <v>13</v>
      </c>
      <c r="N461" s="9" t="s">
        <v>14</v>
      </c>
      <c r="O461" s="8" t="s">
        <v>15</v>
      </c>
      <c r="P461" s="8" t="s">
        <v>16</v>
      </c>
      <c r="Q461" s="8" t="s">
        <v>17</v>
      </c>
      <c r="R461" s="8" t="s">
        <v>18</v>
      </c>
      <c r="S461" s="11" t="s">
        <v>19</v>
      </c>
      <c r="T461" s="12" t="s">
        <v>20</v>
      </c>
      <c r="U461" s="12" t="s">
        <v>21</v>
      </c>
      <c r="V461" s="13" t="s">
        <v>22</v>
      </c>
      <c r="X461" s="14" t="s">
        <v>2</v>
      </c>
      <c r="Y461" s="14" t="s">
        <v>3</v>
      </c>
      <c r="Z461" s="14" t="s">
        <v>4</v>
      </c>
      <c r="AA461" s="14" t="s">
        <v>5</v>
      </c>
      <c r="AB461" s="15" t="s">
        <v>6</v>
      </c>
      <c r="AC461" s="14" t="s">
        <v>7</v>
      </c>
      <c r="AD461" s="14" t="s">
        <v>8</v>
      </c>
      <c r="AE461" s="14" t="s">
        <v>9</v>
      </c>
      <c r="AF461" s="14" t="s">
        <v>10</v>
      </c>
      <c r="AG461" s="14" t="s">
        <v>11</v>
      </c>
      <c r="AH461" s="14" t="s">
        <v>12</v>
      </c>
      <c r="AI461" s="14" t="s">
        <v>13</v>
      </c>
      <c r="AJ461" s="15" t="s">
        <v>14</v>
      </c>
      <c r="AK461" s="14" t="s">
        <v>15</v>
      </c>
      <c r="AL461" s="14" t="s">
        <v>16</v>
      </c>
      <c r="AM461" s="16" t="s">
        <v>17</v>
      </c>
      <c r="AN461" s="17" t="s">
        <v>18</v>
      </c>
      <c r="AO461" s="18" t="s">
        <v>19</v>
      </c>
      <c r="AP461" s="19" t="s">
        <v>20</v>
      </c>
      <c r="AQ461" s="19" t="s">
        <v>21</v>
      </c>
      <c r="AR461" s="20" t="s">
        <v>22</v>
      </c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X462" s="22">
        <v>1.0</v>
      </c>
      <c r="Y462" s="22" t="s">
        <v>23</v>
      </c>
      <c r="Z462" s="22">
        <f t="shared" ref="Z462:AI462" si="1276">SUM(D470)</f>
        <v>35</v>
      </c>
      <c r="AA462" s="23">
        <f t="shared" si="1276"/>
        <v>34</v>
      </c>
      <c r="AB462" s="24">
        <f t="shared" si="1276"/>
        <v>6680.52</v>
      </c>
      <c r="AC462" s="23">
        <f t="shared" si="1276"/>
        <v>1627</v>
      </c>
      <c r="AD462" s="23">
        <f t="shared" si="1276"/>
        <v>0</v>
      </c>
      <c r="AE462" s="23">
        <f t="shared" si="1276"/>
        <v>1627</v>
      </c>
      <c r="AF462" s="23">
        <f t="shared" si="1276"/>
        <v>3262</v>
      </c>
      <c r="AG462" s="23">
        <f t="shared" si="1276"/>
        <v>0</v>
      </c>
      <c r="AH462" s="23">
        <f t="shared" si="1276"/>
        <v>3262</v>
      </c>
      <c r="AI462" s="23">
        <f t="shared" si="1276"/>
        <v>4889</v>
      </c>
      <c r="AJ462" s="25">
        <f t="shared" ref="AJ462:AJ464" si="1279">AB462/AA462</f>
        <v>196.4858824</v>
      </c>
      <c r="AK462" s="22">
        <f>SUM(O470)</f>
        <v>6853</v>
      </c>
      <c r="AL462" s="26">
        <f t="shared" ref="AL462:AL468" si="1280">AI462/AK462</f>
        <v>0.7134101853</v>
      </c>
      <c r="AM462" s="27">
        <f t="shared" ref="AM462:AM464" si="1281">SUM(Q470)</f>
        <v>1.5</v>
      </c>
      <c r="AN462" s="26">
        <f t="shared" ref="AN462:AN468" si="1282">AO462/AM462</f>
        <v>0.4878861725</v>
      </c>
      <c r="AO462" s="28">
        <f t="shared" ref="AO462:AO468" si="1283">AI462/AB462</f>
        <v>0.7318292588</v>
      </c>
      <c r="AP462" s="27">
        <f t="shared" ref="AP462:AQ462" si="1277">SUM(T470)</f>
        <v>198</v>
      </c>
      <c r="AQ462" s="27">
        <f t="shared" si="1277"/>
        <v>5.823529412</v>
      </c>
      <c r="AR462" s="23">
        <f t="shared" ref="AR462:AR468" si="1285">AI462/AA462</f>
        <v>143.7941176</v>
      </c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X463" s="22">
        <v>2.0</v>
      </c>
      <c r="Y463" s="22" t="s">
        <v>24</v>
      </c>
      <c r="Z463" s="22">
        <f t="shared" ref="Z463:AI463" si="1278">SUM(D471)</f>
        <v>44</v>
      </c>
      <c r="AA463" s="23">
        <f t="shared" si="1278"/>
        <v>44</v>
      </c>
      <c r="AB463" s="24">
        <f t="shared" si="1278"/>
        <v>8029.356</v>
      </c>
      <c r="AC463" s="23">
        <f t="shared" si="1278"/>
        <v>1194</v>
      </c>
      <c r="AD463" s="23">
        <f t="shared" si="1278"/>
        <v>0</v>
      </c>
      <c r="AE463" s="23">
        <f t="shared" si="1278"/>
        <v>1194</v>
      </c>
      <c r="AF463" s="23">
        <f t="shared" si="1278"/>
        <v>1455</v>
      </c>
      <c r="AG463" s="23">
        <f t="shared" si="1278"/>
        <v>0</v>
      </c>
      <c r="AH463" s="23">
        <f t="shared" si="1278"/>
        <v>1455</v>
      </c>
      <c r="AI463" s="23">
        <f t="shared" si="1278"/>
        <v>2649</v>
      </c>
      <c r="AJ463" s="25">
        <f t="shared" si="1279"/>
        <v>182.4853636</v>
      </c>
      <c r="AK463" s="22">
        <v>1580.0</v>
      </c>
      <c r="AL463" s="29">
        <f t="shared" si="1280"/>
        <v>1.676582278</v>
      </c>
      <c r="AM463" s="27">
        <f t="shared" si="1281"/>
        <v>1.5</v>
      </c>
      <c r="AN463" s="26">
        <f t="shared" si="1282"/>
        <v>0.2199429195</v>
      </c>
      <c r="AO463" s="28">
        <f t="shared" si="1283"/>
        <v>0.3299143792</v>
      </c>
      <c r="AP463" s="27">
        <f t="shared" ref="AP463:AQ463" si="1284">SUM(T471)</f>
        <v>299.5469502</v>
      </c>
      <c r="AQ463" s="27">
        <f t="shared" si="1284"/>
        <v>6.807885232</v>
      </c>
      <c r="AR463" s="23">
        <f t="shared" si="1285"/>
        <v>60.20454545</v>
      </c>
    </row>
    <row r="464" ht="15.75" customHeight="1">
      <c r="A464" s="21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X464" s="31">
        <v>3.0</v>
      </c>
      <c r="Y464" s="31" t="s">
        <v>25</v>
      </c>
      <c r="Z464" s="31">
        <f t="shared" ref="Z464:AI464" si="1286">SUM(D472)</f>
        <v>32</v>
      </c>
      <c r="AA464" s="32">
        <f t="shared" si="1286"/>
        <v>32</v>
      </c>
      <c r="AB464" s="33">
        <f t="shared" si="1286"/>
        <v>5963.536</v>
      </c>
      <c r="AC464" s="32">
        <f t="shared" si="1286"/>
        <v>2444</v>
      </c>
      <c r="AD464" s="32">
        <f t="shared" si="1286"/>
        <v>331</v>
      </c>
      <c r="AE464" s="32">
        <f t="shared" si="1286"/>
        <v>2775</v>
      </c>
      <c r="AF464" s="32">
        <f t="shared" si="1286"/>
        <v>3085</v>
      </c>
      <c r="AG464" s="32">
        <f t="shared" si="1286"/>
        <v>319</v>
      </c>
      <c r="AH464" s="32">
        <f t="shared" si="1286"/>
        <v>3404</v>
      </c>
      <c r="AI464" s="32">
        <f t="shared" si="1286"/>
        <v>6179</v>
      </c>
      <c r="AJ464" s="34">
        <f t="shared" si="1279"/>
        <v>186.3605</v>
      </c>
      <c r="AK464" s="31">
        <f>SUM(O472)</f>
        <v>6622</v>
      </c>
      <c r="AL464" s="35">
        <f t="shared" si="1280"/>
        <v>0.9331017819</v>
      </c>
      <c r="AM464" s="36">
        <f t="shared" si="1281"/>
        <v>1.5</v>
      </c>
      <c r="AN464" s="35">
        <f t="shared" si="1282"/>
        <v>0.6907534948</v>
      </c>
      <c r="AO464" s="37">
        <f t="shared" si="1283"/>
        <v>1.036130242</v>
      </c>
      <c r="AP464" s="36">
        <f t="shared" ref="AP464:AQ464" si="1287">SUM(T472)</f>
        <v>250.1483221</v>
      </c>
      <c r="AQ464" s="36">
        <f t="shared" si="1287"/>
        <v>7.817135067</v>
      </c>
      <c r="AR464" s="32">
        <f t="shared" si="1285"/>
        <v>193.09375</v>
      </c>
    </row>
    <row r="465" ht="15.75" customHeight="1">
      <c r="A465" s="21"/>
      <c r="B465" s="38">
        <v>1.0</v>
      </c>
      <c r="C465" s="38" t="s">
        <v>26</v>
      </c>
      <c r="D465" s="39">
        <v>20.0</v>
      </c>
      <c r="E465" s="40">
        <f>IFERROR(__xludf.DUMMYFUNCTION("COUNT(IMPORTRANGE(""https://docs.google.com/spreadsheets/d/1F0NpMx7WhcgPgxTWpryY3Z1CGg56FL6aiL4mHs43w4E/edit"",""1!d2:d21""))"),20.0)</f>
        <v>20</v>
      </c>
      <c r="F465" s="41">
        <f>IFERROR(__xludf.DUMMYFUNCTION("SUM(IMPORTRANGE(""https://docs.google.com/spreadsheets/d/1F0NpMx7WhcgPgxTWpryY3Z1CGg56FL6aiL4mHs43w4E/edit"",""1!Q2:Q21""))"),3935.2949999999996)</f>
        <v>3935.295</v>
      </c>
      <c r="G465" s="40">
        <f>IFERROR(__xludf.DUMMYFUNCTION("IMPORTRANGE(""https://docs.google.com/spreadsheets/d/1F0NpMx7WhcgPgxTWpryY3Z1CGg56FL6aiL4mHs43w4E/edit"",""1!e28"")"),2229.0)</f>
        <v>2229</v>
      </c>
      <c r="H465" s="40">
        <f>IFERROR(__xludf.DUMMYFUNCTION("IMPORTRANGE(""https://docs.google.com/spreadsheets/d/1F0NpMx7WhcgPgxTWpryY3Z1CGg56FL6aiL4mHs43w4E/edit"",""1!e29"")"),0.0)</f>
        <v>0</v>
      </c>
      <c r="I465" s="40">
        <f t="shared" ref="I465:I482" si="1290">SUM(G465:H465)</f>
        <v>2229</v>
      </c>
      <c r="J465" s="40">
        <f>IFERROR(__xludf.DUMMYFUNCTION("IMPORTRANGE(""https://docs.google.com/spreadsheets/d/1F0NpMx7WhcgPgxTWpryY3Z1CGg56FL6aiL4mHs43w4E/edit"",""1!e32"")"),2661.0)</f>
        <v>2661</v>
      </c>
      <c r="K465" s="40">
        <f>IFERROR(__xludf.DUMMYFUNCTION("IMPORTRANGE(""https://docs.google.com/spreadsheets/d/1F0NpMx7WhcgPgxTWpryY3Z1CGg56FL6aiL4mHs43w4E/edit"",""1!e33"")"),47.0)</f>
        <v>47</v>
      </c>
      <c r="L465" s="40">
        <f t="shared" ref="L465:L471" si="1291">SUM(J465:K465)</f>
        <v>2708</v>
      </c>
      <c r="M465" s="40">
        <f t="shared" ref="M465:M482" si="1292">SUM(I465+L465)</f>
        <v>4937</v>
      </c>
      <c r="N465" s="41">
        <f t="shared" ref="N465:N483" si="1293">F465/E465</f>
        <v>196.76475</v>
      </c>
      <c r="O465" s="38">
        <v>5161.0</v>
      </c>
      <c r="P465" s="42">
        <f t="shared" ref="P465:P483" si="1294">M465/O465</f>
        <v>0.9565975586</v>
      </c>
      <c r="Q465" s="43">
        <v>1.5</v>
      </c>
      <c r="R465" s="42">
        <f t="shared" ref="R465:R483" si="1295">S465/Q465</f>
        <v>0.8363625429</v>
      </c>
      <c r="S465" s="44">
        <f t="shared" ref="S465:S483" si="1296">M465/F465</f>
        <v>1.254543814</v>
      </c>
      <c r="T465" s="43">
        <f>F465/14.415</f>
        <v>273</v>
      </c>
      <c r="U465" s="43">
        <f t="shared" ref="U465:U483" si="1297">T465/E465</f>
        <v>13.65</v>
      </c>
      <c r="V465" s="40">
        <f t="shared" ref="V465:V483" si="1298">M465/E465</f>
        <v>246.85</v>
      </c>
      <c r="X465" s="22">
        <v>4.0</v>
      </c>
      <c r="Y465" s="22" t="s">
        <v>27</v>
      </c>
      <c r="Z465" s="22">
        <f t="shared" ref="Z465:AK465" si="1288">SUM(D478)</f>
        <v>30</v>
      </c>
      <c r="AA465" s="23">
        <f t="shared" si="1288"/>
        <v>29</v>
      </c>
      <c r="AB465" s="24">
        <f t="shared" si="1288"/>
        <v>5631.663</v>
      </c>
      <c r="AC465" s="23">
        <f t="shared" si="1288"/>
        <v>2486</v>
      </c>
      <c r="AD465" s="23">
        <f t="shared" si="1288"/>
        <v>80</v>
      </c>
      <c r="AE465" s="23">
        <f t="shared" si="1288"/>
        <v>2566</v>
      </c>
      <c r="AF465" s="23">
        <f t="shared" si="1288"/>
        <v>2945</v>
      </c>
      <c r="AG465" s="23">
        <f t="shared" si="1288"/>
        <v>88</v>
      </c>
      <c r="AH465" s="23">
        <f t="shared" si="1288"/>
        <v>3033</v>
      </c>
      <c r="AI465" s="23">
        <f t="shared" si="1288"/>
        <v>5599</v>
      </c>
      <c r="AJ465" s="25">
        <f t="shared" si="1288"/>
        <v>194.1952759</v>
      </c>
      <c r="AK465" s="22">
        <f t="shared" si="1288"/>
        <v>8101</v>
      </c>
      <c r="AL465" s="26">
        <f t="shared" si="1280"/>
        <v>0.6911492408</v>
      </c>
      <c r="AM465" s="27">
        <f>SUM(Q478)</f>
        <v>1.5</v>
      </c>
      <c r="AN465" s="26">
        <f t="shared" si="1282"/>
        <v>0.6628000764</v>
      </c>
      <c r="AO465" s="28">
        <f t="shared" si="1283"/>
        <v>0.9942001146</v>
      </c>
      <c r="AP465" s="27">
        <f t="shared" ref="AP465:AQ465" si="1289">SUM(T478)</f>
        <v>281.7944959</v>
      </c>
      <c r="AQ465" s="27">
        <f t="shared" si="1289"/>
        <v>9.717051582</v>
      </c>
      <c r="AR465" s="23">
        <f t="shared" si="1285"/>
        <v>193.0689655</v>
      </c>
    </row>
    <row r="466" ht="15.75" customHeight="1">
      <c r="A466" s="21"/>
      <c r="B466" s="38">
        <v>2.0</v>
      </c>
      <c r="C466" s="38" t="s">
        <v>28</v>
      </c>
      <c r="D466" s="39">
        <v>33.0</v>
      </c>
      <c r="E466" s="40">
        <f>IFERROR(__xludf.DUMMYFUNCTION("COUNT(IMPORTRANGE(""https://docs.google.com/spreadsheets/d/1H9vAqftAHb0OdeSGXHTnJFzoWUgpoH31sc0sHNN8y1o/edit"",""1!d2:d34""))"),32.0)</f>
        <v>32</v>
      </c>
      <c r="F466" s="41">
        <f>IFERROR(__xludf.DUMMYFUNCTION("SUM(IMPORTRANGE(""https://docs.google.com/spreadsheets/d/1H9vAqftAHb0OdeSGXHTnJFzoWUgpoH31sc0sHNN8y1o/edit"",""1!Q2:Q34""))"),6234.134999999998)</f>
        <v>6234.135</v>
      </c>
      <c r="G466" s="40">
        <f>IFERROR(__xludf.DUMMYFUNCTION("IMPORTRANGE(""https://docs.google.com/spreadsheets/d/1H9vAqftAHb0OdeSGXHTnJFzoWUgpoH31sc0sHNN8y1o/edit"",""1!e41"")"),2719.0)</f>
        <v>2719</v>
      </c>
      <c r="H466" s="40">
        <f>IFERROR(__xludf.DUMMYFUNCTION("IMPORTRANGE(""https://docs.google.com/spreadsheets/d/1H9vAqftAHb0OdeSGXHTnJFzoWUgpoH31sc0sHNN8y1o/edit"",""1!e42"")"),208.0)</f>
        <v>208</v>
      </c>
      <c r="I466" s="40">
        <f t="shared" si="1290"/>
        <v>2927</v>
      </c>
      <c r="J466" s="40">
        <f>IFERROR(__xludf.DUMMYFUNCTION("IMPORTRANGE(""https://docs.google.com/spreadsheets/d/1H9vAqftAHb0OdeSGXHTnJFzoWUgpoH31sc0sHNN8y1o/edit"",""1!e45"")"),3192.0)</f>
        <v>3192</v>
      </c>
      <c r="K466" s="40">
        <f>IFERROR(__xludf.DUMMYFUNCTION("IMPORTRANGE(""https://docs.google.com/spreadsheets/d/1H9vAqftAHb0OdeSGXHTnJFzoWUgpoH31sc0sHNN8y1o/edit"",""1!e46"")"),138.0)</f>
        <v>138</v>
      </c>
      <c r="L466" s="40">
        <f t="shared" si="1291"/>
        <v>3330</v>
      </c>
      <c r="M466" s="40">
        <f t="shared" si="1292"/>
        <v>6257</v>
      </c>
      <c r="N466" s="41">
        <f t="shared" si="1293"/>
        <v>194.8167188</v>
      </c>
      <c r="O466" s="38">
        <v>7315.0</v>
      </c>
      <c r="P466" s="42">
        <f t="shared" si="1294"/>
        <v>0.8553656869</v>
      </c>
      <c r="Q466" s="43">
        <v>1.5</v>
      </c>
      <c r="R466" s="42">
        <f t="shared" si="1295"/>
        <v>0.6691118067</v>
      </c>
      <c r="S466" s="44">
        <f t="shared" si="1296"/>
        <v>1.00366771</v>
      </c>
      <c r="T466" s="43">
        <f>F466/30.897</f>
        <v>201.7715312</v>
      </c>
      <c r="U466" s="43">
        <f t="shared" si="1297"/>
        <v>6.305360351</v>
      </c>
      <c r="V466" s="40">
        <f t="shared" si="1298"/>
        <v>195.53125</v>
      </c>
      <c r="X466" s="22">
        <v>5.0</v>
      </c>
      <c r="Y466" s="22" t="s">
        <v>29</v>
      </c>
      <c r="Z466" s="22">
        <f t="shared" ref="Z466:AI466" si="1299">SUM(D481)</f>
        <v>30</v>
      </c>
      <c r="AA466" s="23">
        <f t="shared" si="1299"/>
        <v>29</v>
      </c>
      <c r="AB466" s="24">
        <f t="shared" si="1299"/>
        <v>5722.056</v>
      </c>
      <c r="AC466" s="23">
        <f t="shared" si="1299"/>
        <v>2610</v>
      </c>
      <c r="AD466" s="23">
        <f t="shared" si="1299"/>
        <v>0</v>
      </c>
      <c r="AE466" s="23">
        <f t="shared" si="1299"/>
        <v>2610</v>
      </c>
      <c r="AF466" s="23">
        <f t="shared" si="1299"/>
        <v>4378</v>
      </c>
      <c r="AG466" s="23">
        <f t="shared" si="1299"/>
        <v>0</v>
      </c>
      <c r="AH466" s="23">
        <f t="shared" si="1299"/>
        <v>4378</v>
      </c>
      <c r="AI466" s="23">
        <f t="shared" si="1299"/>
        <v>6988</v>
      </c>
      <c r="AJ466" s="25">
        <f t="shared" ref="AJ466:AJ468" si="1302">AB466/AA466</f>
        <v>197.3122759</v>
      </c>
      <c r="AK466" s="22">
        <f t="shared" ref="AK466:AK467" si="1303">SUM(O481)</f>
        <v>9201</v>
      </c>
      <c r="AL466" s="26">
        <f t="shared" si="1280"/>
        <v>0.7594826649</v>
      </c>
      <c r="AM466" s="27">
        <f t="shared" ref="AM466:AM467" si="1304">SUM(Q481)</f>
        <v>1.5</v>
      </c>
      <c r="AN466" s="26">
        <f t="shared" si="1282"/>
        <v>0.8141595725</v>
      </c>
      <c r="AO466" s="28">
        <f t="shared" si="1283"/>
        <v>1.221239359</v>
      </c>
      <c r="AP466" s="27">
        <f t="shared" ref="AP466:AQ466" si="1300">SUM(T481)</f>
        <v>216</v>
      </c>
      <c r="AQ466" s="27">
        <f t="shared" si="1300"/>
        <v>7.448275862</v>
      </c>
      <c r="AR466" s="23">
        <f t="shared" si="1285"/>
        <v>240.9655172</v>
      </c>
    </row>
    <row r="467" ht="15.75" customHeight="1">
      <c r="A467" s="21"/>
      <c r="B467" s="38">
        <v>3.0</v>
      </c>
      <c r="C467" s="38" t="s">
        <v>30</v>
      </c>
      <c r="D467" s="39">
        <v>60.0</v>
      </c>
      <c r="E467" s="40">
        <f>IFERROR(__xludf.DUMMYFUNCTION("COUNT(IMPORTRANGE(""https://docs.google.com/spreadsheets/d/1EWN6nfpuVxbUE_9opjYCWaI7MTm5xsF6ssjklSbMZnA/edit"",""1!d2:d61""))"),59.0)</f>
        <v>59</v>
      </c>
      <c r="F467" s="45">
        <f>IFERROR(__xludf.DUMMYFUNCTION("SUM(IMPORTRANGE(""https://docs.google.com/spreadsheets/d/1EWN6nfpuVxbUE_9opjYCWaI7MTm5xsF6ssjklSbMZnA/edit"",""1!Q2:Q61""))"),11739.691999999988)</f>
        <v>11739.692</v>
      </c>
      <c r="G467" s="40">
        <f>IFERROR(__xludf.DUMMYFUNCTION("IMPORTRANGE(""https://docs.google.com/spreadsheets/d/1EWN6nfpuVxbUE_9opjYCWaI7MTm5xsF6ssjklSbMZnA/edit"",""1!e68"")"),3754.0)</f>
        <v>3754</v>
      </c>
      <c r="H467" s="40">
        <f>IFERROR(__xludf.DUMMYFUNCTION("IMPORTRANGE(""https://docs.google.com/spreadsheets/d/1EWN6nfpuVxbUE_9opjYCWaI7MTm5xsF6ssjklSbMZnA/edit"",""1!e69"")"),14.0)</f>
        <v>14</v>
      </c>
      <c r="I467" s="40">
        <f t="shared" si="1290"/>
        <v>3768</v>
      </c>
      <c r="J467" s="40">
        <f>IFERROR(__xludf.DUMMYFUNCTION("IMPORTRANGE(""https://docs.google.com/spreadsheets/d/1EWN6nfpuVxbUE_9opjYCWaI7MTm5xsF6ssjklSbMZnA/edit"",""1!e72"")"),5982.0)</f>
        <v>5982</v>
      </c>
      <c r="K467" s="40">
        <f>IFERROR(__xludf.DUMMYFUNCTION("IMPORTRANGE(""https://docs.google.com/spreadsheets/d/1EWN6nfpuVxbUE_9opjYCWaI7MTm5xsF6ssjklSbMZnA/edit"",""1!e73"")"),0.0)</f>
        <v>0</v>
      </c>
      <c r="L467" s="40">
        <f t="shared" si="1291"/>
        <v>5982</v>
      </c>
      <c r="M467" s="40">
        <f t="shared" si="1292"/>
        <v>9750</v>
      </c>
      <c r="N467" s="41">
        <f t="shared" si="1293"/>
        <v>198.9778305</v>
      </c>
      <c r="O467" s="38">
        <v>11164.0</v>
      </c>
      <c r="P467" s="42">
        <f t="shared" si="1294"/>
        <v>0.8733428879</v>
      </c>
      <c r="Q467" s="43">
        <v>1.5</v>
      </c>
      <c r="R467" s="42">
        <f t="shared" si="1295"/>
        <v>0.5536772174</v>
      </c>
      <c r="S467" s="44">
        <f t="shared" si="1296"/>
        <v>0.8305158261</v>
      </c>
      <c r="T467" s="43">
        <f>F467/29.603</f>
        <v>396.5710232</v>
      </c>
      <c r="U467" s="43">
        <f t="shared" si="1297"/>
        <v>6.721542766</v>
      </c>
      <c r="V467" s="40">
        <f t="shared" si="1298"/>
        <v>165.2542373</v>
      </c>
      <c r="X467" s="22">
        <v>6.0</v>
      </c>
      <c r="Y467" s="22" t="s">
        <v>31</v>
      </c>
      <c r="Z467" s="22">
        <f t="shared" ref="Z467:AI467" si="1301">SUM(D482)</f>
        <v>15</v>
      </c>
      <c r="AA467" s="23">
        <f t="shared" si="1301"/>
        <v>14</v>
      </c>
      <c r="AB467" s="25">
        <f t="shared" si="1301"/>
        <v>2520.97</v>
      </c>
      <c r="AC467" s="23">
        <f t="shared" si="1301"/>
        <v>633</v>
      </c>
      <c r="AD467" s="23">
        <f t="shared" si="1301"/>
        <v>0</v>
      </c>
      <c r="AE467" s="23">
        <f t="shared" si="1301"/>
        <v>633</v>
      </c>
      <c r="AF467" s="23">
        <f t="shared" si="1301"/>
        <v>1148</v>
      </c>
      <c r="AG467" s="23">
        <f t="shared" si="1301"/>
        <v>15</v>
      </c>
      <c r="AH467" s="23">
        <f t="shared" si="1301"/>
        <v>1163</v>
      </c>
      <c r="AI467" s="23">
        <f t="shared" si="1301"/>
        <v>1796</v>
      </c>
      <c r="AJ467" s="25">
        <f t="shared" si="1302"/>
        <v>180.0692857</v>
      </c>
      <c r="AK467" s="22">
        <f t="shared" si="1303"/>
        <v>2717</v>
      </c>
      <c r="AL467" s="26">
        <f t="shared" si="1280"/>
        <v>0.6610231873</v>
      </c>
      <c r="AM467" s="27">
        <f t="shared" si="1304"/>
        <v>1.5</v>
      </c>
      <c r="AN467" s="26">
        <f t="shared" si="1282"/>
        <v>0.4749494573</v>
      </c>
      <c r="AO467" s="28">
        <f t="shared" si="1283"/>
        <v>0.7124241859</v>
      </c>
      <c r="AP467" s="27">
        <f t="shared" ref="AP467:AQ467" si="1305">SUM(T482)</f>
        <v>58</v>
      </c>
      <c r="AQ467" s="27">
        <f t="shared" si="1305"/>
        <v>4.142857143</v>
      </c>
      <c r="AR467" s="23">
        <f t="shared" si="1285"/>
        <v>128.2857143</v>
      </c>
    </row>
    <row r="468" ht="15.75" customHeight="1">
      <c r="A468" s="21"/>
      <c r="B468" s="38">
        <v>4.0</v>
      </c>
      <c r="C468" s="38" t="s">
        <v>32</v>
      </c>
      <c r="D468" s="39">
        <v>42.0</v>
      </c>
      <c r="E468" s="40">
        <f>IFERROR(__xludf.DUMMYFUNCTION("COUNT(IMPORTRANGE(""https://docs.google.com/spreadsheets/d/1Rmar8QqWK4XOJ-eY6xMzkAfDSw0srEXcAw89ilArun8/edit"",""1!d2:d43""))"),42.0)</f>
        <v>42</v>
      </c>
      <c r="F468" s="45">
        <f>IFERROR(__xludf.DUMMYFUNCTION("SUM(IMPORTRANGE(""https://docs.google.com/spreadsheets/d/1Rmar8QqWK4XOJ-eY6xMzkAfDSw0srEXcAw89ilArun8/edit"",""1!Q2:Q43""))"),8240.661999999991)</f>
        <v>8240.662</v>
      </c>
      <c r="G468" s="38">
        <f>IFERROR(__xludf.DUMMYFUNCTION("IMPORTRANGE(""https://docs.google.com/spreadsheets/d/1Rmar8QqWK4XOJ-eY6xMzkAfDSw0srEXcAw89ilArun8/edit"",""1!e50"")"),4515.0)</f>
        <v>4515</v>
      </c>
      <c r="H468" s="38">
        <f>IFERROR(__xludf.DUMMYFUNCTION("IMPORTRANGE(""https://docs.google.com/spreadsheets/d/1Rmar8QqWK4XOJ-eY6xMzkAfDSw0srEXcAw89ilArun8/edit"",""1!e51"")"),0.0)</f>
        <v>0</v>
      </c>
      <c r="I468" s="40">
        <f t="shared" si="1290"/>
        <v>4515</v>
      </c>
      <c r="J468" s="38">
        <f>IFERROR(__xludf.DUMMYFUNCTION("IMPORTRANGE(""https://docs.google.com/spreadsheets/d/1Rmar8QqWK4XOJ-eY6xMzkAfDSw0srEXcAw89ilArun8/edit"",""1!e54"")"),5726.0)</f>
        <v>5726</v>
      </c>
      <c r="K468" s="38">
        <f>IFERROR(__xludf.DUMMYFUNCTION("IMPORTRANGE(""https://docs.google.com/spreadsheets/d/1Rmar8QqWK4XOJ-eY6xMzkAfDSw0srEXcAw89ilArun8/edit"",""1!e55"")"),0.0)</f>
        <v>0</v>
      </c>
      <c r="L468" s="40">
        <f t="shared" si="1291"/>
        <v>5726</v>
      </c>
      <c r="M468" s="40">
        <f t="shared" si="1292"/>
        <v>10241</v>
      </c>
      <c r="N468" s="41">
        <f t="shared" si="1293"/>
        <v>196.2062381</v>
      </c>
      <c r="O468" s="38">
        <v>13817.0</v>
      </c>
      <c r="P468" s="42">
        <f t="shared" si="1294"/>
        <v>0.7411883911</v>
      </c>
      <c r="Q468" s="43">
        <v>1.5</v>
      </c>
      <c r="R468" s="42">
        <f t="shared" si="1295"/>
        <v>0.8284933096</v>
      </c>
      <c r="S468" s="44">
        <f t="shared" si="1296"/>
        <v>1.242739964</v>
      </c>
      <c r="T468" s="43">
        <f>F468/25.089</f>
        <v>328.4571725</v>
      </c>
      <c r="U468" s="43">
        <f t="shared" si="1297"/>
        <v>7.820408868</v>
      </c>
      <c r="V468" s="40">
        <f t="shared" si="1298"/>
        <v>243.8333333</v>
      </c>
      <c r="X468" s="46" t="s">
        <v>33</v>
      </c>
      <c r="Y468" s="46">
        <v>6.0</v>
      </c>
      <c r="Z468" s="46">
        <f t="shared" ref="Z468:AI468" si="1306">SUM(Z462:Z467)</f>
        <v>186</v>
      </c>
      <c r="AA468" s="47">
        <f t="shared" si="1306"/>
        <v>182</v>
      </c>
      <c r="AB468" s="48">
        <f t="shared" si="1306"/>
        <v>34548.101</v>
      </c>
      <c r="AC468" s="47">
        <f t="shared" si="1306"/>
        <v>10994</v>
      </c>
      <c r="AD468" s="47">
        <f t="shared" si="1306"/>
        <v>411</v>
      </c>
      <c r="AE468" s="47">
        <f t="shared" si="1306"/>
        <v>11405</v>
      </c>
      <c r="AF468" s="47">
        <f t="shared" si="1306"/>
        <v>16273</v>
      </c>
      <c r="AG468" s="47">
        <f t="shared" si="1306"/>
        <v>422</v>
      </c>
      <c r="AH468" s="47">
        <f t="shared" si="1306"/>
        <v>16695</v>
      </c>
      <c r="AI468" s="47">
        <f t="shared" si="1306"/>
        <v>28100</v>
      </c>
      <c r="AJ468" s="49">
        <f t="shared" si="1302"/>
        <v>189.8247308</v>
      </c>
      <c r="AK468" s="46">
        <f>SUM(AK462:AK467)</f>
        <v>35074</v>
      </c>
      <c r="AL468" s="50">
        <f t="shared" si="1280"/>
        <v>0.8011632548</v>
      </c>
      <c r="AM468" s="51">
        <v>1.5</v>
      </c>
      <c r="AN468" s="50">
        <f t="shared" si="1282"/>
        <v>0.542239162</v>
      </c>
      <c r="AO468" s="52">
        <f t="shared" si="1283"/>
        <v>0.8133587429</v>
      </c>
      <c r="AP468" s="51">
        <f>SUM(AP462:AP467)</f>
        <v>1303.489768</v>
      </c>
      <c r="AQ468" s="51">
        <f>AP468/AA468</f>
        <v>7.162031693</v>
      </c>
      <c r="AR468" s="47">
        <f t="shared" si="1285"/>
        <v>154.3956044</v>
      </c>
    </row>
    <row r="469" ht="15.75" customHeight="1">
      <c r="A469" s="21"/>
      <c r="B469" s="38">
        <v>5.0</v>
      </c>
      <c r="C469" s="38" t="s">
        <v>34</v>
      </c>
      <c r="D469" s="39">
        <v>40.0</v>
      </c>
      <c r="E469" s="40">
        <f>IFERROR(__xludf.DUMMYFUNCTION("COUNT(IMPORTRANGE(""https://docs.google.com/spreadsheets/d/1u99JxAoytGQQ8GcjxXl38CGdyEWy5uIbuJJHnsotyvk/edit"",""1!d2:d41""))"),40.0)</f>
        <v>40</v>
      </c>
      <c r="F469" s="45">
        <f>IFERROR(__xludf.DUMMYFUNCTION("SUM(IMPORTRANGE(""https://docs.google.com/spreadsheets/d/1u99JxAoytGQQ8GcjxXl38CGdyEWy5uIbuJJHnsotyvk/edit"",""1!Q2:Q41""))"),8007.324000000002)</f>
        <v>8007.324</v>
      </c>
      <c r="G469" s="40">
        <f>IFERROR(__xludf.DUMMYFUNCTION("IMPORTRANGE(""https://docs.google.com/spreadsheets/d/1u99JxAoytGQQ8GcjxXl38CGdyEWy5uIbuJJHnsotyvk/edit"",""1!e48"")"),2819.0)</f>
        <v>2819</v>
      </c>
      <c r="H469" s="40">
        <f>IFERROR(__xludf.DUMMYFUNCTION("IMPORTRANGE(""https://docs.google.com/spreadsheets/d/1u99JxAoytGQQ8GcjxXl38CGdyEWy5uIbuJJHnsotyvk/edit"",""1!e49"")"),0.0)</f>
        <v>0</v>
      </c>
      <c r="I469" s="40">
        <f t="shared" si="1290"/>
        <v>2819</v>
      </c>
      <c r="J469" s="40">
        <f>IFERROR(__xludf.DUMMYFUNCTION("IMPORTRANGE(""https://docs.google.com/spreadsheets/d/1u99JxAoytGQQ8GcjxXl38CGdyEWy5uIbuJJHnsotyvk/edit"",""1!e52"")"),3504.0)</f>
        <v>3504</v>
      </c>
      <c r="K469" s="40">
        <f>IFERROR(__xludf.DUMMYFUNCTION("IMPORTRANGE(""https://docs.google.com/spreadsheets/d/1u99JxAoytGQQ8GcjxXl38CGdyEWy5uIbuJJHnsotyvk/edit"",""1!e53"")"),0.0)</f>
        <v>0</v>
      </c>
      <c r="L469" s="40">
        <f t="shared" si="1291"/>
        <v>3504</v>
      </c>
      <c r="M469" s="40">
        <f t="shared" si="1292"/>
        <v>6323</v>
      </c>
      <c r="N469" s="41">
        <f t="shared" si="1293"/>
        <v>200.1831</v>
      </c>
      <c r="O469" s="38">
        <v>9354.0</v>
      </c>
      <c r="P469" s="42">
        <f t="shared" si="1294"/>
        <v>0.6759675005</v>
      </c>
      <c r="Q469" s="43">
        <v>1.5</v>
      </c>
      <c r="R469" s="42">
        <f t="shared" si="1295"/>
        <v>0.5264347157</v>
      </c>
      <c r="S469" s="44">
        <f t="shared" si="1296"/>
        <v>0.7896520735</v>
      </c>
      <c r="T469" s="43">
        <f>F469/30.713</f>
        <v>260.7144857</v>
      </c>
      <c r="U469" s="43">
        <f t="shared" si="1297"/>
        <v>6.517862143</v>
      </c>
      <c r="V469" s="40">
        <f t="shared" si="1298"/>
        <v>158.075</v>
      </c>
      <c r="X469" s="53" t="s">
        <v>35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6"/>
    </row>
    <row r="470" ht="15.75" customHeight="1">
      <c r="A470" s="21"/>
      <c r="B470" s="38">
        <v>6.0</v>
      </c>
      <c r="C470" s="38" t="s">
        <v>23</v>
      </c>
      <c r="D470" s="39">
        <v>35.0</v>
      </c>
      <c r="E470" s="40">
        <f>IFERROR(__xludf.DUMMYFUNCTION("COUNT(IMPORTRANGE(""https://docs.google.com/spreadsheets/d/1uVc-vnTn57HE53lwrUYNZP4sGKTXisrqOoZ-6EyvLzY/edit"",""1!d2:d36""))"),34.0)</f>
        <v>34</v>
      </c>
      <c r="F470" s="45">
        <f>IFERROR(__xludf.DUMMYFUNCTION("SUM(IMPORTRANGE(""https://docs.google.com/spreadsheets/d/1uVc-vnTn57HE53lwrUYNZP4sGKTXisrqOoZ-6EyvLzY/edit"",""1!Q2:Q36""))"),6680.519999999995)</f>
        <v>6680.52</v>
      </c>
      <c r="G470" s="40">
        <f>IFERROR(__xludf.DUMMYFUNCTION("IMPORTRANGE(""https://docs.google.com/spreadsheets/d/1uVc-vnTn57HE53lwrUYNZP4sGKTXisrqOoZ-6EyvLzY/edit"",""1!e43"")"),1627.0)</f>
        <v>1627</v>
      </c>
      <c r="H470" s="40">
        <f>IFERROR(__xludf.DUMMYFUNCTION("IMPORTRANGE(""https://docs.google.com/spreadsheets/d/1uVc-vnTn57HE53lwrUYNZP4sGKTXisrqOoZ-6EyvLzY/edit"",""1!e44"")"),0.0)</f>
        <v>0</v>
      </c>
      <c r="I470" s="40">
        <f t="shared" si="1290"/>
        <v>1627</v>
      </c>
      <c r="J470" s="40">
        <f>IFERROR(__xludf.DUMMYFUNCTION("IMPORTRANGE(""https://docs.google.com/spreadsheets/d/1uVc-vnTn57HE53lwrUYNZP4sGKTXisrqOoZ-6EyvLzY/edit"",""1!e47"")"),3262.0)</f>
        <v>3262</v>
      </c>
      <c r="K470" s="40">
        <f>IFERROR(__xludf.DUMMYFUNCTION("IMPORTRANGE(""https://docs.google.com/spreadsheets/d/1uVc-vnTn57HE53lwrUYNZP4sGKTXisrqOoZ-6EyvLzY/edit"",""1!e48"")"),0.0)</f>
        <v>0</v>
      </c>
      <c r="L470" s="40">
        <f t="shared" si="1291"/>
        <v>3262</v>
      </c>
      <c r="M470" s="40">
        <f t="shared" si="1292"/>
        <v>4889</v>
      </c>
      <c r="N470" s="41">
        <f t="shared" si="1293"/>
        <v>196.4858824</v>
      </c>
      <c r="O470" s="38">
        <v>6853.0</v>
      </c>
      <c r="P470" s="42">
        <f t="shared" si="1294"/>
        <v>0.7134101853</v>
      </c>
      <c r="Q470" s="43">
        <v>1.5</v>
      </c>
      <c r="R470" s="42">
        <f t="shared" si="1295"/>
        <v>0.4878861725</v>
      </c>
      <c r="S470" s="44">
        <f t="shared" si="1296"/>
        <v>0.7318292588</v>
      </c>
      <c r="T470" s="43">
        <f>F470/33.74</f>
        <v>198</v>
      </c>
      <c r="U470" s="43">
        <f t="shared" si="1297"/>
        <v>5.823529412</v>
      </c>
      <c r="V470" s="40">
        <f t="shared" si="1298"/>
        <v>143.7941176</v>
      </c>
      <c r="X470" s="14" t="s">
        <v>2</v>
      </c>
      <c r="Y470" s="14" t="s">
        <v>3</v>
      </c>
      <c r="Z470" s="14" t="s">
        <v>4</v>
      </c>
      <c r="AA470" s="14" t="s">
        <v>5</v>
      </c>
      <c r="AB470" s="15" t="s">
        <v>6</v>
      </c>
      <c r="AC470" s="14" t="s">
        <v>7</v>
      </c>
      <c r="AD470" s="14" t="s">
        <v>8</v>
      </c>
      <c r="AE470" s="14" t="s">
        <v>9</v>
      </c>
      <c r="AF470" s="14" t="s">
        <v>10</v>
      </c>
      <c r="AG470" s="14" t="s">
        <v>11</v>
      </c>
      <c r="AH470" s="14" t="s">
        <v>12</v>
      </c>
      <c r="AI470" s="14" t="s">
        <v>13</v>
      </c>
      <c r="AJ470" s="15" t="s">
        <v>14</v>
      </c>
      <c r="AK470" s="14" t="s">
        <v>15</v>
      </c>
      <c r="AL470" s="14" t="s">
        <v>16</v>
      </c>
      <c r="AM470" s="16" t="s">
        <v>17</v>
      </c>
      <c r="AN470" s="17" t="s">
        <v>18</v>
      </c>
      <c r="AO470" s="18" t="s">
        <v>19</v>
      </c>
      <c r="AP470" s="19" t="s">
        <v>20</v>
      </c>
      <c r="AQ470" s="19" t="s">
        <v>21</v>
      </c>
      <c r="AR470" s="20" t="s">
        <v>22</v>
      </c>
    </row>
    <row r="471" ht="15.75" customHeight="1">
      <c r="A471" s="21"/>
      <c r="B471" s="38">
        <v>7.0</v>
      </c>
      <c r="C471" s="38" t="s">
        <v>24</v>
      </c>
      <c r="D471" s="39">
        <v>44.0</v>
      </c>
      <c r="E471" s="54">
        <f>IFERROR(__xludf.DUMMYFUNCTION("COUNT(IMPORTRANGE(""https://docs.google.com/spreadsheets/d/1iuPvivSypupo44l6GtmR-2qZ3za7cTk7KzsOVp_kv2c/edit"",""1!d2:d45""))"),44.0)</f>
        <v>44</v>
      </c>
      <c r="F471" s="55">
        <f>IFERROR(__xludf.DUMMYFUNCTION("SUM(IMPORTRANGE(""https://docs.google.com/spreadsheets/d/1iuPvivSypupo44l6GtmR-2qZ3za7cTk7KzsOVp_kv2c/edit"",""1!Q2:Q45""))"),8029.355999999994)</f>
        <v>8029.356</v>
      </c>
      <c r="G471" s="54">
        <f>IFERROR(__xludf.DUMMYFUNCTION("IMPORTRANGE(""https://docs.google.com/spreadsheets/d/1iuPvivSypupo44l6GtmR-2qZ3za7cTk7KzsOVp_kv2c/edit"",""1!e53"")"),1194.0)</f>
        <v>1194</v>
      </c>
      <c r="H471" s="54">
        <f>IFERROR(__xludf.DUMMYFUNCTION("IMPORTRANGE(""https://docs.google.com/spreadsheets/d/1iuPvivSypupo44l6GtmR-2qZ3za7cTk7KzsOVp_kv2c/edit"",""1!e54"")"),0.0)</f>
        <v>0</v>
      </c>
      <c r="I471" s="54">
        <f t="shared" si="1290"/>
        <v>1194</v>
      </c>
      <c r="J471" s="54">
        <f>IFERROR(__xludf.DUMMYFUNCTION("IMPORTRANGE(""https://docs.google.com/spreadsheets/d/1iuPvivSypupo44l6GtmR-2qZ3za7cTk7KzsOVp_kv2c/edit"",""1!e57"")"),1455.0)</f>
        <v>1455</v>
      </c>
      <c r="K471" s="54">
        <f>IFERROR(__xludf.DUMMYFUNCTION("IMPORTRANGE(""https://docs.google.com/spreadsheets/d/1iuPvivSypupo44l6GtmR-2qZ3za7cTk7KzsOVp_kv2c/edit"",""1!e58"")"),0.0)</f>
        <v>0</v>
      </c>
      <c r="L471" s="40">
        <f t="shared" si="1291"/>
        <v>1455</v>
      </c>
      <c r="M471" s="40">
        <f t="shared" si="1292"/>
        <v>2649</v>
      </c>
      <c r="N471" s="41">
        <f t="shared" si="1293"/>
        <v>182.4853636</v>
      </c>
      <c r="O471" s="38">
        <v>1580.0</v>
      </c>
      <c r="P471" s="56">
        <f t="shared" si="1294"/>
        <v>1.676582278</v>
      </c>
      <c r="Q471" s="43">
        <v>1.5</v>
      </c>
      <c r="R471" s="42">
        <f t="shared" si="1295"/>
        <v>0.2199429195</v>
      </c>
      <c r="S471" s="44">
        <f t="shared" si="1296"/>
        <v>0.3299143792</v>
      </c>
      <c r="T471" s="43">
        <f>F471/26.805</f>
        <v>299.5469502</v>
      </c>
      <c r="U471" s="43">
        <f t="shared" si="1297"/>
        <v>6.807885232</v>
      </c>
      <c r="V471" s="40">
        <f t="shared" si="1298"/>
        <v>60.20454545</v>
      </c>
      <c r="X471" s="22">
        <v>1.0</v>
      </c>
      <c r="Y471" s="22" t="s">
        <v>28</v>
      </c>
      <c r="Z471" s="22">
        <f t="shared" ref="Z471:AI471" si="1307">SUM(D466)</f>
        <v>33</v>
      </c>
      <c r="AA471" s="23">
        <f t="shared" si="1307"/>
        <v>32</v>
      </c>
      <c r="AB471" s="25">
        <f t="shared" si="1307"/>
        <v>6234.135</v>
      </c>
      <c r="AC471" s="23">
        <f t="shared" si="1307"/>
        <v>2719</v>
      </c>
      <c r="AD471" s="23">
        <f t="shared" si="1307"/>
        <v>208</v>
      </c>
      <c r="AE471" s="23">
        <f t="shared" si="1307"/>
        <v>2927</v>
      </c>
      <c r="AF471" s="23">
        <f t="shared" si="1307"/>
        <v>3192</v>
      </c>
      <c r="AG471" s="23">
        <f t="shared" si="1307"/>
        <v>138</v>
      </c>
      <c r="AH471" s="23">
        <f t="shared" si="1307"/>
        <v>3330</v>
      </c>
      <c r="AI471" s="23">
        <f t="shared" si="1307"/>
        <v>6257</v>
      </c>
      <c r="AJ471" s="25">
        <f t="shared" ref="AJ471:AJ477" si="1310">AB471/AA471</f>
        <v>194.8167188</v>
      </c>
      <c r="AK471" s="22">
        <f t="shared" ref="AK471:AK472" si="1311">SUM(O466)</f>
        <v>7315</v>
      </c>
      <c r="AL471" s="26">
        <f t="shared" ref="AL471:AL477" si="1312">AI471/AK471</f>
        <v>0.8553656869</v>
      </c>
      <c r="AM471" s="27">
        <f t="shared" ref="AM471:AM472" si="1313">SUM(Q466)</f>
        <v>1.5</v>
      </c>
      <c r="AN471" s="26">
        <f t="shared" ref="AN471:AN477" si="1314">AO471/AM471</f>
        <v>0.6691118067</v>
      </c>
      <c r="AO471" s="28">
        <f t="shared" ref="AO471:AO477" si="1315">AI471/AB471</f>
        <v>1.00366771</v>
      </c>
      <c r="AP471" s="27">
        <f t="shared" ref="AP471:AQ471" si="1308">SUM(T466)</f>
        <v>201.7715312</v>
      </c>
      <c r="AQ471" s="27">
        <f t="shared" si="1308"/>
        <v>6.305360351</v>
      </c>
      <c r="AR471" s="23">
        <f t="shared" ref="AR471:AR477" si="1317">AI471/AA471</f>
        <v>195.53125</v>
      </c>
    </row>
    <row r="472" ht="15.75" customHeight="1">
      <c r="A472" s="21"/>
      <c r="B472" s="38">
        <v>8.0</v>
      </c>
      <c r="C472" s="38" t="s">
        <v>25</v>
      </c>
      <c r="D472" s="57">
        <v>32.0</v>
      </c>
      <c r="E472" s="40">
        <f>IFERROR(__xludf.DUMMYFUNCTION("COUNT(IMPORTRANGE(""https://docs.google.com/spreadsheets/d/1sqWX7UerdR9KR_duBzDNfjwbPG-3hLgV1LiN2ZVZ6Js/edit"",""1!d2:D33""))"),32.0)</f>
        <v>32</v>
      </c>
      <c r="F472" s="45">
        <f>IFERROR(__xludf.DUMMYFUNCTION("SUM(IMPORTRANGE(""https://docs.google.com/spreadsheets/d/1sqWX7UerdR9KR_duBzDNfjwbPG-3hLgV1LiN2ZVZ6Js/edit"",""1!Q2:Q33""))"),5963.536000000002)</f>
        <v>5963.536</v>
      </c>
      <c r="G472" s="40">
        <f>IFERROR(__xludf.DUMMYFUNCTION("IMPORTRANGE(""https://docs.google.com/spreadsheets/d/1sqWX7UerdR9KR_duBzDNfjwbPG-3hLgV1LiN2ZVZ6Js/edit"",""1!e40"")"),2444.0)</f>
        <v>2444</v>
      </c>
      <c r="H472" s="40">
        <f>IFERROR(__xludf.DUMMYFUNCTION("IMPORTRANGE(""https://docs.google.com/spreadsheets/d/1sqWX7UerdR9KR_duBzDNfjwbPG-3hLgV1LiN2ZVZ6Js/edit"",""1!e41"")"),331.0)</f>
        <v>331</v>
      </c>
      <c r="I472" s="40">
        <f t="shared" si="1290"/>
        <v>2775</v>
      </c>
      <c r="J472" s="40">
        <f>IFERROR(__xludf.DUMMYFUNCTION("IMPORTRANGE(""https://docs.google.com/spreadsheets/d/1sqWX7UerdR9KR_duBzDNfjwbPG-3hLgV1LiN2ZVZ6Js/edit"",""1!e44"")"),3085.0)</f>
        <v>3085</v>
      </c>
      <c r="K472" s="40">
        <f>IFERROR(__xludf.DUMMYFUNCTION("IMPORTRANGE(""https://docs.google.com/spreadsheets/d/1sqWX7UerdR9KR_duBzDNfjwbPG-3hLgV1LiN2ZVZ6Js/edit"",""1!e45"")"),319.0)</f>
        <v>319</v>
      </c>
      <c r="L472" s="40">
        <f>J472+K472</f>
        <v>3404</v>
      </c>
      <c r="M472" s="40">
        <f t="shared" si="1292"/>
        <v>6179</v>
      </c>
      <c r="N472" s="41">
        <f t="shared" si="1293"/>
        <v>186.3605</v>
      </c>
      <c r="O472" s="38">
        <v>6622.0</v>
      </c>
      <c r="P472" s="42">
        <f t="shared" si="1294"/>
        <v>0.9331017819</v>
      </c>
      <c r="Q472" s="43">
        <v>1.5</v>
      </c>
      <c r="R472" s="42">
        <f t="shared" si="1295"/>
        <v>0.6907534948</v>
      </c>
      <c r="S472" s="44">
        <f t="shared" si="1296"/>
        <v>1.036130242</v>
      </c>
      <c r="T472" s="43">
        <f>F472/23.84</f>
        <v>250.1483221</v>
      </c>
      <c r="U472" s="43">
        <f t="shared" si="1297"/>
        <v>7.817135067</v>
      </c>
      <c r="V472" s="40">
        <f t="shared" si="1298"/>
        <v>193.09375</v>
      </c>
      <c r="X472" s="31">
        <v>2.0</v>
      </c>
      <c r="Y472" s="31" t="s">
        <v>30</v>
      </c>
      <c r="Z472" s="31">
        <f t="shared" ref="Z472:AI472" si="1309">SUM(D467)</f>
        <v>60</v>
      </c>
      <c r="AA472" s="32">
        <f t="shared" si="1309"/>
        <v>59</v>
      </c>
      <c r="AB472" s="33">
        <f t="shared" si="1309"/>
        <v>11739.692</v>
      </c>
      <c r="AC472" s="32">
        <f t="shared" si="1309"/>
        <v>3754</v>
      </c>
      <c r="AD472" s="32">
        <f t="shared" si="1309"/>
        <v>14</v>
      </c>
      <c r="AE472" s="32">
        <f t="shared" si="1309"/>
        <v>3768</v>
      </c>
      <c r="AF472" s="32">
        <f t="shared" si="1309"/>
        <v>5982</v>
      </c>
      <c r="AG472" s="32">
        <f t="shared" si="1309"/>
        <v>0</v>
      </c>
      <c r="AH472" s="32">
        <f t="shared" si="1309"/>
        <v>5982</v>
      </c>
      <c r="AI472" s="32">
        <f t="shared" si="1309"/>
        <v>9750</v>
      </c>
      <c r="AJ472" s="34">
        <f t="shared" si="1310"/>
        <v>198.9778305</v>
      </c>
      <c r="AK472" s="31">
        <f t="shared" si="1311"/>
        <v>11164</v>
      </c>
      <c r="AL472" s="35">
        <f t="shared" si="1312"/>
        <v>0.8733428879</v>
      </c>
      <c r="AM472" s="36">
        <f t="shared" si="1313"/>
        <v>1.5</v>
      </c>
      <c r="AN472" s="35">
        <f t="shared" si="1314"/>
        <v>0.5536772174</v>
      </c>
      <c r="AO472" s="37">
        <f t="shared" si="1315"/>
        <v>0.8305158261</v>
      </c>
      <c r="AP472" s="36">
        <f t="shared" ref="AP472:AQ472" si="1316">SUM(T467)</f>
        <v>396.5710232</v>
      </c>
      <c r="AQ472" s="36">
        <f t="shared" si="1316"/>
        <v>6.721542766</v>
      </c>
      <c r="AR472" s="32">
        <f t="shared" si="1317"/>
        <v>165.2542373</v>
      </c>
    </row>
    <row r="473" ht="15.75" customHeight="1">
      <c r="A473" s="21"/>
      <c r="B473" s="38">
        <v>9.0</v>
      </c>
      <c r="C473" s="38" t="s">
        <v>36</v>
      </c>
      <c r="D473" s="58">
        <v>30.0</v>
      </c>
      <c r="E473" s="40">
        <f>IFERROR(__xludf.DUMMYFUNCTION("COUNT(IMPORTRANGE(""https://docs.google.com/spreadsheets/d/1YNna43iTSqnwwbMJgTIPHSJEoDO8RGPRFg5pJCoQR_Y/edit"",""1!d2:d31""))"),29.0)</f>
        <v>29</v>
      </c>
      <c r="F473" s="45">
        <f>IFERROR(__xludf.DUMMYFUNCTION("SUM(IMPORTRANGE(""https://docs.google.com/spreadsheets/d/1YNna43iTSqnwwbMJgTIPHSJEoDO8RGPRFg5pJCoQR_Y/edit"",""1!Q2:Q31""))"),4875.344999999998)</f>
        <v>4875.345</v>
      </c>
      <c r="G473" s="40">
        <f>IFERROR(__xludf.DUMMYFUNCTION("IMPORTRANGE(""https://docs.google.com/spreadsheets/d/1YNna43iTSqnwwbMJgTIPHSJEoDO8RGPRFg5pJCoQR_Y/edit"",""1!e38"")"),1728.0)</f>
        <v>1728</v>
      </c>
      <c r="H473" s="40">
        <f>IFERROR(__xludf.DUMMYFUNCTION("IMPORTRANGE(""https://docs.google.com/spreadsheets/d/1YNna43iTSqnwwbMJgTIPHSJEoDO8RGPRFg5pJCoQR_Y/edit"",""1!e39"")"),0.0)</f>
        <v>0</v>
      </c>
      <c r="I473" s="40">
        <f t="shared" si="1290"/>
        <v>1728</v>
      </c>
      <c r="J473" s="40">
        <f>IFERROR(__xludf.DUMMYFUNCTION("IMPORTRANGE(""https://docs.google.com/spreadsheets/d/1YNna43iTSqnwwbMJgTIPHSJEoDO8RGPRFg5pJCoQR_Y/edit"",""1!e42"")"),2407.0)</f>
        <v>2407</v>
      </c>
      <c r="K473" s="40">
        <f>IFERROR(__xludf.DUMMYFUNCTION("IMPORTRANGE(""https://docs.google.com/spreadsheets/d/1YNna43iTSqnwwbMJgTIPHSJEoDO8RGPRFg5pJCoQR_Y/edit"",""1!e43"")"),20.0)</f>
        <v>20</v>
      </c>
      <c r="L473" s="40">
        <f t="shared" ref="L473:L482" si="1320">SUM(J473:K473)</f>
        <v>2427</v>
      </c>
      <c r="M473" s="40">
        <f t="shared" si="1292"/>
        <v>4155</v>
      </c>
      <c r="N473" s="41">
        <f t="shared" si="1293"/>
        <v>168.1153448</v>
      </c>
      <c r="O473" s="38">
        <v>4796.0</v>
      </c>
      <c r="P473" s="42">
        <f t="shared" si="1294"/>
        <v>0.8663469558</v>
      </c>
      <c r="Q473" s="43">
        <v>1.5</v>
      </c>
      <c r="R473" s="42">
        <f t="shared" si="1295"/>
        <v>0.5681649196</v>
      </c>
      <c r="S473" s="44">
        <f t="shared" si="1296"/>
        <v>0.8522473794</v>
      </c>
      <c r="T473" s="43">
        <f>F473/37.414</f>
        <v>130.3080398</v>
      </c>
      <c r="U473" s="43">
        <f t="shared" si="1297"/>
        <v>4.493380682</v>
      </c>
      <c r="V473" s="40">
        <f t="shared" si="1298"/>
        <v>143.2758621</v>
      </c>
      <c r="X473" s="22">
        <v>3.0</v>
      </c>
      <c r="Y473" s="22" t="s">
        <v>34</v>
      </c>
      <c r="Z473" s="22">
        <f t="shared" ref="Z473:AI473" si="1318">SUM(D469)</f>
        <v>40</v>
      </c>
      <c r="AA473" s="23">
        <f t="shared" si="1318"/>
        <v>40</v>
      </c>
      <c r="AB473" s="24">
        <f t="shared" si="1318"/>
        <v>8007.324</v>
      </c>
      <c r="AC473" s="23">
        <f t="shared" si="1318"/>
        <v>2819</v>
      </c>
      <c r="AD473" s="23">
        <f t="shared" si="1318"/>
        <v>0</v>
      </c>
      <c r="AE473" s="23">
        <f t="shared" si="1318"/>
        <v>2819</v>
      </c>
      <c r="AF473" s="23">
        <f t="shared" si="1318"/>
        <v>3504</v>
      </c>
      <c r="AG473" s="23">
        <f t="shared" si="1318"/>
        <v>0</v>
      </c>
      <c r="AH473" s="23">
        <f t="shared" si="1318"/>
        <v>3504</v>
      </c>
      <c r="AI473" s="23">
        <f t="shared" si="1318"/>
        <v>6323</v>
      </c>
      <c r="AJ473" s="25">
        <f t="shared" si="1310"/>
        <v>200.1831</v>
      </c>
      <c r="AK473" s="22">
        <f>SUM(O469)</f>
        <v>9354</v>
      </c>
      <c r="AL473" s="26">
        <f t="shared" si="1312"/>
        <v>0.6759675005</v>
      </c>
      <c r="AM473" s="27">
        <f>SUM(Q469)</f>
        <v>1.5</v>
      </c>
      <c r="AN473" s="26">
        <f t="shared" si="1314"/>
        <v>0.5264347157</v>
      </c>
      <c r="AO473" s="28">
        <f t="shared" si="1315"/>
        <v>0.7896520735</v>
      </c>
      <c r="AP473" s="27">
        <f t="shared" ref="AP473:AQ473" si="1319">SUM(T469)</f>
        <v>260.7144857</v>
      </c>
      <c r="AQ473" s="27">
        <f t="shared" si="1319"/>
        <v>6.517862143</v>
      </c>
      <c r="AR473" s="23">
        <f t="shared" si="1317"/>
        <v>158.075</v>
      </c>
    </row>
    <row r="474" ht="15.75" customHeight="1">
      <c r="A474" s="21"/>
      <c r="B474" s="38">
        <v>10.0</v>
      </c>
      <c r="C474" s="38" t="s">
        <v>37</v>
      </c>
      <c r="D474" s="39">
        <v>30.0</v>
      </c>
      <c r="E474" s="40">
        <f>IFERROR(__xludf.DUMMYFUNCTION("COUNT(IMPORTRANGE(""https://docs.google.com/spreadsheets/d/1913Df5BsXS_b-nClL8LOK5w0engQYTl1mPOiyngRtO0/edit"",""1!d2:d31""))"),28.0)</f>
        <v>28</v>
      </c>
      <c r="F474" s="45">
        <f>IFERROR(__xludf.DUMMYFUNCTION("SUM(IMPORTRANGE(""https://docs.google.com/spreadsheets/d/1913Df5BsXS_b-nClL8LOK5w0engQYTl1mPOiyngRtO0/edit"",""1!Q2:Q31""))"),5465.100000000002)</f>
        <v>5465.1</v>
      </c>
      <c r="G474" s="40">
        <f>IFERROR(__xludf.DUMMYFUNCTION("(IMPORTRANGE(""https://docs.google.com/spreadsheets/d/1913Df5BsXS_b-nClL8LOK5w0engQYTl1mPOiyngRtO0/edit"",""1!e38""))"),2135.0)</f>
        <v>2135</v>
      </c>
      <c r="H474" s="40">
        <f>IFERROR(__xludf.DUMMYFUNCTION("(IMPORTRANGE(""https://docs.google.com/spreadsheets/d/1913Df5BsXS_b-nClL8LOK5w0engQYTl1mPOiyngRtO0/edit"",""1!e39""))"),0.0)</f>
        <v>0</v>
      </c>
      <c r="I474" s="40">
        <f t="shared" si="1290"/>
        <v>2135</v>
      </c>
      <c r="J474" s="40">
        <f>IFERROR(__xludf.DUMMYFUNCTION("(IMPORTRANGE(""https://docs.google.com/spreadsheets/d/1913Df5BsXS_b-nClL8LOK5w0engQYTl1mPOiyngRtO0/edit"",""1!e42""))"),3182.0)</f>
        <v>3182</v>
      </c>
      <c r="K474" s="40">
        <f>IFERROR(__xludf.DUMMYFUNCTION("(IMPORTRANGE(""https://docs.google.com/spreadsheets/d/1913Df5BsXS_b-nClL8LOK5w0engQYTl1mPOiyngRtO0/edit"",""1!e43""))"),0.0)</f>
        <v>0</v>
      </c>
      <c r="L474" s="40">
        <f t="shared" si="1320"/>
        <v>3182</v>
      </c>
      <c r="M474" s="40">
        <f t="shared" si="1292"/>
        <v>5317</v>
      </c>
      <c r="N474" s="41">
        <f t="shared" si="1293"/>
        <v>195.1821429</v>
      </c>
      <c r="O474" s="38">
        <v>5887.0</v>
      </c>
      <c r="P474" s="42">
        <f t="shared" si="1294"/>
        <v>0.9031764906</v>
      </c>
      <c r="Q474" s="43">
        <v>1.5</v>
      </c>
      <c r="R474" s="42">
        <f t="shared" si="1295"/>
        <v>0.6486005136</v>
      </c>
      <c r="S474" s="44">
        <f t="shared" si="1296"/>
        <v>0.9729007703</v>
      </c>
      <c r="T474" s="43">
        <f>F474/24.792</f>
        <v>220.4380445</v>
      </c>
      <c r="U474" s="43">
        <f t="shared" si="1297"/>
        <v>7.872787305</v>
      </c>
      <c r="V474" s="40">
        <f t="shared" si="1298"/>
        <v>189.8928571</v>
      </c>
      <c r="X474" s="31">
        <v>4.0</v>
      </c>
      <c r="Y474" s="31" t="s">
        <v>38</v>
      </c>
      <c r="Z474" s="31">
        <f t="shared" ref="Z474:AI474" si="1321">SUM(D477)</f>
        <v>30</v>
      </c>
      <c r="AA474" s="32">
        <f t="shared" si="1321"/>
        <v>30</v>
      </c>
      <c r="AB474" s="33">
        <f t="shared" si="1321"/>
        <v>6034.986</v>
      </c>
      <c r="AC474" s="32">
        <f t="shared" si="1321"/>
        <v>1876</v>
      </c>
      <c r="AD474" s="32">
        <f t="shared" si="1321"/>
        <v>79</v>
      </c>
      <c r="AE474" s="32">
        <f t="shared" si="1321"/>
        <v>1955</v>
      </c>
      <c r="AF474" s="32">
        <f t="shared" si="1321"/>
        <v>2967</v>
      </c>
      <c r="AG474" s="32">
        <f t="shared" si="1321"/>
        <v>140</v>
      </c>
      <c r="AH474" s="32">
        <f t="shared" si="1321"/>
        <v>3107</v>
      </c>
      <c r="AI474" s="32">
        <f t="shared" si="1321"/>
        <v>5062</v>
      </c>
      <c r="AJ474" s="34">
        <f t="shared" si="1310"/>
        <v>201.1662</v>
      </c>
      <c r="AK474" s="31">
        <v>7324.0</v>
      </c>
      <c r="AL474" s="35">
        <f t="shared" si="1312"/>
        <v>0.6911523758</v>
      </c>
      <c r="AM474" s="36">
        <f>SUM(Q477)</f>
        <v>1.5</v>
      </c>
      <c r="AN474" s="35">
        <f t="shared" si="1314"/>
        <v>0.5591838435</v>
      </c>
      <c r="AO474" s="37">
        <f t="shared" si="1315"/>
        <v>0.8387757652</v>
      </c>
      <c r="AP474" s="36">
        <f t="shared" ref="AP474:AQ474" si="1322">SUM(T477)</f>
        <v>146.4624681</v>
      </c>
      <c r="AQ474" s="36">
        <f t="shared" si="1322"/>
        <v>4.882082272</v>
      </c>
      <c r="AR474" s="32">
        <f t="shared" si="1317"/>
        <v>168.7333333</v>
      </c>
    </row>
    <row r="475" ht="15.75" customHeight="1">
      <c r="A475" s="21"/>
      <c r="B475" s="38">
        <v>12.0</v>
      </c>
      <c r="C475" s="38" t="s">
        <v>39</v>
      </c>
      <c r="D475" s="39">
        <v>28.0</v>
      </c>
      <c r="E475" s="40">
        <f>IFERROR(__xludf.DUMMYFUNCTION("COUNT(IMPORTRANGE(""https://docs.google.com/spreadsheets/d/1wMeol_MpSIcocGxt3WZGl46mJ2tc80mANPvP_YzaP18/edit"",""1!d2:d29""))"),27.0)</f>
        <v>27</v>
      </c>
      <c r="F475" s="45">
        <f>IFERROR(__xludf.DUMMYFUNCTION("SUM(IMPORTRANGE(""https://docs.google.com/spreadsheets/d/1wMeol_MpSIcocGxt3WZGl46mJ2tc80mANPvP_YzaP18/edit"",""1!Q2:Q29""))"),5318.459)</f>
        <v>5318.459</v>
      </c>
      <c r="G475" s="40">
        <f>IFERROR(__xludf.DUMMYFUNCTION("IMPORTRANGE(""https://docs.google.com/spreadsheets/d/1wMeol_MpSIcocGxt3WZGl46mJ2tc80mANPvP_YzaP18/edit"",""1!e36"")"),1229.0)</f>
        <v>1229</v>
      </c>
      <c r="H475" s="40">
        <f>IFERROR(__xludf.DUMMYFUNCTION("(IMPORTRANGE(""https://docs.google.com/spreadsheets/d/1wMeol_MpSIcocGxt3WZGl46mJ2tc80mANPvP_YzaP18/edit"",""1!e37""))"),0.0)</f>
        <v>0</v>
      </c>
      <c r="I475" s="40">
        <f t="shared" si="1290"/>
        <v>1229</v>
      </c>
      <c r="J475" s="40">
        <f>IFERROR(__xludf.DUMMYFUNCTION("IMPORTRANGE(""https://docs.google.com/spreadsheets/d/1wMeol_MpSIcocGxt3WZGl46mJ2tc80mANPvP_YzaP18/edit"",""1!e40"")"),1740.0)</f>
        <v>1740</v>
      </c>
      <c r="K475" s="40">
        <f>IFERROR(__xludf.DUMMYFUNCTION("IMPORTRANGE(""https://docs.google.com/spreadsheets/d/1wMeol_MpSIcocGxt3WZGl46mJ2tc80mANPvP_YzaP18/edit"",""1!e41"")"),0.0)</f>
        <v>0</v>
      </c>
      <c r="L475" s="40">
        <f t="shared" si="1320"/>
        <v>1740</v>
      </c>
      <c r="M475" s="40">
        <f t="shared" si="1292"/>
        <v>2969</v>
      </c>
      <c r="N475" s="41">
        <f t="shared" si="1293"/>
        <v>196.979963</v>
      </c>
      <c r="O475" s="38">
        <v>3569.0</v>
      </c>
      <c r="P475" s="42">
        <f t="shared" si="1294"/>
        <v>0.8318856823</v>
      </c>
      <c r="Q475" s="43">
        <v>1.5</v>
      </c>
      <c r="R475" s="42">
        <f t="shared" si="1295"/>
        <v>0.3721629392</v>
      </c>
      <c r="S475" s="44">
        <f t="shared" si="1296"/>
        <v>0.5582444088</v>
      </c>
      <c r="T475" s="43">
        <f>F475/21.463</f>
        <v>247.7966268</v>
      </c>
      <c r="U475" s="43">
        <f t="shared" si="1297"/>
        <v>9.177652843</v>
      </c>
      <c r="V475" s="40">
        <f t="shared" si="1298"/>
        <v>109.962963</v>
      </c>
      <c r="X475" s="31">
        <v>5.0</v>
      </c>
      <c r="Y475" s="31" t="s">
        <v>40</v>
      </c>
      <c r="Z475" s="31">
        <f t="shared" ref="Z475:AI475" si="1323">SUM(D479)</f>
        <v>30</v>
      </c>
      <c r="AA475" s="32">
        <f t="shared" si="1323"/>
        <v>30</v>
      </c>
      <c r="AB475" s="33">
        <f t="shared" si="1323"/>
        <v>5660.157</v>
      </c>
      <c r="AC475" s="32">
        <f t="shared" si="1323"/>
        <v>3382</v>
      </c>
      <c r="AD475" s="32">
        <f t="shared" si="1323"/>
        <v>0</v>
      </c>
      <c r="AE475" s="32">
        <f t="shared" si="1323"/>
        <v>3382</v>
      </c>
      <c r="AF475" s="32">
        <f t="shared" si="1323"/>
        <v>3798</v>
      </c>
      <c r="AG475" s="32">
        <f t="shared" si="1323"/>
        <v>0</v>
      </c>
      <c r="AH475" s="32">
        <f t="shared" si="1323"/>
        <v>3798</v>
      </c>
      <c r="AI475" s="32">
        <f t="shared" si="1323"/>
        <v>7180</v>
      </c>
      <c r="AJ475" s="34">
        <f t="shared" si="1310"/>
        <v>188.6719</v>
      </c>
      <c r="AK475" s="31">
        <f t="shared" ref="AK475:AK476" si="1326">SUM(O479)</f>
        <v>8239</v>
      </c>
      <c r="AL475" s="35">
        <f t="shared" si="1312"/>
        <v>0.8714649836</v>
      </c>
      <c r="AM475" s="36">
        <f t="shared" ref="AM475:AM476" si="1327">SUM(Q479)</f>
        <v>1.5</v>
      </c>
      <c r="AN475" s="35">
        <f t="shared" si="1314"/>
        <v>0.8456773667</v>
      </c>
      <c r="AO475" s="37">
        <f t="shared" si="1315"/>
        <v>1.26851605</v>
      </c>
      <c r="AP475" s="36">
        <f t="shared" ref="AP475:AQ475" si="1324">SUM(T479)</f>
        <v>199</v>
      </c>
      <c r="AQ475" s="36">
        <f t="shared" si="1324"/>
        <v>6.633333333</v>
      </c>
      <c r="AR475" s="32">
        <f t="shared" si="1317"/>
        <v>239.3333333</v>
      </c>
    </row>
    <row r="476" ht="15.75" customHeight="1">
      <c r="A476" s="21"/>
      <c r="B476" s="38">
        <v>12.0</v>
      </c>
      <c r="C476" s="38" t="s">
        <v>41</v>
      </c>
      <c r="D476" s="39">
        <v>24.0</v>
      </c>
      <c r="E476" s="40">
        <f>IFERROR(__xludf.DUMMYFUNCTION("COUNT(IMPORTRANGE(""https://docs.google.com/spreadsheets/d/1sHk6_yuc4kORC_xnhEeazoemV_hVUQVqRpfoNae-PLk/edit"",""1!d2:d25""))"),24.0)</f>
        <v>24</v>
      </c>
      <c r="F476" s="45">
        <f>IFERROR(__xludf.DUMMYFUNCTION("SUM(IMPORTRANGE(""https://docs.google.com/spreadsheets/d/1sHk6_yuc4kORC_xnhEeazoemV_hVUQVqRpfoNae-PLk/edit"",""1!Q2:Q25""))"),4793.152000000001)</f>
        <v>4793.152</v>
      </c>
      <c r="G476" s="40">
        <f>IFERROR(__xludf.DUMMYFUNCTION("IMPORTRANGE(""https://docs.google.com/spreadsheets/d/1sHk6_yuc4kORC_xnhEeazoemV_hVUQVqRpfoNae-PLk/edit"",""1!e32"")"),1363.0)</f>
        <v>1363</v>
      </c>
      <c r="H476" s="40">
        <f>IFERROR(__xludf.DUMMYFUNCTION("IMPORTRANGE(""https://docs.google.com/spreadsheets/d/1sHk6_yuc4kORC_xnhEeazoemV_hVUQVqRpfoNae-PLk/edit"",""1!e33"")"),0.0)</f>
        <v>0</v>
      </c>
      <c r="I476" s="40">
        <f t="shared" si="1290"/>
        <v>1363</v>
      </c>
      <c r="J476" s="40">
        <f>IFERROR(__xludf.DUMMYFUNCTION("IMPORTRANGE(""https://docs.google.com/spreadsheets/d/1sHk6_yuc4kORC_xnhEeazoemV_hVUQVqRpfoNae-PLk/edit"",""1!e36"")"),1818.0)</f>
        <v>1818</v>
      </c>
      <c r="K476" s="40">
        <f>IFERROR(__xludf.DUMMYFUNCTION("IMPORTRANGE(""https://docs.google.com/spreadsheets/d/1sHk6_yuc4kORC_xnhEeazoemV_hVUQVqRpfoNae-PLk/edit"",""1!e37"")"),0.0)</f>
        <v>0</v>
      </c>
      <c r="L476" s="40">
        <f t="shared" si="1320"/>
        <v>1818</v>
      </c>
      <c r="M476" s="40">
        <f t="shared" si="1292"/>
        <v>3181</v>
      </c>
      <c r="N476" s="41">
        <f t="shared" si="1293"/>
        <v>199.7146667</v>
      </c>
      <c r="O476" s="38">
        <v>3801.0</v>
      </c>
      <c r="P476" s="42">
        <f t="shared" si="1294"/>
        <v>0.8368850303</v>
      </c>
      <c r="Q476" s="43">
        <v>1.5</v>
      </c>
      <c r="R476" s="42">
        <f t="shared" si="1295"/>
        <v>0.4424367653</v>
      </c>
      <c r="S476" s="44">
        <f t="shared" si="1296"/>
        <v>0.663655148</v>
      </c>
      <c r="T476" s="43">
        <f>F476/29.628</f>
        <v>161.7777778</v>
      </c>
      <c r="U476" s="43">
        <f t="shared" si="1297"/>
        <v>6.740740741</v>
      </c>
      <c r="V476" s="40">
        <f t="shared" si="1298"/>
        <v>132.5416667</v>
      </c>
      <c r="X476" s="22">
        <v>6.0</v>
      </c>
      <c r="Y476" s="22" t="s">
        <v>42</v>
      </c>
      <c r="Z476" s="22">
        <f t="shared" ref="Z476:AI476" si="1325">SUM(D480)</f>
        <v>33</v>
      </c>
      <c r="AA476" s="23">
        <f t="shared" si="1325"/>
        <v>33</v>
      </c>
      <c r="AB476" s="24">
        <f t="shared" si="1325"/>
        <v>6597.215</v>
      </c>
      <c r="AC476" s="23">
        <f t="shared" si="1325"/>
        <v>3014</v>
      </c>
      <c r="AD476" s="23">
        <f t="shared" si="1325"/>
        <v>234</v>
      </c>
      <c r="AE476" s="23">
        <f t="shared" si="1325"/>
        <v>3248</v>
      </c>
      <c r="AF476" s="23">
        <f t="shared" si="1325"/>
        <v>4605</v>
      </c>
      <c r="AG476" s="23">
        <f t="shared" si="1325"/>
        <v>108</v>
      </c>
      <c r="AH476" s="23">
        <f t="shared" si="1325"/>
        <v>4713</v>
      </c>
      <c r="AI476" s="23">
        <f t="shared" si="1325"/>
        <v>7961</v>
      </c>
      <c r="AJ476" s="25">
        <f t="shared" si="1310"/>
        <v>199.9156061</v>
      </c>
      <c r="AK476" s="22">
        <f t="shared" si="1326"/>
        <v>9877</v>
      </c>
      <c r="AL476" s="26">
        <f t="shared" si="1312"/>
        <v>0.8060139719</v>
      </c>
      <c r="AM476" s="27">
        <f t="shared" si="1327"/>
        <v>1.5</v>
      </c>
      <c r="AN476" s="26">
        <f t="shared" si="1314"/>
        <v>0.8044808807</v>
      </c>
      <c r="AO476" s="28">
        <f t="shared" si="1315"/>
        <v>1.206721321</v>
      </c>
      <c r="AP476" s="27">
        <f t="shared" ref="AP476:AQ476" si="1328">SUM(T480)</f>
        <v>252.2353279</v>
      </c>
      <c r="AQ476" s="27">
        <f t="shared" si="1328"/>
        <v>7.643494783</v>
      </c>
      <c r="AR476" s="23">
        <f t="shared" si="1317"/>
        <v>241.2424242</v>
      </c>
    </row>
    <row r="477" ht="15.75" customHeight="1">
      <c r="A477" s="21"/>
      <c r="B477" s="38">
        <v>13.0</v>
      </c>
      <c r="C477" s="38" t="s">
        <v>43</v>
      </c>
      <c r="D477" s="39">
        <v>30.0</v>
      </c>
      <c r="E477" s="40">
        <f>IFERROR(__xludf.DUMMYFUNCTION("COUNT(IMPORTRANGE(""https://docs.google.com/spreadsheets/d/1uGXvAN2jA6kmcEHUY4KqOHHewllZsujDdA6KVDfBCoA/edit"",""1!d2:d31""))"),30.0)</f>
        <v>30</v>
      </c>
      <c r="F477" s="45">
        <f>IFERROR(__xludf.DUMMYFUNCTION("SUM(IMPORTRANGE(""https://docs.google.com/spreadsheets/d/1uGXvAN2jA6kmcEHUY4KqOHHewllZsujDdA6KVDfBCoA/edit"",""1!Q2:Q31""))"),6034.986)</f>
        <v>6034.986</v>
      </c>
      <c r="G477" s="40">
        <f>IFERROR(__xludf.DUMMYFUNCTION("IMPORTRANGE(""https://docs.google.com/spreadsheets/d/1uGXvAN2jA6kmcEHUY4KqOHHewllZsujDdA6KVDfBCoA/edit"",""1!e38"")"),1876.0)</f>
        <v>1876</v>
      </c>
      <c r="H477" s="40">
        <f>IFERROR(__xludf.DUMMYFUNCTION("IMPORTRANGE(""https://docs.google.com/spreadsheets/d/1uGXvAN2jA6kmcEHUY4KqOHHewllZsujDdA6KVDfBCoA/edit"",""1!e39"")"),79.0)</f>
        <v>79</v>
      </c>
      <c r="I477" s="40">
        <f t="shared" si="1290"/>
        <v>1955</v>
      </c>
      <c r="J477" s="40">
        <f>IFERROR(__xludf.DUMMYFUNCTION("IMPORTRANGE(""https://docs.google.com/spreadsheets/d/1uGXvAN2jA6kmcEHUY4KqOHHewllZsujDdA6KVDfBCoA/edit"",""1!e42"")"),2967.0)</f>
        <v>2967</v>
      </c>
      <c r="K477" s="40">
        <f>IFERROR(__xludf.DUMMYFUNCTION("IMPORTRANGE(""https://docs.google.com/spreadsheets/d/1uGXvAN2jA6kmcEHUY4KqOHHewllZsujDdA6KVDfBCoA/edit"",""1!e43"")"),140.0)</f>
        <v>140</v>
      </c>
      <c r="L477" s="40">
        <f t="shared" si="1320"/>
        <v>3107</v>
      </c>
      <c r="M477" s="40">
        <f t="shared" si="1292"/>
        <v>5062</v>
      </c>
      <c r="N477" s="41">
        <f t="shared" si="1293"/>
        <v>201.1662</v>
      </c>
      <c r="O477" s="38">
        <v>8345.0</v>
      </c>
      <c r="P477" s="42">
        <f t="shared" si="1294"/>
        <v>0.6065907729</v>
      </c>
      <c r="Q477" s="43">
        <v>1.5</v>
      </c>
      <c r="R477" s="42">
        <f t="shared" si="1295"/>
        <v>0.5591838435</v>
      </c>
      <c r="S477" s="44">
        <f t="shared" si="1296"/>
        <v>0.8387757652</v>
      </c>
      <c r="T477" s="43">
        <f>F477/41.205</f>
        <v>146.4624681</v>
      </c>
      <c r="U477" s="43">
        <f t="shared" si="1297"/>
        <v>4.882082272</v>
      </c>
      <c r="V477" s="40">
        <f t="shared" si="1298"/>
        <v>168.7333333</v>
      </c>
      <c r="X477" s="46" t="s">
        <v>33</v>
      </c>
      <c r="Y477" s="46">
        <v>6.0</v>
      </c>
      <c r="Z477" s="46">
        <f t="shared" ref="Z477:AI477" si="1329">SUM(Z471:Z476)</f>
        <v>226</v>
      </c>
      <c r="AA477" s="47">
        <f t="shared" si="1329"/>
        <v>224</v>
      </c>
      <c r="AB477" s="49">
        <f t="shared" si="1329"/>
        <v>44273.509</v>
      </c>
      <c r="AC477" s="47">
        <f t="shared" si="1329"/>
        <v>17564</v>
      </c>
      <c r="AD477" s="47">
        <f t="shared" si="1329"/>
        <v>535</v>
      </c>
      <c r="AE477" s="47">
        <f t="shared" si="1329"/>
        <v>18099</v>
      </c>
      <c r="AF477" s="47">
        <f t="shared" si="1329"/>
        <v>24048</v>
      </c>
      <c r="AG477" s="47">
        <f t="shared" si="1329"/>
        <v>386</v>
      </c>
      <c r="AH477" s="47">
        <f t="shared" si="1329"/>
        <v>24434</v>
      </c>
      <c r="AI477" s="47">
        <f t="shared" si="1329"/>
        <v>42533</v>
      </c>
      <c r="AJ477" s="49">
        <f t="shared" si="1310"/>
        <v>197.6495938</v>
      </c>
      <c r="AK477" s="46">
        <f>SUM(AK471:AK476)</f>
        <v>53273</v>
      </c>
      <c r="AL477" s="50">
        <f t="shared" si="1312"/>
        <v>0.7983969365</v>
      </c>
      <c r="AM477" s="51">
        <v>1.5</v>
      </c>
      <c r="AN477" s="50">
        <f t="shared" si="1314"/>
        <v>0.6404582328</v>
      </c>
      <c r="AO477" s="52">
        <f t="shared" si="1315"/>
        <v>0.9606873492</v>
      </c>
      <c r="AP477" s="51">
        <f>SUM(AP471:AP476)</f>
        <v>1456.754836</v>
      </c>
      <c r="AQ477" s="51">
        <f>AP477/AA477</f>
        <v>6.503369804</v>
      </c>
      <c r="AR477" s="47">
        <f t="shared" si="1317"/>
        <v>189.8794643</v>
      </c>
    </row>
    <row r="478" ht="15.75" customHeight="1">
      <c r="A478" s="21"/>
      <c r="B478" s="38">
        <v>14.0</v>
      </c>
      <c r="C478" s="38" t="s">
        <v>27</v>
      </c>
      <c r="D478" s="39">
        <v>30.0</v>
      </c>
      <c r="E478" s="40">
        <f>IFERROR(__xludf.DUMMYFUNCTION("COUNT(IMPORTRANGE(""https://docs.google.com/spreadsheets/d/1iYtf3wkjJIgOL8ej0-L89wY8FLXKi6EiRbi9UqA1Bzw/edit"",""1!d2:d31""))"),29.0)</f>
        <v>29</v>
      </c>
      <c r="F478" s="45">
        <f>IFERROR(__xludf.DUMMYFUNCTION("SUM(IMPORTRANGE(""https://docs.google.com/spreadsheets/d/1iYtf3wkjJIgOL8ej0-L89wY8FLXKi6EiRbi9UqA1Bzw/edit"",""1!Q2:Q31""))"),5631.663000000001)</f>
        <v>5631.663</v>
      </c>
      <c r="G478" s="40">
        <f>IFERROR(__xludf.DUMMYFUNCTION("IMPORTRANGE(""https://docs.google.com/spreadsheets/d/1iYtf3wkjJIgOL8ej0-L89wY8FLXKi6EiRbi9UqA1Bzw/edit"",""1!e38"")"),2486.0)</f>
        <v>2486</v>
      </c>
      <c r="H478" s="40">
        <f>IFERROR(__xludf.DUMMYFUNCTION("IMPORTRANGE(""https://docs.google.com/spreadsheets/d/1iYtf3wkjJIgOL8ej0-L89wY8FLXKi6EiRbi9UqA1Bzw/edit"",""1!e39"")"),80.0)</f>
        <v>80</v>
      </c>
      <c r="I478" s="40">
        <f t="shared" si="1290"/>
        <v>2566</v>
      </c>
      <c r="J478" s="40">
        <f>IFERROR(__xludf.DUMMYFUNCTION("IMPORTRANGE(""https://docs.google.com/spreadsheets/d/1iYtf3wkjJIgOL8ej0-L89wY8FLXKi6EiRbi9UqA1Bzw/edit"",""1!e42"")"),2945.0)</f>
        <v>2945</v>
      </c>
      <c r="K478" s="40">
        <f>IFERROR(__xludf.DUMMYFUNCTION("IMPORTRANGE(""https://docs.google.com/spreadsheets/d/1iYtf3wkjJIgOL8ej0-L89wY8FLXKi6EiRbi9UqA1Bzw/edit"",""1!e43"")"),88.0)</f>
        <v>88</v>
      </c>
      <c r="L478" s="40">
        <f t="shared" si="1320"/>
        <v>3033</v>
      </c>
      <c r="M478" s="40">
        <f t="shared" si="1292"/>
        <v>5599</v>
      </c>
      <c r="N478" s="41">
        <f t="shared" si="1293"/>
        <v>194.1952759</v>
      </c>
      <c r="O478" s="38">
        <v>8101.0</v>
      </c>
      <c r="P478" s="42">
        <f t="shared" si="1294"/>
        <v>0.6911492408</v>
      </c>
      <c r="Q478" s="43">
        <v>1.5</v>
      </c>
      <c r="R478" s="42">
        <f t="shared" si="1295"/>
        <v>0.6628000764</v>
      </c>
      <c r="S478" s="44">
        <f t="shared" si="1296"/>
        <v>0.9942001146</v>
      </c>
      <c r="T478" s="43">
        <f>F478/19.985</f>
        <v>281.7944959</v>
      </c>
      <c r="U478" s="43">
        <f t="shared" si="1297"/>
        <v>9.717051582</v>
      </c>
      <c r="V478" s="40">
        <f t="shared" si="1298"/>
        <v>193.0689655</v>
      </c>
      <c r="X478" s="59" t="s">
        <v>44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6"/>
    </row>
    <row r="479" ht="15.75" customHeight="1">
      <c r="A479" s="21"/>
      <c r="B479" s="38">
        <v>15.0</v>
      </c>
      <c r="C479" s="38" t="s">
        <v>40</v>
      </c>
      <c r="D479" s="39">
        <v>30.0</v>
      </c>
      <c r="E479" s="40">
        <f>IFERROR(__xludf.DUMMYFUNCTION("COUNT(IMPORTRANGE(""https://docs.google.com/spreadsheets/d/1Wdf8MsoDBzMSsrzOXwaGQzbVjVqOWfKSqYmbncevZgA/edit"",""1!d2:d31""))"),30.0)</f>
        <v>30</v>
      </c>
      <c r="F479" s="45">
        <f>IFERROR(__xludf.DUMMYFUNCTION("SUM(IMPORTRANGE(""https://docs.google.com/spreadsheets/d/1Wdf8MsoDBzMSsrzOXwaGQzbVjVqOWfKSqYmbncevZgA/edit"",""1!Q2:Q31""))"),5660.156999999998)</f>
        <v>5660.157</v>
      </c>
      <c r="G479" s="40">
        <f>IFERROR(__xludf.DUMMYFUNCTION("IMPORTRANGE(""https://docs.google.com/spreadsheets/d/1Wdf8MsoDBzMSsrzOXwaGQzbVjVqOWfKSqYmbncevZgA/edit"",""1!e38"")"),3382.0)</f>
        <v>3382</v>
      </c>
      <c r="H479" s="40">
        <f>IFERROR(__xludf.DUMMYFUNCTION("IMPORTRANGE(""https://docs.google.com/spreadsheets/d/1Wdf8MsoDBzMSsrzOXwaGQzbVjVqOWfKSqYmbncevZgA/edit"",""1!e39"")"),0.0)</f>
        <v>0</v>
      </c>
      <c r="I479" s="40">
        <f t="shared" si="1290"/>
        <v>3382</v>
      </c>
      <c r="J479" s="40">
        <f>IFERROR(__xludf.DUMMYFUNCTION("IMPORTRANGE(""https://docs.google.com/spreadsheets/d/1Wdf8MsoDBzMSsrzOXwaGQzbVjVqOWfKSqYmbncevZgA/edit"",""1!e42"")"),3798.0)</f>
        <v>3798</v>
      </c>
      <c r="K479" s="40">
        <f>IFERROR(__xludf.DUMMYFUNCTION("IMPORTRANGE(""https://docs.google.com/spreadsheets/d/1Wdf8MsoDBzMSsrzOXwaGQzbVjVqOWfKSqYmbncevZgA/edit"",""1!e43"")"),0.0)</f>
        <v>0</v>
      </c>
      <c r="L479" s="40">
        <f t="shared" si="1320"/>
        <v>3798</v>
      </c>
      <c r="M479" s="40">
        <f t="shared" si="1292"/>
        <v>7180</v>
      </c>
      <c r="N479" s="41">
        <f t="shared" si="1293"/>
        <v>188.6719</v>
      </c>
      <c r="O479" s="38">
        <v>8239.0</v>
      </c>
      <c r="P479" s="42">
        <f t="shared" si="1294"/>
        <v>0.8714649836</v>
      </c>
      <c r="Q479" s="43">
        <v>1.5</v>
      </c>
      <c r="R479" s="42">
        <f t="shared" si="1295"/>
        <v>0.8456773667</v>
      </c>
      <c r="S479" s="44">
        <f t="shared" si="1296"/>
        <v>1.26851605</v>
      </c>
      <c r="T479" s="43">
        <f>F479/28.443</f>
        <v>199</v>
      </c>
      <c r="U479" s="43">
        <f t="shared" si="1297"/>
        <v>6.633333333</v>
      </c>
      <c r="V479" s="40">
        <f t="shared" si="1298"/>
        <v>239.3333333</v>
      </c>
      <c r="X479" s="14" t="s">
        <v>2</v>
      </c>
      <c r="Y479" s="14" t="s">
        <v>3</v>
      </c>
      <c r="Z479" s="14" t="s">
        <v>4</v>
      </c>
      <c r="AA479" s="14" t="s">
        <v>5</v>
      </c>
      <c r="AB479" s="15" t="s">
        <v>6</v>
      </c>
      <c r="AC479" s="14" t="s">
        <v>7</v>
      </c>
      <c r="AD479" s="14" t="s">
        <v>8</v>
      </c>
      <c r="AE479" s="14" t="s">
        <v>9</v>
      </c>
      <c r="AF479" s="14" t="s">
        <v>10</v>
      </c>
      <c r="AG479" s="14" t="s">
        <v>11</v>
      </c>
      <c r="AH479" s="14" t="s">
        <v>12</v>
      </c>
      <c r="AI479" s="14" t="s">
        <v>13</v>
      </c>
      <c r="AJ479" s="15" t="s">
        <v>14</v>
      </c>
      <c r="AK479" s="14" t="s">
        <v>15</v>
      </c>
      <c r="AL479" s="14" t="s">
        <v>16</v>
      </c>
      <c r="AM479" s="16" t="s">
        <v>17</v>
      </c>
      <c r="AN479" s="17" t="s">
        <v>18</v>
      </c>
      <c r="AO479" s="18" t="s">
        <v>19</v>
      </c>
      <c r="AP479" s="19" t="s">
        <v>20</v>
      </c>
      <c r="AQ479" s="19" t="s">
        <v>21</v>
      </c>
      <c r="AR479" s="20" t="s">
        <v>22</v>
      </c>
    </row>
    <row r="480" ht="15.75" customHeight="1">
      <c r="A480" s="21"/>
      <c r="B480" s="38">
        <v>16.0</v>
      </c>
      <c r="C480" s="38" t="s">
        <v>42</v>
      </c>
      <c r="D480" s="39">
        <v>33.0</v>
      </c>
      <c r="E480" s="40">
        <f>IFERROR(__xludf.DUMMYFUNCTION("COUNT(IMPORTRANGE(""https://docs.google.com/spreadsheets/d/1Z5uB5HbeAKcHmG4EOw3rf2J8NpyvDiha6RReERAMvA0/edit"",""1!d2:d34""))"),33.0)</f>
        <v>33</v>
      </c>
      <c r="F480" s="45">
        <f>IFERROR(__xludf.DUMMYFUNCTION("SUM(IMPORTRANGE(""https://docs.google.com/spreadsheets/d/1Z5uB5HbeAKcHmG4EOw3rf2J8NpyvDiha6RReERAMvA0/edit"",""1!Q2:Q34""))"),6597.214999999997)</f>
        <v>6597.215</v>
      </c>
      <c r="G480" s="40">
        <f>IFERROR(__xludf.DUMMYFUNCTION("IMPORTRANGE(""https://docs.google.com/spreadsheets/d/1Z5uB5HbeAKcHmG4EOw3rf2J8NpyvDiha6RReERAMvA0/edit"",""1!e41"")"),3014.0)</f>
        <v>3014</v>
      </c>
      <c r="H480" s="40">
        <f>IFERROR(__xludf.DUMMYFUNCTION("IMPORTRANGE(""https://docs.google.com/spreadsheets/d/1Z5uB5HbeAKcHmG4EOw3rf2J8NpyvDiha6RReERAMvA0/edit"",""1!e42"")"),234.0)</f>
        <v>234</v>
      </c>
      <c r="I480" s="40">
        <f t="shared" si="1290"/>
        <v>3248</v>
      </c>
      <c r="J480" s="40">
        <f>IFERROR(__xludf.DUMMYFUNCTION("IMPORTRANGE(""https://docs.google.com/spreadsheets/d/1Z5uB5HbeAKcHmG4EOw3rf2J8NpyvDiha6RReERAMvA0/edit"",""1!e45"")"),4605.0)</f>
        <v>4605</v>
      </c>
      <c r="K480" s="40">
        <f>IFERROR(__xludf.DUMMYFUNCTION("IMPORTRANGE(""https://docs.google.com/spreadsheets/d/1Z5uB5HbeAKcHmG4EOw3rf2J8NpyvDiha6RReERAMvA0/edit"",""1!e46"")"),108.0)</f>
        <v>108</v>
      </c>
      <c r="L480" s="40">
        <f t="shared" si="1320"/>
        <v>4713</v>
      </c>
      <c r="M480" s="40">
        <f t="shared" si="1292"/>
        <v>7961</v>
      </c>
      <c r="N480" s="41">
        <f t="shared" si="1293"/>
        <v>199.9156061</v>
      </c>
      <c r="O480" s="38">
        <v>9877.0</v>
      </c>
      <c r="P480" s="42">
        <f t="shared" si="1294"/>
        <v>0.8060139719</v>
      </c>
      <c r="Q480" s="43">
        <v>1.5</v>
      </c>
      <c r="R480" s="42">
        <f t="shared" si="1295"/>
        <v>0.8044808807</v>
      </c>
      <c r="S480" s="44">
        <f t="shared" si="1296"/>
        <v>1.206721321</v>
      </c>
      <c r="T480" s="43">
        <f>F480/26.155</f>
        <v>252.2353279</v>
      </c>
      <c r="U480" s="43">
        <f t="shared" si="1297"/>
        <v>7.643494783</v>
      </c>
      <c r="V480" s="40">
        <f t="shared" si="1298"/>
        <v>241.2424242</v>
      </c>
      <c r="X480" s="31">
        <v>1.0</v>
      </c>
      <c r="Y480" s="31" t="s">
        <v>26</v>
      </c>
      <c r="Z480" s="31">
        <f t="shared" ref="Z480:AI480" si="1330">SUM(D465)</f>
        <v>20</v>
      </c>
      <c r="AA480" s="32">
        <f t="shared" si="1330"/>
        <v>20</v>
      </c>
      <c r="AB480" s="34">
        <f t="shared" si="1330"/>
        <v>3935.295</v>
      </c>
      <c r="AC480" s="32">
        <f t="shared" si="1330"/>
        <v>2229</v>
      </c>
      <c r="AD480" s="32">
        <f t="shared" si="1330"/>
        <v>0</v>
      </c>
      <c r="AE480" s="32">
        <f t="shared" si="1330"/>
        <v>2229</v>
      </c>
      <c r="AF480" s="32">
        <f t="shared" si="1330"/>
        <v>2661</v>
      </c>
      <c r="AG480" s="32">
        <f t="shared" si="1330"/>
        <v>47</v>
      </c>
      <c r="AH480" s="32">
        <f t="shared" si="1330"/>
        <v>2708</v>
      </c>
      <c r="AI480" s="32">
        <f t="shared" si="1330"/>
        <v>4937</v>
      </c>
      <c r="AJ480" s="34">
        <f t="shared" ref="AJ480:AJ486" si="1333">AB480/AA480</f>
        <v>196.76475</v>
      </c>
      <c r="AK480" s="31">
        <f>SUM(O465)</f>
        <v>5161</v>
      </c>
      <c r="AL480" s="35">
        <f t="shared" ref="AL480:AL486" si="1334">AI480/AK480</f>
        <v>0.9565975586</v>
      </c>
      <c r="AM480" s="36">
        <f>SUM(Q465)</f>
        <v>1.5</v>
      </c>
      <c r="AN480" s="35">
        <f t="shared" ref="AN480:AN486" si="1335">AO480/AM480</f>
        <v>0.8363625429</v>
      </c>
      <c r="AO480" s="37">
        <f t="shared" ref="AO480:AO486" si="1336">AI480/AB480</f>
        <v>1.254543814</v>
      </c>
      <c r="AP480" s="36">
        <f t="shared" ref="AP480:AQ480" si="1331">SUM(T465)</f>
        <v>273</v>
      </c>
      <c r="AQ480" s="36">
        <f t="shared" si="1331"/>
        <v>13.65</v>
      </c>
      <c r="AR480" s="32">
        <f t="shared" ref="AR480:AR486" si="1338">AI480/AA480</f>
        <v>246.85</v>
      </c>
    </row>
    <row r="481" ht="15.75" customHeight="1">
      <c r="A481" s="21"/>
      <c r="B481" s="38">
        <v>17.0</v>
      </c>
      <c r="C481" s="38" t="s">
        <v>29</v>
      </c>
      <c r="D481" s="39">
        <v>30.0</v>
      </c>
      <c r="E481" s="40">
        <f>IFERROR(__xludf.DUMMYFUNCTION("COUNT(IMPORTRANGE(""https://docs.google.com/spreadsheets/d/1wfJqI0e9wVPqEQv3N6b8KgINjqI0OBECEyIFeY9j3i8/edit"",""1!d2:d31""))"),29.0)</f>
        <v>29</v>
      </c>
      <c r="F481" s="45">
        <f>IFERROR(__xludf.DUMMYFUNCTION("SUM(IMPORTRANGE(""https://docs.google.com/spreadsheets/d/1wfJqI0e9wVPqEQv3N6b8KgINjqI0OBECEyIFeY9j3i8/edit"",""1!Q2:Q31""))"),5722.055999999998)</f>
        <v>5722.056</v>
      </c>
      <c r="G481" s="40">
        <f>IFERROR(__xludf.DUMMYFUNCTION("IMPORTRANGE(""https://docs.google.com/spreadsheets/d/1wfJqI0e9wVPqEQv3N6b8KgINjqI0OBECEyIFeY9j3i8/edit"",""1!e38"")"),2610.0)</f>
        <v>2610</v>
      </c>
      <c r="H481" s="40">
        <f>IFERROR(__xludf.DUMMYFUNCTION("IMPORTRANGE(""https://docs.google.com/spreadsheets/d/1wfJqI0e9wVPqEQv3N6b8KgINjqI0OBECEyIFeY9j3i8/edit"",""1!e39"")"),0.0)</f>
        <v>0</v>
      </c>
      <c r="I481" s="40">
        <f t="shared" si="1290"/>
        <v>2610</v>
      </c>
      <c r="J481" s="40">
        <f>IFERROR(__xludf.DUMMYFUNCTION("IMPORTRANGE(""https://docs.google.com/spreadsheets/d/1wfJqI0e9wVPqEQv3N6b8KgINjqI0OBECEyIFeY9j3i8/edit"",""1!e42"")"),4378.0)</f>
        <v>4378</v>
      </c>
      <c r="K481" s="40">
        <f>IFERROR(__xludf.DUMMYFUNCTION("IMPORTRANGE(""https://docs.google.com/spreadsheets/d/1wfJqI0e9wVPqEQv3N6b8KgINjqI0OBECEyIFeY9j3i8/edit"",""1!e43"")"),0.0)</f>
        <v>0</v>
      </c>
      <c r="L481" s="40">
        <f t="shared" si="1320"/>
        <v>4378</v>
      </c>
      <c r="M481" s="40">
        <f t="shared" si="1292"/>
        <v>6988</v>
      </c>
      <c r="N481" s="41">
        <f t="shared" si="1293"/>
        <v>197.3122759</v>
      </c>
      <c r="O481" s="38">
        <v>9201.0</v>
      </c>
      <c r="P481" s="42">
        <f t="shared" si="1294"/>
        <v>0.7594826649</v>
      </c>
      <c r="Q481" s="43">
        <v>1.5</v>
      </c>
      <c r="R481" s="42">
        <f t="shared" si="1295"/>
        <v>0.8141595725</v>
      </c>
      <c r="S481" s="44">
        <f t="shared" si="1296"/>
        <v>1.221239359</v>
      </c>
      <c r="T481" s="43">
        <f>F481/26.491</f>
        <v>216</v>
      </c>
      <c r="U481" s="43">
        <f t="shared" si="1297"/>
        <v>7.448275862</v>
      </c>
      <c r="V481" s="40">
        <f t="shared" si="1298"/>
        <v>240.9655172</v>
      </c>
      <c r="X481" s="31">
        <v>2.0</v>
      </c>
      <c r="Y481" s="31" t="s">
        <v>32</v>
      </c>
      <c r="Z481" s="31">
        <f t="shared" ref="Z481:AI481" si="1332">SUM(D468)</f>
        <v>42</v>
      </c>
      <c r="AA481" s="32">
        <f t="shared" si="1332"/>
        <v>42</v>
      </c>
      <c r="AB481" s="33">
        <f t="shared" si="1332"/>
        <v>8240.662</v>
      </c>
      <c r="AC481" s="31">
        <f t="shared" si="1332"/>
        <v>4515</v>
      </c>
      <c r="AD481" s="31">
        <f t="shared" si="1332"/>
        <v>0</v>
      </c>
      <c r="AE481" s="32">
        <f t="shared" si="1332"/>
        <v>4515</v>
      </c>
      <c r="AF481" s="31">
        <f t="shared" si="1332"/>
        <v>5726</v>
      </c>
      <c r="AG481" s="31">
        <f t="shared" si="1332"/>
        <v>0</v>
      </c>
      <c r="AH481" s="32">
        <f t="shared" si="1332"/>
        <v>5726</v>
      </c>
      <c r="AI481" s="32">
        <f t="shared" si="1332"/>
        <v>10241</v>
      </c>
      <c r="AJ481" s="34">
        <f t="shared" si="1333"/>
        <v>196.2062381</v>
      </c>
      <c r="AK481" s="31">
        <f>SUM(O468)</f>
        <v>13817</v>
      </c>
      <c r="AL481" s="35">
        <f t="shared" si="1334"/>
        <v>0.7411883911</v>
      </c>
      <c r="AM481" s="36">
        <f>SUM(Q468)</f>
        <v>1.5</v>
      </c>
      <c r="AN481" s="35">
        <f t="shared" si="1335"/>
        <v>0.8284933096</v>
      </c>
      <c r="AO481" s="37">
        <f t="shared" si="1336"/>
        <v>1.242739964</v>
      </c>
      <c r="AP481" s="36">
        <f t="shared" ref="AP481:AQ481" si="1337">SUM(T468)</f>
        <v>328.4571725</v>
      </c>
      <c r="AQ481" s="36">
        <f t="shared" si="1337"/>
        <v>7.820408868</v>
      </c>
      <c r="AR481" s="32">
        <f t="shared" si="1338"/>
        <v>243.8333333</v>
      </c>
    </row>
    <row r="482" ht="15.75" customHeight="1">
      <c r="A482" s="21"/>
      <c r="B482" s="38">
        <v>18.0</v>
      </c>
      <c r="C482" s="38" t="s">
        <v>31</v>
      </c>
      <c r="D482" s="39">
        <v>15.0</v>
      </c>
      <c r="E482" s="40">
        <f>IFERROR(__xludf.DUMMYFUNCTION("COUNT(IMPORTRANGE(""https://docs.google.com/spreadsheets/d/1-y2KhTAo7d8kowgUuWUDfRQuRMUAFteRYEXorT3_wOs/edit"",""1!d2:d16""))"),14.0)</f>
        <v>14</v>
      </c>
      <c r="F482" s="41">
        <f>IFERROR(__xludf.DUMMYFUNCTION("SUM(IMPORTRANGE(""https://docs.google.com/spreadsheets/d/1-y2KhTAo7d8kowgUuWUDfRQuRMUAFteRYEXorT3_wOs/edit"",""1!Q2:Q16""))"),2520.9699999999993)</f>
        <v>2520.97</v>
      </c>
      <c r="G482" s="40">
        <f>IFERROR(__xludf.DUMMYFUNCTION("IMPORTRANGE(""https://docs.google.com/spreadsheets/d/1-y2KhTAo7d8kowgUuWUDfRQuRMUAFteRYEXorT3_wOs/edit"",""1!e23"")"),633.0)</f>
        <v>633</v>
      </c>
      <c r="H482" s="40">
        <f>IFERROR(__xludf.DUMMYFUNCTION("IMPORTRANGE(""https://docs.google.com/spreadsheets/d/1-y2KhTAo7d8kowgUuWUDfRQuRMUAFteRYEXorT3_wOs/edit"",""1!e24"")"),0.0)</f>
        <v>0</v>
      </c>
      <c r="I482" s="40">
        <f t="shared" si="1290"/>
        <v>633</v>
      </c>
      <c r="J482" s="40">
        <f>IFERROR(__xludf.DUMMYFUNCTION("IMPORTRANGE(""https://docs.google.com/spreadsheets/d/1-y2KhTAo7d8kowgUuWUDfRQuRMUAFteRYEXorT3_wOs/edit"",""1!e27"")"),1148.0)</f>
        <v>1148</v>
      </c>
      <c r="K482" s="40">
        <f>IFERROR(__xludf.DUMMYFUNCTION("IMPORTRANGE(""https://docs.google.com/spreadsheets/d/1-y2KhTAo7d8kowgUuWUDfRQuRMUAFteRYEXorT3_wOs/edit"",""1!e28"")"),15.0)</f>
        <v>15</v>
      </c>
      <c r="L482" s="40">
        <f t="shared" si="1320"/>
        <v>1163</v>
      </c>
      <c r="M482" s="40">
        <f t="shared" si="1292"/>
        <v>1796</v>
      </c>
      <c r="N482" s="41">
        <f t="shared" si="1293"/>
        <v>180.0692857</v>
      </c>
      <c r="O482" s="38">
        <v>2717.0</v>
      </c>
      <c r="P482" s="42">
        <f t="shared" si="1294"/>
        <v>0.6610231873</v>
      </c>
      <c r="Q482" s="43">
        <v>1.5</v>
      </c>
      <c r="R482" s="42">
        <f t="shared" si="1295"/>
        <v>0.4749494573</v>
      </c>
      <c r="S482" s="44">
        <f t="shared" si="1296"/>
        <v>0.7124241859</v>
      </c>
      <c r="T482" s="43">
        <f>F482/43.465</f>
        <v>58</v>
      </c>
      <c r="U482" s="43">
        <f t="shared" si="1297"/>
        <v>4.142857143</v>
      </c>
      <c r="V482" s="40">
        <f t="shared" si="1298"/>
        <v>128.2857143</v>
      </c>
      <c r="X482" s="31">
        <v>3.0</v>
      </c>
      <c r="Y482" s="31" t="s">
        <v>36</v>
      </c>
      <c r="Z482" s="31">
        <f t="shared" ref="Z482:AI482" si="1339">SUM(D473)</f>
        <v>30</v>
      </c>
      <c r="AA482" s="32">
        <f t="shared" si="1339"/>
        <v>29</v>
      </c>
      <c r="AB482" s="33">
        <f t="shared" si="1339"/>
        <v>4875.345</v>
      </c>
      <c r="AC482" s="32">
        <f t="shared" si="1339"/>
        <v>1728</v>
      </c>
      <c r="AD482" s="32">
        <f t="shared" si="1339"/>
        <v>0</v>
      </c>
      <c r="AE482" s="32">
        <f t="shared" si="1339"/>
        <v>1728</v>
      </c>
      <c r="AF482" s="32">
        <f t="shared" si="1339"/>
        <v>2407</v>
      </c>
      <c r="AG482" s="32">
        <f t="shared" si="1339"/>
        <v>20</v>
      </c>
      <c r="AH482" s="32">
        <f t="shared" si="1339"/>
        <v>2427</v>
      </c>
      <c r="AI482" s="32">
        <f t="shared" si="1339"/>
        <v>4155</v>
      </c>
      <c r="AJ482" s="34">
        <f t="shared" si="1333"/>
        <v>168.1153448</v>
      </c>
      <c r="AK482" s="31">
        <f t="shared" ref="AK482:AK485" si="1343">SUM(O473)</f>
        <v>4796</v>
      </c>
      <c r="AL482" s="35">
        <f t="shared" si="1334"/>
        <v>0.8663469558</v>
      </c>
      <c r="AM482" s="36">
        <f t="shared" ref="AM482:AM485" si="1344">SUM(Q473)</f>
        <v>1.5</v>
      </c>
      <c r="AN482" s="35">
        <f t="shared" si="1335"/>
        <v>0.5681649196</v>
      </c>
      <c r="AO482" s="37">
        <f t="shared" si="1336"/>
        <v>0.8522473794</v>
      </c>
      <c r="AP482" s="36">
        <f t="shared" ref="AP482:AQ482" si="1340">SUM(T473)</f>
        <v>130.3080398</v>
      </c>
      <c r="AQ482" s="36">
        <f t="shared" si="1340"/>
        <v>4.493380682</v>
      </c>
      <c r="AR482" s="32">
        <f t="shared" si="1338"/>
        <v>143.2758621</v>
      </c>
    </row>
    <row r="483" ht="15.75" customHeight="1">
      <c r="A483" s="21"/>
      <c r="B483" s="60" t="s">
        <v>33</v>
      </c>
      <c r="C483" s="60">
        <v>18.0</v>
      </c>
      <c r="D483" s="60">
        <f t="shared" ref="D483:M483" si="1341">SUM(D465:D482)</f>
        <v>586</v>
      </c>
      <c r="E483" s="61">
        <f t="shared" si="1341"/>
        <v>576</v>
      </c>
      <c r="F483" s="62">
        <f t="shared" si="1341"/>
        <v>111449.623</v>
      </c>
      <c r="G483" s="61">
        <f t="shared" si="1341"/>
        <v>41757</v>
      </c>
      <c r="H483" s="61">
        <f t="shared" si="1341"/>
        <v>946</v>
      </c>
      <c r="I483" s="61">
        <f t="shared" si="1341"/>
        <v>42703</v>
      </c>
      <c r="J483" s="61">
        <f t="shared" si="1341"/>
        <v>57855</v>
      </c>
      <c r="K483" s="61">
        <f t="shared" si="1341"/>
        <v>875</v>
      </c>
      <c r="L483" s="61">
        <f t="shared" si="1341"/>
        <v>58730</v>
      </c>
      <c r="M483" s="61">
        <f t="shared" si="1341"/>
        <v>101433</v>
      </c>
      <c r="N483" s="62">
        <f t="shared" si="1293"/>
        <v>193.4889288</v>
      </c>
      <c r="O483" s="60">
        <f>SUM(O465:O482)</f>
        <v>126399</v>
      </c>
      <c r="P483" s="63">
        <f t="shared" si="1294"/>
        <v>0.8024826146</v>
      </c>
      <c r="Q483" s="64">
        <v>1.5</v>
      </c>
      <c r="R483" s="63">
        <f t="shared" si="1295"/>
        <v>0.6067494728</v>
      </c>
      <c r="S483" s="65">
        <f t="shared" si="1296"/>
        <v>0.9101242092</v>
      </c>
      <c r="T483" s="64">
        <f>SUM(T465:T482)</f>
        <v>4122.022266</v>
      </c>
      <c r="U483" s="64">
        <f t="shared" si="1297"/>
        <v>7.156288656</v>
      </c>
      <c r="V483" s="61">
        <f t="shared" si="1298"/>
        <v>176.0989583</v>
      </c>
      <c r="X483" s="31">
        <v>4.0</v>
      </c>
      <c r="Y483" s="31" t="s">
        <v>37</v>
      </c>
      <c r="Z483" s="31">
        <f t="shared" ref="Z483:AI483" si="1342">SUM(D474)</f>
        <v>30</v>
      </c>
      <c r="AA483" s="32">
        <f t="shared" si="1342"/>
        <v>28</v>
      </c>
      <c r="AB483" s="33">
        <f t="shared" si="1342"/>
        <v>5465.1</v>
      </c>
      <c r="AC483" s="32">
        <f t="shared" si="1342"/>
        <v>2135</v>
      </c>
      <c r="AD483" s="32">
        <f t="shared" si="1342"/>
        <v>0</v>
      </c>
      <c r="AE483" s="32">
        <f t="shared" si="1342"/>
        <v>2135</v>
      </c>
      <c r="AF483" s="32">
        <f t="shared" si="1342"/>
        <v>3182</v>
      </c>
      <c r="AG483" s="32">
        <f t="shared" si="1342"/>
        <v>0</v>
      </c>
      <c r="AH483" s="32">
        <f t="shared" si="1342"/>
        <v>3182</v>
      </c>
      <c r="AI483" s="32">
        <f t="shared" si="1342"/>
        <v>5317</v>
      </c>
      <c r="AJ483" s="34">
        <f t="shared" si="1333"/>
        <v>195.1821429</v>
      </c>
      <c r="AK483" s="31">
        <f t="shared" si="1343"/>
        <v>5887</v>
      </c>
      <c r="AL483" s="35">
        <f t="shared" si="1334"/>
        <v>0.9031764906</v>
      </c>
      <c r="AM483" s="36">
        <f t="shared" si="1344"/>
        <v>1.5</v>
      </c>
      <c r="AN483" s="35">
        <f t="shared" si="1335"/>
        <v>0.6486005136</v>
      </c>
      <c r="AO483" s="37">
        <f t="shared" si="1336"/>
        <v>0.9729007703</v>
      </c>
      <c r="AP483" s="36">
        <f t="shared" ref="AP483:AQ483" si="1345">SUM(T474)</f>
        <v>220.4380445</v>
      </c>
      <c r="AQ483" s="36">
        <f t="shared" si="1345"/>
        <v>7.872787305</v>
      </c>
      <c r="AR483" s="32">
        <f t="shared" si="1338"/>
        <v>189.8928571</v>
      </c>
    </row>
    <row r="484" ht="15.7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X484" s="31">
        <v>5.0</v>
      </c>
      <c r="Y484" s="31" t="s">
        <v>39</v>
      </c>
      <c r="Z484" s="31">
        <f t="shared" ref="Z484:AI484" si="1346">SUM(D475)</f>
        <v>28</v>
      </c>
      <c r="AA484" s="32">
        <f t="shared" si="1346"/>
        <v>27</v>
      </c>
      <c r="AB484" s="33">
        <f t="shared" si="1346"/>
        <v>5318.459</v>
      </c>
      <c r="AC484" s="32">
        <f t="shared" si="1346"/>
        <v>1229</v>
      </c>
      <c r="AD484" s="32">
        <f t="shared" si="1346"/>
        <v>0</v>
      </c>
      <c r="AE484" s="32">
        <f t="shared" si="1346"/>
        <v>1229</v>
      </c>
      <c r="AF484" s="32">
        <f t="shared" si="1346"/>
        <v>1740</v>
      </c>
      <c r="AG484" s="32">
        <f t="shared" si="1346"/>
        <v>0</v>
      </c>
      <c r="AH484" s="32">
        <f t="shared" si="1346"/>
        <v>1740</v>
      </c>
      <c r="AI484" s="32">
        <f t="shared" si="1346"/>
        <v>2969</v>
      </c>
      <c r="AJ484" s="34">
        <f t="shared" si="1333"/>
        <v>196.979963</v>
      </c>
      <c r="AK484" s="31">
        <f t="shared" si="1343"/>
        <v>3569</v>
      </c>
      <c r="AL484" s="35">
        <f t="shared" si="1334"/>
        <v>0.8318856823</v>
      </c>
      <c r="AM484" s="36">
        <f t="shared" si="1344"/>
        <v>1.5</v>
      </c>
      <c r="AN484" s="35">
        <f t="shared" si="1335"/>
        <v>0.3721629392</v>
      </c>
      <c r="AO484" s="37">
        <f t="shared" si="1336"/>
        <v>0.5582444088</v>
      </c>
      <c r="AP484" s="36">
        <f t="shared" ref="AP484:AQ484" si="1347">SUM(T475)</f>
        <v>247.7966268</v>
      </c>
      <c r="AQ484" s="36">
        <f t="shared" si="1347"/>
        <v>9.177652843</v>
      </c>
      <c r="AR484" s="32">
        <f t="shared" si="1338"/>
        <v>109.962963</v>
      </c>
    </row>
    <row r="485" ht="15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X485" s="31">
        <v>6.0</v>
      </c>
      <c r="Y485" s="31" t="s">
        <v>41</v>
      </c>
      <c r="Z485" s="31">
        <f t="shared" ref="Z485:AI485" si="1348">SUM(D476)</f>
        <v>24</v>
      </c>
      <c r="AA485" s="32">
        <f t="shared" si="1348"/>
        <v>24</v>
      </c>
      <c r="AB485" s="33">
        <f t="shared" si="1348"/>
        <v>4793.152</v>
      </c>
      <c r="AC485" s="32">
        <f t="shared" si="1348"/>
        <v>1363</v>
      </c>
      <c r="AD485" s="32">
        <f t="shared" si="1348"/>
        <v>0</v>
      </c>
      <c r="AE485" s="32">
        <f t="shared" si="1348"/>
        <v>1363</v>
      </c>
      <c r="AF485" s="32">
        <f t="shared" si="1348"/>
        <v>1818</v>
      </c>
      <c r="AG485" s="32">
        <f t="shared" si="1348"/>
        <v>0</v>
      </c>
      <c r="AH485" s="32">
        <f t="shared" si="1348"/>
        <v>1818</v>
      </c>
      <c r="AI485" s="32">
        <f t="shared" si="1348"/>
        <v>3181</v>
      </c>
      <c r="AJ485" s="34">
        <f t="shared" si="1333"/>
        <v>199.7146667</v>
      </c>
      <c r="AK485" s="31">
        <f t="shared" si="1343"/>
        <v>3801</v>
      </c>
      <c r="AL485" s="35">
        <f t="shared" si="1334"/>
        <v>0.8368850303</v>
      </c>
      <c r="AM485" s="36">
        <f t="shared" si="1344"/>
        <v>1.5</v>
      </c>
      <c r="AN485" s="35">
        <f t="shared" si="1335"/>
        <v>0.4424367653</v>
      </c>
      <c r="AO485" s="37">
        <f t="shared" si="1336"/>
        <v>0.663655148</v>
      </c>
      <c r="AP485" s="36">
        <f t="shared" ref="AP485:AQ485" si="1349">SUM(T476)</f>
        <v>161.7777778</v>
      </c>
      <c r="AQ485" s="36">
        <f t="shared" si="1349"/>
        <v>6.740740741</v>
      </c>
      <c r="AR485" s="32">
        <f t="shared" si="1338"/>
        <v>132.5416667</v>
      </c>
    </row>
    <row r="486" ht="15.75" customHeight="1">
      <c r="A486" s="1" t="s">
        <v>45</v>
      </c>
      <c r="D486" s="2"/>
      <c r="X486" s="46" t="s">
        <v>33</v>
      </c>
      <c r="Y486" s="46">
        <v>6.0</v>
      </c>
      <c r="Z486" s="46">
        <f t="shared" ref="Z486:AI486" si="1350">SUM(Z480:Z485)</f>
        <v>174</v>
      </c>
      <c r="AA486" s="47">
        <f t="shared" si="1350"/>
        <v>170</v>
      </c>
      <c r="AB486" s="49">
        <f t="shared" si="1350"/>
        <v>32628.013</v>
      </c>
      <c r="AC486" s="47">
        <f t="shared" si="1350"/>
        <v>13199</v>
      </c>
      <c r="AD486" s="47">
        <f t="shared" si="1350"/>
        <v>0</v>
      </c>
      <c r="AE486" s="47">
        <f t="shared" si="1350"/>
        <v>13199</v>
      </c>
      <c r="AF486" s="47">
        <f t="shared" si="1350"/>
        <v>17534</v>
      </c>
      <c r="AG486" s="47">
        <f t="shared" si="1350"/>
        <v>67</v>
      </c>
      <c r="AH486" s="47">
        <f t="shared" si="1350"/>
        <v>17601</v>
      </c>
      <c r="AI486" s="47">
        <f t="shared" si="1350"/>
        <v>30800</v>
      </c>
      <c r="AJ486" s="49">
        <f t="shared" si="1333"/>
        <v>191.9294882</v>
      </c>
      <c r="AK486" s="46">
        <f>SUM(AK480:AK485)</f>
        <v>37031</v>
      </c>
      <c r="AL486" s="50">
        <f t="shared" si="1334"/>
        <v>0.8317355729</v>
      </c>
      <c r="AM486" s="51">
        <v>1.5</v>
      </c>
      <c r="AN486" s="50">
        <f t="shared" si="1335"/>
        <v>0.6293160829</v>
      </c>
      <c r="AO486" s="52">
        <f t="shared" si="1336"/>
        <v>0.9439741243</v>
      </c>
      <c r="AP486" s="51">
        <f>SUM(AP480:AP485)</f>
        <v>1361.777661</v>
      </c>
      <c r="AQ486" s="51">
        <f>AP486/AA486</f>
        <v>8.010456831</v>
      </c>
      <c r="AR486" s="47">
        <f t="shared" si="1338"/>
        <v>181.1764706</v>
      </c>
    </row>
    <row r="487" ht="15.75" customHeight="1">
      <c r="A487" s="1" t="s">
        <v>45</v>
      </c>
      <c r="D487" s="2"/>
      <c r="X487" s="66" t="s">
        <v>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6"/>
    </row>
    <row r="488" ht="15.75" customHeight="1">
      <c r="A488" s="10">
        <v>46284.0</v>
      </c>
      <c r="B488" s="8" t="s">
        <v>2</v>
      </c>
      <c r="C488" s="8" t="s">
        <v>3</v>
      </c>
      <c r="D488" s="8" t="s">
        <v>4</v>
      </c>
      <c r="E488" s="8" t="s">
        <v>5</v>
      </c>
      <c r="F488" s="9" t="s">
        <v>6</v>
      </c>
      <c r="G488" s="8" t="s">
        <v>7</v>
      </c>
      <c r="H488" s="8" t="s">
        <v>8</v>
      </c>
      <c r="I488" s="8" t="s">
        <v>9</v>
      </c>
      <c r="J488" s="8" t="s">
        <v>10</v>
      </c>
      <c r="K488" s="8" t="s">
        <v>11</v>
      </c>
      <c r="L488" s="8" t="s">
        <v>12</v>
      </c>
      <c r="M488" s="8" t="s">
        <v>13</v>
      </c>
      <c r="N488" s="9" t="s">
        <v>14</v>
      </c>
      <c r="O488" s="8" t="s">
        <v>15</v>
      </c>
      <c r="P488" s="8" t="s">
        <v>16</v>
      </c>
      <c r="Q488" s="8" t="s">
        <v>17</v>
      </c>
      <c r="R488" s="8" t="s">
        <v>18</v>
      </c>
      <c r="S488" s="11" t="s">
        <v>19</v>
      </c>
      <c r="T488" s="12" t="s">
        <v>20</v>
      </c>
      <c r="U488" s="12" t="s">
        <v>21</v>
      </c>
      <c r="V488" s="13" t="s">
        <v>22</v>
      </c>
      <c r="X488" s="14" t="s">
        <v>2</v>
      </c>
      <c r="Y488" s="14" t="s">
        <v>3</v>
      </c>
      <c r="Z488" s="14" t="s">
        <v>4</v>
      </c>
      <c r="AA488" s="14" t="s">
        <v>5</v>
      </c>
      <c r="AB488" s="15" t="s">
        <v>6</v>
      </c>
      <c r="AC488" s="14" t="s">
        <v>7</v>
      </c>
      <c r="AD488" s="14" t="s">
        <v>8</v>
      </c>
      <c r="AE488" s="14" t="s">
        <v>9</v>
      </c>
      <c r="AF488" s="14" t="s">
        <v>10</v>
      </c>
      <c r="AG488" s="14" t="s">
        <v>11</v>
      </c>
      <c r="AH488" s="14" t="s">
        <v>12</v>
      </c>
      <c r="AI488" s="14" t="s">
        <v>13</v>
      </c>
      <c r="AJ488" s="15" t="s">
        <v>14</v>
      </c>
      <c r="AK488" s="14" t="s">
        <v>15</v>
      </c>
      <c r="AL488" s="14" t="s">
        <v>16</v>
      </c>
      <c r="AM488" s="16" t="s">
        <v>17</v>
      </c>
      <c r="AN488" s="17" t="s">
        <v>18</v>
      </c>
      <c r="AO488" s="18" t="s">
        <v>19</v>
      </c>
      <c r="AP488" s="19" t="s">
        <v>20</v>
      </c>
      <c r="AQ488" s="19" t="s">
        <v>21</v>
      </c>
      <c r="AR488" s="20" t="s">
        <v>22</v>
      </c>
    </row>
    <row r="489" ht="15.7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X489" s="22">
        <v>1.0</v>
      </c>
      <c r="Y489" s="22" t="s">
        <v>23</v>
      </c>
      <c r="Z489" s="22">
        <f t="shared" ref="Z489:AI489" si="1351">SUM(D497)</f>
        <v>28</v>
      </c>
      <c r="AA489" s="23">
        <f t="shared" si="1351"/>
        <v>34</v>
      </c>
      <c r="AB489" s="24">
        <f t="shared" si="1351"/>
        <v>6680.52</v>
      </c>
      <c r="AC489" s="23">
        <f t="shared" si="1351"/>
        <v>1627</v>
      </c>
      <c r="AD489" s="23">
        <f t="shared" si="1351"/>
        <v>0</v>
      </c>
      <c r="AE489" s="23">
        <f t="shared" si="1351"/>
        <v>1627</v>
      </c>
      <c r="AF489" s="23">
        <f t="shared" si="1351"/>
        <v>3262</v>
      </c>
      <c r="AG489" s="23">
        <f t="shared" si="1351"/>
        <v>0</v>
      </c>
      <c r="AH489" s="23">
        <f t="shared" si="1351"/>
        <v>3262</v>
      </c>
      <c r="AI489" s="23">
        <f t="shared" si="1351"/>
        <v>4889</v>
      </c>
      <c r="AJ489" s="25">
        <f t="shared" ref="AJ489:AJ491" si="1354">AB489/AA489</f>
        <v>196.4858824</v>
      </c>
      <c r="AK489" s="22">
        <f>SUM(O497)</f>
        <v>6853</v>
      </c>
      <c r="AL489" s="26">
        <f t="shared" ref="AL489:AL495" si="1355">AI489/AK489</f>
        <v>0.7134101853</v>
      </c>
      <c r="AM489" s="27">
        <f t="shared" ref="AM489:AM491" si="1356">SUM(Q497)</f>
        <v>1.5</v>
      </c>
      <c r="AN489" s="26">
        <f t="shared" ref="AN489:AN495" si="1357">AO489/AM489</f>
        <v>0.4878861725</v>
      </c>
      <c r="AO489" s="28">
        <f t="shared" ref="AO489:AO495" si="1358">AI489/AB489</f>
        <v>0.7318292588</v>
      </c>
      <c r="AP489" s="27">
        <f t="shared" ref="AP489:AQ489" si="1352">SUM(T497)</f>
        <v>198</v>
      </c>
      <c r="AQ489" s="27">
        <f t="shared" si="1352"/>
        <v>5.823529412</v>
      </c>
      <c r="AR489" s="23">
        <f t="shared" ref="AR489:AR495" si="1360">AI489/AA489</f>
        <v>143.7941176</v>
      </c>
    </row>
    <row r="490" ht="15.7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X490" s="22">
        <v>2.0</v>
      </c>
      <c r="Y490" s="22" t="s">
        <v>24</v>
      </c>
      <c r="Z490" s="22">
        <f t="shared" ref="Z490:AI490" si="1353">SUM(D498)</f>
        <v>37</v>
      </c>
      <c r="AA490" s="23">
        <f t="shared" si="1353"/>
        <v>44</v>
      </c>
      <c r="AB490" s="24">
        <f t="shared" si="1353"/>
        <v>8029.356</v>
      </c>
      <c r="AC490" s="23">
        <f t="shared" si="1353"/>
        <v>1194</v>
      </c>
      <c r="AD490" s="23">
        <f t="shared" si="1353"/>
        <v>0</v>
      </c>
      <c r="AE490" s="23">
        <f t="shared" si="1353"/>
        <v>1194</v>
      </c>
      <c r="AF490" s="23">
        <f t="shared" si="1353"/>
        <v>1455</v>
      </c>
      <c r="AG490" s="23">
        <f t="shared" si="1353"/>
        <v>0</v>
      </c>
      <c r="AH490" s="23">
        <f t="shared" si="1353"/>
        <v>1455</v>
      </c>
      <c r="AI490" s="23">
        <f t="shared" si="1353"/>
        <v>2649</v>
      </c>
      <c r="AJ490" s="25">
        <f t="shared" si="1354"/>
        <v>182.4853636</v>
      </c>
      <c r="AK490" s="22">
        <v>1580.0</v>
      </c>
      <c r="AL490" s="29">
        <f t="shared" si="1355"/>
        <v>1.676582278</v>
      </c>
      <c r="AM490" s="27">
        <f t="shared" si="1356"/>
        <v>1.5</v>
      </c>
      <c r="AN490" s="26">
        <f t="shared" si="1357"/>
        <v>0.2199429195</v>
      </c>
      <c r="AO490" s="28">
        <f t="shared" si="1358"/>
        <v>0.3299143792</v>
      </c>
      <c r="AP490" s="27">
        <f t="shared" ref="AP490:AQ490" si="1359">SUM(T498)</f>
        <v>299.5469502</v>
      </c>
      <c r="AQ490" s="27">
        <f t="shared" si="1359"/>
        <v>6.807885232</v>
      </c>
      <c r="AR490" s="23">
        <f t="shared" si="1360"/>
        <v>60.20454545</v>
      </c>
    </row>
    <row r="491" ht="15.75" customHeight="1">
      <c r="A491" s="21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X491" s="31">
        <v>3.0</v>
      </c>
      <c r="Y491" s="31" t="s">
        <v>25</v>
      </c>
      <c r="Z491" s="31">
        <f t="shared" ref="Z491:AI491" si="1361">SUM(D499)</f>
        <v>27</v>
      </c>
      <c r="AA491" s="32">
        <f t="shared" si="1361"/>
        <v>32</v>
      </c>
      <c r="AB491" s="33">
        <f t="shared" si="1361"/>
        <v>5963.536</v>
      </c>
      <c r="AC491" s="32">
        <f t="shared" si="1361"/>
        <v>2444</v>
      </c>
      <c r="AD491" s="32">
        <f t="shared" si="1361"/>
        <v>331</v>
      </c>
      <c r="AE491" s="32">
        <f t="shared" si="1361"/>
        <v>2775</v>
      </c>
      <c r="AF491" s="32">
        <f t="shared" si="1361"/>
        <v>3085</v>
      </c>
      <c r="AG491" s="32">
        <f t="shared" si="1361"/>
        <v>319</v>
      </c>
      <c r="AH491" s="32">
        <f t="shared" si="1361"/>
        <v>3404</v>
      </c>
      <c r="AI491" s="32">
        <f t="shared" si="1361"/>
        <v>6179</v>
      </c>
      <c r="AJ491" s="34">
        <f t="shared" si="1354"/>
        <v>186.3605</v>
      </c>
      <c r="AK491" s="31">
        <f>SUM(O499)</f>
        <v>6622</v>
      </c>
      <c r="AL491" s="35">
        <f t="shared" si="1355"/>
        <v>0.9331017819</v>
      </c>
      <c r="AM491" s="36">
        <f t="shared" si="1356"/>
        <v>1.5</v>
      </c>
      <c r="AN491" s="35">
        <f t="shared" si="1357"/>
        <v>0.6907534948</v>
      </c>
      <c r="AO491" s="37">
        <f t="shared" si="1358"/>
        <v>1.036130242</v>
      </c>
      <c r="AP491" s="36">
        <f t="shared" ref="AP491:AQ491" si="1362">SUM(T499)</f>
        <v>250.1483221</v>
      </c>
      <c r="AQ491" s="36">
        <f t="shared" si="1362"/>
        <v>7.817135067</v>
      </c>
      <c r="AR491" s="32">
        <f t="shared" si="1360"/>
        <v>193.09375</v>
      </c>
    </row>
    <row r="492" ht="15.75" customHeight="1">
      <c r="A492" s="21"/>
      <c r="B492" s="38">
        <v>1.0</v>
      </c>
      <c r="C492" s="38" t="s">
        <v>26</v>
      </c>
      <c r="D492" s="39">
        <v>16.0</v>
      </c>
      <c r="E492" s="40">
        <f>IFERROR(__xludf.DUMMYFUNCTION("COUNT(IMPORTRANGE(""https://docs.google.com/spreadsheets/d/1F0NpMx7WhcgPgxTWpryY3Z1CGg56FL6aiL4mHs43w4E/edit"",""1!d2:d21""))"),20.0)</f>
        <v>20</v>
      </c>
      <c r="F492" s="41">
        <f>IFERROR(__xludf.DUMMYFUNCTION("SUM(IMPORTRANGE(""https://docs.google.com/spreadsheets/d/1F0NpMx7WhcgPgxTWpryY3Z1CGg56FL6aiL4mHs43w4E/edit"",""1!Q2:Q21""))"),3935.2949999999996)</f>
        <v>3935.295</v>
      </c>
      <c r="G492" s="40">
        <f>IFERROR(__xludf.DUMMYFUNCTION("IMPORTRANGE(""https://docs.google.com/spreadsheets/d/1F0NpMx7WhcgPgxTWpryY3Z1CGg56FL6aiL4mHs43w4E/edit"",""1!e28"")"),2229.0)</f>
        <v>2229</v>
      </c>
      <c r="H492" s="40">
        <f>IFERROR(__xludf.DUMMYFUNCTION("IMPORTRANGE(""https://docs.google.com/spreadsheets/d/1F0NpMx7WhcgPgxTWpryY3Z1CGg56FL6aiL4mHs43w4E/edit"",""1!e29"")"),0.0)</f>
        <v>0</v>
      </c>
      <c r="I492" s="40">
        <f t="shared" ref="I492:I509" si="1365">SUM(G492:H492)</f>
        <v>2229</v>
      </c>
      <c r="J492" s="40">
        <f>IFERROR(__xludf.DUMMYFUNCTION("IMPORTRANGE(""https://docs.google.com/spreadsheets/d/1F0NpMx7WhcgPgxTWpryY3Z1CGg56FL6aiL4mHs43w4E/edit"",""1!e32"")"),2661.0)</f>
        <v>2661</v>
      </c>
      <c r="K492" s="40">
        <f>IFERROR(__xludf.DUMMYFUNCTION("IMPORTRANGE(""https://docs.google.com/spreadsheets/d/1F0NpMx7WhcgPgxTWpryY3Z1CGg56FL6aiL4mHs43w4E/edit"",""1!e33"")"),47.0)</f>
        <v>47</v>
      </c>
      <c r="L492" s="40">
        <f t="shared" ref="L492:L498" si="1366">SUM(J492:K492)</f>
        <v>2708</v>
      </c>
      <c r="M492" s="40">
        <f t="shared" ref="M492:M509" si="1367">SUM(I492+L492)</f>
        <v>4937</v>
      </c>
      <c r="N492" s="41">
        <f t="shared" ref="N492:N510" si="1368">F492/E492</f>
        <v>196.76475</v>
      </c>
      <c r="O492" s="38">
        <v>5161.0</v>
      </c>
      <c r="P492" s="42">
        <f t="shared" ref="P492:P510" si="1369">M492/O492</f>
        <v>0.9565975586</v>
      </c>
      <c r="Q492" s="43">
        <v>1.5</v>
      </c>
      <c r="R492" s="42">
        <f t="shared" ref="R492:R510" si="1370">S492/Q492</f>
        <v>0.8363625429</v>
      </c>
      <c r="S492" s="44">
        <f t="shared" ref="S492:S510" si="1371">M492/F492</f>
        <v>1.254543814</v>
      </c>
      <c r="T492" s="43">
        <f>F492/14.415</f>
        <v>273</v>
      </c>
      <c r="U492" s="43">
        <f t="shared" ref="U492:U510" si="1372">T492/E492</f>
        <v>13.65</v>
      </c>
      <c r="V492" s="40">
        <f t="shared" ref="V492:V510" si="1373">M492/E492</f>
        <v>246.85</v>
      </c>
      <c r="X492" s="22">
        <v>4.0</v>
      </c>
      <c r="Y492" s="22" t="s">
        <v>27</v>
      </c>
      <c r="Z492" s="22">
        <f t="shared" ref="Z492:AK492" si="1363">SUM(D505)</f>
        <v>24</v>
      </c>
      <c r="AA492" s="23">
        <f t="shared" si="1363"/>
        <v>29</v>
      </c>
      <c r="AB492" s="24">
        <f t="shared" si="1363"/>
        <v>5631.663</v>
      </c>
      <c r="AC492" s="23">
        <f t="shared" si="1363"/>
        <v>2486</v>
      </c>
      <c r="AD492" s="23">
        <f t="shared" si="1363"/>
        <v>80</v>
      </c>
      <c r="AE492" s="23">
        <f t="shared" si="1363"/>
        <v>2566</v>
      </c>
      <c r="AF492" s="23">
        <f t="shared" si="1363"/>
        <v>2945</v>
      </c>
      <c r="AG492" s="23">
        <f t="shared" si="1363"/>
        <v>88</v>
      </c>
      <c r="AH492" s="23">
        <f t="shared" si="1363"/>
        <v>3033</v>
      </c>
      <c r="AI492" s="23">
        <f t="shared" si="1363"/>
        <v>5599</v>
      </c>
      <c r="AJ492" s="25">
        <f t="shared" si="1363"/>
        <v>194.1952759</v>
      </c>
      <c r="AK492" s="22">
        <f t="shared" si="1363"/>
        <v>8101</v>
      </c>
      <c r="AL492" s="26">
        <f t="shared" si="1355"/>
        <v>0.6911492408</v>
      </c>
      <c r="AM492" s="27">
        <f>SUM(Q505)</f>
        <v>1.5</v>
      </c>
      <c r="AN492" s="26">
        <f t="shared" si="1357"/>
        <v>0.6628000764</v>
      </c>
      <c r="AO492" s="28">
        <f t="shared" si="1358"/>
        <v>0.9942001146</v>
      </c>
      <c r="AP492" s="27">
        <f t="shared" ref="AP492:AQ492" si="1364">SUM(T505)</f>
        <v>281.7944959</v>
      </c>
      <c r="AQ492" s="27">
        <f t="shared" si="1364"/>
        <v>9.717051582</v>
      </c>
      <c r="AR492" s="23">
        <f t="shared" si="1360"/>
        <v>193.0689655</v>
      </c>
    </row>
    <row r="493" ht="15.75" customHeight="1">
      <c r="A493" s="21"/>
      <c r="B493" s="38">
        <v>2.0</v>
      </c>
      <c r="C493" s="38" t="s">
        <v>28</v>
      </c>
      <c r="D493" s="39">
        <v>26.0</v>
      </c>
      <c r="E493" s="40">
        <f>IFERROR(__xludf.DUMMYFUNCTION("COUNT(IMPORTRANGE(""https://docs.google.com/spreadsheets/d/1H9vAqftAHb0OdeSGXHTnJFzoWUgpoH31sc0sHNN8y1o/edit"",""1!d2:d34""))"),32.0)</f>
        <v>32</v>
      </c>
      <c r="F493" s="41">
        <f>IFERROR(__xludf.DUMMYFUNCTION("SUM(IMPORTRANGE(""https://docs.google.com/spreadsheets/d/1H9vAqftAHb0OdeSGXHTnJFzoWUgpoH31sc0sHNN8y1o/edit"",""1!Q2:Q34""))"),6234.134999999998)</f>
        <v>6234.135</v>
      </c>
      <c r="G493" s="40">
        <f>IFERROR(__xludf.DUMMYFUNCTION("IMPORTRANGE(""https://docs.google.com/spreadsheets/d/1H9vAqftAHb0OdeSGXHTnJFzoWUgpoH31sc0sHNN8y1o/edit"",""1!e41"")"),2719.0)</f>
        <v>2719</v>
      </c>
      <c r="H493" s="40">
        <f>IFERROR(__xludf.DUMMYFUNCTION("IMPORTRANGE(""https://docs.google.com/spreadsheets/d/1H9vAqftAHb0OdeSGXHTnJFzoWUgpoH31sc0sHNN8y1o/edit"",""1!e42"")"),208.0)</f>
        <v>208</v>
      </c>
      <c r="I493" s="40">
        <f t="shared" si="1365"/>
        <v>2927</v>
      </c>
      <c r="J493" s="40">
        <f>IFERROR(__xludf.DUMMYFUNCTION("IMPORTRANGE(""https://docs.google.com/spreadsheets/d/1H9vAqftAHb0OdeSGXHTnJFzoWUgpoH31sc0sHNN8y1o/edit"",""1!e45"")"),3192.0)</f>
        <v>3192</v>
      </c>
      <c r="K493" s="40">
        <f>IFERROR(__xludf.DUMMYFUNCTION("IMPORTRANGE(""https://docs.google.com/spreadsheets/d/1H9vAqftAHb0OdeSGXHTnJFzoWUgpoH31sc0sHNN8y1o/edit"",""1!e46"")"),138.0)</f>
        <v>138</v>
      </c>
      <c r="L493" s="40">
        <f t="shared" si="1366"/>
        <v>3330</v>
      </c>
      <c r="M493" s="40">
        <f t="shared" si="1367"/>
        <v>6257</v>
      </c>
      <c r="N493" s="41">
        <f t="shared" si="1368"/>
        <v>194.8167188</v>
      </c>
      <c r="O493" s="38">
        <v>7315.0</v>
      </c>
      <c r="P493" s="42">
        <f t="shared" si="1369"/>
        <v>0.8553656869</v>
      </c>
      <c r="Q493" s="43">
        <v>1.5</v>
      </c>
      <c r="R493" s="42">
        <f t="shared" si="1370"/>
        <v>0.6691118067</v>
      </c>
      <c r="S493" s="44">
        <f t="shared" si="1371"/>
        <v>1.00366771</v>
      </c>
      <c r="T493" s="43">
        <f>F493/30.897</f>
        <v>201.7715312</v>
      </c>
      <c r="U493" s="43">
        <f t="shared" si="1372"/>
        <v>6.305360351</v>
      </c>
      <c r="V493" s="40">
        <f t="shared" si="1373"/>
        <v>195.53125</v>
      </c>
      <c r="X493" s="22">
        <v>5.0</v>
      </c>
      <c r="Y493" s="22" t="s">
        <v>29</v>
      </c>
      <c r="Z493" s="22">
        <f t="shared" ref="Z493:AI493" si="1374">SUM(D508)</f>
        <v>24</v>
      </c>
      <c r="AA493" s="23">
        <f t="shared" si="1374"/>
        <v>29</v>
      </c>
      <c r="AB493" s="24">
        <f t="shared" si="1374"/>
        <v>5722.056</v>
      </c>
      <c r="AC493" s="23">
        <f t="shared" si="1374"/>
        <v>2610</v>
      </c>
      <c r="AD493" s="23">
        <f t="shared" si="1374"/>
        <v>0</v>
      </c>
      <c r="AE493" s="23">
        <f t="shared" si="1374"/>
        <v>2610</v>
      </c>
      <c r="AF493" s="23">
        <f t="shared" si="1374"/>
        <v>4378</v>
      </c>
      <c r="AG493" s="23">
        <f t="shared" si="1374"/>
        <v>0</v>
      </c>
      <c r="AH493" s="23">
        <f t="shared" si="1374"/>
        <v>4378</v>
      </c>
      <c r="AI493" s="23">
        <f t="shared" si="1374"/>
        <v>6988</v>
      </c>
      <c r="AJ493" s="25">
        <f t="shared" ref="AJ493:AJ495" si="1377">AB493/AA493</f>
        <v>197.3122759</v>
      </c>
      <c r="AK493" s="22">
        <f t="shared" ref="AK493:AK494" si="1378">SUM(O508)</f>
        <v>9201</v>
      </c>
      <c r="AL493" s="26">
        <f t="shared" si="1355"/>
        <v>0.7594826649</v>
      </c>
      <c r="AM493" s="27">
        <f t="shared" ref="AM493:AM494" si="1379">SUM(Q508)</f>
        <v>1.5</v>
      </c>
      <c r="AN493" s="26">
        <f t="shared" si="1357"/>
        <v>0.8141595725</v>
      </c>
      <c r="AO493" s="28">
        <f t="shared" si="1358"/>
        <v>1.221239359</v>
      </c>
      <c r="AP493" s="27">
        <f t="shared" ref="AP493:AQ493" si="1375">SUM(T508)</f>
        <v>216</v>
      </c>
      <c r="AQ493" s="27">
        <f t="shared" si="1375"/>
        <v>7.448275862</v>
      </c>
      <c r="AR493" s="23">
        <f t="shared" si="1360"/>
        <v>240.9655172</v>
      </c>
    </row>
    <row r="494" ht="15.75" customHeight="1">
      <c r="A494" s="21"/>
      <c r="B494" s="38">
        <v>3.0</v>
      </c>
      <c r="C494" s="38" t="s">
        <v>30</v>
      </c>
      <c r="D494" s="39">
        <v>48.0</v>
      </c>
      <c r="E494" s="40">
        <f>IFERROR(__xludf.DUMMYFUNCTION("COUNT(IMPORTRANGE(""https://docs.google.com/spreadsheets/d/1EWN6nfpuVxbUE_9opjYCWaI7MTm5xsF6ssjklSbMZnA/edit"",""1!d2:d61""))"),59.0)</f>
        <v>59</v>
      </c>
      <c r="F494" s="45">
        <f>IFERROR(__xludf.DUMMYFUNCTION("SUM(IMPORTRANGE(""https://docs.google.com/spreadsheets/d/1EWN6nfpuVxbUE_9opjYCWaI7MTm5xsF6ssjklSbMZnA/edit"",""1!Q2:Q61""))"),11739.691999999988)</f>
        <v>11739.692</v>
      </c>
      <c r="G494" s="40">
        <f>IFERROR(__xludf.DUMMYFUNCTION("IMPORTRANGE(""https://docs.google.com/spreadsheets/d/1EWN6nfpuVxbUE_9opjYCWaI7MTm5xsF6ssjklSbMZnA/edit"",""1!e68"")"),3754.0)</f>
        <v>3754</v>
      </c>
      <c r="H494" s="40">
        <f>IFERROR(__xludf.DUMMYFUNCTION("IMPORTRANGE(""https://docs.google.com/spreadsheets/d/1EWN6nfpuVxbUE_9opjYCWaI7MTm5xsF6ssjklSbMZnA/edit"",""1!e69"")"),14.0)</f>
        <v>14</v>
      </c>
      <c r="I494" s="40">
        <f t="shared" si="1365"/>
        <v>3768</v>
      </c>
      <c r="J494" s="40">
        <f>IFERROR(__xludf.DUMMYFUNCTION("IMPORTRANGE(""https://docs.google.com/spreadsheets/d/1EWN6nfpuVxbUE_9opjYCWaI7MTm5xsF6ssjklSbMZnA/edit"",""1!e72"")"),5982.0)</f>
        <v>5982</v>
      </c>
      <c r="K494" s="40">
        <f>IFERROR(__xludf.DUMMYFUNCTION("IMPORTRANGE(""https://docs.google.com/spreadsheets/d/1EWN6nfpuVxbUE_9opjYCWaI7MTm5xsF6ssjklSbMZnA/edit"",""1!e73"")"),0.0)</f>
        <v>0</v>
      </c>
      <c r="L494" s="40">
        <f t="shared" si="1366"/>
        <v>5982</v>
      </c>
      <c r="M494" s="40">
        <f t="shared" si="1367"/>
        <v>9750</v>
      </c>
      <c r="N494" s="41">
        <f t="shared" si="1368"/>
        <v>198.9778305</v>
      </c>
      <c r="O494" s="38">
        <v>11164.0</v>
      </c>
      <c r="P494" s="42">
        <f t="shared" si="1369"/>
        <v>0.8733428879</v>
      </c>
      <c r="Q494" s="43">
        <v>1.5</v>
      </c>
      <c r="R494" s="42">
        <f t="shared" si="1370"/>
        <v>0.5536772174</v>
      </c>
      <c r="S494" s="44">
        <f t="shared" si="1371"/>
        <v>0.8305158261</v>
      </c>
      <c r="T494" s="43">
        <f>F494/29.603</f>
        <v>396.5710232</v>
      </c>
      <c r="U494" s="43">
        <f t="shared" si="1372"/>
        <v>6.721542766</v>
      </c>
      <c r="V494" s="40">
        <f t="shared" si="1373"/>
        <v>165.2542373</v>
      </c>
      <c r="X494" s="22">
        <v>6.0</v>
      </c>
      <c r="Y494" s="22" t="s">
        <v>31</v>
      </c>
      <c r="Z494" s="22">
        <f t="shared" ref="Z494:AI494" si="1376">SUM(D509)</f>
        <v>12</v>
      </c>
      <c r="AA494" s="23">
        <f t="shared" si="1376"/>
        <v>14</v>
      </c>
      <c r="AB494" s="25">
        <f t="shared" si="1376"/>
        <v>2520.97</v>
      </c>
      <c r="AC494" s="23">
        <f t="shared" si="1376"/>
        <v>633</v>
      </c>
      <c r="AD494" s="23">
        <f t="shared" si="1376"/>
        <v>0</v>
      </c>
      <c r="AE494" s="23">
        <f t="shared" si="1376"/>
        <v>633</v>
      </c>
      <c r="AF494" s="23">
        <f t="shared" si="1376"/>
        <v>1148</v>
      </c>
      <c r="AG494" s="23">
        <f t="shared" si="1376"/>
        <v>15</v>
      </c>
      <c r="AH494" s="23">
        <f t="shared" si="1376"/>
        <v>1163</v>
      </c>
      <c r="AI494" s="23">
        <f t="shared" si="1376"/>
        <v>1796</v>
      </c>
      <c r="AJ494" s="25">
        <f t="shared" si="1377"/>
        <v>180.0692857</v>
      </c>
      <c r="AK494" s="22">
        <f t="shared" si="1378"/>
        <v>2717</v>
      </c>
      <c r="AL494" s="26">
        <f t="shared" si="1355"/>
        <v>0.6610231873</v>
      </c>
      <c r="AM494" s="27">
        <f t="shared" si="1379"/>
        <v>1.5</v>
      </c>
      <c r="AN494" s="26">
        <f t="shared" si="1357"/>
        <v>0.4749494573</v>
      </c>
      <c r="AO494" s="28">
        <f t="shared" si="1358"/>
        <v>0.7124241859</v>
      </c>
      <c r="AP494" s="27">
        <f t="shared" ref="AP494:AQ494" si="1380">SUM(T509)</f>
        <v>58</v>
      </c>
      <c r="AQ494" s="27">
        <f t="shared" si="1380"/>
        <v>4.142857143</v>
      </c>
      <c r="AR494" s="23">
        <f t="shared" si="1360"/>
        <v>128.2857143</v>
      </c>
    </row>
    <row r="495" ht="15.75" customHeight="1">
      <c r="A495" s="21"/>
      <c r="B495" s="38">
        <v>4.0</v>
      </c>
      <c r="C495" s="38" t="s">
        <v>32</v>
      </c>
      <c r="D495" s="39">
        <v>33.0</v>
      </c>
      <c r="E495" s="40">
        <f>IFERROR(__xludf.DUMMYFUNCTION("COUNT(IMPORTRANGE(""https://docs.google.com/spreadsheets/d/1Rmar8QqWK4XOJ-eY6xMzkAfDSw0srEXcAw89ilArun8/edit"",""1!d2:d43""))"),42.0)</f>
        <v>42</v>
      </c>
      <c r="F495" s="45">
        <f>IFERROR(__xludf.DUMMYFUNCTION("SUM(IMPORTRANGE(""https://docs.google.com/spreadsheets/d/1Rmar8QqWK4XOJ-eY6xMzkAfDSw0srEXcAw89ilArun8/edit"",""1!Q2:Q43""))"),8240.661999999991)</f>
        <v>8240.662</v>
      </c>
      <c r="G495" s="38">
        <f>IFERROR(__xludf.DUMMYFUNCTION("IMPORTRANGE(""https://docs.google.com/spreadsheets/d/1Rmar8QqWK4XOJ-eY6xMzkAfDSw0srEXcAw89ilArun8/edit"",""1!e50"")"),4515.0)</f>
        <v>4515</v>
      </c>
      <c r="H495" s="38">
        <f>IFERROR(__xludf.DUMMYFUNCTION("IMPORTRANGE(""https://docs.google.com/spreadsheets/d/1Rmar8QqWK4XOJ-eY6xMzkAfDSw0srEXcAw89ilArun8/edit"",""1!e51"")"),0.0)</f>
        <v>0</v>
      </c>
      <c r="I495" s="40">
        <f t="shared" si="1365"/>
        <v>4515</v>
      </c>
      <c r="J495" s="38">
        <f>IFERROR(__xludf.DUMMYFUNCTION("IMPORTRANGE(""https://docs.google.com/spreadsheets/d/1Rmar8QqWK4XOJ-eY6xMzkAfDSw0srEXcAw89ilArun8/edit"",""1!e54"")"),5726.0)</f>
        <v>5726</v>
      </c>
      <c r="K495" s="38">
        <f>IFERROR(__xludf.DUMMYFUNCTION("IMPORTRANGE(""https://docs.google.com/spreadsheets/d/1Rmar8QqWK4XOJ-eY6xMzkAfDSw0srEXcAw89ilArun8/edit"",""1!e55"")"),0.0)</f>
        <v>0</v>
      </c>
      <c r="L495" s="40">
        <f t="shared" si="1366"/>
        <v>5726</v>
      </c>
      <c r="M495" s="40">
        <f t="shared" si="1367"/>
        <v>10241</v>
      </c>
      <c r="N495" s="41">
        <f t="shared" si="1368"/>
        <v>196.2062381</v>
      </c>
      <c r="O495" s="38">
        <v>13817.0</v>
      </c>
      <c r="P495" s="42">
        <f t="shared" si="1369"/>
        <v>0.7411883911</v>
      </c>
      <c r="Q495" s="43">
        <v>1.5</v>
      </c>
      <c r="R495" s="42">
        <f t="shared" si="1370"/>
        <v>0.8284933096</v>
      </c>
      <c r="S495" s="44">
        <f t="shared" si="1371"/>
        <v>1.242739964</v>
      </c>
      <c r="T495" s="43">
        <f>F495/25.089</f>
        <v>328.4571725</v>
      </c>
      <c r="U495" s="43">
        <f t="shared" si="1372"/>
        <v>7.820408868</v>
      </c>
      <c r="V495" s="40">
        <f t="shared" si="1373"/>
        <v>243.8333333</v>
      </c>
      <c r="X495" s="46" t="s">
        <v>33</v>
      </c>
      <c r="Y495" s="46">
        <v>6.0</v>
      </c>
      <c r="Z495" s="46">
        <f t="shared" ref="Z495:AI495" si="1381">SUM(Z489:Z494)</f>
        <v>152</v>
      </c>
      <c r="AA495" s="47">
        <f t="shared" si="1381"/>
        <v>182</v>
      </c>
      <c r="AB495" s="48">
        <f t="shared" si="1381"/>
        <v>34548.101</v>
      </c>
      <c r="AC495" s="47">
        <f t="shared" si="1381"/>
        <v>10994</v>
      </c>
      <c r="AD495" s="47">
        <f t="shared" si="1381"/>
        <v>411</v>
      </c>
      <c r="AE495" s="47">
        <f t="shared" si="1381"/>
        <v>11405</v>
      </c>
      <c r="AF495" s="47">
        <f t="shared" si="1381"/>
        <v>16273</v>
      </c>
      <c r="AG495" s="47">
        <f t="shared" si="1381"/>
        <v>422</v>
      </c>
      <c r="AH495" s="47">
        <f t="shared" si="1381"/>
        <v>16695</v>
      </c>
      <c r="AI495" s="47">
        <f t="shared" si="1381"/>
        <v>28100</v>
      </c>
      <c r="AJ495" s="49">
        <f t="shared" si="1377"/>
        <v>189.8247308</v>
      </c>
      <c r="AK495" s="46">
        <f>SUM(AK489:AK494)</f>
        <v>35074</v>
      </c>
      <c r="AL495" s="50">
        <f t="shared" si="1355"/>
        <v>0.8011632548</v>
      </c>
      <c r="AM495" s="51">
        <v>1.5</v>
      </c>
      <c r="AN495" s="50">
        <f t="shared" si="1357"/>
        <v>0.542239162</v>
      </c>
      <c r="AO495" s="52">
        <f t="shared" si="1358"/>
        <v>0.8133587429</v>
      </c>
      <c r="AP495" s="51">
        <f>SUM(AP489:AP494)</f>
        <v>1303.489768</v>
      </c>
      <c r="AQ495" s="51">
        <f>AP495/AA495</f>
        <v>7.162031693</v>
      </c>
      <c r="AR495" s="47">
        <f t="shared" si="1360"/>
        <v>154.3956044</v>
      </c>
    </row>
    <row r="496" ht="15.75" customHeight="1">
      <c r="A496" s="21"/>
      <c r="B496" s="38">
        <v>5.0</v>
      </c>
      <c r="C496" s="38" t="s">
        <v>34</v>
      </c>
      <c r="D496" s="39">
        <v>32.0</v>
      </c>
      <c r="E496" s="40">
        <f>IFERROR(__xludf.DUMMYFUNCTION("COUNT(IMPORTRANGE(""https://docs.google.com/spreadsheets/d/1u99JxAoytGQQ8GcjxXl38CGdyEWy5uIbuJJHnsotyvk/edit"",""1!d2:d41""))"),40.0)</f>
        <v>40</v>
      </c>
      <c r="F496" s="45">
        <f>IFERROR(__xludf.DUMMYFUNCTION("SUM(IMPORTRANGE(""https://docs.google.com/spreadsheets/d/1u99JxAoytGQQ8GcjxXl38CGdyEWy5uIbuJJHnsotyvk/edit"",""1!Q2:Q41""))"),8007.324000000002)</f>
        <v>8007.324</v>
      </c>
      <c r="G496" s="40">
        <f>IFERROR(__xludf.DUMMYFUNCTION("IMPORTRANGE(""https://docs.google.com/spreadsheets/d/1u99JxAoytGQQ8GcjxXl38CGdyEWy5uIbuJJHnsotyvk/edit"",""1!e48"")"),2819.0)</f>
        <v>2819</v>
      </c>
      <c r="H496" s="40">
        <f>IFERROR(__xludf.DUMMYFUNCTION("IMPORTRANGE(""https://docs.google.com/spreadsheets/d/1u99JxAoytGQQ8GcjxXl38CGdyEWy5uIbuJJHnsotyvk/edit"",""1!e49"")"),0.0)</f>
        <v>0</v>
      </c>
      <c r="I496" s="40">
        <f t="shared" si="1365"/>
        <v>2819</v>
      </c>
      <c r="J496" s="40">
        <f>IFERROR(__xludf.DUMMYFUNCTION("IMPORTRANGE(""https://docs.google.com/spreadsheets/d/1u99JxAoytGQQ8GcjxXl38CGdyEWy5uIbuJJHnsotyvk/edit"",""1!e52"")"),3504.0)</f>
        <v>3504</v>
      </c>
      <c r="K496" s="40">
        <f>IFERROR(__xludf.DUMMYFUNCTION("IMPORTRANGE(""https://docs.google.com/spreadsheets/d/1u99JxAoytGQQ8GcjxXl38CGdyEWy5uIbuJJHnsotyvk/edit"",""1!e53"")"),0.0)</f>
        <v>0</v>
      </c>
      <c r="L496" s="40">
        <f t="shared" si="1366"/>
        <v>3504</v>
      </c>
      <c r="M496" s="40">
        <f t="shared" si="1367"/>
        <v>6323</v>
      </c>
      <c r="N496" s="41">
        <f t="shared" si="1368"/>
        <v>200.1831</v>
      </c>
      <c r="O496" s="38">
        <v>9354.0</v>
      </c>
      <c r="P496" s="42">
        <f t="shared" si="1369"/>
        <v>0.6759675005</v>
      </c>
      <c r="Q496" s="43">
        <v>1.5</v>
      </c>
      <c r="R496" s="42">
        <f t="shared" si="1370"/>
        <v>0.5264347157</v>
      </c>
      <c r="S496" s="44">
        <f t="shared" si="1371"/>
        <v>0.7896520735</v>
      </c>
      <c r="T496" s="43">
        <f>F496/30.713</f>
        <v>260.7144857</v>
      </c>
      <c r="U496" s="43">
        <f t="shared" si="1372"/>
        <v>6.517862143</v>
      </c>
      <c r="V496" s="40">
        <f t="shared" si="1373"/>
        <v>158.075</v>
      </c>
      <c r="X496" s="53" t="s">
        <v>35</v>
      </c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6"/>
    </row>
    <row r="497" ht="15.75" customHeight="1">
      <c r="A497" s="21"/>
      <c r="B497" s="38">
        <v>6.0</v>
      </c>
      <c r="C497" s="38" t="s">
        <v>23</v>
      </c>
      <c r="D497" s="39">
        <v>28.0</v>
      </c>
      <c r="E497" s="40">
        <f>IFERROR(__xludf.DUMMYFUNCTION("COUNT(IMPORTRANGE(""https://docs.google.com/spreadsheets/d/1uVc-vnTn57HE53lwrUYNZP4sGKTXisrqOoZ-6EyvLzY/edit"",""1!d2:d36""))"),34.0)</f>
        <v>34</v>
      </c>
      <c r="F497" s="45">
        <f>IFERROR(__xludf.DUMMYFUNCTION("SUM(IMPORTRANGE(""https://docs.google.com/spreadsheets/d/1uVc-vnTn57HE53lwrUYNZP4sGKTXisrqOoZ-6EyvLzY/edit"",""1!Q2:Q36""))"),6680.519999999995)</f>
        <v>6680.52</v>
      </c>
      <c r="G497" s="40">
        <f>IFERROR(__xludf.DUMMYFUNCTION("IMPORTRANGE(""https://docs.google.com/spreadsheets/d/1uVc-vnTn57HE53lwrUYNZP4sGKTXisrqOoZ-6EyvLzY/edit"",""1!e43"")"),1627.0)</f>
        <v>1627</v>
      </c>
      <c r="H497" s="40">
        <f>IFERROR(__xludf.DUMMYFUNCTION("IMPORTRANGE(""https://docs.google.com/spreadsheets/d/1uVc-vnTn57HE53lwrUYNZP4sGKTXisrqOoZ-6EyvLzY/edit"",""1!e44"")"),0.0)</f>
        <v>0</v>
      </c>
      <c r="I497" s="40">
        <f t="shared" si="1365"/>
        <v>1627</v>
      </c>
      <c r="J497" s="40">
        <f>IFERROR(__xludf.DUMMYFUNCTION("IMPORTRANGE(""https://docs.google.com/spreadsheets/d/1uVc-vnTn57HE53lwrUYNZP4sGKTXisrqOoZ-6EyvLzY/edit"",""1!e47"")"),3262.0)</f>
        <v>3262</v>
      </c>
      <c r="K497" s="40">
        <f>IFERROR(__xludf.DUMMYFUNCTION("IMPORTRANGE(""https://docs.google.com/spreadsheets/d/1uVc-vnTn57HE53lwrUYNZP4sGKTXisrqOoZ-6EyvLzY/edit"",""1!e48"")"),0.0)</f>
        <v>0</v>
      </c>
      <c r="L497" s="40">
        <f t="shared" si="1366"/>
        <v>3262</v>
      </c>
      <c r="M497" s="40">
        <f t="shared" si="1367"/>
        <v>4889</v>
      </c>
      <c r="N497" s="41">
        <f t="shared" si="1368"/>
        <v>196.4858824</v>
      </c>
      <c r="O497" s="38">
        <v>6853.0</v>
      </c>
      <c r="P497" s="42">
        <f t="shared" si="1369"/>
        <v>0.7134101853</v>
      </c>
      <c r="Q497" s="43">
        <v>1.5</v>
      </c>
      <c r="R497" s="42">
        <f t="shared" si="1370"/>
        <v>0.4878861725</v>
      </c>
      <c r="S497" s="44">
        <f t="shared" si="1371"/>
        <v>0.7318292588</v>
      </c>
      <c r="T497" s="43">
        <f>F497/33.74</f>
        <v>198</v>
      </c>
      <c r="U497" s="43">
        <f t="shared" si="1372"/>
        <v>5.823529412</v>
      </c>
      <c r="V497" s="40">
        <f t="shared" si="1373"/>
        <v>143.7941176</v>
      </c>
      <c r="X497" s="14" t="s">
        <v>2</v>
      </c>
      <c r="Y497" s="14" t="s">
        <v>3</v>
      </c>
      <c r="Z497" s="14" t="s">
        <v>4</v>
      </c>
      <c r="AA497" s="14" t="s">
        <v>5</v>
      </c>
      <c r="AB497" s="15" t="s">
        <v>6</v>
      </c>
      <c r="AC497" s="14" t="s">
        <v>7</v>
      </c>
      <c r="AD497" s="14" t="s">
        <v>8</v>
      </c>
      <c r="AE497" s="14" t="s">
        <v>9</v>
      </c>
      <c r="AF497" s="14" t="s">
        <v>10</v>
      </c>
      <c r="AG497" s="14" t="s">
        <v>11</v>
      </c>
      <c r="AH497" s="14" t="s">
        <v>12</v>
      </c>
      <c r="AI497" s="14" t="s">
        <v>13</v>
      </c>
      <c r="AJ497" s="15" t="s">
        <v>14</v>
      </c>
      <c r="AK497" s="14" t="s">
        <v>15</v>
      </c>
      <c r="AL497" s="14" t="s">
        <v>16</v>
      </c>
      <c r="AM497" s="16" t="s">
        <v>17</v>
      </c>
      <c r="AN497" s="17" t="s">
        <v>18</v>
      </c>
      <c r="AO497" s="18" t="s">
        <v>19</v>
      </c>
      <c r="AP497" s="19" t="s">
        <v>20</v>
      </c>
      <c r="AQ497" s="19" t="s">
        <v>21</v>
      </c>
      <c r="AR497" s="20" t="s">
        <v>22</v>
      </c>
    </row>
    <row r="498" ht="15.75" customHeight="1">
      <c r="A498" s="21"/>
      <c r="B498" s="38">
        <v>7.0</v>
      </c>
      <c r="C498" s="38" t="s">
        <v>24</v>
      </c>
      <c r="D498" s="39">
        <v>37.0</v>
      </c>
      <c r="E498" s="54">
        <f>IFERROR(__xludf.DUMMYFUNCTION("COUNT(IMPORTRANGE(""https://docs.google.com/spreadsheets/d/1iuPvivSypupo44l6GtmR-2qZ3za7cTk7KzsOVp_kv2c/edit"",""1!d2:d45""))"),44.0)</f>
        <v>44</v>
      </c>
      <c r="F498" s="55">
        <f>IFERROR(__xludf.DUMMYFUNCTION("SUM(IMPORTRANGE(""https://docs.google.com/spreadsheets/d/1iuPvivSypupo44l6GtmR-2qZ3za7cTk7KzsOVp_kv2c/edit"",""1!Q2:Q45""))"),8029.355999999994)</f>
        <v>8029.356</v>
      </c>
      <c r="G498" s="54">
        <f>IFERROR(__xludf.DUMMYFUNCTION("IMPORTRANGE(""https://docs.google.com/spreadsheets/d/1iuPvivSypupo44l6GtmR-2qZ3za7cTk7KzsOVp_kv2c/edit"",""1!e53"")"),1194.0)</f>
        <v>1194</v>
      </c>
      <c r="H498" s="54">
        <f>IFERROR(__xludf.DUMMYFUNCTION("IMPORTRANGE(""https://docs.google.com/spreadsheets/d/1iuPvivSypupo44l6GtmR-2qZ3za7cTk7KzsOVp_kv2c/edit"",""1!e54"")"),0.0)</f>
        <v>0</v>
      </c>
      <c r="I498" s="54">
        <f t="shared" si="1365"/>
        <v>1194</v>
      </c>
      <c r="J498" s="54">
        <f>IFERROR(__xludf.DUMMYFUNCTION("IMPORTRANGE(""https://docs.google.com/spreadsheets/d/1iuPvivSypupo44l6GtmR-2qZ3za7cTk7KzsOVp_kv2c/edit"",""1!e57"")"),1455.0)</f>
        <v>1455</v>
      </c>
      <c r="K498" s="54">
        <f>IFERROR(__xludf.DUMMYFUNCTION("IMPORTRANGE(""https://docs.google.com/spreadsheets/d/1iuPvivSypupo44l6GtmR-2qZ3za7cTk7KzsOVp_kv2c/edit"",""1!e58"")"),0.0)</f>
        <v>0</v>
      </c>
      <c r="L498" s="40">
        <f t="shared" si="1366"/>
        <v>1455</v>
      </c>
      <c r="M498" s="40">
        <f t="shared" si="1367"/>
        <v>2649</v>
      </c>
      <c r="N498" s="41">
        <f t="shared" si="1368"/>
        <v>182.4853636</v>
      </c>
      <c r="O498" s="38">
        <v>1580.0</v>
      </c>
      <c r="P498" s="56">
        <f t="shared" si="1369"/>
        <v>1.676582278</v>
      </c>
      <c r="Q498" s="43">
        <v>1.5</v>
      </c>
      <c r="R498" s="42">
        <f t="shared" si="1370"/>
        <v>0.2199429195</v>
      </c>
      <c r="S498" s="44">
        <f t="shared" si="1371"/>
        <v>0.3299143792</v>
      </c>
      <c r="T498" s="43">
        <f>F498/26.805</f>
        <v>299.5469502</v>
      </c>
      <c r="U498" s="43">
        <f t="shared" si="1372"/>
        <v>6.807885232</v>
      </c>
      <c r="V498" s="40">
        <f t="shared" si="1373"/>
        <v>60.20454545</v>
      </c>
      <c r="X498" s="22">
        <v>1.0</v>
      </c>
      <c r="Y498" s="22" t="s">
        <v>28</v>
      </c>
      <c r="Z498" s="22">
        <f t="shared" ref="Z498:AI498" si="1382">SUM(D493)</f>
        <v>26</v>
      </c>
      <c r="AA498" s="23">
        <f t="shared" si="1382"/>
        <v>32</v>
      </c>
      <c r="AB498" s="25">
        <f t="shared" si="1382"/>
        <v>6234.135</v>
      </c>
      <c r="AC498" s="23">
        <f t="shared" si="1382"/>
        <v>2719</v>
      </c>
      <c r="AD498" s="23">
        <f t="shared" si="1382"/>
        <v>208</v>
      </c>
      <c r="AE498" s="23">
        <f t="shared" si="1382"/>
        <v>2927</v>
      </c>
      <c r="AF498" s="23">
        <f t="shared" si="1382"/>
        <v>3192</v>
      </c>
      <c r="AG498" s="23">
        <f t="shared" si="1382"/>
        <v>138</v>
      </c>
      <c r="AH498" s="23">
        <f t="shared" si="1382"/>
        <v>3330</v>
      </c>
      <c r="AI498" s="23">
        <f t="shared" si="1382"/>
        <v>6257</v>
      </c>
      <c r="AJ498" s="25">
        <f t="shared" ref="AJ498:AJ504" si="1385">AB498/AA498</f>
        <v>194.8167188</v>
      </c>
      <c r="AK498" s="22">
        <f t="shared" ref="AK498:AK499" si="1386">SUM(O493)</f>
        <v>7315</v>
      </c>
      <c r="AL498" s="26">
        <f t="shared" ref="AL498:AL504" si="1387">AI498/AK498</f>
        <v>0.8553656869</v>
      </c>
      <c r="AM498" s="27">
        <f t="shared" ref="AM498:AM499" si="1388">SUM(Q493)</f>
        <v>1.5</v>
      </c>
      <c r="AN498" s="26">
        <f t="shared" ref="AN498:AN504" si="1389">AO498/AM498</f>
        <v>0.6691118067</v>
      </c>
      <c r="AO498" s="28">
        <f t="shared" ref="AO498:AO504" si="1390">AI498/AB498</f>
        <v>1.00366771</v>
      </c>
      <c r="AP498" s="27">
        <f t="shared" ref="AP498:AQ498" si="1383">SUM(T493)</f>
        <v>201.7715312</v>
      </c>
      <c r="AQ498" s="27">
        <f t="shared" si="1383"/>
        <v>6.305360351</v>
      </c>
      <c r="AR498" s="23">
        <f t="shared" ref="AR498:AR504" si="1392">AI498/AA498</f>
        <v>195.53125</v>
      </c>
    </row>
    <row r="499" ht="15.75" customHeight="1">
      <c r="A499" s="21"/>
      <c r="B499" s="38">
        <v>8.0</v>
      </c>
      <c r="C499" s="38" t="s">
        <v>25</v>
      </c>
      <c r="D499" s="57">
        <v>27.0</v>
      </c>
      <c r="E499" s="40">
        <f>IFERROR(__xludf.DUMMYFUNCTION("COUNT(IMPORTRANGE(""https://docs.google.com/spreadsheets/d/1sqWX7UerdR9KR_duBzDNfjwbPG-3hLgV1LiN2ZVZ6Js/edit"",""1!d2:D33""))"),32.0)</f>
        <v>32</v>
      </c>
      <c r="F499" s="45">
        <f>IFERROR(__xludf.DUMMYFUNCTION("SUM(IMPORTRANGE(""https://docs.google.com/spreadsheets/d/1sqWX7UerdR9KR_duBzDNfjwbPG-3hLgV1LiN2ZVZ6Js/edit"",""1!Q2:Q33""))"),5963.536000000002)</f>
        <v>5963.536</v>
      </c>
      <c r="G499" s="40">
        <f>IFERROR(__xludf.DUMMYFUNCTION("IMPORTRANGE(""https://docs.google.com/spreadsheets/d/1sqWX7UerdR9KR_duBzDNfjwbPG-3hLgV1LiN2ZVZ6Js/edit"",""1!e40"")"),2444.0)</f>
        <v>2444</v>
      </c>
      <c r="H499" s="40">
        <f>IFERROR(__xludf.DUMMYFUNCTION("IMPORTRANGE(""https://docs.google.com/spreadsheets/d/1sqWX7UerdR9KR_duBzDNfjwbPG-3hLgV1LiN2ZVZ6Js/edit"",""1!e41"")"),331.0)</f>
        <v>331</v>
      </c>
      <c r="I499" s="40">
        <f t="shared" si="1365"/>
        <v>2775</v>
      </c>
      <c r="J499" s="40">
        <f>IFERROR(__xludf.DUMMYFUNCTION("IMPORTRANGE(""https://docs.google.com/spreadsheets/d/1sqWX7UerdR9KR_duBzDNfjwbPG-3hLgV1LiN2ZVZ6Js/edit"",""1!e44"")"),3085.0)</f>
        <v>3085</v>
      </c>
      <c r="K499" s="40">
        <f>IFERROR(__xludf.DUMMYFUNCTION("IMPORTRANGE(""https://docs.google.com/spreadsheets/d/1sqWX7UerdR9KR_duBzDNfjwbPG-3hLgV1LiN2ZVZ6Js/edit"",""1!e45"")"),319.0)</f>
        <v>319</v>
      </c>
      <c r="L499" s="40">
        <f>J499+K499</f>
        <v>3404</v>
      </c>
      <c r="M499" s="40">
        <f t="shared" si="1367"/>
        <v>6179</v>
      </c>
      <c r="N499" s="41">
        <f t="shared" si="1368"/>
        <v>186.3605</v>
      </c>
      <c r="O499" s="38">
        <v>6622.0</v>
      </c>
      <c r="P499" s="42">
        <f t="shared" si="1369"/>
        <v>0.9331017819</v>
      </c>
      <c r="Q499" s="43">
        <v>1.5</v>
      </c>
      <c r="R499" s="42">
        <f t="shared" si="1370"/>
        <v>0.6907534948</v>
      </c>
      <c r="S499" s="44">
        <f t="shared" si="1371"/>
        <v>1.036130242</v>
      </c>
      <c r="T499" s="43">
        <f>F499/23.84</f>
        <v>250.1483221</v>
      </c>
      <c r="U499" s="43">
        <f t="shared" si="1372"/>
        <v>7.817135067</v>
      </c>
      <c r="V499" s="40">
        <f t="shared" si="1373"/>
        <v>193.09375</v>
      </c>
      <c r="X499" s="31">
        <v>2.0</v>
      </c>
      <c r="Y499" s="31" t="s">
        <v>30</v>
      </c>
      <c r="Z499" s="31">
        <f t="shared" ref="Z499:AI499" si="1384">SUM(D494)</f>
        <v>48</v>
      </c>
      <c r="AA499" s="32">
        <f t="shared" si="1384"/>
        <v>59</v>
      </c>
      <c r="AB499" s="33">
        <f t="shared" si="1384"/>
        <v>11739.692</v>
      </c>
      <c r="AC499" s="32">
        <f t="shared" si="1384"/>
        <v>3754</v>
      </c>
      <c r="AD499" s="32">
        <f t="shared" si="1384"/>
        <v>14</v>
      </c>
      <c r="AE499" s="32">
        <f t="shared" si="1384"/>
        <v>3768</v>
      </c>
      <c r="AF499" s="32">
        <f t="shared" si="1384"/>
        <v>5982</v>
      </c>
      <c r="AG499" s="32">
        <f t="shared" si="1384"/>
        <v>0</v>
      </c>
      <c r="AH499" s="32">
        <f t="shared" si="1384"/>
        <v>5982</v>
      </c>
      <c r="AI499" s="32">
        <f t="shared" si="1384"/>
        <v>9750</v>
      </c>
      <c r="AJ499" s="34">
        <f t="shared" si="1385"/>
        <v>198.9778305</v>
      </c>
      <c r="AK499" s="31">
        <f t="shared" si="1386"/>
        <v>11164</v>
      </c>
      <c r="AL499" s="35">
        <f t="shared" si="1387"/>
        <v>0.8733428879</v>
      </c>
      <c r="AM499" s="36">
        <f t="shared" si="1388"/>
        <v>1.5</v>
      </c>
      <c r="AN499" s="35">
        <f t="shared" si="1389"/>
        <v>0.5536772174</v>
      </c>
      <c r="AO499" s="37">
        <f t="shared" si="1390"/>
        <v>0.8305158261</v>
      </c>
      <c r="AP499" s="36">
        <f t="shared" ref="AP499:AQ499" si="1391">SUM(T494)</f>
        <v>396.5710232</v>
      </c>
      <c r="AQ499" s="36">
        <f t="shared" si="1391"/>
        <v>6.721542766</v>
      </c>
      <c r="AR499" s="32">
        <f t="shared" si="1392"/>
        <v>165.2542373</v>
      </c>
    </row>
    <row r="500" ht="15.75" customHeight="1">
      <c r="A500" s="21"/>
      <c r="B500" s="38">
        <v>9.0</v>
      </c>
      <c r="C500" s="38" t="s">
        <v>36</v>
      </c>
      <c r="D500" s="58">
        <v>24.0</v>
      </c>
      <c r="E500" s="40">
        <f>IFERROR(__xludf.DUMMYFUNCTION("COUNT(IMPORTRANGE(""https://docs.google.com/spreadsheets/d/1YNna43iTSqnwwbMJgTIPHSJEoDO8RGPRFg5pJCoQR_Y/edit"",""1!d2:d31""))"),29.0)</f>
        <v>29</v>
      </c>
      <c r="F500" s="45">
        <f>IFERROR(__xludf.DUMMYFUNCTION("SUM(IMPORTRANGE(""https://docs.google.com/spreadsheets/d/1YNna43iTSqnwwbMJgTIPHSJEoDO8RGPRFg5pJCoQR_Y/edit"",""1!Q2:Q31""))"),4875.344999999998)</f>
        <v>4875.345</v>
      </c>
      <c r="G500" s="40">
        <f>IFERROR(__xludf.DUMMYFUNCTION("IMPORTRANGE(""https://docs.google.com/spreadsheets/d/1YNna43iTSqnwwbMJgTIPHSJEoDO8RGPRFg5pJCoQR_Y/edit"",""1!e38"")"),1728.0)</f>
        <v>1728</v>
      </c>
      <c r="H500" s="40">
        <f>IFERROR(__xludf.DUMMYFUNCTION("IMPORTRANGE(""https://docs.google.com/spreadsheets/d/1YNna43iTSqnwwbMJgTIPHSJEoDO8RGPRFg5pJCoQR_Y/edit"",""1!e39"")"),0.0)</f>
        <v>0</v>
      </c>
      <c r="I500" s="40">
        <f t="shared" si="1365"/>
        <v>1728</v>
      </c>
      <c r="J500" s="40">
        <f>IFERROR(__xludf.DUMMYFUNCTION("IMPORTRANGE(""https://docs.google.com/spreadsheets/d/1YNna43iTSqnwwbMJgTIPHSJEoDO8RGPRFg5pJCoQR_Y/edit"",""1!e42"")"),2407.0)</f>
        <v>2407</v>
      </c>
      <c r="K500" s="40">
        <f>IFERROR(__xludf.DUMMYFUNCTION("IMPORTRANGE(""https://docs.google.com/spreadsheets/d/1YNna43iTSqnwwbMJgTIPHSJEoDO8RGPRFg5pJCoQR_Y/edit"",""1!e43"")"),20.0)</f>
        <v>20</v>
      </c>
      <c r="L500" s="40">
        <f t="shared" ref="L500:L509" si="1395">SUM(J500:K500)</f>
        <v>2427</v>
      </c>
      <c r="M500" s="40">
        <f t="shared" si="1367"/>
        <v>4155</v>
      </c>
      <c r="N500" s="41">
        <f t="shared" si="1368"/>
        <v>168.1153448</v>
      </c>
      <c r="O500" s="38">
        <v>4796.0</v>
      </c>
      <c r="P500" s="42">
        <f t="shared" si="1369"/>
        <v>0.8663469558</v>
      </c>
      <c r="Q500" s="43">
        <v>1.5</v>
      </c>
      <c r="R500" s="42">
        <f t="shared" si="1370"/>
        <v>0.5681649196</v>
      </c>
      <c r="S500" s="44">
        <f t="shared" si="1371"/>
        <v>0.8522473794</v>
      </c>
      <c r="T500" s="43">
        <f>F500/37.414</f>
        <v>130.3080398</v>
      </c>
      <c r="U500" s="43">
        <f t="shared" si="1372"/>
        <v>4.493380682</v>
      </c>
      <c r="V500" s="40">
        <f t="shared" si="1373"/>
        <v>143.2758621</v>
      </c>
      <c r="X500" s="22">
        <v>3.0</v>
      </c>
      <c r="Y500" s="22" t="s">
        <v>34</v>
      </c>
      <c r="Z500" s="22">
        <f t="shared" ref="Z500:AI500" si="1393">SUM(D496)</f>
        <v>32</v>
      </c>
      <c r="AA500" s="23">
        <f t="shared" si="1393"/>
        <v>40</v>
      </c>
      <c r="AB500" s="24">
        <f t="shared" si="1393"/>
        <v>8007.324</v>
      </c>
      <c r="AC500" s="23">
        <f t="shared" si="1393"/>
        <v>2819</v>
      </c>
      <c r="AD500" s="23">
        <f t="shared" si="1393"/>
        <v>0</v>
      </c>
      <c r="AE500" s="23">
        <f t="shared" si="1393"/>
        <v>2819</v>
      </c>
      <c r="AF500" s="23">
        <f t="shared" si="1393"/>
        <v>3504</v>
      </c>
      <c r="AG500" s="23">
        <f t="shared" si="1393"/>
        <v>0</v>
      </c>
      <c r="AH500" s="23">
        <f t="shared" si="1393"/>
        <v>3504</v>
      </c>
      <c r="AI500" s="23">
        <f t="shared" si="1393"/>
        <v>6323</v>
      </c>
      <c r="AJ500" s="25">
        <f t="shared" si="1385"/>
        <v>200.1831</v>
      </c>
      <c r="AK500" s="22">
        <f>SUM(O496)</f>
        <v>9354</v>
      </c>
      <c r="AL500" s="26">
        <f t="shared" si="1387"/>
        <v>0.6759675005</v>
      </c>
      <c r="AM500" s="27">
        <f>SUM(Q496)</f>
        <v>1.5</v>
      </c>
      <c r="AN500" s="26">
        <f t="shared" si="1389"/>
        <v>0.5264347157</v>
      </c>
      <c r="AO500" s="28">
        <f t="shared" si="1390"/>
        <v>0.7896520735</v>
      </c>
      <c r="AP500" s="27">
        <f t="shared" ref="AP500:AQ500" si="1394">SUM(T496)</f>
        <v>260.7144857</v>
      </c>
      <c r="AQ500" s="27">
        <f t="shared" si="1394"/>
        <v>6.517862143</v>
      </c>
      <c r="AR500" s="23">
        <f t="shared" si="1392"/>
        <v>158.075</v>
      </c>
    </row>
    <row r="501" ht="15.75" customHeight="1">
      <c r="A501" s="21"/>
      <c r="B501" s="38">
        <v>10.0</v>
      </c>
      <c r="C501" s="38" t="s">
        <v>37</v>
      </c>
      <c r="D501" s="39">
        <v>24.0</v>
      </c>
      <c r="E501" s="40">
        <f>IFERROR(__xludf.DUMMYFUNCTION("COUNT(IMPORTRANGE(""https://docs.google.com/spreadsheets/d/1913Df5BsXS_b-nClL8LOK5w0engQYTl1mPOiyngRtO0/edit"",""1!d2:d31""))"),28.0)</f>
        <v>28</v>
      </c>
      <c r="F501" s="45">
        <f>IFERROR(__xludf.DUMMYFUNCTION("SUM(IMPORTRANGE(""https://docs.google.com/spreadsheets/d/1913Df5BsXS_b-nClL8LOK5w0engQYTl1mPOiyngRtO0/edit"",""1!Q2:Q31""))"),5465.100000000002)</f>
        <v>5465.1</v>
      </c>
      <c r="G501" s="40">
        <f>IFERROR(__xludf.DUMMYFUNCTION("(IMPORTRANGE(""https://docs.google.com/spreadsheets/d/1913Df5BsXS_b-nClL8LOK5w0engQYTl1mPOiyngRtO0/edit"",""1!e38""))"),2135.0)</f>
        <v>2135</v>
      </c>
      <c r="H501" s="40">
        <f>IFERROR(__xludf.DUMMYFUNCTION("(IMPORTRANGE(""https://docs.google.com/spreadsheets/d/1913Df5BsXS_b-nClL8LOK5w0engQYTl1mPOiyngRtO0/edit"",""1!e39""))"),0.0)</f>
        <v>0</v>
      </c>
      <c r="I501" s="40">
        <f t="shared" si="1365"/>
        <v>2135</v>
      </c>
      <c r="J501" s="40">
        <f>IFERROR(__xludf.DUMMYFUNCTION("(IMPORTRANGE(""https://docs.google.com/spreadsheets/d/1913Df5BsXS_b-nClL8LOK5w0engQYTl1mPOiyngRtO0/edit"",""1!e42""))"),3182.0)</f>
        <v>3182</v>
      </c>
      <c r="K501" s="40">
        <f>IFERROR(__xludf.DUMMYFUNCTION("(IMPORTRANGE(""https://docs.google.com/spreadsheets/d/1913Df5BsXS_b-nClL8LOK5w0engQYTl1mPOiyngRtO0/edit"",""1!e43""))"),0.0)</f>
        <v>0</v>
      </c>
      <c r="L501" s="40">
        <f t="shared" si="1395"/>
        <v>3182</v>
      </c>
      <c r="M501" s="40">
        <f t="shared" si="1367"/>
        <v>5317</v>
      </c>
      <c r="N501" s="41">
        <f t="shared" si="1368"/>
        <v>195.1821429</v>
      </c>
      <c r="O501" s="38">
        <v>5887.0</v>
      </c>
      <c r="P501" s="42">
        <f t="shared" si="1369"/>
        <v>0.9031764906</v>
      </c>
      <c r="Q501" s="43">
        <v>1.5</v>
      </c>
      <c r="R501" s="42">
        <f t="shared" si="1370"/>
        <v>0.6486005136</v>
      </c>
      <c r="S501" s="44">
        <f t="shared" si="1371"/>
        <v>0.9729007703</v>
      </c>
      <c r="T501" s="43">
        <f>F501/24.792</f>
        <v>220.4380445</v>
      </c>
      <c r="U501" s="43">
        <f t="shared" si="1372"/>
        <v>7.872787305</v>
      </c>
      <c r="V501" s="40">
        <f t="shared" si="1373"/>
        <v>189.8928571</v>
      </c>
      <c r="X501" s="31">
        <v>4.0</v>
      </c>
      <c r="Y501" s="31" t="s">
        <v>38</v>
      </c>
      <c r="Z501" s="31">
        <f t="shared" ref="Z501:AI501" si="1396">SUM(D504)</f>
        <v>24</v>
      </c>
      <c r="AA501" s="32">
        <f t="shared" si="1396"/>
        <v>30</v>
      </c>
      <c r="AB501" s="33">
        <f t="shared" si="1396"/>
        <v>6034.986</v>
      </c>
      <c r="AC501" s="32">
        <f t="shared" si="1396"/>
        <v>1876</v>
      </c>
      <c r="AD501" s="32">
        <f t="shared" si="1396"/>
        <v>79</v>
      </c>
      <c r="AE501" s="32">
        <f t="shared" si="1396"/>
        <v>1955</v>
      </c>
      <c r="AF501" s="32">
        <f t="shared" si="1396"/>
        <v>2967</v>
      </c>
      <c r="AG501" s="32">
        <f t="shared" si="1396"/>
        <v>140</v>
      </c>
      <c r="AH501" s="32">
        <f t="shared" si="1396"/>
        <v>3107</v>
      </c>
      <c r="AI501" s="32">
        <f t="shared" si="1396"/>
        <v>5062</v>
      </c>
      <c r="AJ501" s="34">
        <f t="shared" si="1385"/>
        <v>201.1662</v>
      </c>
      <c r="AK501" s="31">
        <v>7324.0</v>
      </c>
      <c r="AL501" s="35">
        <f t="shared" si="1387"/>
        <v>0.6911523758</v>
      </c>
      <c r="AM501" s="36">
        <f>SUM(Q504)</f>
        <v>1.5</v>
      </c>
      <c r="AN501" s="35">
        <f t="shared" si="1389"/>
        <v>0.5591838435</v>
      </c>
      <c r="AO501" s="37">
        <f t="shared" si="1390"/>
        <v>0.8387757652</v>
      </c>
      <c r="AP501" s="36">
        <f t="shared" ref="AP501:AQ501" si="1397">SUM(T504)</f>
        <v>146.4624681</v>
      </c>
      <c r="AQ501" s="36">
        <f t="shared" si="1397"/>
        <v>4.882082272</v>
      </c>
      <c r="AR501" s="32">
        <f t="shared" si="1392"/>
        <v>168.7333333</v>
      </c>
    </row>
    <row r="502" ht="15.75" customHeight="1">
      <c r="A502" s="21"/>
      <c r="B502" s="38">
        <v>12.0</v>
      </c>
      <c r="C502" s="38" t="s">
        <v>39</v>
      </c>
      <c r="D502" s="39">
        <v>22.0</v>
      </c>
      <c r="E502" s="40">
        <f>IFERROR(__xludf.DUMMYFUNCTION("COUNT(IMPORTRANGE(""https://docs.google.com/spreadsheets/d/1wMeol_MpSIcocGxt3WZGl46mJ2tc80mANPvP_YzaP18/edit"",""1!d2:d29""))"),27.0)</f>
        <v>27</v>
      </c>
      <c r="F502" s="45">
        <f>IFERROR(__xludf.DUMMYFUNCTION("SUM(IMPORTRANGE(""https://docs.google.com/spreadsheets/d/1wMeol_MpSIcocGxt3WZGl46mJ2tc80mANPvP_YzaP18/edit"",""1!Q2:Q29""))"),5318.459)</f>
        <v>5318.459</v>
      </c>
      <c r="G502" s="40">
        <f>IFERROR(__xludf.DUMMYFUNCTION("IMPORTRANGE(""https://docs.google.com/spreadsheets/d/1wMeol_MpSIcocGxt3WZGl46mJ2tc80mANPvP_YzaP18/edit"",""1!e36"")"),1229.0)</f>
        <v>1229</v>
      </c>
      <c r="H502" s="40">
        <f>IFERROR(__xludf.DUMMYFUNCTION("(IMPORTRANGE(""https://docs.google.com/spreadsheets/d/1wMeol_MpSIcocGxt3WZGl46mJ2tc80mANPvP_YzaP18/edit"",""1!e37""))"),0.0)</f>
        <v>0</v>
      </c>
      <c r="I502" s="40">
        <f t="shared" si="1365"/>
        <v>1229</v>
      </c>
      <c r="J502" s="40">
        <f>IFERROR(__xludf.DUMMYFUNCTION("IMPORTRANGE(""https://docs.google.com/spreadsheets/d/1wMeol_MpSIcocGxt3WZGl46mJ2tc80mANPvP_YzaP18/edit"",""1!e40"")"),1740.0)</f>
        <v>1740</v>
      </c>
      <c r="K502" s="40">
        <f>IFERROR(__xludf.DUMMYFUNCTION("IMPORTRANGE(""https://docs.google.com/spreadsheets/d/1wMeol_MpSIcocGxt3WZGl46mJ2tc80mANPvP_YzaP18/edit"",""1!e41"")"),0.0)</f>
        <v>0</v>
      </c>
      <c r="L502" s="40">
        <f t="shared" si="1395"/>
        <v>1740</v>
      </c>
      <c r="M502" s="40">
        <f t="shared" si="1367"/>
        <v>2969</v>
      </c>
      <c r="N502" s="41">
        <f t="shared" si="1368"/>
        <v>196.979963</v>
      </c>
      <c r="O502" s="38">
        <v>3569.0</v>
      </c>
      <c r="P502" s="42">
        <f t="shared" si="1369"/>
        <v>0.8318856823</v>
      </c>
      <c r="Q502" s="43">
        <v>1.5</v>
      </c>
      <c r="R502" s="42">
        <f t="shared" si="1370"/>
        <v>0.3721629392</v>
      </c>
      <c r="S502" s="44">
        <f t="shared" si="1371"/>
        <v>0.5582444088</v>
      </c>
      <c r="T502" s="43">
        <f>F502/21.463</f>
        <v>247.7966268</v>
      </c>
      <c r="U502" s="43">
        <f t="shared" si="1372"/>
        <v>9.177652843</v>
      </c>
      <c r="V502" s="40">
        <f t="shared" si="1373"/>
        <v>109.962963</v>
      </c>
      <c r="X502" s="31">
        <v>5.0</v>
      </c>
      <c r="Y502" s="31" t="s">
        <v>40</v>
      </c>
      <c r="Z502" s="31">
        <f t="shared" ref="Z502:AI502" si="1398">SUM(D506)</f>
        <v>24</v>
      </c>
      <c r="AA502" s="32">
        <f t="shared" si="1398"/>
        <v>30</v>
      </c>
      <c r="AB502" s="33">
        <f t="shared" si="1398"/>
        <v>5660.157</v>
      </c>
      <c r="AC502" s="32">
        <f t="shared" si="1398"/>
        <v>3382</v>
      </c>
      <c r="AD502" s="32">
        <f t="shared" si="1398"/>
        <v>0</v>
      </c>
      <c r="AE502" s="32">
        <f t="shared" si="1398"/>
        <v>3382</v>
      </c>
      <c r="AF502" s="32">
        <f t="shared" si="1398"/>
        <v>3798</v>
      </c>
      <c r="AG502" s="32">
        <f t="shared" si="1398"/>
        <v>0</v>
      </c>
      <c r="AH502" s="32">
        <f t="shared" si="1398"/>
        <v>3798</v>
      </c>
      <c r="AI502" s="32">
        <f t="shared" si="1398"/>
        <v>7180</v>
      </c>
      <c r="AJ502" s="34">
        <f t="shared" si="1385"/>
        <v>188.6719</v>
      </c>
      <c r="AK502" s="31">
        <f t="shared" ref="AK502:AK503" si="1401">SUM(O506)</f>
        <v>8239</v>
      </c>
      <c r="AL502" s="35">
        <f t="shared" si="1387"/>
        <v>0.8714649836</v>
      </c>
      <c r="AM502" s="36">
        <f t="shared" ref="AM502:AM503" si="1402">SUM(Q506)</f>
        <v>1.5</v>
      </c>
      <c r="AN502" s="35">
        <f t="shared" si="1389"/>
        <v>0.8456773667</v>
      </c>
      <c r="AO502" s="37">
        <f t="shared" si="1390"/>
        <v>1.26851605</v>
      </c>
      <c r="AP502" s="36">
        <f t="shared" ref="AP502:AQ502" si="1399">SUM(T506)</f>
        <v>199</v>
      </c>
      <c r="AQ502" s="36">
        <f t="shared" si="1399"/>
        <v>6.633333333</v>
      </c>
      <c r="AR502" s="32">
        <f t="shared" si="1392"/>
        <v>239.3333333</v>
      </c>
    </row>
    <row r="503" ht="15.75" customHeight="1">
      <c r="A503" s="21"/>
      <c r="B503" s="38">
        <v>12.0</v>
      </c>
      <c r="C503" s="38" t="s">
        <v>41</v>
      </c>
      <c r="D503" s="39">
        <v>20.0</v>
      </c>
      <c r="E503" s="40">
        <f>IFERROR(__xludf.DUMMYFUNCTION("COUNT(IMPORTRANGE(""https://docs.google.com/spreadsheets/d/1sHk6_yuc4kORC_xnhEeazoemV_hVUQVqRpfoNae-PLk/edit"",""1!d2:d25""))"),24.0)</f>
        <v>24</v>
      </c>
      <c r="F503" s="45">
        <f>IFERROR(__xludf.DUMMYFUNCTION("SUM(IMPORTRANGE(""https://docs.google.com/spreadsheets/d/1sHk6_yuc4kORC_xnhEeazoemV_hVUQVqRpfoNae-PLk/edit"",""1!Q2:Q25""))"),4793.152000000001)</f>
        <v>4793.152</v>
      </c>
      <c r="G503" s="40">
        <f>IFERROR(__xludf.DUMMYFUNCTION("IMPORTRANGE(""https://docs.google.com/spreadsheets/d/1sHk6_yuc4kORC_xnhEeazoemV_hVUQVqRpfoNae-PLk/edit"",""1!e32"")"),1363.0)</f>
        <v>1363</v>
      </c>
      <c r="H503" s="40">
        <f>IFERROR(__xludf.DUMMYFUNCTION("IMPORTRANGE(""https://docs.google.com/spreadsheets/d/1sHk6_yuc4kORC_xnhEeazoemV_hVUQVqRpfoNae-PLk/edit"",""1!e33"")"),0.0)</f>
        <v>0</v>
      </c>
      <c r="I503" s="40">
        <f t="shared" si="1365"/>
        <v>1363</v>
      </c>
      <c r="J503" s="40">
        <f>IFERROR(__xludf.DUMMYFUNCTION("IMPORTRANGE(""https://docs.google.com/spreadsheets/d/1sHk6_yuc4kORC_xnhEeazoemV_hVUQVqRpfoNae-PLk/edit"",""1!e36"")"),1818.0)</f>
        <v>1818</v>
      </c>
      <c r="K503" s="40">
        <f>IFERROR(__xludf.DUMMYFUNCTION("IMPORTRANGE(""https://docs.google.com/spreadsheets/d/1sHk6_yuc4kORC_xnhEeazoemV_hVUQVqRpfoNae-PLk/edit"",""1!e37"")"),0.0)</f>
        <v>0</v>
      </c>
      <c r="L503" s="40">
        <f t="shared" si="1395"/>
        <v>1818</v>
      </c>
      <c r="M503" s="40">
        <f t="shared" si="1367"/>
        <v>3181</v>
      </c>
      <c r="N503" s="41">
        <f t="shared" si="1368"/>
        <v>199.7146667</v>
      </c>
      <c r="O503" s="38">
        <v>3801.0</v>
      </c>
      <c r="P503" s="42">
        <f t="shared" si="1369"/>
        <v>0.8368850303</v>
      </c>
      <c r="Q503" s="43">
        <v>1.5</v>
      </c>
      <c r="R503" s="42">
        <f t="shared" si="1370"/>
        <v>0.4424367653</v>
      </c>
      <c r="S503" s="44">
        <f t="shared" si="1371"/>
        <v>0.663655148</v>
      </c>
      <c r="T503" s="43">
        <f>F503/29.628</f>
        <v>161.7777778</v>
      </c>
      <c r="U503" s="43">
        <f t="shared" si="1372"/>
        <v>6.740740741</v>
      </c>
      <c r="V503" s="40">
        <f t="shared" si="1373"/>
        <v>132.5416667</v>
      </c>
      <c r="X503" s="22">
        <v>6.0</v>
      </c>
      <c r="Y503" s="22" t="s">
        <v>42</v>
      </c>
      <c r="Z503" s="22">
        <f t="shared" ref="Z503:AI503" si="1400">SUM(D507)</f>
        <v>26</v>
      </c>
      <c r="AA503" s="23">
        <f t="shared" si="1400"/>
        <v>33</v>
      </c>
      <c r="AB503" s="24">
        <f t="shared" si="1400"/>
        <v>6597.215</v>
      </c>
      <c r="AC503" s="23">
        <f t="shared" si="1400"/>
        <v>3014</v>
      </c>
      <c r="AD503" s="23">
        <f t="shared" si="1400"/>
        <v>234</v>
      </c>
      <c r="AE503" s="23">
        <f t="shared" si="1400"/>
        <v>3248</v>
      </c>
      <c r="AF503" s="23">
        <f t="shared" si="1400"/>
        <v>4605</v>
      </c>
      <c r="AG503" s="23">
        <f t="shared" si="1400"/>
        <v>108</v>
      </c>
      <c r="AH503" s="23">
        <f t="shared" si="1400"/>
        <v>4713</v>
      </c>
      <c r="AI503" s="23">
        <f t="shared" si="1400"/>
        <v>7961</v>
      </c>
      <c r="AJ503" s="25">
        <f t="shared" si="1385"/>
        <v>199.9156061</v>
      </c>
      <c r="AK503" s="22">
        <f t="shared" si="1401"/>
        <v>9877</v>
      </c>
      <c r="AL503" s="26">
        <f t="shared" si="1387"/>
        <v>0.8060139719</v>
      </c>
      <c r="AM503" s="27">
        <f t="shared" si="1402"/>
        <v>1.5</v>
      </c>
      <c r="AN503" s="26">
        <f t="shared" si="1389"/>
        <v>0.8044808807</v>
      </c>
      <c r="AO503" s="28">
        <f t="shared" si="1390"/>
        <v>1.206721321</v>
      </c>
      <c r="AP503" s="27">
        <f t="shared" ref="AP503:AQ503" si="1403">SUM(T507)</f>
        <v>252.2353279</v>
      </c>
      <c r="AQ503" s="27">
        <f t="shared" si="1403"/>
        <v>7.643494783</v>
      </c>
      <c r="AR503" s="23">
        <f t="shared" si="1392"/>
        <v>241.2424242</v>
      </c>
    </row>
    <row r="504" ht="15.75" customHeight="1">
      <c r="A504" s="21"/>
      <c r="B504" s="38">
        <v>13.0</v>
      </c>
      <c r="C504" s="38" t="s">
        <v>43</v>
      </c>
      <c r="D504" s="39">
        <v>24.0</v>
      </c>
      <c r="E504" s="40">
        <f>IFERROR(__xludf.DUMMYFUNCTION("COUNT(IMPORTRANGE(""https://docs.google.com/spreadsheets/d/1uGXvAN2jA6kmcEHUY4KqOHHewllZsujDdA6KVDfBCoA/edit"",""1!d2:d31""))"),30.0)</f>
        <v>30</v>
      </c>
      <c r="F504" s="45">
        <f>IFERROR(__xludf.DUMMYFUNCTION("SUM(IMPORTRANGE(""https://docs.google.com/spreadsheets/d/1uGXvAN2jA6kmcEHUY4KqOHHewllZsujDdA6KVDfBCoA/edit"",""1!Q2:Q31""))"),6034.986)</f>
        <v>6034.986</v>
      </c>
      <c r="G504" s="40">
        <f>IFERROR(__xludf.DUMMYFUNCTION("IMPORTRANGE(""https://docs.google.com/spreadsheets/d/1uGXvAN2jA6kmcEHUY4KqOHHewllZsujDdA6KVDfBCoA/edit"",""1!e38"")"),1876.0)</f>
        <v>1876</v>
      </c>
      <c r="H504" s="40">
        <f>IFERROR(__xludf.DUMMYFUNCTION("IMPORTRANGE(""https://docs.google.com/spreadsheets/d/1uGXvAN2jA6kmcEHUY4KqOHHewllZsujDdA6KVDfBCoA/edit"",""1!e39"")"),79.0)</f>
        <v>79</v>
      </c>
      <c r="I504" s="40">
        <f t="shared" si="1365"/>
        <v>1955</v>
      </c>
      <c r="J504" s="40">
        <f>IFERROR(__xludf.DUMMYFUNCTION("IMPORTRANGE(""https://docs.google.com/spreadsheets/d/1uGXvAN2jA6kmcEHUY4KqOHHewllZsujDdA6KVDfBCoA/edit"",""1!e42"")"),2967.0)</f>
        <v>2967</v>
      </c>
      <c r="K504" s="40">
        <f>IFERROR(__xludf.DUMMYFUNCTION("IMPORTRANGE(""https://docs.google.com/spreadsheets/d/1uGXvAN2jA6kmcEHUY4KqOHHewllZsujDdA6KVDfBCoA/edit"",""1!e43"")"),140.0)</f>
        <v>140</v>
      </c>
      <c r="L504" s="40">
        <f t="shared" si="1395"/>
        <v>3107</v>
      </c>
      <c r="M504" s="40">
        <f t="shared" si="1367"/>
        <v>5062</v>
      </c>
      <c r="N504" s="41">
        <f t="shared" si="1368"/>
        <v>201.1662</v>
      </c>
      <c r="O504" s="38">
        <v>8345.0</v>
      </c>
      <c r="P504" s="42">
        <f t="shared" si="1369"/>
        <v>0.6065907729</v>
      </c>
      <c r="Q504" s="43">
        <v>1.5</v>
      </c>
      <c r="R504" s="42">
        <f t="shared" si="1370"/>
        <v>0.5591838435</v>
      </c>
      <c r="S504" s="44">
        <f t="shared" si="1371"/>
        <v>0.8387757652</v>
      </c>
      <c r="T504" s="43">
        <f>F504/41.205</f>
        <v>146.4624681</v>
      </c>
      <c r="U504" s="43">
        <f t="shared" si="1372"/>
        <v>4.882082272</v>
      </c>
      <c r="V504" s="40">
        <f t="shared" si="1373"/>
        <v>168.7333333</v>
      </c>
      <c r="X504" s="46" t="s">
        <v>33</v>
      </c>
      <c r="Y504" s="46">
        <v>6.0</v>
      </c>
      <c r="Z504" s="46">
        <f t="shared" ref="Z504:AI504" si="1404">SUM(Z498:Z503)</f>
        <v>180</v>
      </c>
      <c r="AA504" s="47">
        <f t="shared" si="1404"/>
        <v>224</v>
      </c>
      <c r="AB504" s="49">
        <f t="shared" si="1404"/>
        <v>44273.509</v>
      </c>
      <c r="AC504" s="47">
        <f t="shared" si="1404"/>
        <v>17564</v>
      </c>
      <c r="AD504" s="47">
        <f t="shared" si="1404"/>
        <v>535</v>
      </c>
      <c r="AE504" s="47">
        <f t="shared" si="1404"/>
        <v>18099</v>
      </c>
      <c r="AF504" s="47">
        <f t="shared" si="1404"/>
        <v>24048</v>
      </c>
      <c r="AG504" s="47">
        <f t="shared" si="1404"/>
        <v>386</v>
      </c>
      <c r="AH504" s="47">
        <f t="shared" si="1404"/>
        <v>24434</v>
      </c>
      <c r="AI504" s="47">
        <f t="shared" si="1404"/>
        <v>42533</v>
      </c>
      <c r="AJ504" s="49">
        <f t="shared" si="1385"/>
        <v>197.6495938</v>
      </c>
      <c r="AK504" s="46">
        <f>SUM(AK498:AK503)</f>
        <v>53273</v>
      </c>
      <c r="AL504" s="50">
        <f t="shared" si="1387"/>
        <v>0.7983969365</v>
      </c>
      <c r="AM504" s="51">
        <v>1.5</v>
      </c>
      <c r="AN504" s="50">
        <f t="shared" si="1389"/>
        <v>0.6404582328</v>
      </c>
      <c r="AO504" s="52">
        <f t="shared" si="1390"/>
        <v>0.9606873492</v>
      </c>
      <c r="AP504" s="51">
        <f>SUM(AP498:AP503)</f>
        <v>1456.754836</v>
      </c>
      <c r="AQ504" s="51">
        <f>AP504/AA504</f>
        <v>6.503369804</v>
      </c>
      <c r="AR504" s="47">
        <f t="shared" si="1392"/>
        <v>189.8794643</v>
      </c>
    </row>
    <row r="505" ht="15.75" customHeight="1">
      <c r="A505" s="21"/>
      <c r="B505" s="38">
        <v>14.0</v>
      </c>
      <c r="C505" s="38" t="s">
        <v>27</v>
      </c>
      <c r="D505" s="39">
        <v>24.0</v>
      </c>
      <c r="E505" s="40">
        <f>IFERROR(__xludf.DUMMYFUNCTION("COUNT(IMPORTRANGE(""https://docs.google.com/spreadsheets/d/1iYtf3wkjJIgOL8ej0-L89wY8FLXKi6EiRbi9UqA1Bzw/edit"",""1!d2:d31""))"),29.0)</f>
        <v>29</v>
      </c>
      <c r="F505" s="45">
        <f>IFERROR(__xludf.DUMMYFUNCTION("SUM(IMPORTRANGE(""https://docs.google.com/spreadsheets/d/1iYtf3wkjJIgOL8ej0-L89wY8FLXKi6EiRbi9UqA1Bzw/edit"",""1!Q2:Q31""))"),5631.663000000001)</f>
        <v>5631.663</v>
      </c>
      <c r="G505" s="40">
        <f>IFERROR(__xludf.DUMMYFUNCTION("IMPORTRANGE(""https://docs.google.com/spreadsheets/d/1iYtf3wkjJIgOL8ej0-L89wY8FLXKi6EiRbi9UqA1Bzw/edit"",""1!e38"")"),2486.0)</f>
        <v>2486</v>
      </c>
      <c r="H505" s="40">
        <f>IFERROR(__xludf.DUMMYFUNCTION("IMPORTRANGE(""https://docs.google.com/spreadsheets/d/1iYtf3wkjJIgOL8ej0-L89wY8FLXKi6EiRbi9UqA1Bzw/edit"",""1!e39"")"),80.0)</f>
        <v>80</v>
      </c>
      <c r="I505" s="40">
        <f t="shared" si="1365"/>
        <v>2566</v>
      </c>
      <c r="J505" s="40">
        <f>IFERROR(__xludf.DUMMYFUNCTION("IMPORTRANGE(""https://docs.google.com/spreadsheets/d/1iYtf3wkjJIgOL8ej0-L89wY8FLXKi6EiRbi9UqA1Bzw/edit"",""1!e42"")"),2945.0)</f>
        <v>2945</v>
      </c>
      <c r="K505" s="40">
        <f>IFERROR(__xludf.DUMMYFUNCTION("IMPORTRANGE(""https://docs.google.com/spreadsheets/d/1iYtf3wkjJIgOL8ej0-L89wY8FLXKi6EiRbi9UqA1Bzw/edit"",""1!e43"")"),88.0)</f>
        <v>88</v>
      </c>
      <c r="L505" s="40">
        <f t="shared" si="1395"/>
        <v>3033</v>
      </c>
      <c r="M505" s="40">
        <f t="shared" si="1367"/>
        <v>5599</v>
      </c>
      <c r="N505" s="41">
        <f t="shared" si="1368"/>
        <v>194.1952759</v>
      </c>
      <c r="O505" s="38">
        <v>8101.0</v>
      </c>
      <c r="P505" s="42">
        <f t="shared" si="1369"/>
        <v>0.6911492408</v>
      </c>
      <c r="Q505" s="43">
        <v>1.5</v>
      </c>
      <c r="R505" s="42">
        <f t="shared" si="1370"/>
        <v>0.6628000764</v>
      </c>
      <c r="S505" s="44">
        <f t="shared" si="1371"/>
        <v>0.9942001146</v>
      </c>
      <c r="T505" s="43">
        <f>F505/19.985</f>
        <v>281.7944959</v>
      </c>
      <c r="U505" s="43">
        <f t="shared" si="1372"/>
        <v>9.717051582</v>
      </c>
      <c r="V505" s="40">
        <f t="shared" si="1373"/>
        <v>193.0689655</v>
      </c>
      <c r="X505" s="59" t="s">
        <v>44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6"/>
    </row>
    <row r="506" ht="15.75" customHeight="1">
      <c r="A506" s="21"/>
      <c r="B506" s="38">
        <v>15.0</v>
      </c>
      <c r="C506" s="38" t="s">
        <v>40</v>
      </c>
      <c r="D506" s="39">
        <v>24.0</v>
      </c>
      <c r="E506" s="40">
        <f>IFERROR(__xludf.DUMMYFUNCTION("COUNT(IMPORTRANGE(""https://docs.google.com/spreadsheets/d/1Wdf8MsoDBzMSsrzOXwaGQzbVjVqOWfKSqYmbncevZgA/edit"",""1!d2:d31""))"),30.0)</f>
        <v>30</v>
      </c>
      <c r="F506" s="45">
        <f>IFERROR(__xludf.DUMMYFUNCTION("SUM(IMPORTRANGE(""https://docs.google.com/spreadsheets/d/1Wdf8MsoDBzMSsrzOXwaGQzbVjVqOWfKSqYmbncevZgA/edit"",""1!Q2:Q31""))"),5660.156999999998)</f>
        <v>5660.157</v>
      </c>
      <c r="G506" s="40">
        <f>IFERROR(__xludf.DUMMYFUNCTION("IMPORTRANGE(""https://docs.google.com/spreadsheets/d/1Wdf8MsoDBzMSsrzOXwaGQzbVjVqOWfKSqYmbncevZgA/edit"",""1!e38"")"),3382.0)</f>
        <v>3382</v>
      </c>
      <c r="H506" s="40">
        <f>IFERROR(__xludf.DUMMYFUNCTION("IMPORTRANGE(""https://docs.google.com/spreadsheets/d/1Wdf8MsoDBzMSsrzOXwaGQzbVjVqOWfKSqYmbncevZgA/edit"",""1!e39"")"),0.0)</f>
        <v>0</v>
      </c>
      <c r="I506" s="40">
        <f t="shared" si="1365"/>
        <v>3382</v>
      </c>
      <c r="J506" s="40">
        <f>IFERROR(__xludf.DUMMYFUNCTION("IMPORTRANGE(""https://docs.google.com/spreadsheets/d/1Wdf8MsoDBzMSsrzOXwaGQzbVjVqOWfKSqYmbncevZgA/edit"",""1!e42"")"),3798.0)</f>
        <v>3798</v>
      </c>
      <c r="K506" s="40">
        <f>IFERROR(__xludf.DUMMYFUNCTION("IMPORTRANGE(""https://docs.google.com/spreadsheets/d/1Wdf8MsoDBzMSsrzOXwaGQzbVjVqOWfKSqYmbncevZgA/edit"",""1!e43"")"),0.0)</f>
        <v>0</v>
      </c>
      <c r="L506" s="40">
        <f t="shared" si="1395"/>
        <v>3798</v>
      </c>
      <c r="M506" s="40">
        <f t="shared" si="1367"/>
        <v>7180</v>
      </c>
      <c r="N506" s="41">
        <f t="shared" si="1368"/>
        <v>188.6719</v>
      </c>
      <c r="O506" s="38">
        <v>8239.0</v>
      </c>
      <c r="P506" s="42">
        <f t="shared" si="1369"/>
        <v>0.8714649836</v>
      </c>
      <c r="Q506" s="43">
        <v>1.5</v>
      </c>
      <c r="R506" s="42">
        <f t="shared" si="1370"/>
        <v>0.8456773667</v>
      </c>
      <c r="S506" s="44">
        <f t="shared" si="1371"/>
        <v>1.26851605</v>
      </c>
      <c r="T506" s="43">
        <f>F506/28.443</f>
        <v>199</v>
      </c>
      <c r="U506" s="43">
        <f t="shared" si="1372"/>
        <v>6.633333333</v>
      </c>
      <c r="V506" s="40">
        <f t="shared" si="1373"/>
        <v>239.3333333</v>
      </c>
      <c r="X506" s="14" t="s">
        <v>2</v>
      </c>
      <c r="Y506" s="14" t="s">
        <v>3</v>
      </c>
      <c r="Z506" s="14" t="s">
        <v>4</v>
      </c>
      <c r="AA506" s="14" t="s">
        <v>5</v>
      </c>
      <c r="AB506" s="15" t="s">
        <v>6</v>
      </c>
      <c r="AC506" s="14" t="s">
        <v>7</v>
      </c>
      <c r="AD506" s="14" t="s">
        <v>8</v>
      </c>
      <c r="AE506" s="14" t="s">
        <v>9</v>
      </c>
      <c r="AF506" s="14" t="s">
        <v>10</v>
      </c>
      <c r="AG506" s="14" t="s">
        <v>11</v>
      </c>
      <c r="AH506" s="14" t="s">
        <v>12</v>
      </c>
      <c r="AI506" s="14" t="s">
        <v>13</v>
      </c>
      <c r="AJ506" s="15" t="s">
        <v>14</v>
      </c>
      <c r="AK506" s="14" t="s">
        <v>15</v>
      </c>
      <c r="AL506" s="14" t="s">
        <v>16</v>
      </c>
      <c r="AM506" s="16" t="s">
        <v>17</v>
      </c>
      <c r="AN506" s="17" t="s">
        <v>18</v>
      </c>
      <c r="AO506" s="18" t="s">
        <v>19</v>
      </c>
      <c r="AP506" s="19" t="s">
        <v>20</v>
      </c>
      <c r="AQ506" s="19" t="s">
        <v>21</v>
      </c>
      <c r="AR506" s="20" t="s">
        <v>22</v>
      </c>
    </row>
    <row r="507" ht="15.75" customHeight="1">
      <c r="A507" s="21"/>
      <c r="B507" s="38">
        <v>16.0</v>
      </c>
      <c r="C507" s="38" t="s">
        <v>42</v>
      </c>
      <c r="D507" s="39">
        <v>26.0</v>
      </c>
      <c r="E507" s="40">
        <f>IFERROR(__xludf.DUMMYFUNCTION("COUNT(IMPORTRANGE(""https://docs.google.com/spreadsheets/d/1Z5uB5HbeAKcHmG4EOw3rf2J8NpyvDiha6RReERAMvA0/edit"",""1!d2:d34""))"),33.0)</f>
        <v>33</v>
      </c>
      <c r="F507" s="45">
        <f>IFERROR(__xludf.DUMMYFUNCTION("SUM(IMPORTRANGE(""https://docs.google.com/spreadsheets/d/1Z5uB5HbeAKcHmG4EOw3rf2J8NpyvDiha6RReERAMvA0/edit"",""1!Q2:Q34""))"),6597.214999999997)</f>
        <v>6597.215</v>
      </c>
      <c r="G507" s="40">
        <f>IFERROR(__xludf.DUMMYFUNCTION("IMPORTRANGE(""https://docs.google.com/spreadsheets/d/1Z5uB5HbeAKcHmG4EOw3rf2J8NpyvDiha6RReERAMvA0/edit"",""1!e41"")"),3014.0)</f>
        <v>3014</v>
      </c>
      <c r="H507" s="40">
        <f>IFERROR(__xludf.DUMMYFUNCTION("IMPORTRANGE(""https://docs.google.com/spreadsheets/d/1Z5uB5HbeAKcHmG4EOw3rf2J8NpyvDiha6RReERAMvA0/edit"",""1!e42"")"),234.0)</f>
        <v>234</v>
      </c>
      <c r="I507" s="40">
        <f t="shared" si="1365"/>
        <v>3248</v>
      </c>
      <c r="J507" s="40">
        <f>IFERROR(__xludf.DUMMYFUNCTION("IMPORTRANGE(""https://docs.google.com/spreadsheets/d/1Z5uB5HbeAKcHmG4EOw3rf2J8NpyvDiha6RReERAMvA0/edit"",""1!e45"")"),4605.0)</f>
        <v>4605</v>
      </c>
      <c r="K507" s="40">
        <f>IFERROR(__xludf.DUMMYFUNCTION("IMPORTRANGE(""https://docs.google.com/spreadsheets/d/1Z5uB5HbeAKcHmG4EOw3rf2J8NpyvDiha6RReERAMvA0/edit"",""1!e46"")"),108.0)</f>
        <v>108</v>
      </c>
      <c r="L507" s="40">
        <f t="shared" si="1395"/>
        <v>4713</v>
      </c>
      <c r="M507" s="40">
        <f t="shared" si="1367"/>
        <v>7961</v>
      </c>
      <c r="N507" s="41">
        <f t="shared" si="1368"/>
        <v>199.9156061</v>
      </c>
      <c r="O507" s="38">
        <v>9877.0</v>
      </c>
      <c r="P507" s="42">
        <f t="shared" si="1369"/>
        <v>0.8060139719</v>
      </c>
      <c r="Q507" s="43">
        <v>1.5</v>
      </c>
      <c r="R507" s="42">
        <f t="shared" si="1370"/>
        <v>0.8044808807</v>
      </c>
      <c r="S507" s="44">
        <f t="shared" si="1371"/>
        <v>1.206721321</v>
      </c>
      <c r="T507" s="43">
        <f>F507/26.155</f>
        <v>252.2353279</v>
      </c>
      <c r="U507" s="43">
        <f t="shared" si="1372"/>
        <v>7.643494783</v>
      </c>
      <c r="V507" s="40">
        <f t="shared" si="1373"/>
        <v>241.2424242</v>
      </c>
      <c r="X507" s="31">
        <v>1.0</v>
      </c>
      <c r="Y507" s="31" t="s">
        <v>26</v>
      </c>
      <c r="Z507" s="31">
        <f t="shared" ref="Z507:AI507" si="1405">SUM(D492)</f>
        <v>16</v>
      </c>
      <c r="AA507" s="32">
        <f t="shared" si="1405"/>
        <v>20</v>
      </c>
      <c r="AB507" s="34">
        <f t="shared" si="1405"/>
        <v>3935.295</v>
      </c>
      <c r="AC507" s="32">
        <f t="shared" si="1405"/>
        <v>2229</v>
      </c>
      <c r="AD507" s="32">
        <f t="shared" si="1405"/>
        <v>0</v>
      </c>
      <c r="AE507" s="32">
        <f t="shared" si="1405"/>
        <v>2229</v>
      </c>
      <c r="AF507" s="32">
        <f t="shared" si="1405"/>
        <v>2661</v>
      </c>
      <c r="AG507" s="32">
        <f t="shared" si="1405"/>
        <v>47</v>
      </c>
      <c r="AH507" s="32">
        <f t="shared" si="1405"/>
        <v>2708</v>
      </c>
      <c r="AI507" s="32">
        <f t="shared" si="1405"/>
        <v>4937</v>
      </c>
      <c r="AJ507" s="34">
        <f t="shared" ref="AJ507:AJ513" si="1408">AB507/AA507</f>
        <v>196.76475</v>
      </c>
      <c r="AK507" s="31">
        <f>SUM(O492)</f>
        <v>5161</v>
      </c>
      <c r="AL507" s="35">
        <f t="shared" ref="AL507:AL513" si="1409">AI507/AK507</f>
        <v>0.9565975586</v>
      </c>
      <c r="AM507" s="36">
        <f>SUM(Q492)</f>
        <v>1.5</v>
      </c>
      <c r="AN507" s="35">
        <f t="shared" ref="AN507:AN513" si="1410">AO507/AM507</f>
        <v>0.8363625429</v>
      </c>
      <c r="AO507" s="37">
        <f t="shared" ref="AO507:AO513" si="1411">AI507/AB507</f>
        <v>1.254543814</v>
      </c>
      <c r="AP507" s="36">
        <f t="shared" ref="AP507:AQ507" si="1406">SUM(T492)</f>
        <v>273</v>
      </c>
      <c r="AQ507" s="36">
        <f t="shared" si="1406"/>
        <v>13.65</v>
      </c>
      <c r="AR507" s="32">
        <f t="shared" ref="AR507:AR513" si="1413">AI507/AA507</f>
        <v>246.85</v>
      </c>
    </row>
    <row r="508" ht="15.75" customHeight="1">
      <c r="A508" s="21"/>
      <c r="B508" s="38">
        <v>17.0</v>
      </c>
      <c r="C508" s="38" t="s">
        <v>29</v>
      </c>
      <c r="D508" s="39">
        <v>24.0</v>
      </c>
      <c r="E508" s="40">
        <f>IFERROR(__xludf.DUMMYFUNCTION("COUNT(IMPORTRANGE(""https://docs.google.com/spreadsheets/d/1wfJqI0e9wVPqEQv3N6b8KgINjqI0OBECEyIFeY9j3i8/edit"",""1!d2:d31""))"),29.0)</f>
        <v>29</v>
      </c>
      <c r="F508" s="45">
        <f>IFERROR(__xludf.DUMMYFUNCTION("SUM(IMPORTRANGE(""https://docs.google.com/spreadsheets/d/1wfJqI0e9wVPqEQv3N6b8KgINjqI0OBECEyIFeY9j3i8/edit"",""1!Q2:Q31""))"),5722.055999999998)</f>
        <v>5722.056</v>
      </c>
      <c r="G508" s="40">
        <f>IFERROR(__xludf.DUMMYFUNCTION("IMPORTRANGE(""https://docs.google.com/spreadsheets/d/1wfJqI0e9wVPqEQv3N6b8KgINjqI0OBECEyIFeY9j3i8/edit"",""1!e38"")"),2610.0)</f>
        <v>2610</v>
      </c>
      <c r="H508" s="40">
        <f>IFERROR(__xludf.DUMMYFUNCTION("IMPORTRANGE(""https://docs.google.com/spreadsheets/d/1wfJqI0e9wVPqEQv3N6b8KgINjqI0OBECEyIFeY9j3i8/edit"",""1!e39"")"),0.0)</f>
        <v>0</v>
      </c>
      <c r="I508" s="40">
        <f t="shared" si="1365"/>
        <v>2610</v>
      </c>
      <c r="J508" s="40">
        <f>IFERROR(__xludf.DUMMYFUNCTION("IMPORTRANGE(""https://docs.google.com/spreadsheets/d/1wfJqI0e9wVPqEQv3N6b8KgINjqI0OBECEyIFeY9j3i8/edit"",""1!e42"")"),4378.0)</f>
        <v>4378</v>
      </c>
      <c r="K508" s="40">
        <f>IFERROR(__xludf.DUMMYFUNCTION("IMPORTRANGE(""https://docs.google.com/spreadsheets/d/1wfJqI0e9wVPqEQv3N6b8KgINjqI0OBECEyIFeY9j3i8/edit"",""1!e43"")"),0.0)</f>
        <v>0</v>
      </c>
      <c r="L508" s="40">
        <f t="shared" si="1395"/>
        <v>4378</v>
      </c>
      <c r="M508" s="40">
        <f t="shared" si="1367"/>
        <v>6988</v>
      </c>
      <c r="N508" s="41">
        <f t="shared" si="1368"/>
        <v>197.3122759</v>
      </c>
      <c r="O508" s="38">
        <v>9201.0</v>
      </c>
      <c r="P508" s="42">
        <f t="shared" si="1369"/>
        <v>0.7594826649</v>
      </c>
      <c r="Q508" s="43">
        <v>1.5</v>
      </c>
      <c r="R508" s="42">
        <f t="shared" si="1370"/>
        <v>0.8141595725</v>
      </c>
      <c r="S508" s="44">
        <f t="shared" si="1371"/>
        <v>1.221239359</v>
      </c>
      <c r="T508" s="43">
        <f>F508/26.491</f>
        <v>216</v>
      </c>
      <c r="U508" s="43">
        <f t="shared" si="1372"/>
        <v>7.448275862</v>
      </c>
      <c r="V508" s="40">
        <f t="shared" si="1373"/>
        <v>240.9655172</v>
      </c>
      <c r="X508" s="31">
        <v>2.0</v>
      </c>
      <c r="Y508" s="31" t="s">
        <v>32</v>
      </c>
      <c r="Z508" s="31">
        <f t="shared" ref="Z508:AI508" si="1407">SUM(D495)</f>
        <v>33</v>
      </c>
      <c r="AA508" s="32">
        <f t="shared" si="1407"/>
        <v>42</v>
      </c>
      <c r="AB508" s="33">
        <f t="shared" si="1407"/>
        <v>8240.662</v>
      </c>
      <c r="AC508" s="31">
        <f t="shared" si="1407"/>
        <v>4515</v>
      </c>
      <c r="AD508" s="31">
        <f t="shared" si="1407"/>
        <v>0</v>
      </c>
      <c r="AE508" s="32">
        <f t="shared" si="1407"/>
        <v>4515</v>
      </c>
      <c r="AF508" s="31">
        <f t="shared" si="1407"/>
        <v>5726</v>
      </c>
      <c r="AG508" s="31">
        <f t="shared" si="1407"/>
        <v>0</v>
      </c>
      <c r="AH508" s="32">
        <f t="shared" si="1407"/>
        <v>5726</v>
      </c>
      <c r="AI508" s="32">
        <f t="shared" si="1407"/>
        <v>10241</v>
      </c>
      <c r="AJ508" s="34">
        <f t="shared" si="1408"/>
        <v>196.2062381</v>
      </c>
      <c r="AK508" s="31">
        <f>SUM(O495)</f>
        <v>13817</v>
      </c>
      <c r="AL508" s="35">
        <f t="shared" si="1409"/>
        <v>0.7411883911</v>
      </c>
      <c r="AM508" s="36">
        <f>SUM(Q495)</f>
        <v>1.5</v>
      </c>
      <c r="AN508" s="35">
        <f t="shared" si="1410"/>
        <v>0.8284933096</v>
      </c>
      <c r="AO508" s="37">
        <f t="shared" si="1411"/>
        <v>1.242739964</v>
      </c>
      <c r="AP508" s="36">
        <f t="shared" ref="AP508:AQ508" si="1412">SUM(T495)</f>
        <v>328.4571725</v>
      </c>
      <c r="AQ508" s="36">
        <f t="shared" si="1412"/>
        <v>7.820408868</v>
      </c>
      <c r="AR508" s="32">
        <f t="shared" si="1413"/>
        <v>243.8333333</v>
      </c>
    </row>
    <row r="509" ht="15.75" customHeight="1">
      <c r="A509" s="21"/>
      <c r="B509" s="38">
        <v>18.0</v>
      </c>
      <c r="C509" s="38" t="s">
        <v>31</v>
      </c>
      <c r="D509" s="39">
        <v>12.0</v>
      </c>
      <c r="E509" s="40">
        <f>IFERROR(__xludf.DUMMYFUNCTION("COUNT(IMPORTRANGE(""https://docs.google.com/spreadsheets/d/1-y2KhTAo7d8kowgUuWUDfRQuRMUAFteRYEXorT3_wOs/edit"",""1!d2:d16""))"),14.0)</f>
        <v>14</v>
      </c>
      <c r="F509" s="41">
        <f>IFERROR(__xludf.DUMMYFUNCTION("SUM(IMPORTRANGE(""https://docs.google.com/spreadsheets/d/1-y2KhTAo7d8kowgUuWUDfRQuRMUAFteRYEXorT3_wOs/edit"",""1!Q2:Q16""))"),2520.9699999999993)</f>
        <v>2520.97</v>
      </c>
      <c r="G509" s="40">
        <f>IFERROR(__xludf.DUMMYFUNCTION("IMPORTRANGE(""https://docs.google.com/spreadsheets/d/1-y2KhTAo7d8kowgUuWUDfRQuRMUAFteRYEXorT3_wOs/edit"",""1!e23"")"),633.0)</f>
        <v>633</v>
      </c>
      <c r="H509" s="40">
        <f>IFERROR(__xludf.DUMMYFUNCTION("IMPORTRANGE(""https://docs.google.com/spreadsheets/d/1-y2KhTAo7d8kowgUuWUDfRQuRMUAFteRYEXorT3_wOs/edit"",""1!e24"")"),0.0)</f>
        <v>0</v>
      </c>
      <c r="I509" s="40">
        <f t="shared" si="1365"/>
        <v>633</v>
      </c>
      <c r="J509" s="40">
        <f>IFERROR(__xludf.DUMMYFUNCTION("IMPORTRANGE(""https://docs.google.com/spreadsheets/d/1-y2KhTAo7d8kowgUuWUDfRQuRMUAFteRYEXorT3_wOs/edit"",""1!e27"")"),1148.0)</f>
        <v>1148</v>
      </c>
      <c r="K509" s="40">
        <f>IFERROR(__xludf.DUMMYFUNCTION("IMPORTRANGE(""https://docs.google.com/spreadsheets/d/1-y2KhTAo7d8kowgUuWUDfRQuRMUAFteRYEXorT3_wOs/edit"",""1!e28"")"),15.0)</f>
        <v>15</v>
      </c>
      <c r="L509" s="40">
        <f t="shared" si="1395"/>
        <v>1163</v>
      </c>
      <c r="M509" s="40">
        <f t="shared" si="1367"/>
        <v>1796</v>
      </c>
      <c r="N509" s="41">
        <f t="shared" si="1368"/>
        <v>180.0692857</v>
      </c>
      <c r="O509" s="38">
        <v>2717.0</v>
      </c>
      <c r="P509" s="42">
        <f t="shared" si="1369"/>
        <v>0.6610231873</v>
      </c>
      <c r="Q509" s="43">
        <v>1.5</v>
      </c>
      <c r="R509" s="42">
        <f t="shared" si="1370"/>
        <v>0.4749494573</v>
      </c>
      <c r="S509" s="44">
        <f t="shared" si="1371"/>
        <v>0.7124241859</v>
      </c>
      <c r="T509" s="43">
        <f>F509/43.465</f>
        <v>58</v>
      </c>
      <c r="U509" s="43">
        <f t="shared" si="1372"/>
        <v>4.142857143</v>
      </c>
      <c r="V509" s="40">
        <f t="shared" si="1373"/>
        <v>128.2857143</v>
      </c>
      <c r="X509" s="31">
        <v>3.0</v>
      </c>
      <c r="Y509" s="31" t="s">
        <v>36</v>
      </c>
      <c r="Z509" s="31">
        <f t="shared" ref="Z509:AI509" si="1414">SUM(D500)</f>
        <v>24</v>
      </c>
      <c r="AA509" s="32">
        <f t="shared" si="1414"/>
        <v>29</v>
      </c>
      <c r="AB509" s="33">
        <f t="shared" si="1414"/>
        <v>4875.345</v>
      </c>
      <c r="AC509" s="32">
        <f t="shared" si="1414"/>
        <v>1728</v>
      </c>
      <c r="AD509" s="32">
        <f t="shared" si="1414"/>
        <v>0</v>
      </c>
      <c r="AE509" s="32">
        <f t="shared" si="1414"/>
        <v>1728</v>
      </c>
      <c r="AF509" s="32">
        <f t="shared" si="1414"/>
        <v>2407</v>
      </c>
      <c r="AG509" s="32">
        <f t="shared" si="1414"/>
        <v>20</v>
      </c>
      <c r="AH509" s="32">
        <f t="shared" si="1414"/>
        <v>2427</v>
      </c>
      <c r="AI509" s="32">
        <f t="shared" si="1414"/>
        <v>4155</v>
      </c>
      <c r="AJ509" s="34">
        <f t="shared" si="1408"/>
        <v>168.1153448</v>
      </c>
      <c r="AK509" s="31">
        <f t="shared" ref="AK509:AK512" si="1418">SUM(O500)</f>
        <v>4796</v>
      </c>
      <c r="AL509" s="35">
        <f t="shared" si="1409"/>
        <v>0.8663469558</v>
      </c>
      <c r="AM509" s="36">
        <f t="shared" ref="AM509:AM512" si="1419">SUM(Q500)</f>
        <v>1.5</v>
      </c>
      <c r="AN509" s="35">
        <f t="shared" si="1410"/>
        <v>0.5681649196</v>
      </c>
      <c r="AO509" s="37">
        <f t="shared" si="1411"/>
        <v>0.8522473794</v>
      </c>
      <c r="AP509" s="36">
        <f t="shared" ref="AP509:AQ509" si="1415">SUM(T500)</f>
        <v>130.3080398</v>
      </c>
      <c r="AQ509" s="36">
        <f t="shared" si="1415"/>
        <v>4.493380682</v>
      </c>
      <c r="AR509" s="32">
        <f t="shared" si="1413"/>
        <v>143.2758621</v>
      </c>
    </row>
    <row r="510" ht="15.75" customHeight="1">
      <c r="A510" s="21"/>
      <c r="B510" s="60" t="s">
        <v>33</v>
      </c>
      <c r="C510" s="60">
        <v>18.0</v>
      </c>
      <c r="D510" s="60">
        <f t="shared" ref="D510:M510" si="1416">SUM(D492:D509)</f>
        <v>471</v>
      </c>
      <c r="E510" s="61">
        <f t="shared" si="1416"/>
        <v>576</v>
      </c>
      <c r="F510" s="62">
        <f t="shared" si="1416"/>
        <v>111449.623</v>
      </c>
      <c r="G510" s="61">
        <f t="shared" si="1416"/>
        <v>41757</v>
      </c>
      <c r="H510" s="61">
        <f t="shared" si="1416"/>
        <v>946</v>
      </c>
      <c r="I510" s="61">
        <f t="shared" si="1416"/>
        <v>42703</v>
      </c>
      <c r="J510" s="61">
        <f t="shared" si="1416"/>
        <v>57855</v>
      </c>
      <c r="K510" s="61">
        <f t="shared" si="1416"/>
        <v>875</v>
      </c>
      <c r="L510" s="61">
        <f t="shared" si="1416"/>
        <v>58730</v>
      </c>
      <c r="M510" s="61">
        <f t="shared" si="1416"/>
        <v>101433</v>
      </c>
      <c r="N510" s="62">
        <f t="shared" si="1368"/>
        <v>193.4889288</v>
      </c>
      <c r="O510" s="60">
        <f>SUM(O492:O509)</f>
        <v>126399</v>
      </c>
      <c r="P510" s="63">
        <f t="shared" si="1369"/>
        <v>0.8024826146</v>
      </c>
      <c r="Q510" s="64">
        <v>1.5</v>
      </c>
      <c r="R510" s="63">
        <f t="shared" si="1370"/>
        <v>0.6067494728</v>
      </c>
      <c r="S510" s="65">
        <f t="shared" si="1371"/>
        <v>0.9101242092</v>
      </c>
      <c r="T510" s="64">
        <f>SUM(T492:T509)</f>
        <v>4122.022266</v>
      </c>
      <c r="U510" s="64">
        <f t="shared" si="1372"/>
        <v>7.156288656</v>
      </c>
      <c r="V510" s="61">
        <f t="shared" si="1373"/>
        <v>176.0989583</v>
      </c>
      <c r="X510" s="31">
        <v>4.0</v>
      </c>
      <c r="Y510" s="31" t="s">
        <v>37</v>
      </c>
      <c r="Z510" s="31">
        <f t="shared" ref="Z510:AI510" si="1417">SUM(D501)</f>
        <v>24</v>
      </c>
      <c r="AA510" s="32">
        <f t="shared" si="1417"/>
        <v>28</v>
      </c>
      <c r="AB510" s="33">
        <f t="shared" si="1417"/>
        <v>5465.1</v>
      </c>
      <c r="AC510" s="32">
        <f t="shared" si="1417"/>
        <v>2135</v>
      </c>
      <c r="AD510" s="32">
        <f t="shared" si="1417"/>
        <v>0</v>
      </c>
      <c r="AE510" s="32">
        <f t="shared" si="1417"/>
        <v>2135</v>
      </c>
      <c r="AF510" s="32">
        <f t="shared" si="1417"/>
        <v>3182</v>
      </c>
      <c r="AG510" s="32">
        <f t="shared" si="1417"/>
        <v>0</v>
      </c>
      <c r="AH510" s="32">
        <f t="shared" si="1417"/>
        <v>3182</v>
      </c>
      <c r="AI510" s="32">
        <f t="shared" si="1417"/>
        <v>5317</v>
      </c>
      <c r="AJ510" s="34">
        <f t="shared" si="1408"/>
        <v>195.1821429</v>
      </c>
      <c r="AK510" s="31">
        <f t="shared" si="1418"/>
        <v>5887</v>
      </c>
      <c r="AL510" s="35">
        <f t="shared" si="1409"/>
        <v>0.9031764906</v>
      </c>
      <c r="AM510" s="36">
        <f t="shared" si="1419"/>
        <v>1.5</v>
      </c>
      <c r="AN510" s="35">
        <f t="shared" si="1410"/>
        <v>0.6486005136</v>
      </c>
      <c r="AO510" s="37">
        <f t="shared" si="1411"/>
        <v>0.9729007703</v>
      </c>
      <c r="AP510" s="36">
        <f t="shared" ref="AP510:AQ510" si="1420">SUM(T501)</f>
        <v>220.4380445</v>
      </c>
      <c r="AQ510" s="36">
        <f t="shared" si="1420"/>
        <v>7.872787305</v>
      </c>
      <c r="AR510" s="32">
        <f t="shared" si="1413"/>
        <v>189.8928571</v>
      </c>
    </row>
    <row r="511" ht="15.7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X511" s="31">
        <v>5.0</v>
      </c>
      <c r="Y511" s="31" t="s">
        <v>39</v>
      </c>
      <c r="Z511" s="31">
        <f t="shared" ref="Z511:AI511" si="1421">SUM(D502)</f>
        <v>22</v>
      </c>
      <c r="AA511" s="32">
        <f t="shared" si="1421"/>
        <v>27</v>
      </c>
      <c r="AB511" s="33">
        <f t="shared" si="1421"/>
        <v>5318.459</v>
      </c>
      <c r="AC511" s="32">
        <f t="shared" si="1421"/>
        <v>1229</v>
      </c>
      <c r="AD511" s="32">
        <f t="shared" si="1421"/>
        <v>0</v>
      </c>
      <c r="AE511" s="32">
        <f t="shared" si="1421"/>
        <v>1229</v>
      </c>
      <c r="AF511" s="32">
        <f t="shared" si="1421"/>
        <v>1740</v>
      </c>
      <c r="AG511" s="32">
        <f t="shared" si="1421"/>
        <v>0</v>
      </c>
      <c r="AH511" s="32">
        <f t="shared" si="1421"/>
        <v>1740</v>
      </c>
      <c r="AI511" s="32">
        <f t="shared" si="1421"/>
        <v>2969</v>
      </c>
      <c r="AJ511" s="34">
        <f t="shared" si="1408"/>
        <v>196.979963</v>
      </c>
      <c r="AK511" s="31">
        <f t="shared" si="1418"/>
        <v>3569</v>
      </c>
      <c r="AL511" s="35">
        <f t="shared" si="1409"/>
        <v>0.8318856823</v>
      </c>
      <c r="AM511" s="36">
        <f t="shared" si="1419"/>
        <v>1.5</v>
      </c>
      <c r="AN511" s="35">
        <f t="shared" si="1410"/>
        <v>0.3721629392</v>
      </c>
      <c r="AO511" s="37">
        <f t="shared" si="1411"/>
        <v>0.5582444088</v>
      </c>
      <c r="AP511" s="36">
        <f t="shared" ref="AP511:AQ511" si="1422">SUM(T502)</f>
        <v>247.7966268</v>
      </c>
      <c r="AQ511" s="36">
        <f t="shared" si="1422"/>
        <v>9.177652843</v>
      </c>
      <c r="AR511" s="32">
        <f t="shared" si="1413"/>
        <v>109.962963</v>
      </c>
    </row>
    <row r="512" ht="15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X512" s="31">
        <v>6.0</v>
      </c>
      <c r="Y512" s="31" t="s">
        <v>41</v>
      </c>
      <c r="Z512" s="31">
        <f t="shared" ref="Z512:AI512" si="1423">SUM(D503)</f>
        <v>20</v>
      </c>
      <c r="AA512" s="32">
        <f t="shared" si="1423"/>
        <v>24</v>
      </c>
      <c r="AB512" s="33">
        <f t="shared" si="1423"/>
        <v>4793.152</v>
      </c>
      <c r="AC512" s="32">
        <f t="shared" si="1423"/>
        <v>1363</v>
      </c>
      <c r="AD512" s="32">
        <f t="shared" si="1423"/>
        <v>0</v>
      </c>
      <c r="AE512" s="32">
        <f t="shared" si="1423"/>
        <v>1363</v>
      </c>
      <c r="AF512" s="32">
        <f t="shared" si="1423"/>
        <v>1818</v>
      </c>
      <c r="AG512" s="32">
        <f t="shared" si="1423"/>
        <v>0</v>
      </c>
      <c r="AH512" s="32">
        <f t="shared" si="1423"/>
        <v>1818</v>
      </c>
      <c r="AI512" s="32">
        <f t="shared" si="1423"/>
        <v>3181</v>
      </c>
      <c r="AJ512" s="34">
        <f t="shared" si="1408"/>
        <v>199.7146667</v>
      </c>
      <c r="AK512" s="31">
        <f t="shared" si="1418"/>
        <v>3801</v>
      </c>
      <c r="AL512" s="35">
        <f t="shared" si="1409"/>
        <v>0.8368850303</v>
      </c>
      <c r="AM512" s="36">
        <f t="shared" si="1419"/>
        <v>1.5</v>
      </c>
      <c r="AN512" s="35">
        <f t="shared" si="1410"/>
        <v>0.4424367653</v>
      </c>
      <c r="AO512" s="37">
        <f t="shared" si="1411"/>
        <v>0.663655148</v>
      </c>
      <c r="AP512" s="36">
        <f t="shared" ref="AP512:AQ512" si="1424">SUM(T503)</f>
        <v>161.7777778</v>
      </c>
      <c r="AQ512" s="36">
        <f t="shared" si="1424"/>
        <v>6.740740741</v>
      </c>
      <c r="AR512" s="32">
        <f t="shared" si="1413"/>
        <v>132.5416667</v>
      </c>
    </row>
    <row r="513" ht="15.75" customHeight="1">
      <c r="A513" s="1" t="s">
        <v>45</v>
      </c>
      <c r="D513" s="2"/>
      <c r="X513" s="46" t="s">
        <v>33</v>
      </c>
      <c r="Y513" s="46">
        <v>6.0</v>
      </c>
      <c r="Z513" s="46">
        <f t="shared" ref="Z513:AI513" si="1425">SUM(Z507:Z512)</f>
        <v>139</v>
      </c>
      <c r="AA513" s="47">
        <f t="shared" si="1425"/>
        <v>170</v>
      </c>
      <c r="AB513" s="49">
        <f t="shared" si="1425"/>
        <v>32628.013</v>
      </c>
      <c r="AC513" s="47">
        <f t="shared" si="1425"/>
        <v>13199</v>
      </c>
      <c r="AD513" s="47">
        <f t="shared" si="1425"/>
        <v>0</v>
      </c>
      <c r="AE513" s="47">
        <f t="shared" si="1425"/>
        <v>13199</v>
      </c>
      <c r="AF513" s="47">
        <f t="shared" si="1425"/>
        <v>17534</v>
      </c>
      <c r="AG513" s="47">
        <f t="shared" si="1425"/>
        <v>67</v>
      </c>
      <c r="AH513" s="47">
        <f t="shared" si="1425"/>
        <v>17601</v>
      </c>
      <c r="AI513" s="47">
        <f t="shared" si="1425"/>
        <v>30800</v>
      </c>
      <c r="AJ513" s="49">
        <f t="shared" si="1408"/>
        <v>191.9294882</v>
      </c>
      <c r="AK513" s="46">
        <f>SUM(AK507:AK512)</f>
        <v>37031</v>
      </c>
      <c r="AL513" s="50">
        <f t="shared" si="1409"/>
        <v>0.8317355729</v>
      </c>
      <c r="AM513" s="51">
        <v>1.5</v>
      </c>
      <c r="AN513" s="50">
        <f t="shared" si="1410"/>
        <v>0.6293160829</v>
      </c>
      <c r="AO513" s="52">
        <f t="shared" si="1411"/>
        <v>0.9439741243</v>
      </c>
      <c r="AP513" s="51">
        <f>SUM(AP507:AP512)</f>
        <v>1361.777661</v>
      </c>
      <c r="AQ513" s="51">
        <f>AP513/AA513</f>
        <v>8.010456831</v>
      </c>
      <c r="AR513" s="47">
        <f t="shared" si="1413"/>
        <v>181.1764706</v>
      </c>
    </row>
    <row r="514" ht="15.75" customHeight="1">
      <c r="A514" s="1" t="s">
        <v>45</v>
      </c>
      <c r="D514" s="2"/>
      <c r="X514" s="66" t="s">
        <v>1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6"/>
    </row>
    <row r="515" ht="15.75" customHeight="1">
      <c r="A515" s="10">
        <v>46285.0</v>
      </c>
      <c r="B515" s="8" t="s">
        <v>2</v>
      </c>
      <c r="C515" s="8" t="s">
        <v>3</v>
      </c>
      <c r="D515" s="8" t="s">
        <v>4</v>
      </c>
      <c r="E515" s="8" t="s">
        <v>5</v>
      </c>
      <c r="F515" s="9" t="s">
        <v>6</v>
      </c>
      <c r="G515" s="8" t="s">
        <v>7</v>
      </c>
      <c r="H515" s="8" t="s">
        <v>8</v>
      </c>
      <c r="I515" s="8" t="s">
        <v>9</v>
      </c>
      <c r="J515" s="8" t="s">
        <v>10</v>
      </c>
      <c r="K515" s="8" t="s">
        <v>11</v>
      </c>
      <c r="L515" s="8" t="s">
        <v>12</v>
      </c>
      <c r="M515" s="8" t="s">
        <v>13</v>
      </c>
      <c r="N515" s="9" t="s">
        <v>14</v>
      </c>
      <c r="O515" s="8" t="s">
        <v>15</v>
      </c>
      <c r="P515" s="8" t="s">
        <v>16</v>
      </c>
      <c r="Q515" s="8" t="s">
        <v>17</v>
      </c>
      <c r="R515" s="8" t="s">
        <v>18</v>
      </c>
      <c r="S515" s="11" t="s">
        <v>19</v>
      </c>
      <c r="T515" s="12" t="s">
        <v>20</v>
      </c>
      <c r="U515" s="12" t="s">
        <v>21</v>
      </c>
      <c r="V515" s="13" t="s">
        <v>22</v>
      </c>
      <c r="X515" s="14" t="s">
        <v>2</v>
      </c>
      <c r="Y515" s="14" t="s">
        <v>3</v>
      </c>
      <c r="Z515" s="14" t="s">
        <v>4</v>
      </c>
      <c r="AA515" s="14" t="s">
        <v>5</v>
      </c>
      <c r="AB515" s="15" t="s">
        <v>6</v>
      </c>
      <c r="AC515" s="14" t="s">
        <v>7</v>
      </c>
      <c r="AD515" s="14" t="s">
        <v>8</v>
      </c>
      <c r="AE515" s="14" t="s">
        <v>9</v>
      </c>
      <c r="AF515" s="14" t="s">
        <v>10</v>
      </c>
      <c r="AG515" s="14" t="s">
        <v>11</v>
      </c>
      <c r="AH515" s="14" t="s">
        <v>12</v>
      </c>
      <c r="AI515" s="14" t="s">
        <v>13</v>
      </c>
      <c r="AJ515" s="15" t="s">
        <v>14</v>
      </c>
      <c r="AK515" s="14" t="s">
        <v>15</v>
      </c>
      <c r="AL515" s="14" t="s">
        <v>16</v>
      </c>
      <c r="AM515" s="16" t="s">
        <v>17</v>
      </c>
      <c r="AN515" s="17" t="s">
        <v>18</v>
      </c>
      <c r="AO515" s="18" t="s">
        <v>19</v>
      </c>
      <c r="AP515" s="19" t="s">
        <v>20</v>
      </c>
      <c r="AQ515" s="19" t="s">
        <v>21</v>
      </c>
      <c r="AR515" s="20" t="s">
        <v>22</v>
      </c>
    </row>
    <row r="516" ht="15.7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X516" s="22">
        <v>1.0</v>
      </c>
      <c r="Y516" s="22" t="s">
        <v>23</v>
      </c>
      <c r="Z516" s="22">
        <f t="shared" ref="Z516:AI516" si="1426">SUM(D524)</f>
        <v>26</v>
      </c>
      <c r="AA516" s="23">
        <f t="shared" si="1426"/>
        <v>34</v>
      </c>
      <c r="AB516" s="24">
        <f t="shared" si="1426"/>
        <v>6680.52</v>
      </c>
      <c r="AC516" s="23">
        <f t="shared" si="1426"/>
        <v>2083</v>
      </c>
      <c r="AD516" s="23">
        <f t="shared" si="1426"/>
        <v>0</v>
      </c>
      <c r="AE516" s="23">
        <f t="shared" si="1426"/>
        <v>2083</v>
      </c>
      <c r="AF516" s="23">
        <f t="shared" si="1426"/>
        <v>2916</v>
      </c>
      <c r="AG516" s="23">
        <f t="shared" si="1426"/>
        <v>0</v>
      </c>
      <c r="AH516" s="23">
        <f t="shared" si="1426"/>
        <v>2916</v>
      </c>
      <c r="AI516" s="23">
        <f t="shared" si="1426"/>
        <v>4999</v>
      </c>
      <c r="AJ516" s="25">
        <f t="shared" ref="AJ516:AJ518" si="1429">AB516/AA516</f>
        <v>196.4858824</v>
      </c>
      <c r="AK516" s="22">
        <f>SUM(O524)</f>
        <v>6853</v>
      </c>
      <c r="AL516" s="26">
        <f t="shared" ref="AL516:AL522" si="1430">AI516/AK516</f>
        <v>0.7294615497</v>
      </c>
      <c r="AM516" s="27">
        <f t="shared" ref="AM516:AM518" si="1431">SUM(Q524)</f>
        <v>1.5</v>
      </c>
      <c r="AN516" s="26">
        <f t="shared" ref="AN516:AN522" si="1432">AO516/AM516</f>
        <v>0.4988633619</v>
      </c>
      <c r="AO516" s="28">
        <f t="shared" ref="AO516:AO522" si="1433">AI516/AB516</f>
        <v>0.7482950429</v>
      </c>
      <c r="AP516" s="27">
        <f t="shared" ref="AP516:AQ516" si="1427">SUM(T524)</f>
        <v>198</v>
      </c>
      <c r="AQ516" s="27">
        <f t="shared" si="1427"/>
        <v>5.823529412</v>
      </c>
      <c r="AR516" s="23">
        <f t="shared" ref="AR516:AR522" si="1435">AI516/AA516</f>
        <v>147.0294118</v>
      </c>
    </row>
    <row r="517" ht="15.7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X517" s="22">
        <v>2.0</v>
      </c>
      <c r="Y517" s="22" t="s">
        <v>24</v>
      </c>
      <c r="Z517" s="22">
        <f t="shared" ref="Z517:AI517" si="1428">SUM(D525)</f>
        <v>35</v>
      </c>
      <c r="AA517" s="23">
        <f t="shared" si="1428"/>
        <v>44</v>
      </c>
      <c r="AB517" s="24">
        <f t="shared" si="1428"/>
        <v>8354.582</v>
      </c>
      <c r="AC517" s="23">
        <f t="shared" si="1428"/>
        <v>1454</v>
      </c>
      <c r="AD517" s="23">
        <f t="shared" si="1428"/>
        <v>0</v>
      </c>
      <c r="AE517" s="23">
        <f t="shared" si="1428"/>
        <v>1454</v>
      </c>
      <c r="AF517" s="23">
        <f t="shared" si="1428"/>
        <v>1288</v>
      </c>
      <c r="AG517" s="23">
        <f t="shared" si="1428"/>
        <v>28</v>
      </c>
      <c r="AH517" s="23">
        <f t="shared" si="1428"/>
        <v>1316</v>
      </c>
      <c r="AI517" s="23">
        <f t="shared" si="1428"/>
        <v>2770</v>
      </c>
      <c r="AJ517" s="25">
        <f t="shared" si="1429"/>
        <v>189.8768636</v>
      </c>
      <c r="AK517" s="22">
        <v>1580.0</v>
      </c>
      <c r="AL517" s="29">
        <f t="shared" si="1430"/>
        <v>1.753164557</v>
      </c>
      <c r="AM517" s="27">
        <f t="shared" si="1431"/>
        <v>1.5</v>
      </c>
      <c r="AN517" s="26">
        <f t="shared" si="1432"/>
        <v>0.2210363926</v>
      </c>
      <c r="AO517" s="28">
        <f t="shared" si="1433"/>
        <v>0.3315545888</v>
      </c>
      <c r="AP517" s="27">
        <f t="shared" ref="AP517:AQ517" si="1434">SUM(T525)</f>
        <v>311.6799851</v>
      </c>
      <c r="AQ517" s="27">
        <f t="shared" si="1434"/>
        <v>7.083636024</v>
      </c>
      <c r="AR517" s="23">
        <f t="shared" si="1435"/>
        <v>62.95454545</v>
      </c>
    </row>
    <row r="518" ht="15.75" customHeight="1">
      <c r="A518" s="21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X518" s="31">
        <v>3.0</v>
      </c>
      <c r="Y518" s="31" t="s">
        <v>25</v>
      </c>
      <c r="Z518" s="31">
        <f t="shared" ref="Z518:AI518" si="1436">SUM(D526)</f>
        <v>26</v>
      </c>
      <c r="AA518" s="32">
        <f t="shared" si="1436"/>
        <v>31</v>
      </c>
      <c r="AB518" s="33">
        <f t="shared" si="1436"/>
        <v>5925.124</v>
      </c>
      <c r="AC518" s="32">
        <f t="shared" si="1436"/>
        <v>2351</v>
      </c>
      <c r="AD518" s="32">
        <f t="shared" si="1436"/>
        <v>438</v>
      </c>
      <c r="AE518" s="32">
        <f t="shared" si="1436"/>
        <v>2789</v>
      </c>
      <c r="AF518" s="32">
        <f t="shared" si="1436"/>
        <v>3213</v>
      </c>
      <c r="AG518" s="32">
        <f t="shared" si="1436"/>
        <v>305</v>
      </c>
      <c r="AH518" s="32">
        <f t="shared" si="1436"/>
        <v>3518</v>
      </c>
      <c r="AI518" s="32">
        <f t="shared" si="1436"/>
        <v>6307</v>
      </c>
      <c r="AJ518" s="34">
        <f t="shared" si="1429"/>
        <v>191.1330323</v>
      </c>
      <c r="AK518" s="31">
        <f>SUM(O526)</f>
        <v>6622</v>
      </c>
      <c r="AL518" s="35">
        <f t="shared" si="1430"/>
        <v>0.9524312896</v>
      </c>
      <c r="AM518" s="36">
        <f t="shared" si="1431"/>
        <v>1.5</v>
      </c>
      <c r="AN518" s="35">
        <f t="shared" si="1432"/>
        <v>0.7096335312</v>
      </c>
      <c r="AO518" s="37">
        <f t="shared" si="1433"/>
        <v>1.064450297</v>
      </c>
      <c r="AP518" s="36">
        <f t="shared" ref="AP518:AQ518" si="1437">SUM(T526)</f>
        <v>248.5370805</v>
      </c>
      <c r="AQ518" s="36">
        <f t="shared" si="1437"/>
        <v>8.017325179</v>
      </c>
      <c r="AR518" s="32">
        <f t="shared" si="1435"/>
        <v>203.4516129</v>
      </c>
    </row>
    <row r="519" ht="15.75" customHeight="1">
      <c r="A519" s="21"/>
      <c r="B519" s="38">
        <v>1.0</v>
      </c>
      <c r="C519" s="38" t="s">
        <v>26</v>
      </c>
      <c r="D519" s="39">
        <v>15.0</v>
      </c>
      <c r="E519" s="40">
        <f>IFERROR(__xludf.DUMMYFUNCTION("COUNT(IMPORTRANGE(""https://docs.google.com/spreadsheets/d/1F0NpMx7WhcgPgxTWpryY3Z1CGg56FL6aiL4mHs43w4E/edit"",""2!d2:d21""))"),20.0)</f>
        <v>20</v>
      </c>
      <c r="F519" s="41">
        <f>IFERROR(__xludf.DUMMYFUNCTION("SUM(IMPORTRANGE(""https://docs.google.com/spreadsheets/d/1F0NpMx7WhcgPgxTWpryY3Z1CGg56FL6aiL4mHs43w4E/edit"",""2!Q2:Q21""))"),3560.964)</f>
        <v>3560.964</v>
      </c>
      <c r="G519" s="40">
        <f>IFERROR(__xludf.DUMMYFUNCTION("IMPORTRANGE(""https://docs.google.com/spreadsheets/d/1F0NpMx7WhcgPgxTWpryY3Z1CGg56FL6aiL4mHs43w4E/edit"",""2!e28"")"),1873.0)</f>
        <v>1873</v>
      </c>
      <c r="H519" s="40">
        <f>IFERROR(__xludf.DUMMYFUNCTION("IMPORTRANGE(""https://docs.google.com/spreadsheets/d/1F0NpMx7WhcgPgxTWpryY3Z1CGg56FL6aiL4mHs43w4E/edit"",""2!e29"")"),0.0)</f>
        <v>0</v>
      </c>
      <c r="I519" s="40">
        <f t="shared" ref="I519:I536" si="1440">SUM(G519:H519)</f>
        <v>1873</v>
      </c>
      <c r="J519" s="40">
        <f>IFERROR(__xludf.DUMMYFUNCTION("IMPORTRANGE(""https://docs.google.com/spreadsheets/d/1F0NpMx7WhcgPgxTWpryY3Z1CGg56FL6aiL4mHs43w4E/edit"",""2!e32"")"),3204.0)</f>
        <v>3204</v>
      </c>
      <c r="K519" s="40">
        <f>IFERROR(__xludf.DUMMYFUNCTION("IMPORTRANGE(""https://docs.google.com/spreadsheets/d/1F0NpMx7WhcgPgxTWpryY3Z1CGg56FL6aiL4mHs43w4E/edit"",""2!e33"")"),0.0)</f>
        <v>0</v>
      </c>
      <c r="L519" s="40">
        <f t="shared" ref="L519:L525" si="1441">SUM(J519:K519)</f>
        <v>3204</v>
      </c>
      <c r="M519" s="40">
        <f t="shared" ref="M519:M536" si="1442">SUM(I519+L519)</f>
        <v>5077</v>
      </c>
      <c r="N519" s="41">
        <f t="shared" ref="N519:N537" si="1443">F519/E519</f>
        <v>178.0482</v>
      </c>
      <c r="O519" s="38">
        <v>5161.0</v>
      </c>
      <c r="P519" s="42">
        <f t="shared" ref="P519:P537" si="1444">M519/O519</f>
        <v>0.9837240845</v>
      </c>
      <c r="Q519" s="43">
        <v>1.5</v>
      </c>
      <c r="R519" s="42">
        <f t="shared" ref="R519:R537" si="1445">S519/Q519</f>
        <v>0.9504916833</v>
      </c>
      <c r="S519" s="44">
        <f t="shared" ref="S519:S537" si="1446">M519/F519</f>
        <v>1.425737525</v>
      </c>
      <c r="T519" s="43">
        <f>F519/14.415</f>
        <v>247.0318418</v>
      </c>
      <c r="U519" s="43">
        <f t="shared" ref="U519:U537" si="1447">T519/E519</f>
        <v>12.35159209</v>
      </c>
      <c r="V519" s="40">
        <f t="shared" ref="V519:V537" si="1448">M519/E519</f>
        <v>253.85</v>
      </c>
      <c r="X519" s="22">
        <v>4.0</v>
      </c>
      <c r="Y519" s="22" t="s">
        <v>27</v>
      </c>
      <c r="Z519" s="22">
        <f t="shared" ref="Z519:AK519" si="1438">SUM(D532)</f>
        <v>23</v>
      </c>
      <c r="AA519" s="23">
        <f t="shared" si="1438"/>
        <v>28</v>
      </c>
      <c r="AB519" s="24">
        <f t="shared" si="1438"/>
        <v>5465.76</v>
      </c>
      <c r="AC519" s="23">
        <f t="shared" si="1438"/>
        <v>2368</v>
      </c>
      <c r="AD519" s="23">
        <f t="shared" si="1438"/>
        <v>140</v>
      </c>
      <c r="AE519" s="23">
        <f t="shared" si="1438"/>
        <v>2508</v>
      </c>
      <c r="AF519" s="23">
        <f t="shared" si="1438"/>
        <v>3355</v>
      </c>
      <c r="AG519" s="23">
        <f t="shared" si="1438"/>
        <v>107</v>
      </c>
      <c r="AH519" s="23">
        <f t="shared" si="1438"/>
        <v>3462</v>
      </c>
      <c r="AI519" s="23">
        <f t="shared" si="1438"/>
        <v>5970</v>
      </c>
      <c r="AJ519" s="25">
        <f t="shared" si="1438"/>
        <v>195.2057143</v>
      </c>
      <c r="AK519" s="22">
        <f t="shared" si="1438"/>
        <v>8101</v>
      </c>
      <c r="AL519" s="26">
        <f t="shared" si="1430"/>
        <v>0.736946056</v>
      </c>
      <c r="AM519" s="27">
        <f>SUM(Q532)</f>
        <v>1.5</v>
      </c>
      <c r="AN519" s="26">
        <f t="shared" si="1432"/>
        <v>0.7281695501</v>
      </c>
      <c r="AO519" s="28">
        <f t="shared" si="1433"/>
        <v>1.092254325</v>
      </c>
      <c r="AP519" s="27">
        <f t="shared" ref="AP519:AQ519" si="1439">SUM(T532)</f>
        <v>273.4931198</v>
      </c>
      <c r="AQ519" s="27">
        <f t="shared" si="1439"/>
        <v>9.767611423</v>
      </c>
      <c r="AR519" s="23">
        <f t="shared" si="1435"/>
        <v>213.2142857</v>
      </c>
    </row>
    <row r="520" ht="15.75" customHeight="1">
      <c r="A520" s="21"/>
      <c r="B520" s="38">
        <v>2.0</v>
      </c>
      <c r="C520" s="38" t="s">
        <v>28</v>
      </c>
      <c r="D520" s="39">
        <v>24.0</v>
      </c>
      <c r="E520" s="40">
        <f>IFERROR(__xludf.DUMMYFUNCTION("COUNT(IMPORTRANGE(""https://docs.google.com/spreadsheets/d/1H9vAqftAHb0OdeSGXHTnJFzoWUgpoH31sc0sHNN8y1o/edit"",""2!d2:d34""))"),33.0)</f>
        <v>33</v>
      </c>
      <c r="F520" s="41">
        <f>IFERROR(__xludf.DUMMYFUNCTION("SUM(IMPORTRANGE(""https://docs.google.com/spreadsheets/d/1H9vAqftAHb0OdeSGXHTnJFzoWUgpoH31sc0sHNN8y1o/edit"",""2!Q2:Q34""))"),6528.832999999999)</f>
        <v>6528.833</v>
      </c>
      <c r="G520" s="40">
        <f>IFERROR(__xludf.DUMMYFUNCTION("IMPORTRANGE(""https://docs.google.com/spreadsheets/d/1H9vAqftAHb0OdeSGXHTnJFzoWUgpoH31sc0sHNN8y1o/edit"",""2!e41"")"),2700.0)</f>
        <v>2700</v>
      </c>
      <c r="H520" s="40">
        <f>IFERROR(__xludf.DUMMYFUNCTION("IMPORTRANGE(""https://docs.google.com/spreadsheets/d/1H9vAqftAHb0OdeSGXHTnJFzoWUgpoH31sc0sHNN8y1o/edit"",""2!e42"")"),104.0)</f>
        <v>104</v>
      </c>
      <c r="I520" s="40">
        <f t="shared" si="1440"/>
        <v>2804</v>
      </c>
      <c r="J520" s="40">
        <f>IFERROR(__xludf.DUMMYFUNCTION("IMPORTRANGE(""https://docs.google.com/spreadsheets/d/1H9vAqftAHb0OdeSGXHTnJFzoWUgpoH31sc0sHNN8y1o/edit"",""2!e45"")"),3205.0)</f>
        <v>3205</v>
      </c>
      <c r="K520" s="40">
        <f>IFERROR(__xludf.DUMMYFUNCTION("IMPORTRANGE(""https://docs.google.com/spreadsheets/d/1H9vAqftAHb0OdeSGXHTnJFzoWUgpoH31sc0sHNN8y1o/edit"",""2!e46"")"),102.0)</f>
        <v>102</v>
      </c>
      <c r="L520" s="40">
        <f t="shared" si="1441"/>
        <v>3307</v>
      </c>
      <c r="M520" s="40">
        <f t="shared" si="1442"/>
        <v>6111</v>
      </c>
      <c r="N520" s="41">
        <f t="shared" si="1443"/>
        <v>197.8434242</v>
      </c>
      <c r="O520" s="38">
        <v>7315.0</v>
      </c>
      <c r="P520" s="42">
        <f t="shared" si="1444"/>
        <v>0.8354066986</v>
      </c>
      <c r="Q520" s="43">
        <v>1.5</v>
      </c>
      <c r="R520" s="42">
        <f t="shared" si="1445"/>
        <v>0.6240012572</v>
      </c>
      <c r="S520" s="44">
        <f t="shared" si="1446"/>
        <v>0.9360018858</v>
      </c>
      <c r="T520" s="43">
        <f>F520/30.897</f>
        <v>211.3096093</v>
      </c>
      <c r="U520" s="43">
        <f t="shared" si="1447"/>
        <v>6.403321495</v>
      </c>
      <c r="V520" s="40">
        <f t="shared" si="1448"/>
        <v>185.1818182</v>
      </c>
      <c r="X520" s="22">
        <v>5.0</v>
      </c>
      <c r="Y520" s="22" t="s">
        <v>29</v>
      </c>
      <c r="Z520" s="22">
        <f t="shared" ref="Z520:AI520" si="1449">SUM(D535)</f>
        <v>23</v>
      </c>
      <c r="AA520" s="23">
        <f t="shared" si="1449"/>
        <v>29</v>
      </c>
      <c r="AB520" s="24">
        <f t="shared" si="1449"/>
        <v>5775.038</v>
      </c>
      <c r="AC520" s="23">
        <f t="shared" si="1449"/>
        <v>2726</v>
      </c>
      <c r="AD520" s="23">
        <f t="shared" si="1449"/>
        <v>0</v>
      </c>
      <c r="AE520" s="23">
        <f t="shared" si="1449"/>
        <v>2726</v>
      </c>
      <c r="AF520" s="23">
        <f t="shared" si="1449"/>
        <v>4235</v>
      </c>
      <c r="AG520" s="23">
        <f t="shared" si="1449"/>
        <v>0</v>
      </c>
      <c r="AH520" s="23">
        <f t="shared" si="1449"/>
        <v>4235</v>
      </c>
      <c r="AI520" s="23">
        <f t="shared" si="1449"/>
        <v>6961</v>
      </c>
      <c r="AJ520" s="25">
        <f t="shared" ref="AJ520:AJ522" si="1452">AB520/AA520</f>
        <v>199.1392414</v>
      </c>
      <c r="AK520" s="22">
        <f t="shared" ref="AK520:AK521" si="1453">SUM(O535)</f>
        <v>9201</v>
      </c>
      <c r="AL520" s="26">
        <f t="shared" si="1430"/>
        <v>0.7565482013</v>
      </c>
      <c r="AM520" s="27">
        <f t="shared" ref="AM520:AM521" si="1454">SUM(Q535)</f>
        <v>1.5</v>
      </c>
      <c r="AN520" s="26">
        <f t="shared" si="1432"/>
        <v>0.803573356</v>
      </c>
      <c r="AO520" s="28">
        <f t="shared" si="1433"/>
        <v>1.205360034</v>
      </c>
      <c r="AP520" s="27">
        <f t="shared" ref="AP520:AQ520" si="1450">SUM(T535)</f>
        <v>218</v>
      </c>
      <c r="AQ520" s="27">
        <f t="shared" si="1450"/>
        <v>7.517241379</v>
      </c>
      <c r="AR520" s="23">
        <f t="shared" si="1435"/>
        <v>240.0344828</v>
      </c>
    </row>
    <row r="521" ht="15.75" customHeight="1">
      <c r="A521" s="21"/>
      <c r="B521" s="38">
        <v>3.0</v>
      </c>
      <c r="C521" s="38" t="s">
        <v>30</v>
      </c>
      <c r="D521" s="39">
        <v>45.0</v>
      </c>
      <c r="E521" s="40">
        <f>IFERROR(__xludf.DUMMYFUNCTION("COUNT(IMPORTRANGE(""https://docs.google.com/spreadsheets/d/1EWN6nfpuVxbUE_9opjYCWaI7MTm5xsF6ssjklSbMZnA/edit"",""2!d2:d61""))"),58.0)</f>
        <v>58</v>
      </c>
      <c r="F521" s="45">
        <f>IFERROR(__xludf.DUMMYFUNCTION("SUM(IMPORTRANGE(""https://docs.google.com/spreadsheets/d/1EWN6nfpuVxbUE_9opjYCWaI7MTm5xsF6ssjklSbMZnA/edit"",""2!Q2:Q61""))"),11253.344999999988)</f>
        <v>11253.345</v>
      </c>
      <c r="G521" s="40">
        <f>IFERROR(__xludf.DUMMYFUNCTION("IMPORTRANGE(""https://docs.google.com/spreadsheets/d/1EWN6nfpuVxbUE_9opjYCWaI7MTm5xsF6ssjklSbMZnA/edit"",""2!e68"")"),3757.0)</f>
        <v>3757</v>
      </c>
      <c r="H521" s="40">
        <f>IFERROR(__xludf.DUMMYFUNCTION("IMPORTRANGE(""https://docs.google.com/spreadsheets/d/1EWN6nfpuVxbUE_9opjYCWaI7MTm5xsF6ssjklSbMZnA/edit"",""2!e69"")"),0.0)</f>
        <v>0</v>
      </c>
      <c r="I521" s="40">
        <f t="shared" si="1440"/>
        <v>3757</v>
      </c>
      <c r="J521" s="40">
        <f>IFERROR(__xludf.DUMMYFUNCTION("IMPORTRANGE(""https://docs.google.com/spreadsheets/d/1EWN6nfpuVxbUE_9opjYCWaI7MTm5xsF6ssjklSbMZnA/edit"",""2!e72"")"),5596.0)</f>
        <v>5596</v>
      </c>
      <c r="K521" s="40">
        <f>IFERROR(__xludf.DUMMYFUNCTION("IMPORTRANGE(""https://docs.google.com/spreadsheets/d/1EWN6nfpuVxbUE_9opjYCWaI7MTm5xsF6ssjklSbMZnA/edit"",""2!e73"")"),0.0)</f>
        <v>0</v>
      </c>
      <c r="L521" s="40">
        <f t="shared" si="1441"/>
        <v>5596</v>
      </c>
      <c r="M521" s="40">
        <f t="shared" si="1442"/>
        <v>9353</v>
      </c>
      <c r="N521" s="41">
        <f t="shared" si="1443"/>
        <v>194.0231897</v>
      </c>
      <c r="O521" s="38">
        <v>11164.0</v>
      </c>
      <c r="P521" s="42">
        <f t="shared" si="1444"/>
        <v>0.8377821569</v>
      </c>
      <c r="Q521" s="43">
        <v>1.5</v>
      </c>
      <c r="R521" s="42">
        <f t="shared" si="1445"/>
        <v>0.5540871033</v>
      </c>
      <c r="S521" s="44">
        <f t="shared" si="1446"/>
        <v>0.8311306549</v>
      </c>
      <c r="T521" s="43">
        <f>F521/29.603</f>
        <v>380.1420464</v>
      </c>
      <c r="U521" s="43">
        <f t="shared" si="1447"/>
        <v>6.554173214</v>
      </c>
      <c r="V521" s="40">
        <f t="shared" si="1448"/>
        <v>161.2586207</v>
      </c>
      <c r="X521" s="22">
        <v>6.0</v>
      </c>
      <c r="Y521" s="22" t="s">
        <v>31</v>
      </c>
      <c r="Z521" s="22">
        <f t="shared" ref="Z521:AI521" si="1451">SUM(D536)</f>
        <v>11</v>
      </c>
      <c r="AA521" s="23">
        <f t="shared" si="1451"/>
        <v>13</v>
      </c>
      <c r="AB521" s="25">
        <f t="shared" si="1451"/>
        <v>2607.9</v>
      </c>
      <c r="AC521" s="23">
        <f t="shared" si="1451"/>
        <v>870</v>
      </c>
      <c r="AD521" s="23">
        <f t="shared" si="1451"/>
        <v>0</v>
      </c>
      <c r="AE521" s="23">
        <f t="shared" si="1451"/>
        <v>870</v>
      </c>
      <c r="AF521" s="23">
        <f t="shared" si="1451"/>
        <v>975</v>
      </c>
      <c r="AG521" s="23">
        <f t="shared" si="1451"/>
        <v>55</v>
      </c>
      <c r="AH521" s="23">
        <f t="shared" si="1451"/>
        <v>1030</v>
      </c>
      <c r="AI521" s="23">
        <f t="shared" si="1451"/>
        <v>1900</v>
      </c>
      <c r="AJ521" s="25">
        <f t="shared" si="1452"/>
        <v>200.6076923</v>
      </c>
      <c r="AK521" s="22">
        <f t="shared" si="1453"/>
        <v>2717</v>
      </c>
      <c r="AL521" s="26">
        <f t="shared" si="1430"/>
        <v>0.6993006993</v>
      </c>
      <c r="AM521" s="27">
        <f t="shared" si="1454"/>
        <v>1.5</v>
      </c>
      <c r="AN521" s="26">
        <f t="shared" si="1432"/>
        <v>0.4857036952</v>
      </c>
      <c r="AO521" s="28">
        <f t="shared" si="1433"/>
        <v>0.7285555428</v>
      </c>
      <c r="AP521" s="27">
        <f t="shared" ref="AP521:AQ521" si="1455">SUM(T536)</f>
        <v>60</v>
      </c>
      <c r="AQ521" s="27">
        <f t="shared" si="1455"/>
        <v>4.615384615</v>
      </c>
      <c r="AR521" s="23">
        <f t="shared" si="1435"/>
        <v>146.1538462</v>
      </c>
    </row>
    <row r="522" ht="15.75" customHeight="1">
      <c r="A522" s="21"/>
      <c r="B522" s="38">
        <v>4.0</v>
      </c>
      <c r="C522" s="38" t="s">
        <v>32</v>
      </c>
      <c r="D522" s="39">
        <v>32.0</v>
      </c>
      <c r="E522" s="40">
        <f>IFERROR(__xludf.DUMMYFUNCTION("COUNT(IMPORTRANGE(""https://docs.google.com/spreadsheets/d/1Rmar8QqWK4XOJ-eY6xMzkAfDSw0srEXcAw89ilArun8/edit"",""2!d2:d43""))"),42.0)</f>
        <v>42</v>
      </c>
      <c r="F522" s="45">
        <f>IFERROR(__xludf.DUMMYFUNCTION("SUM(IMPORTRANGE(""https://docs.google.com/spreadsheets/d/1Rmar8QqWK4XOJ-eY6xMzkAfDSw0srEXcAw89ilArun8/edit"",""2!Q2:Q43""))"),8179.01399999999)</f>
        <v>8179.014</v>
      </c>
      <c r="G522" s="38">
        <f>IFERROR(__xludf.DUMMYFUNCTION("IMPORTRANGE(""https://docs.google.com/spreadsheets/d/1Rmar8QqWK4XOJ-eY6xMzkAfDSw0srEXcAw89ilArun8/edit"",""2!e50"")"),4808.0)</f>
        <v>4808</v>
      </c>
      <c r="H522" s="38">
        <f>IFERROR(__xludf.DUMMYFUNCTION("IMPORTRANGE(""https://docs.google.com/spreadsheets/d/1Rmar8QqWK4XOJ-eY6xMzkAfDSw0srEXcAw89ilArun8/edit"",""2!e51"")"),0.0)</f>
        <v>0</v>
      </c>
      <c r="I522" s="40">
        <f t="shared" si="1440"/>
        <v>4808</v>
      </c>
      <c r="J522" s="38">
        <f>IFERROR(__xludf.DUMMYFUNCTION("IMPORTRANGE(""https://docs.google.com/spreadsheets/d/1Rmar8QqWK4XOJ-eY6xMzkAfDSw0srEXcAw89ilArun8/edit"",""2!e54"")"),5449.0)</f>
        <v>5449</v>
      </c>
      <c r="K522" s="38">
        <f>IFERROR(__xludf.DUMMYFUNCTION("IMPORTRANGE(""https://docs.google.com/spreadsheets/d/1Rmar8QqWK4XOJ-eY6xMzkAfDSw0srEXcAw89ilArun8/edit"",""2!e55"")"),190.0)</f>
        <v>190</v>
      </c>
      <c r="L522" s="40">
        <f t="shared" si="1441"/>
        <v>5639</v>
      </c>
      <c r="M522" s="40">
        <f t="shared" si="1442"/>
        <v>10447</v>
      </c>
      <c r="N522" s="41">
        <f t="shared" si="1443"/>
        <v>194.7384286</v>
      </c>
      <c r="O522" s="38">
        <v>13817.0</v>
      </c>
      <c r="P522" s="42">
        <f t="shared" si="1444"/>
        <v>0.756097561</v>
      </c>
      <c r="Q522" s="43">
        <v>1.5</v>
      </c>
      <c r="R522" s="42">
        <f t="shared" si="1445"/>
        <v>0.8515288844</v>
      </c>
      <c r="S522" s="44">
        <f t="shared" si="1446"/>
        <v>1.277293327</v>
      </c>
      <c r="T522" s="43">
        <f>F522/25.089</f>
        <v>326</v>
      </c>
      <c r="U522" s="43">
        <f t="shared" si="1447"/>
        <v>7.761904762</v>
      </c>
      <c r="V522" s="40">
        <f t="shared" si="1448"/>
        <v>248.7380952</v>
      </c>
      <c r="X522" s="46" t="s">
        <v>33</v>
      </c>
      <c r="Y522" s="46">
        <v>6.0</v>
      </c>
      <c r="Z522" s="46">
        <f t="shared" ref="Z522:AI522" si="1456">SUM(Z516:Z521)</f>
        <v>144</v>
      </c>
      <c r="AA522" s="47">
        <f t="shared" si="1456"/>
        <v>179</v>
      </c>
      <c r="AB522" s="48">
        <f t="shared" si="1456"/>
        <v>34808.924</v>
      </c>
      <c r="AC522" s="47">
        <f t="shared" si="1456"/>
        <v>11852</v>
      </c>
      <c r="AD522" s="47">
        <f t="shared" si="1456"/>
        <v>578</v>
      </c>
      <c r="AE522" s="47">
        <f t="shared" si="1456"/>
        <v>12430</v>
      </c>
      <c r="AF522" s="47">
        <f t="shared" si="1456"/>
        <v>15982</v>
      </c>
      <c r="AG522" s="47">
        <f t="shared" si="1456"/>
        <v>495</v>
      </c>
      <c r="AH522" s="47">
        <f t="shared" si="1456"/>
        <v>16477</v>
      </c>
      <c r="AI522" s="47">
        <f t="shared" si="1456"/>
        <v>28907</v>
      </c>
      <c r="AJ522" s="49">
        <f t="shared" si="1452"/>
        <v>194.4632626</v>
      </c>
      <c r="AK522" s="46">
        <f>SUM(AK516:AK521)</f>
        <v>35074</v>
      </c>
      <c r="AL522" s="50">
        <f t="shared" si="1430"/>
        <v>0.8241717512</v>
      </c>
      <c r="AM522" s="51">
        <v>1.5</v>
      </c>
      <c r="AN522" s="50">
        <f t="shared" si="1432"/>
        <v>0.5536319748</v>
      </c>
      <c r="AO522" s="52">
        <f t="shared" si="1433"/>
        <v>0.8304479621</v>
      </c>
      <c r="AP522" s="51">
        <f>SUM(AP516:AP521)</f>
        <v>1309.710185</v>
      </c>
      <c r="AQ522" s="51">
        <f>AP522/AA522</f>
        <v>7.316816679</v>
      </c>
      <c r="AR522" s="47">
        <f t="shared" si="1435"/>
        <v>161.4916201</v>
      </c>
    </row>
    <row r="523" ht="15.75" customHeight="1">
      <c r="A523" s="21"/>
      <c r="B523" s="38">
        <v>5.0</v>
      </c>
      <c r="C523" s="38" t="s">
        <v>34</v>
      </c>
      <c r="D523" s="39">
        <v>30.0</v>
      </c>
      <c r="E523" s="40">
        <f>IFERROR(__xludf.DUMMYFUNCTION("COUNT(IMPORTRANGE(""https://docs.google.com/spreadsheets/d/1u99JxAoytGQQ8GcjxXl38CGdyEWy5uIbuJJHnsotyvk/edit"",""2!d2:d41""))"),40.0)</f>
        <v>40</v>
      </c>
      <c r="F523" s="45">
        <f>IFERROR(__xludf.DUMMYFUNCTION("SUM(IMPORTRANGE(""https://docs.google.com/spreadsheets/d/1u99JxAoytGQQ8GcjxXl38CGdyEWy5uIbuJJHnsotyvk/edit"",""2!Q2:Q41""))"),7895.343000000003)</f>
        <v>7895.343</v>
      </c>
      <c r="G523" s="40">
        <f>IFERROR(__xludf.DUMMYFUNCTION("IMPORTRANGE(""https://docs.google.com/spreadsheets/d/1u99JxAoytGQQ8GcjxXl38CGdyEWy5uIbuJJHnsotyvk/edit"",""2!e48"")"),3069.0)</f>
        <v>3069</v>
      </c>
      <c r="H523" s="40">
        <f>IFERROR(__xludf.DUMMYFUNCTION("IMPORTRANGE(""https://docs.google.com/spreadsheets/d/1u99JxAoytGQQ8GcjxXl38CGdyEWy5uIbuJJHnsotyvk/edit"",""2!e49"")"),0.0)</f>
        <v>0</v>
      </c>
      <c r="I523" s="40">
        <f t="shared" si="1440"/>
        <v>3069</v>
      </c>
      <c r="J523" s="40">
        <f>IFERROR(__xludf.DUMMYFUNCTION("IMPORTRANGE(""https://docs.google.com/spreadsheets/d/1u99JxAoytGQQ8GcjxXl38CGdyEWy5uIbuJJHnsotyvk/edit"",""2!e52"")"),3126.0)</f>
        <v>3126</v>
      </c>
      <c r="K523" s="40">
        <f>IFERROR(__xludf.DUMMYFUNCTION("IMPORTRANGE(""https://docs.google.com/spreadsheets/d/1u99JxAoytGQQ8GcjxXl38CGdyEWy5uIbuJJHnsotyvk/edit"",""2!e53"")"),0.0)</f>
        <v>0</v>
      </c>
      <c r="L523" s="40">
        <f t="shared" si="1441"/>
        <v>3126</v>
      </c>
      <c r="M523" s="40">
        <f t="shared" si="1442"/>
        <v>6195</v>
      </c>
      <c r="N523" s="41">
        <f t="shared" si="1443"/>
        <v>197.383575</v>
      </c>
      <c r="O523" s="38">
        <v>9354.0</v>
      </c>
      <c r="P523" s="42">
        <f t="shared" si="1444"/>
        <v>0.6622835151</v>
      </c>
      <c r="Q523" s="43">
        <v>1.5</v>
      </c>
      <c r="R523" s="42">
        <f t="shared" si="1445"/>
        <v>0.5230931702</v>
      </c>
      <c r="S523" s="44">
        <f t="shared" si="1446"/>
        <v>0.7846397554</v>
      </c>
      <c r="T523" s="43">
        <f>F523/30.713</f>
        <v>257.0684401</v>
      </c>
      <c r="U523" s="43">
        <f t="shared" si="1447"/>
        <v>6.426711002</v>
      </c>
      <c r="V523" s="40">
        <f t="shared" si="1448"/>
        <v>154.875</v>
      </c>
      <c r="X523" s="53" t="s">
        <v>35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6"/>
    </row>
    <row r="524" ht="15.75" customHeight="1">
      <c r="A524" s="21"/>
      <c r="B524" s="38">
        <v>6.0</v>
      </c>
      <c r="C524" s="38" t="s">
        <v>23</v>
      </c>
      <c r="D524" s="39">
        <v>26.0</v>
      </c>
      <c r="E524" s="40">
        <f>IFERROR(__xludf.DUMMYFUNCTION("COUNT(IMPORTRANGE(""https://docs.google.com/spreadsheets/d/1uVc-vnTn57HE53lwrUYNZP4sGKTXisrqOoZ-6EyvLzY/edit"",""2!d2:d36""))"),34.0)</f>
        <v>34</v>
      </c>
      <c r="F524" s="45">
        <f>IFERROR(__xludf.DUMMYFUNCTION("SUM(IMPORTRANGE(""https://docs.google.com/spreadsheets/d/1uVc-vnTn57HE53lwrUYNZP4sGKTXisrqOoZ-6EyvLzY/edit"",""2!Q2:Q36""))"),6680.519999999996)</f>
        <v>6680.52</v>
      </c>
      <c r="G524" s="40">
        <f>IFERROR(__xludf.DUMMYFUNCTION("IMPORTRANGE(""https://docs.google.com/spreadsheets/d/1uVc-vnTn57HE53lwrUYNZP4sGKTXisrqOoZ-6EyvLzY/edit"",""2!e43"")"),2083.0)</f>
        <v>2083</v>
      </c>
      <c r="H524" s="40">
        <f>IFERROR(__xludf.DUMMYFUNCTION("IMPORTRANGE(""https://docs.google.com/spreadsheets/d/1uVc-vnTn57HE53lwrUYNZP4sGKTXisrqOoZ-6EyvLzY/edit"",""2!e44"")"),0.0)</f>
        <v>0</v>
      </c>
      <c r="I524" s="40">
        <f t="shared" si="1440"/>
        <v>2083</v>
      </c>
      <c r="J524" s="40">
        <f>IFERROR(__xludf.DUMMYFUNCTION("IMPORTRANGE(""https://docs.google.com/spreadsheets/d/1uVc-vnTn57HE53lwrUYNZP4sGKTXisrqOoZ-6EyvLzY/edit"",""2!e47"")"),2916.0)</f>
        <v>2916</v>
      </c>
      <c r="K524" s="40">
        <f>IFERROR(__xludf.DUMMYFUNCTION("IMPORTRANGE(""https://docs.google.com/spreadsheets/d/1uVc-vnTn57HE53lwrUYNZP4sGKTXisrqOoZ-6EyvLzY/edit"",""2!e48"")"),0.0)</f>
        <v>0</v>
      </c>
      <c r="L524" s="40">
        <f t="shared" si="1441"/>
        <v>2916</v>
      </c>
      <c r="M524" s="40">
        <f t="shared" si="1442"/>
        <v>4999</v>
      </c>
      <c r="N524" s="41">
        <f t="shared" si="1443"/>
        <v>196.4858824</v>
      </c>
      <c r="O524" s="38">
        <v>6853.0</v>
      </c>
      <c r="P524" s="42">
        <f t="shared" si="1444"/>
        <v>0.7294615497</v>
      </c>
      <c r="Q524" s="43">
        <v>1.5</v>
      </c>
      <c r="R524" s="42">
        <f t="shared" si="1445"/>
        <v>0.4988633619</v>
      </c>
      <c r="S524" s="44">
        <f t="shared" si="1446"/>
        <v>0.7482950429</v>
      </c>
      <c r="T524" s="43">
        <f>F524/33.74</f>
        <v>198</v>
      </c>
      <c r="U524" s="43">
        <f t="shared" si="1447"/>
        <v>5.823529412</v>
      </c>
      <c r="V524" s="40">
        <f t="shared" si="1448"/>
        <v>147.0294118</v>
      </c>
      <c r="X524" s="14" t="s">
        <v>2</v>
      </c>
      <c r="Y524" s="14" t="s">
        <v>3</v>
      </c>
      <c r="Z524" s="14" t="s">
        <v>4</v>
      </c>
      <c r="AA524" s="14" t="s">
        <v>5</v>
      </c>
      <c r="AB524" s="15" t="s">
        <v>6</v>
      </c>
      <c r="AC524" s="14" t="s">
        <v>7</v>
      </c>
      <c r="AD524" s="14" t="s">
        <v>8</v>
      </c>
      <c r="AE524" s="14" t="s">
        <v>9</v>
      </c>
      <c r="AF524" s="14" t="s">
        <v>10</v>
      </c>
      <c r="AG524" s="14" t="s">
        <v>11</v>
      </c>
      <c r="AH524" s="14" t="s">
        <v>12</v>
      </c>
      <c r="AI524" s="14" t="s">
        <v>13</v>
      </c>
      <c r="AJ524" s="15" t="s">
        <v>14</v>
      </c>
      <c r="AK524" s="14" t="s">
        <v>15</v>
      </c>
      <c r="AL524" s="14" t="s">
        <v>16</v>
      </c>
      <c r="AM524" s="16" t="s">
        <v>17</v>
      </c>
      <c r="AN524" s="17" t="s">
        <v>18</v>
      </c>
      <c r="AO524" s="18" t="s">
        <v>19</v>
      </c>
      <c r="AP524" s="19" t="s">
        <v>20</v>
      </c>
      <c r="AQ524" s="19" t="s">
        <v>21</v>
      </c>
      <c r="AR524" s="20" t="s">
        <v>22</v>
      </c>
    </row>
    <row r="525" ht="15.75" customHeight="1">
      <c r="A525" s="21"/>
      <c r="B525" s="38">
        <v>7.0</v>
      </c>
      <c r="C525" s="38" t="s">
        <v>24</v>
      </c>
      <c r="D525" s="39">
        <v>35.0</v>
      </c>
      <c r="E525" s="54">
        <f>IFERROR(__xludf.DUMMYFUNCTION("COUNT(IMPORTRANGE(""https://docs.google.com/spreadsheets/d/1iuPvivSypupo44l6GtmR-2qZ3za7cTk7KzsOVp_kv2c/edit"",""2!d2:d45""))"),44.0)</f>
        <v>44</v>
      </c>
      <c r="F525" s="55">
        <f>IFERROR(__xludf.DUMMYFUNCTION("SUM(IMPORTRANGE(""https://docs.google.com/spreadsheets/d/1iuPvivSypupo44l6GtmR-2qZ3za7cTk7KzsOVp_kv2c/edit"",""2!Q2:Q45""))"),8354.581999999995)</f>
        <v>8354.582</v>
      </c>
      <c r="G525" s="54">
        <f>IFERROR(__xludf.DUMMYFUNCTION("IMPORTRANGE(""https://docs.google.com/spreadsheets/d/1iuPvivSypupo44l6GtmR-2qZ3za7cTk7KzsOVp_kv2c/edit"",""2!e53"")"),1454.0)</f>
        <v>1454</v>
      </c>
      <c r="H525" s="54">
        <f>IFERROR(__xludf.DUMMYFUNCTION("IMPORTRANGE(""https://docs.google.com/spreadsheets/d/1iuPvivSypupo44l6GtmR-2qZ3za7cTk7KzsOVp_kv2c/edit"",""2!e54"")"),0.0)</f>
        <v>0</v>
      </c>
      <c r="I525" s="54">
        <f t="shared" si="1440"/>
        <v>1454</v>
      </c>
      <c r="J525" s="54">
        <f>IFERROR(__xludf.DUMMYFUNCTION("IMPORTRANGE(""https://docs.google.com/spreadsheets/d/1iuPvivSypupo44l6GtmR-2qZ3za7cTk7KzsOVp_kv2c/edit"",""2!e57"")"),1288.0)</f>
        <v>1288</v>
      </c>
      <c r="K525" s="54">
        <f>IFERROR(__xludf.DUMMYFUNCTION("IMPORTRANGE(""https://docs.google.com/spreadsheets/d/1iuPvivSypupo44l6GtmR-2qZ3za7cTk7KzsOVp_kv2c/edit"",""2!e58"")"),28.0)</f>
        <v>28</v>
      </c>
      <c r="L525" s="40">
        <f t="shared" si="1441"/>
        <v>1316</v>
      </c>
      <c r="M525" s="40">
        <f t="shared" si="1442"/>
        <v>2770</v>
      </c>
      <c r="N525" s="41">
        <f t="shared" si="1443"/>
        <v>189.8768636</v>
      </c>
      <c r="O525" s="38">
        <v>1580.0</v>
      </c>
      <c r="P525" s="56">
        <f t="shared" si="1444"/>
        <v>1.753164557</v>
      </c>
      <c r="Q525" s="43">
        <v>1.5</v>
      </c>
      <c r="R525" s="42">
        <f t="shared" si="1445"/>
        <v>0.2210363926</v>
      </c>
      <c r="S525" s="44">
        <f t="shared" si="1446"/>
        <v>0.3315545888</v>
      </c>
      <c r="T525" s="43">
        <f>F525/26.805</f>
        <v>311.6799851</v>
      </c>
      <c r="U525" s="43">
        <f t="shared" si="1447"/>
        <v>7.083636024</v>
      </c>
      <c r="V525" s="40">
        <f t="shared" si="1448"/>
        <v>62.95454545</v>
      </c>
      <c r="X525" s="22">
        <v>1.0</v>
      </c>
      <c r="Y525" s="22" t="s">
        <v>28</v>
      </c>
      <c r="Z525" s="22">
        <f t="shared" ref="Z525:AI525" si="1457">SUM(D520)</f>
        <v>24</v>
      </c>
      <c r="AA525" s="23">
        <f t="shared" si="1457"/>
        <v>33</v>
      </c>
      <c r="AB525" s="25">
        <f t="shared" si="1457"/>
        <v>6528.833</v>
      </c>
      <c r="AC525" s="23">
        <f t="shared" si="1457"/>
        <v>2700</v>
      </c>
      <c r="AD525" s="23">
        <f t="shared" si="1457"/>
        <v>104</v>
      </c>
      <c r="AE525" s="23">
        <f t="shared" si="1457"/>
        <v>2804</v>
      </c>
      <c r="AF525" s="23">
        <f t="shared" si="1457"/>
        <v>3205</v>
      </c>
      <c r="AG525" s="23">
        <f t="shared" si="1457"/>
        <v>102</v>
      </c>
      <c r="AH525" s="23">
        <f t="shared" si="1457"/>
        <v>3307</v>
      </c>
      <c r="AI525" s="23">
        <f t="shared" si="1457"/>
        <v>6111</v>
      </c>
      <c r="AJ525" s="25">
        <f t="shared" ref="AJ525:AJ531" si="1460">AB525/AA525</f>
        <v>197.8434242</v>
      </c>
      <c r="AK525" s="22">
        <f t="shared" ref="AK525:AK526" si="1461">SUM(O520)</f>
        <v>7315</v>
      </c>
      <c r="AL525" s="26">
        <f t="shared" ref="AL525:AL531" si="1462">AI525/AK525</f>
        <v>0.8354066986</v>
      </c>
      <c r="AM525" s="27">
        <f t="shared" ref="AM525:AM526" si="1463">SUM(Q520)</f>
        <v>1.5</v>
      </c>
      <c r="AN525" s="26">
        <f t="shared" ref="AN525:AN531" si="1464">AO525/AM525</f>
        <v>0.6240012572</v>
      </c>
      <c r="AO525" s="28">
        <f t="shared" ref="AO525:AO531" si="1465">AI525/AB525</f>
        <v>0.9360018858</v>
      </c>
      <c r="AP525" s="27">
        <f t="shared" ref="AP525:AQ525" si="1458">SUM(T520)</f>
        <v>211.3096093</v>
      </c>
      <c r="AQ525" s="27">
        <f t="shared" si="1458"/>
        <v>6.403321495</v>
      </c>
      <c r="AR525" s="23">
        <f t="shared" ref="AR525:AR531" si="1467">AI525/AA525</f>
        <v>185.1818182</v>
      </c>
    </row>
    <row r="526" ht="15.75" customHeight="1">
      <c r="A526" s="21"/>
      <c r="B526" s="38">
        <v>8.0</v>
      </c>
      <c r="C526" s="38" t="s">
        <v>25</v>
      </c>
      <c r="D526" s="57">
        <v>26.0</v>
      </c>
      <c r="E526" s="40">
        <f>IFERROR(__xludf.DUMMYFUNCTION("COUNT(IMPORTRANGE(""https://docs.google.com/spreadsheets/d/1sqWX7UerdR9KR_duBzDNfjwbPG-3hLgV1LiN2ZVZ6Js/edit"",""2!d2:D33""))"),31.0)</f>
        <v>31</v>
      </c>
      <c r="F526" s="45">
        <f>IFERROR(__xludf.DUMMYFUNCTION("SUM(IMPORTRANGE(""https://docs.google.com/spreadsheets/d/1sqWX7UerdR9KR_duBzDNfjwbPG-3hLgV1LiN2ZVZ6Js/edit"",""2!Q2:Q33""))"),5925.124000000001)</f>
        <v>5925.124</v>
      </c>
      <c r="G526" s="40">
        <f>IFERROR(__xludf.DUMMYFUNCTION("IMPORTRANGE(""https://docs.google.com/spreadsheets/d/1sqWX7UerdR9KR_duBzDNfjwbPG-3hLgV1LiN2ZVZ6Js/edit"",""2!e40"")"),2351.0)</f>
        <v>2351</v>
      </c>
      <c r="H526" s="40">
        <f>IFERROR(__xludf.DUMMYFUNCTION("IMPORTRANGE(""https://docs.google.com/spreadsheets/d/1sqWX7UerdR9KR_duBzDNfjwbPG-3hLgV1LiN2ZVZ6Js/edit"",""2!e41"")"),438.0)</f>
        <v>438</v>
      </c>
      <c r="I526" s="40">
        <f t="shared" si="1440"/>
        <v>2789</v>
      </c>
      <c r="J526" s="40">
        <f>IFERROR(__xludf.DUMMYFUNCTION("IMPORTRANGE(""https://docs.google.com/spreadsheets/d/1sqWX7UerdR9KR_duBzDNfjwbPG-3hLgV1LiN2ZVZ6Js/edit"",""2!e44"")"),3213.0)</f>
        <v>3213</v>
      </c>
      <c r="K526" s="40">
        <f>IFERROR(__xludf.DUMMYFUNCTION("IMPORTRANGE(""https://docs.google.com/spreadsheets/d/1sqWX7UerdR9KR_duBzDNfjwbPG-3hLgV1LiN2ZVZ6Js/edit"",""2!e45"")"),305.0)</f>
        <v>305</v>
      </c>
      <c r="L526" s="40">
        <f>J526+K526</f>
        <v>3518</v>
      </c>
      <c r="M526" s="40">
        <f t="shared" si="1442"/>
        <v>6307</v>
      </c>
      <c r="N526" s="41">
        <f t="shared" si="1443"/>
        <v>191.1330323</v>
      </c>
      <c r="O526" s="38">
        <v>6622.0</v>
      </c>
      <c r="P526" s="42">
        <f t="shared" si="1444"/>
        <v>0.9524312896</v>
      </c>
      <c r="Q526" s="43">
        <v>1.5</v>
      </c>
      <c r="R526" s="42">
        <f t="shared" si="1445"/>
        <v>0.7096335312</v>
      </c>
      <c r="S526" s="44">
        <f t="shared" si="1446"/>
        <v>1.064450297</v>
      </c>
      <c r="T526" s="43">
        <f>F526/23.84</f>
        <v>248.5370805</v>
      </c>
      <c r="U526" s="43">
        <f t="shared" si="1447"/>
        <v>8.017325179</v>
      </c>
      <c r="V526" s="40">
        <f t="shared" si="1448"/>
        <v>203.4516129</v>
      </c>
      <c r="X526" s="31">
        <v>2.0</v>
      </c>
      <c r="Y526" s="31" t="s">
        <v>30</v>
      </c>
      <c r="Z526" s="31">
        <f t="shared" ref="Z526:AI526" si="1459">SUM(D521)</f>
        <v>45</v>
      </c>
      <c r="AA526" s="32">
        <f t="shared" si="1459"/>
        <v>58</v>
      </c>
      <c r="AB526" s="33">
        <f t="shared" si="1459"/>
        <v>11253.345</v>
      </c>
      <c r="AC526" s="32">
        <f t="shared" si="1459"/>
        <v>3757</v>
      </c>
      <c r="AD526" s="32">
        <f t="shared" si="1459"/>
        <v>0</v>
      </c>
      <c r="AE526" s="32">
        <f t="shared" si="1459"/>
        <v>3757</v>
      </c>
      <c r="AF526" s="32">
        <f t="shared" si="1459"/>
        <v>5596</v>
      </c>
      <c r="AG526" s="32">
        <f t="shared" si="1459"/>
        <v>0</v>
      </c>
      <c r="AH526" s="32">
        <f t="shared" si="1459"/>
        <v>5596</v>
      </c>
      <c r="AI526" s="32">
        <f t="shared" si="1459"/>
        <v>9353</v>
      </c>
      <c r="AJ526" s="34">
        <f t="shared" si="1460"/>
        <v>194.0231897</v>
      </c>
      <c r="AK526" s="31">
        <f t="shared" si="1461"/>
        <v>11164</v>
      </c>
      <c r="AL526" s="35">
        <f t="shared" si="1462"/>
        <v>0.8377821569</v>
      </c>
      <c r="AM526" s="36">
        <f t="shared" si="1463"/>
        <v>1.5</v>
      </c>
      <c r="AN526" s="35">
        <f t="shared" si="1464"/>
        <v>0.5540871033</v>
      </c>
      <c r="AO526" s="37">
        <f t="shared" si="1465"/>
        <v>0.8311306549</v>
      </c>
      <c r="AP526" s="36">
        <f t="shared" ref="AP526:AQ526" si="1466">SUM(T521)</f>
        <v>380.1420464</v>
      </c>
      <c r="AQ526" s="36">
        <f t="shared" si="1466"/>
        <v>6.554173214</v>
      </c>
      <c r="AR526" s="32">
        <f t="shared" si="1467"/>
        <v>161.2586207</v>
      </c>
    </row>
    <row r="527" ht="15.75" customHeight="1">
      <c r="A527" s="21"/>
      <c r="B527" s="38">
        <v>9.0</v>
      </c>
      <c r="C527" s="38" t="s">
        <v>36</v>
      </c>
      <c r="D527" s="58">
        <v>23.0</v>
      </c>
      <c r="E527" s="40">
        <f>IFERROR(__xludf.DUMMYFUNCTION("COUNT(IMPORTRANGE(""https://docs.google.com/spreadsheets/d/1YNna43iTSqnwwbMJgTIPHSJEoDO8RGPRFg5pJCoQR_Y/edit"",""2!d2:d31""))"),29.0)</f>
        <v>29</v>
      </c>
      <c r="F527" s="45">
        <f>IFERROR(__xludf.DUMMYFUNCTION("SUM(IMPORTRANGE(""https://docs.google.com/spreadsheets/d/1YNna43iTSqnwwbMJgTIPHSJEoDO8RGPRFg5pJCoQR_Y/edit"",""2!Q2:Q31""))"),5604.12)</f>
        <v>5604.12</v>
      </c>
      <c r="G527" s="40">
        <f>IFERROR(__xludf.DUMMYFUNCTION("IMPORTRANGE(""https://docs.google.com/spreadsheets/d/1YNna43iTSqnwwbMJgTIPHSJEoDO8RGPRFg5pJCoQR_Y/edit"",""2!e38"")"),1533.0)</f>
        <v>1533</v>
      </c>
      <c r="H527" s="40">
        <f>IFERROR(__xludf.DUMMYFUNCTION("IMPORTRANGE(""https://docs.google.com/spreadsheets/d/1YNna43iTSqnwwbMJgTIPHSJEoDO8RGPRFg5pJCoQR_Y/edit"",""2!e39"")"),0.0)</f>
        <v>0</v>
      </c>
      <c r="I527" s="40">
        <f t="shared" si="1440"/>
        <v>1533</v>
      </c>
      <c r="J527" s="40">
        <f>IFERROR(__xludf.DUMMYFUNCTION("IMPORTRANGE(""https://docs.google.com/spreadsheets/d/1YNna43iTSqnwwbMJgTIPHSJEoDO8RGPRFg5pJCoQR_Y/edit"",""2!e42"")"),2301.0)</f>
        <v>2301</v>
      </c>
      <c r="K527" s="40">
        <f>IFERROR(__xludf.DUMMYFUNCTION("IMPORTRANGE(""https://docs.google.com/spreadsheets/d/1YNna43iTSqnwwbMJgTIPHSJEoDO8RGPRFg5pJCoQR_Y/edit"",""2!e43"")"),0.0)</f>
        <v>0</v>
      </c>
      <c r="L527" s="40">
        <f t="shared" ref="L527:L536" si="1470">SUM(J527:K527)</f>
        <v>2301</v>
      </c>
      <c r="M527" s="40">
        <f t="shared" si="1442"/>
        <v>3834</v>
      </c>
      <c r="N527" s="41">
        <f t="shared" si="1443"/>
        <v>193.2455172</v>
      </c>
      <c r="O527" s="38">
        <v>4796.0</v>
      </c>
      <c r="P527" s="42">
        <f t="shared" si="1444"/>
        <v>0.7994161802</v>
      </c>
      <c r="Q527" s="43">
        <v>1.5</v>
      </c>
      <c r="R527" s="42">
        <f t="shared" si="1445"/>
        <v>0.4560930173</v>
      </c>
      <c r="S527" s="44">
        <f t="shared" si="1446"/>
        <v>0.6841395259</v>
      </c>
      <c r="T527" s="43">
        <f>F527/37.414</f>
        <v>149.7867109</v>
      </c>
      <c r="U527" s="43">
        <f t="shared" si="1447"/>
        <v>5.165058995</v>
      </c>
      <c r="V527" s="40">
        <f t="shared" si="1448"/>
        <v>132.2068966</v>
      </c>
      <c r="X527" s="22">
        <v>3.0</v>
      </c>
      <c r="Y527" s="22" t="s">
        <v>34</v>
      </c>
      <c r="Z527" s="22">
        <f t="shared" ref="Z527:AI527" si="1468">SUM(D523)</f>
        <v>30</v>
      </c>
      <c r="AA527" s="23">
        <f t="shared" si="1468"/>
        <v>40</v>
      </c>
      <c r="AB527" s="24">
        <f t="shared" si="1468"/>
        <v>7895.343</v>
      </c>
      <c r="AC527" s="23">
        <f t="shared" si="1468"/>
        <v>3069</v>
      </c>
      <c r="AD527" s="23">
        <f t="shared" si="1468"/>
        <v>0</v>
      </c>
      <c r="AE527" s="23">
        <f t="shared" si="1468"/>
        <v>3069</v>
      </c>
      <c r="AF527" s="23">
        <f t="shared" si="1468"/>
        <v>3126</v>
      </c>
      <c r="AG527" s="23">
        <f t="shared" si="1468"/>
        <v>0</v>
      </c>
      <c r="AH527" s="23">
        <f t="shared" si="1468"/>
        <v>3126</v>
      </c>
      <c r="AI527" s="23">
        <f t="shared" si="1468"/>
        <v>6195</v>
      </c>
      <c r="AJ527" s="25">
        <f t="shared" si="1460"/>
        <v>197.383575</v>
      </c>
      <c r="AK527" s="22">
        <f>SUM(O523)</f>
        <v>9354</v>
      </c>
      <c r="AL527" s="26">
        <f t="shared" si="1462"/>
        <v>0.6622835151</v>
      </c>
      <c r="AM527" s="27">
        <f>SUM(Q523)</f>
        <v>1.5</v>
      </c>
      <c r="AN527" s="26">
        <f t="shared" si="1464"/>
        <v>0.5230931702</v>
      </c>
      <c r="AO527" s="28">
        <f t="shared" si="1465"/>
        <v>0.7846397554</v>
      </c>
      <c r="AP527" s="27">
        <f t="shared" ref="AP527:AQ527" si="1469">SUM(T523)</f>
        <v>257.0684401</v>
      </c>
      <c r="AQ527" s="27">
        <f t="shared" si="1469"/>
        <v>6.426711002</v>
      </c>
      <c r="AR527" s="23">
        <f t="shared" si="1467"/>
        <v>154.875</v>
      </c>
    </row>
    <row r="528" ht="15.75" customHeight="1">
      <c r="A528" s="21"/>
      <c r="B528" s="38">
        <v>10.0</v>
      </c>
      <c r="C528" s="38" t="s">
        <v>37</v>
      </c>
      <c r="D528" s="39">
        <v>23.0</v>
      </c>
      <c r="E528" s="40">
        <f>IFERROR(__xludf.DUMMYFUNCTION("COUNT(IMPORTRANGE(""https://docs.google.com/spreadsheets/d/1913Df5BsXS_b-nClL8LOK5w0engQYTl1mPOiyngRtO0/edit"",""2!d2:d31""))"),30.0)</f>
        <v>30</v>
      </c>
      <c r="F528" s="45">
        <f>IFERROR(__xludf.DUMMYFUNCTION("SUM(IMPORTRANGE(""https://docs.google.com/spreadsheets/d/1913Df5BsXS_b-nClL8LOK5w0engQYTl1mPOiyngRtO0/edit"",""2!Q2:Q31""))"),5812.188)</f>
        <v>5812.188</v>
      </c>
      <c r="G528" s="40">
        <f>IFERROR(__xludf.DUMMYFUNCTION("(IMPORTRANGE(""https://docs.google.com/spreadsheets/d/1913Df5BsXS_b-nClL8LOK5w0engQYTl1mPOiyngRtO0/edit"",""2!e38""))"),2138.0)</f>
        <v>2138</v>
      </c>
      <c r="H528" s="40">
        <f>IFERROR(__xludf.DUMMYFUNCTION("(IMPORTRANGE(""https://docs.google.com/spreadsheets/d/1913Df5BsXS_b-nClL8LOK5w0engQYTl1mPOiyngRtO0/edit"",""2!e39""))"),0.0)</f>
        <v>0</v>
      </c>
      <c r="I528" s="40">
        <f t="shared" si="1440"/>
        <v>2138</v>
      </c>
      <c r="J528" s="40">
        <f>IFERROR(__xludf.DUMMYFUNCTION("(IMPORTRANGE(""https://docs.google.com/spreadsheets/d/1913Df5BsXS_b-nClL8LOK5w0engQYTl1mPOiyngRtO0/edit"",""2!e42""))"),3071.0)</f>
        <v>3071</v>
      </c>
      <c r="K528" s="40">
        <f>IFERROR(__xludf.DUMMYFUNCTION("(IMPORTRANGE(""https://docs.google.com/spreadsheets/d/1913Df5BsXS_b-nClL8LOK5w0engQYTl1mPOiyngRtO0/edit"",""2!e43""))"),0.0)</f>
        <v>0</v>
      </c>
      <c r="L528" s="40">
        <f t="shared" si="1470"/>
        <v>3071</v>
      </c>
      <c r="M528" s="40">
        <f t="shared" si="1442"/>
        <v>5209</v>
      </c>
      <c r="N528" s="41">
        <f t="shared" si="1443"/>
        <v>193.7396</v>
      </c>
      <c r="O528" s="38">
        <v>5887.0</v>
      </c>
      <c r="P528" s="42">
        <f t="shared" si="1444"/>
        <v>0.8848309835</v>
      </c>
      <c r="Q528" s="43">
        <v>1.5</v>
      </c>
      <c r="R528" s="42">
        <f t="shared" si="1445"/>
        <v>0.5974800999</v>
      </c>
      <c r="S528" s="44">
        <f t="shared" si="1446"/>
        <v>0.8962201498</v>
      </c>
      <c r="T528" s="43">
        <f>F528/24.792</f>
        <v>234.4380445</v>
      </c>
      <c r="U528" s="43">
        <f t="shared" si="1447"/>
        <v>7.814601484</v>
      </c>
      <c r="V528" s="40">
        <f t="shared" si="1448"/>
        <v>173.6333333</v>
      </c>
      <c r="X528" s="31">
        <v>4.0</v>
      </c>
      <c r="Y528" s="31" t="s">
        <v>38</v>
      </c>
      <c r="Z528" s="31">
        <f t="shared" ref="Z528:AI528" si="1471">SUM(D531)</f>
        <v>23</v>
      </c>
      <c r="AA528" s="32">
        <f t="shared" si="1471"/>
        <v>30</v>
      </c>
      <c r="AB528" s="33">
        <f t="shared" si="1471"/>
        <v>6284.278</v>
      </c>
      <c r="AC528" s="32">
        <f t="shared" si="1471"/>
        <v>2309</v>
      </c>
      <c r="AD528" s="32">
        <f t="shared" si="1471"/>
        <v>0</v>
      </c>
      <c r="AE528" s="32">
        <f t="shared" si="1471"/>
        <v>2309</v>
      </c>
      <c r="AF528" s="32">
        <f t="shared" si="1471"/>
        <v>2749</v>
      </c>
      <c r="AG528" s="32">
        <f t="shared" si="1471"/>
        <v>159</v>
      </c>
      <c r="AH528" s="32">
        <f t="shared" si="1471"/>
        <v>2908</v>
      </c>
      <c r="AI528" s="32">
        <f t="shared" si="1471"/>
        <v>5217</v>
      </c>
      <c r="AJ528" s="34">
        <f t="shared" si="1460"/>
        <v>209.4759333</v>
      </c>
      <c r="AK528" s="31">
        <v>7324.0</v>
      </c>
      <c r="AL528" s="35">
        <f t="shared" si="1462"/>
        <v>0.7123156745</v>
      </c>
      <c r="AM528" s="36">
        <f>SUM(Q531)</f>
        <v>1.5</v>
      </c>
      <c r="AN528" s="35">
        <f t="shared" si="1464"/>
        <v>0.5534446439</v>
      </c>
      <c r="AO528" s="37">
        <f t="shared" si="1465"/>
        <v>0.8301669659</v>
      </c>
      <c r="AP528" s="36">
        <f t="shared" ref="AP528:AQ528" si="1472">SUM(T531)</f>
        <v>152.5125106</v>
      </c>
      <c r="AQ528" s="36">
        <f t="shared" si="1472"/>
        <v>5.083750354</v>
      </c>
      <c r="AR528" s="32">
        <f t="shared" si="1467"/>
        <v>173.9</v>
      </c>
    </row>
    <row r="529" ht="15.75" customHeight="1">
      <c r="A529" s="21"/>
      <c r="B529" s="38">
        <v>12.0</v>
      </c>
      <c r="C529" s="38" t="s">
        <v>39</v>
      </c>
      <c r="D529" s="39">
        <v>21.0</v>
      </c>
      <c r="E529" s="40">
        <f>IFERROR(__xludf.DUMMYFUNCTION("COUNT(IMPORTRANGE(""https://docs.google.com/spreadsheets/d/1wMeol_MpSIcocGxt3WZGl46mJ2tc80mANPvP_YzaP18/edit"",""2!d2:d29""))"),28.0)</f>
        <v>28</v>
      </c>
      <c r="F529" s="45">
        <f>IFERROR(__xludf.DUMMYFUNCTION("SUM(IMPORTRANGE(""https://docs.google.com/spreadsheets/d/1wMeol_MpSIcocGxt3WZGl46mJ2tc80mANPvP_YzaP18/edit"",""2!Q2:Q29""))"),5458.878)</f>
        <v>5458.878</v>
      </c>
      <c r="G529" s="40">
        <f>IFERROR(__xludf.DUMMYFUNCTION("IMPORTRANGE(""https://docs.google.com/spreadsheets/d/1wMeol_MpSIcocGxt3WZGl46mJ2tc80mANPvP_YzaP18/edit"",""2!e36"")"),1516.0)</f>
        <v>1516</v>
      </c>
      <c r="H529" s="40">
        <f>IFERROR(__xludf.DUMMYFUNCTION("(IMPORTRANGE(""https://docs.google.com/spreadsheets/d/1wMeol_MpSIcocGxt3WZGl46mJ2tc80mANPvP_YzaP18/edit"",""2!e37""))"),43.0)</f>
        <v>43</v>
      </c>
      <c r="I529" s="40">
        <f t="shared" si="1440"/>
        <v>1559</v>
      </c>
      <c r="J529" s="40">
        <f>IFERROR(__xludf.DUMMYFUNCTION("IMPORTRANGE(""https://docs.google.com/spreadsheets/d/1wMeol_MpSIcocGxt3WZGl46mJ2tc80mANPvP_YzaP18/edit"",""2!e40"")"),1765.0)</f>
        <v>1765</v>
      </c>
      <c r="K529" s="40">
        <f>IFERROR(__xludf.DUMMYFUNCTION("IMPORTRANGE(""https://docs.google.com/spreadsheets/d/1wMeol_MpSIcocGxt3WZGl46mJ2tc80mANPvP_YzaP18/edit"",""2!e41"")"),115.0)</f>
        <v>115</v>
      </c>
      <c r="L529" s="40">
        <f t="shared" si="1470"/>
        <v>1880</v>
      </c>
      <c r="M529" s="40">
        <f t="shared" si="1442"/>
        <v>3439</v>
      </c>
      <c r="N529" s="41">
        <f t="shared" si="1443"/>
        <v>194.9599286</v>
      </c>
      <c r="O529" s="38">
        <v>3569.0</v>
      </c>
      <c r="P529" s="42">
        <f t="shared" si="1444"/>
        <v>0.9635752312</v>
      </c>
      <c r="Q529" s="43">
        <v>1.5</v>
      </c>
      <c r="R529" s="42">
        <f t="shared" si="1445"/>
        <v>0.4199886253</v>
      </c>
      <c r="S529" s="44">
        <f t="shared" si="1446"/>
        <v>0.6299829379</v>
      </c>
      <c r="T529" s="43">
        <f>F529/21.463</f>
        <v>254.339002</v>
      </c>
      <c r="U529" s="43">
        <f t="shared" si="1447"/>
        <v>9.083535786</v>
      </c>
      <c r="V529" s="40">
        <f t="shared" si="1448"/>
        <v>122.8214286</v>
      </c>
      <c r="X529" s="31">
        <v>5.0</v>
      </c>
      <c r="Y529" s="31" t="s">
        <v>40</v>
      </c>
      <c r="Z529" s="31">
        <f t="shared" ref="Z529:AI529" si="1473">SUM(D533)</f>
        <v>23</v>
      </c>
      <c r="AA529" s="32">
        <f t="shared" si="1473"/>
        <v>30</v>
      </c>
      <c r="AB529" s="33">
        <f t="shared" si="1473"/>
        <v>5845.703</v>
      </c>
      <c r="AC529" s="32">
        <f t="shared" si="1473"/>
        <v>3323</v>
      </c>
      <c r="AD529" s="32">
        <f t="shared" si="1473"/>
        <v>39</v>
      </c>
      <c r="AE529" s="32">
        <f t="shared" si="1473"/>
        <v>3362</v>
      </c>
      <c r="AF529" s="32">
        <f t="shared" si="1473"/>
        <v>3928</v>
      </c>
      <c r="AG529" s="32">
        <f t="shared" si="1473"/>
        <v>73</v>
      </c>
      <c r="AH529" s="32">
        <f t="shared" si="1473"/>
        <v>4001</v>
      </c>
      <c r="AI529" s="32">
        <f t="shared" si="1473"/>
        <v>7363</v>
      </c>
      <c r="AJ529" s="34">
        <f t="shared" si="1460"/>
        <v>194.8567667</v>
      </c>
      <c r="AK529" s="31">
        <f t="shared" ref="AK529:AK530" si="1476">SUM(O533)</f>
        <v>8239</v>
      </c>
      <c r="AL529" s="35">
        <f t="shared" si="1462"/>
        <v>0.893676417</v>
      </c>
      <c r="AM529" s="36">
        <f t="shared" ref="AM529:AM530" si="1477">SUM(Q533)</f>
        <v>1.5</v>
      </c>
      <c r="AN529" s="35">
        <f t="shared" si="1464"/>
        <v>0.8397051076</v>
      </c>
      <c r="AO529" s="37">
        <f t="shared" si="1465"/>
        <v>1.259557661</v>
      </c>
      <c r="AP529" s="36">
        <f t="shared" ref="AP529:AQ529" si="1474">SUM(T533)</f>
        <v>205.5234328</v>
      </c>
      <c r="AQ529" s="36">
        <f t="shared" si="1474"/>
        <v>6.850781094</v>
      </c>
      <c r="AR529" s="32">
        <f t="shared" si="1467"/>
        <v>245.4333333</v>
      </c>
    </row>
    <row r="530" ht="15.75" customHeight="1">
      <c r="A530" s="21"/>
      <c r="B530" s="38">
        <v>12.0</v>
      </c>
      <c r="C530" s="38" t="s">
        <v>41</v>
      </c>
      <c r="D530" s="39">
        <v>19.0</v>
      </c>
      <c r="E530" s="40">
        <f>IFERROR(__xludf.DUMMYFUNCTION("COUNT(IMPORTRANGE(""https://docs.google.com/spreadsheets/d/1sHk6_yuc4kORC_xnhEeazoemV_hVUQVqRpfoNae-PLk/edit"",""2!d2:d25""))"),24.0)</f>
        <v>24</v>
      </c>
      <c r="F530" s="45">
        <f>IFERROR(__xludf.DUMMYFUNCTION("SUM(IMPORTRANGE(""https://docs.google.com/spreadsheets/d/1sHk6_yuc4kORC_xnhEeazoemV_hVUQVqRpfoNae-PLk/edit"",""2!Q2:Q25""))"),4806.3200000000015)</f>
        <v>4806.32</v>
      </c>
      <c r="G530" s="40">
        <f>IFERROR(__xludf.DUMMYFUNCTION("IMPORTRANGE(""https://docs.google.com/spreadsheets/d/1sHk6_yuc4kORC_xnhEeazoemV_hVUQVqRpfoNae-PLk/edit"",""2!e32"")"),1468.0)</f>
        <v>1468</v>
      </c>
      <c r="H530" s="40">
        <f>IFERROR(__xludf.DUMMYFUNCTION("IMPORTRANGE(""https://docs.google.com/spreadsheets/d/1sHk6_yuc4kORC_xnhEeazoemV_hVUQVqRpfoNae-PLk/edit"",""2!e33"")"),0.0)</f>
        <v>0</v>
      </c>
      <c r="I530" s="40">
        <f t="shared" si="1440"/>
        <v>1468</v>
      </c>
      <c r="J530" s="40">
        <f>IFERROR(__xludf.DUMMYFUNCTION("IMPORTRANGE(""https://docs.google.com/spreadsheets/d/1sHk6_yuc4kORC_xnhEeazoemV_hVUQVqRpfoNae-PLk/edit"",""2!e36"")"),1656.0)</f>
        <v>1656</v>
      </c>
      <c r="K530" s="40">
        <f>IFERROR(__xludf.DUMMYFUNCTION("IMPORTRANGE(""https://docs.google.com/spreadsheets/d/1sHk6_yuc4kORC_xnhEeazoemV_hVUQVqRpfoNae-PLk/edit"",""2!e37"")"),0.0)</f>
        <v>0</v>
      </c>
      <c r="L530" s="40">
        <f t="shared" si="1470"/>
        <v>1656</v>
      </c>
      <c r="M530" s="40">
        <f t="shared" si="1442"/>
        <v>3124</v>
      </c>
      <c r="N530" s="41">
        <f t="shared" si="1443"/>
        <v>200.2633333</v>
      </c>
      <c r="O530" s="38">
        <v>3801.0</v>
      </c>
      <c r="P530" s="42">
        <f t="shared" si="1444"/>
        <v>0.8218889766</v>
      </c>
      <c r="Q530" s="43">
        <v>1.5</v>
      </c>
      <c r="R530" s="42">
        <f t="shared" si="1445"/>
        <v>0.4333183531</v>
      </c>
      <c r="S530" s="44">
        <f t="shared" si="1446"/>
        <v>0.6499775296</v>
      </c>
      <c r="T530" s="43">
        <f>F530/29.628</f>
        <v>162.2222222</v>
      </c>
      <c r="U530" s="43">
        <f t="shared" si="1447"/>
        <v>6.759259259</v>
      </c>
      <c r="V530" s="40">
        <f t="shared" si="1448"/>
        <v>130.1666667</v>
      </c>
      <c r="X530" s="22">
        <v>6.0</v>
      </c>
      <c r="Y530" s="22" t="s">
        <v>42</v>
      </c>
      <c r="Z530" s="22">
        <f t="shared" ref="Z530:AI530" si="1475">SUM(D534)</f>
        <v>24</v>
      </c>
      <c r="AA530" s="23">
        <f t="shared" si="1475"/>
        <v>33</v>
      </c>
      <c r="AB530" s="24">
        <f t="shared" si="1475"/>
        <v>6380.282</v>
      </c>
      <c r="AC530" s="23">
        <f t="shared" si="1475"/>
        <v>3133</v>
      </c>
      <c r="AD530" s="23">
        <f t="shared" si="1475"/>
        <v>0</v>
      </c>
      <c r="AE530" s="23">
        <f t="shared" si="1475"/>
        <v>3133</v>
      </c>
      <c r="AF530" s="23">
        <f t="shared" si="1475"/>
        <v>4360</v>
      </c>
      <c r="AG530" s="23">
        <f t="shared" si="1475"/>
        <v>0</v>
      </c>
      <c r="AH530" s="23">
        <f t="shared" si="1475"/>
        <v>4360</v>
      </c>
      <c r="AI530" s="23">
        <f t="shared" si="1475"/>
        <v>7493</v>
      </c>
      <c r="AJ530" s="25">
        <f t="shared" si="1460"/>
        <v>193.3418788</v>
      </c>
      <c r="AK530" s="22">
        <f t="shared" si="1476"/>
        <v>9877</v>
      </c>
      <c r="AL530" s="26">
        <f t="shared" si="1462"/>
        <v>0.7586311633</v>
      </c>
      <c r="AM530" s="27">
        <f t="shared" si="1477"/>
        <v>1.5</v>
      </c>
      <c r="AN530" s="26">
        <f t="shared" si="1464"/>
        <v>0.782933001</v>
      </c>
      <c r="AO530" s="28">
        <f t="shared" si="1465"/>
        <v>1.174399501</v>
      </c>
      <c r="AP530" s="27">
        <f t="shared" ref="AP530:AQ530" si="1478">SUM(T534)</f>
        <v>243.9411967</v>
      </c>
      <c r="AQ530" s="27">
        <f t="shared" si="1478"/>
        <v>7.392157476</v>
      </c>
      <c r="AR530" s="23">
        <f t="shared" si="1467"/>
        <v>227.0606061</v>
      </c>
    </row>
    <row r="531" ht="15.75" customHeight="1">
      <c r="A531" s="21"/>
      <c r="B531" s="38">
        <v>13.0</v>
      </c>
      <c r="C531" s="38" t="s">
        <v>43</v>
      </c>
      <c r="D531" s="39">
        <v>23.0</v>
      </c>
      <c r="E531" s="40">
        <f>IFERROR(__xludf.DUMMYFUNCTION("COUNT(IMPORTRANGE(""https://docs.google.com/spreadsheets/d/1uGXvAN2jA6kmcEHUY4KqOHHewllZsujDdA6KVDfBCoA/edit"",""2!d2:d31""))"),30.0)</f>
        <v>30</v>
      </c>
      <c r="F531" s="45">
        <f>IFERROR(__xludf.DUMMYFUNCTION("SUM(IMPORTRANGE(""https://docs.google.com/spreadsheets/d/1uGXvAN2jA6kmcEHUY4KqOHHewllZsujDdA6KVDfBCoA/edit"",""2!Q2:Q31""))"),6284.277999999999)</f>
        <v>6284.278</v>
      </c>
      <c r="G531" s="40">
        <f>IFERROR(__xludf.DUMMYFUNCTION("IMPORTRANGE(""https://docs.google.com/spreadsheets/d/1uGXvAN2jA6kmcEHUY4KqOHHewllZsujDdA6KVDfBCoA/edit"",""2!e38"")"),2309.0)</f>
        <v>2309</v>
      </c>
      <c r="H531" s="40">
        <f>IFERROR(__xludf.DUMMYFUNCTION("IMPORTRANGE(""https://docs.google.com/spreadsheets/d/1uGXvAN2jA6kmcEHUY4KqOHHewllZsujDdA6KVDfBCoA/edit"",""2!e39"")"),0.0)</f>
        <v>0</v>
      </c>
      <c r="I531" s="40">
        <f t="shared" si="1440"/>
        <v>2309</v>
      </c>
      <c r="J531" s="40">
        <f>IFERROR(__xludf.DUMMYFUNCTION("IMPORTRANGE(""https://docs.google.com/spreadsheets/d/1uGXvAN2jA6kmcEHUY4KqOHHewllZsujDdA6KVDfBCoA/edit"",""2!e42"")"),2749.0)</f>
        <v>2749</v>
      </c>
      <c r="K531" s="40">
        <f>IFERROR(__xludf.DUMMYFUNCTION("IMPORTRANGE(""https://docs.google.com/spreadsheets/d/1uGXvAN2jA6kmcEHUY4KqOHHewllZsujDdA6KVDfBCoA/edit"",""2!e43"")"),159.0)</f>
        <v>159</v>
      </c>
      <c r="L531" s="40">
        <f t="shared" si="1470"/>
        <v>2908</v>
      </c>
      <c r="M531" s="40">
        <f t="shared" si="1442"/>
        <v>5217</v>
      </c>
      <c r="N531" s="41">
        <f t="shared" si="1443"/>
        <v>209.4759333</v>
      </c>
      <c r="O531" s="38">
        <v>8345.0</v>
      </c>
      <c r="P531" s="42">
        <f t="shared" si="1444"/>
        <v>0.6251647693</v>
      </c>
      <c r="Q531" s="43">
        <v>1.5</v>
      </c>
      <c r="R531" s="42">
        <f t="shared" si="1445"/>
        <v>0.5534446439</v>
      </c>
      <c r="S531" s="44">
        <f t="shared" si="1446"/>
        <v>0.8301669659</v>
      </c>
      <c r="T531" s="43">
        <f>F531/41.205</f>
        <v>152.5125106</v>
      </c>
      <c r="U531" s="43">
        <f t="shared" si="1447"/>
        <v>5.083750354</v>
      </c>
      <c r="V531" s="40">
        <f t="shared" si="1448"/>
        <v>173.9</v>
      </c>
      <c r="X531" s="46" t="s">
        <v>33</v>
      </c>
      <c r="Y531" s="46">
        <v>6.0</v>
      </c>
      <c r="Z531" s="46">
        <f t="shared" ref="Z531:AI531" si="1479">SUM(Z525:Z530)</f>
        <v>169</v>
      </c>
      <c r="AA531" s="47">
        <f t="shared" si="1479"/>
        <v>224</v>
      </c>
      <c r="AB531" s="49">
        <f t="shared" si="1479"/>
        <v>44187.784</v>
      </c>
      <c r="AC531" s="47">
        <f t="shared" si="1479"/>
        <v>18291</v>
      </c>
      <c r="AD531" s="47">
        <f t="shared" si="1479"/>
        <v>143</v>
      </c>
      <c r="AE531" s="47">
        <f t="shared" si="1479"/>
        <v>18434</v>
      </c>
      <c r="AF531" s="47">
        <f t="shared" si="1479"/>
        <v>22964</v>
      </c>
      <c r="AG531" s="47">
        <f t="shared" si="1479"/>
        <v>334</v>
      </c>
      <c r="AH531" s="47">
        <f t="shared" si="1479"/>
        <v>23298</v>
      </c>
      <c r="AI531" s="47">
        <f t="shared" si="1479"/>
        <v>41732</v>
      </c>
      <c r="AJ531" s="49">
        <f t="shared" si="1460"/>
        <v>197.2668929</v>
      </c>
      <c r="AK531" s="46">
        <f>SUM(AK525:AK530)</f>
        <v>53273</v>
      </c>
      <c r="AL531" s="50">
        <f t="shared" si="1462"/>
        <v>0.7833611773</v>
      </c>
      <c r="AM531" s="51">
        <v>1.5</v>
      </c>
      <c r="AN531" s="50">
        <f t="shared" si="1464"/>
        <v>0.6296159439</v>
      </c>
      <c r="AO531" s="52">
        <f t="shared" si="1465"/>
        <v>0.9444239159</v>
      </c>
      <c r="AP531" s="51">
        <f>SUM(AP525:AP530)</f>
        <v>1450.497236</v>
      </c>
      <c r="AQ531" s="51">
        <f>AP531/AA531</f>
        <v>6.475434089</v>
      </c>
      <c r="AR531" s="47">
        <f t="shared" si="1467"/>
        <v>186.3035714</v>
      </c>
    </row>
    <row r="532" ht="15.75" customHeight="1">
      <c r="A532" s="21"/>
      <c r="B532" s="38">
        <v>14.0</v>
      </c>
      <c r="C532" s="38" t="s">
        <v>27</v>
      </c>
      <c r="D532" s="39">
        <v>23.0</v>
      </c>
      <c r="E532" s="40">
        <f>IFERROR(__xludf.DUMMYFUNCTION("COUNT(IMPORTRANGE(""https://docs.google.com/spreadsheets/d/1iYtf3wkjJIgOL8ej0-L89wY8FLXKi6EiRbi9UqA1Bzw/edit"",""2!d2:d31""))"),28.0)</f>
        <v>28</v>
      </c>
      <c r="F532" s="45">
        <f>IFERROR(__xludf.DUMMYFUNCTION("SUM(IMPORTRANGE(""https://docs.google.com/spreadsheets/d/1iYtf3wkjJIgOL8ej0-L89wY8FLXKi6EiRbi9UqA1Bzw/edit"",""2!Q2:Q31""))"),5465.76)</f>
        <v>5465.76</v>
      </c>
      <c r="G532" s="40">
        <f>IFERROR(__xludf.DUMMYFUNCTION("IMPORTRANGE(""https://docs.google.com/spreadsheets/d/1iYtf3wkjJIgOL8ej0-L89wY8FLXKi6EiRbi9UqA1Bzw/edit"",""2!e38"")"),2368.0)</f>
        <v>2368</v>
      </c>
      <c r="H532" s="40">
        <f>IFERROR(__xludf.DUMMYFUNCTION("IMPORTRANGE(""https://docs.google.com/spreadsheets/d/1iYtf3wkjJIgOL8ej0-L89wY8FLXKi6EiRbi9UqA1Bzw/edit"",""2!e39"")"),140.0)</f>
        <v>140</v>
      </c>
      <c r="I532" s="40">
        <f t="shared" si="1440"/>
        <v>2508</v>
      </c>
      <c r="J532" s="40">
        <f>IFERROR(__xludf.DUMMYFUNCTION("IMPORTRANGE(""https://docs.google.com/spreadsheets/d/1iYtf3wkjJIgOL8ej0-L89wY8FLXKi6EiRbi9UqA1Bzw/edit"",""2!e42"")"),3355.0)</f>
        <v>3355</v>
      </c>
      <c r="K532" s="40">
        <f>IFERROR(__xludf.DUMMYFUNCTION("IMPORTRANGE(""https://docs.google.com/spreadsheets/d/1iYtf3wkjJIgOL8ej0-L89wY8FLXKi6EiRbi9UqA1Bzw/edit"",""2!e43"")"),107.0)</f>
        <v>107</v>
      </c>
      <c r="L532" s="40">
        <f t="shared" si="1470"/>
        <v>3462</v>
      </c>
      <c r="M532" s="40">
        <f t="shared" si="1442"/>
        <v>5970</v>
      </c>
      <c r="N532" s="41">
        <f t="shared" si="1443"/>
        <v>195.2057143</v>
      </c>
      <c r="O532" s="38">
        <v>8101.0</v>
      </c>
      <c r="P532" s="42">
        <f t="shared" si="1444"/>
        <v>0.736946056</v>
      </c>
      <c r="Q532" s="43">
        <v>1.5</v>
      </c>
      <c r="R532" s="42">
        <f t="shared" si="1445"/>
        <v>0.7281695501</v>
      </c>
      <c r="S532" s="44">
        <f t="shared" si="1446"/>
        <v>1.092254325</v>
      </c>
      <c r="T532" s="43">
        <f>F532/19.985</f>
        <v>273.4931198</v>
      </c>
      <c r="U532" s="43">
        <f t="shared" si="1447"/>
        <v>9.767611423</v>
      </c>
      <c r="V532" s="40">
        <f t="shared" si="1448"/>
        <v>213.2142857</v>
      </c>
      <c r="X532" s="59" t="s">
        <v>44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6"/>
    </row>
    <row r="533" ht="15.75" customHeight="1">
      <c r="A533" s="21"/>
      <c r="B533" s="38">
        <v>15.0</v>
      </c>
      <c r="C533" s="38" t="s">
        <v>40</v>
      </c>
      <c r="D533" s="39">
        <v>23.0</v>
      </c>
      <c r="E533" s="40">
        <f>IFERROR(__xludf.DUMMYFUNCTION("COUNT(IMPORTRANGE(""https://docs.google.com/spreadsheets/d/1Wdf8MsoDBzMSsrzOXwaGQzbVjVqOWfKSqYmbncevZgA/edit"",""2!d2:d31""))"),30.0)</f>
        <v>30</v>
      </c>
      <c r="F533" s="45">
        <f>IFERROR(__xludf.DUMMYFUNCTION("SUM(IMPORTRANGE(""https://docs.google.com/spreadsheets/d/1Wdf8MsoDBzMSsrzOXwaGQzbVjVqOWfKSqYmbncevZgA/edit"",""2!Q2:Q31""))"),5845.702999999999)</f>
        <v>5845.703</v>
      </c>
      <c r="G533" s="40">
        <f>IFERROR(__xludf.DUMMYFUNCTION("IMPORTRANGE(""https://docs.google.com/spreadsheets/d/1Wdf8MsoDBzMSsrzOXwaGQzbVjVqOWfKSqYmbncevZgA/edit"",""2!e38"")"),3323.0)</f>
        <v>3323</v>
      </c>
      <c r="H533" s="40">
        <f>IFERROR(__xludf.DUMMYFUNCTION("IMPORTRANGE(""https://docs.google.com/spreadsheets/d/1Wdf8MsoDBzMSsrzOXwaGQzbVjVqOWfKSqYmbncevZgA/edit"",""2!e39"")"),39.0)</f>
        <v>39</v>
      </c>
      <c r="I533" s="40">
        <f t="shared" si="1440"/>
        <v>3362</v>
      </c>
      <c r="J533" s="40">
        <f>IFERROR(__xludf.DUMMYFUNCTION("IMPORTRANGE(""https://docs.google.com/spreadsheets/d/1Wdf8MsoDBzMSsrzOXwaGQzbVjVqOWfKSqYmbncevZgA/edit"",""2!e42"")"),3928.0)</f>
        <v>3928</v>
      </c>
      <c r="K533" s="40">
        <f>IFERROR(__xludf.DUMMYFUNCTION("IMPORTRANGE(""https://docs.google.com/spreadsheets/d/1Wdf8MsoDBzMSsrzOXwaGQzbVjVqOWfKSqYmbncevZgA/edit"",""2!e43"")"),73.0)</f>
        <v>73</v>
      </c>
      <c r="L533" s="40">
        <f t="shared" si="1470"/>
        <v>4001</v>
      </c>
      <c r="M533" s="40">
        <f t="shared" si="1442"/>
        <v>7363</v>
      </c>
      <c r="N533" s="41">
        <f t="shared" si="1443"/>
        <v>194.8567667</v>
      </c>
      <c r="O533" s="38">
        <v>8239.0</v>
      </c>
      <c r="P533" s="42">
        <f t="shared" si="1444"/>
        <v>0.893676417</v>
      </c>
      <c r="Q533" s="43">
        <v>1.5</v>
      </c>
      <c r="R533" s="42">
        <f t="shared" si="1445"/>
        <v>0.8397051076</v>
      </c>
      <c r="S533" s="44">
        <f t="shared" si="1446"/>
        <v>1.259557661</v>
      </c>
      <c r="T533" s="43">
        <f>F533/28.443</f>
        <v>205.5234328</v>
      </c>
      <c r="U533" s="43">
        <f t="shared" si="1447"/>
        <v>6.850781094</v>
      </c>
      <c r="V533" s="40">
        <f t="shared" si="1448"/>
        <v>245.4333333</v>
      </c>
      <c r="X533" s="14" t="s">
        <v>2</v>
      </c>
      <c r="Y533" s="14" t="s">
        <v>3</v>
      </c>
      <c r="Z533" s="14" t="s">
        <v>4</v>
      </c>
      <c r="AA533" s="14" t="s">
        <v>5</v>
      </c>
      <c r="AB533" s="15" t="s">
        <v>6</v>
      </c>
      <c r="AC533" s="14" t="s">
        <v>7</v>
      </c>
      <c r="AD533" s="14" t="s">
        <v>8</v>
      </c>
      <c r="AE533" s="14" t="s">
        <v>9</v>
      </c>
      <c r="AF533" s="14" t="s">
        <v>10</v>
      </c>
      <c r="AG533" s="14" t="s">
        <v>11</v>
      </c>
      <c r="AH533" s="14" t="s">
        <v>12</v>
      </c>
      <c r="AI533" s="14" t="s">
        <v>13</v>
      </c>
      <c r="AJ533" s="15" t="s">
        <v>14</v>
      </c>
      <c r="AK533" s="14" t="s">
        <v>15</v>
      </c>
      <c r="AL533" s="14" t="s">
        <v>16</v>
      </c>
      <c r="AM533" s="16" t="s">
        <v>17</v>
      </c>
      <c r="AN533" s="17" t="s">
        <v>18</v>
      </c>
      <c r="AO533" s="18" t="s">
        <v>19</v>
      </c>
      <c r="AP533" s="19" t="s">
        <v>20</v>
      </c>
      <c r="AQ533" s="19" t="s">
        <v>21</v>
      </c>
      <c r="AR533" s="20" t="s">
        <v>22</v>
      </c>
    </row>
    <row r="534" ht="15.75" customHeight="1">
      <c r="A534" s="21"/>
      <c r="B534" s="38">
        <v>16.0</v>
      </c>
      <c r="C534" s="38" t="s">
        <v>42</v>
      </c>
      <c r="D534" s="39">
        <v>24.0</v>
      </c>
      <c r="E534" s="40">
        <f>IFERROR(__xludf.DUMMYFUNCTION("COUNT(IMPORTRANGE(""https://docs.google.com/spreadsheets/d/1Z5uB5HbeAKcHmG4EOw3rf2J8NpyvDiha6RReERAMvA0/edit"",""2!d2:d34""))"),33.0)</f>
        <v>33</v>
      </c>
      <c r="F534" s="45">
        <f>IFERROR(__xludf.DUMMYFUNCTION("SUM(IMPORTRANGE(""https://docs.google.com/spreadsheets/d/1Z5uB5HbeAKcHmG4EOw3rf2J8NpyvDiha6RReERAMvA0/edit"",""2!Q2:Q34""))"),6380.281999999998)</f>
        <v>6380.282</v>
      </c>
      <c r="G534" s="40">
        <f>IFERROR(__xludf.DUMMYFUNCTION("IMPORTRANGE(""https://docs.google.com/spreadsheets/d/1Z5uB5HbeAKcHmG4EOw3rf2J8NpyvDiha6RReERAMvA0/edit"",""2!e41"")"),3133.0)</f>
        <v>3133</v>
      </c>
      <c r="H534" s="40">
        <f>IFERROR(__xludf.DUMMYFUNCTION("IMPORTRANGE(""https://docs.google.com/spreadsheets/d/1Z5uB5HbeAKcHmG4EOw3rf2J8NpyvDiha6RReERAMvA0/edit"",""2!e42"")"),0.0)</f>
        <v>0</v>
      </c>
      <c r="I534" s="40">
        <f t="shared" si="1440"/>
        <v>3133</v>
      </c>
      <c r="J534" s="40">
        <f>IFERROR(__xludf.DUMMYFUNCTION("IMPORTRANGE(""https://docs.google.com/spreadsheets/d/1Z5uB5HbeAKcHmG4EOw3rf2J8NpyvDiha6RReERAMvA0/edit"",""2!e45"")"),4360.0)</f>
        <v>4360</v>
      </c>
      <c r="K534" s="40">
        <f>IFERROR(__xludf.DUMMYFUNCTION("IMPORTRANGE(""https://docs.google.com/spreadsheets/d/1Z5uB5HbeAKcHmG4EOw3rf2J8NpyvDiha6RReERAMvA0/edit"",""2!e46"")"),0.0)</f>
        <v>0</v>
      </c>
      <c r="L534" s="40">
        <f t="shared" si="1470"/>
        <v>4360</v>
      </c>
      <c r="M534" s="40">
        <f t="shared" si="1442"/>
        <v>7493</v>
      </c>
      <c r="N534" s="41">
        <f t="shared" si="1443"/>
        <v>193.3418788</v>
      </c>
      <c r="O534" s="38">
        <v>9877.0</v>
      </c>
      <c r="P534" s="42">
        <f t="shared" si="1444"/>
        <v>0.7586311633</v>
      </c>
      <c r="Q534" s="43">
        <v>1.5</v>
      </c>
      <c r="R534" s="42">
        <f t="shared" si="1445"/>
        <v>0.782933001</v>
      </c>
      <c r="S534" s="44">
        <f t="shared" si="1446"/>
        <v>1.174399501</v>
      </c>
      <c r="T534" s="43">
        <f>F534/26.155</f>
        <v>243.9411967</v>
      </c>
      <c r="U534" s="43">
        <f t="shared" si="1447"/>
        <v>7.392157476</v>
      </c>
      <c r="V534" s="40">
        <f t="shared" si="1448"/>
        <v>227.0606061</v>
      </c>
      <c r="X534" s="31">
        <v>1.0</v>
      </c>
      <c r="Y534" s="31" t="s">
        <v>26</v>
      </c>
      <c r="Z534" s="31">
        <f t="shared" ref="Z534:AI534" si="1480">SUM(D519)</f>
        <v>15</v>
      </c>
      <c r="AA534" s="32">
        <f t="shared" si="1480"/>
        <v>20</v>
      </c>
      <c r="AB534" s="34">
        <f t="shared" si="1480"/>
        <v>3560.964</v>
      </c>
      <c r="AC534" s="32">
        <f t="shared" si="1480"/>
        <v>1873</v>
      </c>
      <c r="AD534" s="32">
        <f t="shared" si="1480"/>
        <v>0</v>
      </c>
      <c r="AE534" s="32">
        <f t="shared" si="1480"/>
        <v>1873</v>
      </c>
      <c r="AF534" s="32">
        <f t="shared" si="1480"/>
        <v>3204</v>
      </c>
      <c r="AG534" s="32">
        <f t="shared" si="1480"/>
        <v>0</v>
      </c>
      <c r="AH534" s="32">
        <f t="shared" si="1480"/>
        <v>3204</v>
      </c>
      <c r="AI534" s="32">
        <f t="shared" si="1480"/>
        <v>5077</v>
      </c>
      <c r="AJ534" s="34">
        <f t="shared" ref="AJ534:AJ540" si="1483">AB534/AA534</f>
        <v>178.0482</v>
      </c>
      <c r="AK534" s="31">
        <f>SUM(O519)</f>
        <v>5161</v>
      </c>
      <c r="AL534" s="35">
        <f t="shared" ref="AL534:AL540" si="1484">AI534/AK534</f>
        <v>0.9837240845</v>
      </c>
      <c r="AM534" s="36">
        <f>SUM(Q519)</f>
        <v>1.5</v>
      </c>
      <c r="AN534" s="35">
        <f t="shared" ref="AN534:AN540" si="1485">AO534/AM534</f>
        <v>0.9504916833</v>
      </c>
      <c r="AO534" s="37">
        <f t="shared" ref="AO534:AO540" si="1486">AI534/AB534</f>
        <v>1.425737525</v>
      </c>
      <c r="AP534" s="36">
        <f t="shared" ref="AP534:AQ534" si="1481">SUM(T519)</f>
        <v>247.0318418</v>
      </c>
      <c r="AQ534" s="36">
        <f t="shared" si="1481"/>
        <v>12.35159209</v>
      </c>
      <c r="AR534" s="32">
        <f t="shared" ref="AR534:AR540" si="1488">AI534/AA534</f>
        <v>253.85</v>
      </c>
    </row>
    <row r="535" ht="15.75" customHeight="1">
      <c r="A535" s="21"/>
      <c r="B535" s="38">
        <v>17.0</v>
      </c>
      <c r="C535" s="38" t="s">
        <v>29</v>
      </c>
      <c r="D535" s="39">
        <v>23.0</v>
      </c>
      <c r="E535" s="40">
        <f>IFERROR(__xludf.DUMMYFUNCTION("COUNT(IMPORTRANGE(""https://docs.google.com/spreadsheets/d/1wfJqI0e9wVPqEQv3N6b8KgINjqI0OBECEyIFeY9j3i8/edit"",""2!d2:d31""))"),29.0)</f>
        <v>29</v>
      </c>
      <c r="F535" s="45">
        <f>IFERROR(__xludf.DUMMYFUNCTION("SUM(IMPORTRANGE(""https://docs.google.com/spreadsheets/d/1wfJqI0e9wVPqEQv3N6b8KgINjqI0OBECEyIFeY9j3i8/edit"",""2!Q2:Q31""))"),5775.037999999998)</f>
        <v>5775.038</v>
      </c>
      <c r="G535" s="40">
        <f>IFERROR(__xludf.DUMMYFUNCTION("IMPORTRANGE(""https://docs.google.com/spreadsheets/d/1wfJqI0e9wVPqEQv3N6b8KgINjqI0OBECEyIFeY9j3i8/edit"",""2!e38"")"),2726.0)</f>
        <v>2726</v>
      </c>
      <c r="H535" s="40">
        <f>IFERROR(__xludf.DUMMYFUNCTION("IMPORTRANGE(""https://docs.google.com/spreadsheets/d/1wfJqI0e9wVPqEQv3N6b8KgINjqI0OBECEyIFeY9j3i8/edit"",""2!e39"")"),0.0)</f>
        <v>0</v>
      </c>
      <c r="I535" s="40">
        <f t="shared" si="1440"/>
        <v>2726</v>
      </c>
      <c r="J535" s="40">
        <f>IFERROR(__xludf.DUMMYFUNCTION("IMPORTRANGE(""https://docs.google.com/spreadsheets/d/1wfJqI0e9wVPqEQv3N6b8KgINjqI0OBECEyIFeY9j3i8/edit"",""2!e42"")"),4235.0)</f>
        <v>4235</v>
      </c>
      <c r="K535" s="40">
        <f>IFERROR(__xludf.DUMMYFUNCTION("IMPORTRANGE(""https://docs.google.com/spreadsheets/d/1wfJqI0e9wVPqEQv3N6b8KgINjqI0OBECEyIFeY9j3i8/edit"",""2!e43"")"),0.0)</f>
        <v>0</v>
      </c>
      <c r="L535" s="40">
        <f t="shared" si="1470"/>
        <v>4235</v>
      </c>
      <c r="M535" s="40">
        <f t="shared" si="1442"/>
        <v>6961</v>
      </c>
      <c r="N535" s="41">
        <f t="shared" si="1443"/>
        <v>199.1392414</v>
      </c>
      <c r="O535" s="38">
        <v>9201.0</v>
      </c>
      <c r="P535" s="42">
        <f t="shared" si="1444"/>
        <v>0.7565482013</v>
      </c>
      <c r="Q535" s="43">
        <v>1.5</v>
      </c>
      <c r="R535" s="42">
        <f t="shared" si="1445"/>
        <v>0.803573356</v>
      </c>
      <c r="S535" s="44">
        <f t="shared" si="1446"/>
        <v>1.205360034</v>
      </c>
      <c r="T535" s="43">
        <f>F535/26.491</f>
        <v>218</v>
      </c>
      <c r="U535" s="43">
        <f t="shared" si="1447"/>
        <v>7.517241379</v>
      </c>
      <c r="V535" s="40">
        <f t="shared" si="1448"/>
        <v>240.0344828</v>
      </c>
      <c r="X535" s="31">
        <v>2.0</v>
      </c>
      <c r="Y535" s="31" t="s">
        <v>32</v>
      </c>
      <c r="Z535" s="31">
        <f t="shared" ref="Z535:AI535" si="1482">SUM(D522)</f>
        <v>32</v>
      </c>
      <c r="AA535" s="32">
        <f t="shared" si="1482"/>
        <v>42</v>
      </c>
      <c r="AB535" s="33">
        <f t="shared" si="1482"/>
        <v>8179.014</v>
      </c>
      <c r="AC535" s="31">
        <f t="shared" si="1482"/>
        <v>4808</v>
      </c>
      <c r="AD535" s="31">
        <f t="shared" si="1482"/>
        <v>0</v>
      </c>
      <c r="AE535" s="32">
        <f t="shared" si="1482"/>
        <v>4808</v>
      </c>
      <c r="AF535" s="31">
        <f t="shared" si="1482"/>
        <v>5449</v>
      </c>
      <c r="AG535" s="31">
        <f t="shared" si="1482"/>
        <v>190</v>
      </c>
      <c r="AH535" s="32">
        <f t="shared" si="1482"/>
        <v>5639</v>
      </c>
      <c r="AI535" s="32">
        <f t="shared" si="1482"/>
        <v>10447</v>
      </c>
      <c r="AJ535" s="34">
        <f t="shared" si="1483"/>
        <v>194.7384286</v>
      </c>
      <c r="AK535" s="31">
        <f>SUM(O522)</f>
        <v>13817</v>
      </c>
      <c r="AL535" s="35">
        <f t="shared" si="1484"/>
        <v>0.756097561</v>
      </c>
      <c r="AM535" s="36">
        <f>SUM(Q522)</f>
        <v>1.5</v>
      </c>
      <c r="AN535" s="35">
        <f t="shared" si="1485"/>
        <v>0.8515288844</v>
      </c>
      <c r="AO535" s="37">
        <f t="shared" si="1486"/>
        <v>1.277293327</v>
      </c>
      <c r="AP535" s="36">
        <f t="shared" ref="AP535:AQ535" si="1487">SUM(T522)</f>
        <v>326</v>
      </c>
      <c r="AQ535" s="36">
        <f t="shared" si="1487"/>
        <v>7.761904762</v>
      </c>
      <c r="AR535" s="32">
        <f t="shared" si="1488"/>
        <v>248.7380952</v>
      </c>
    </row>
    <row r="536" ht="15.75" customHeight="1">
      <c r="A536" s="21"/>
      <c r="B536" s="38">
        <v>18.0</v>
      </c>
      <c r="C536" s="38" t="s">
        <v>31</v>
      </c>
      <c r="D536" s="39">
        <v>11.0</v>
      </c>
      <c r="E536" s="40">
        <f>IFERROR(__xludf.DUMMYFUNCTION("COUNT(IMPORTRANGE(""https://docs.google.com/spreadsheets/d/1-y2KhTAo7d8kowgUuWUDfRQuRMUAFteRYEXorT3_wOs/edit"",""2!d2:d16""))"),13.0)</f>
        <v>13</v>
      </c>
      <c r="F536" s="41">
        <f>IFERROR(__xludf.DUMMYFUNCTION("SUM(IMPORTRANGE(""https://docs.google.com/spreadsheets/d/1-y2KhTAo7d8kowgUuWUDfRQuRMUAFteRYEXorT3_wOs/edit"",""2!Q2:Q16""))"),2607.9000000000005)</f>
        <v>2607.9</v>
      </c>
      <c r="G536" s="40">
        <f>IFERROR(__xludf.DUMMYFUNCTION("IMPORTRANGE(""https://docs.google.com/spreadsheets/d/1-y2KhTAo7d8kowgUuWUDfRQuRMUAFteRYEXorT3_wOs/edit"",""2!e23"")"),870.0)</f>
        <v>870</v>
      </c>
      <c r="H536" s="40">
        <f>IFERROR(__xludf.DUMMYFUNCTION("IMPORTRANGE(""https://docs.google.com/spreadsheets/d/1-y2KhTAo7d8kowgUuWUDfRQuRMUAFteRYEXorT3_wOs/edit"",""2!e24"")"),0.0)</f>
        <v>0</v>
      </c>
      <c r="I536" s="40">
        <f t="shared" si="1440"/>
        <v>870</v>
      </c>
      <c r="J536" s="40">
        <f>IFERROR(__xludf.DUMMYFUNCTION("IMPORTRANGE(""https://docs.google.com/spreadsheets/d/1-y2KhTAo7d8kowgUuWUDfRQuRMUAFteRYEXorT3_wOs/edit"",""2!e27"")"),975.0)</f>
        <v>975</v>
      </c>
      <c r="K536" s="40">
        <f>IFERROR(__xludf.DUMMYFUNCTION("IMPORTRANGE(""https://docs.google.com/spreadsheets/d/1-y2KhTAo7d8kowgUuWUDfRQuRMUAFteRYEXorT3_wOs/edit"",""2!e28"")"),55.0)</f>
        <v>55</v>
      </c>
      <c r="L536" s="40">
        <f t="shared" si="1470"/>
        <v>1030</v>
      </c>
      <c r="M536" s="40">
        <f t="shared" si="1442"/>
        <v>1900</v>
      </c>
      <c r="N536" s="41">
        <f t="shared" si="1443"/>
        <v>200.6076923</v>
      </c>
      <c r="O536" s="38">
        <v>2717.0</v>
      </c>
      <c r="P536" s="42">
        <f t="shared" si="1444"/>
        <v>0.6993006993</v>
      </c>
      <c r="Q536" s="43">
        <v>1.5</v>
      </c>
      <c r="R536" s="42">
        <f t="shared" si="1445"/>
        <v>0.4857036952</v>
      </c>
      <c r="S536" s="44">
        <f t="shared" si="1446"/>
        <v>0.7285555428</v>
      </c>
      <c r="T536" s="43">
        <f>F536/43.465</f>
        <v>60</v>
      </c>
      <c r="U536" s="43">
        <f t="shared" si="1447"/>
        <v>4.615384615</v>
      </c>
      <c r="V536" s="40">
        <f t="shared" si="1448"/>
        <v>146.1538462</v>
      </c>
      <c r="X536" s="31">
        <v>3.0</v>
      </c>
      <c r="Y536" s="31" t="s">
        <v>36</v>
      </c>
      <c r="Z536" s="31">
        <f t="shared" ref="Z536:AI536" si="1489">SUM(D527)</f>
        <v>23</v>
      </c>
      <c r="AA536" s="32">
        <f t="shared" si="1489"/>
        <v>29</v>
      </c>
      <c r="AB536" s="33">
        <f t="shared" si="1489"/>
        <v>5604.12</v>
      </c>
      <c r="AC536" s="32">
        <f t="shared" si="1489"/>
        <v>1533</v>
      </c>
      <c r="AD536" s="32">
        <f t="shared" si="1489"/>
        <v>0</v>
      </c>
      <c r="AE536" s="32">
        <f t="shared" si="1489"/>
        <v>1533</v>
      </c>
      <c r="AF536" s="32">
        <f t="shared" si="1489"/>
        <v>2301</v>
      </c>
      <c r="AG536" s="32">
        <f t="shared" si="1489"/>
        <v>0</v>
      </c>
      <c r="AH536" s="32">
        <f t="shared" si="1489"/>
        <v>2301</v>
      </c>
      <c r="AI536" s="32">
        <f t="shared" si="1489"/>
        <v>3834</v>
      </c>
      <c r="AJ536" s="34">
        <f t="shared" si="1483"/>
        <v>193.2455172</v>
      </c>
      <c r="AK536" s="31">
        <f t="shared" ref="AK536:AK539" si="1493">SUM(O527)</f>
        <v>4796</v>
      </c>
      <c r="AL536" s="35">
        <f t="shared" si="1484"/>
        <v>0.7994161802</v>
      </c>
      <c r="AM536" s="36">
        <f t="shared" ref="AM536:AM539" si="1494">SUM(Q527)</f>
        <v>1.5</v>
      </c>
      <c r="AN536" s="35">
        <f t="shared" si="1485"/>
        <v>0.4560930173</v>
      </c>
      <c r="AO536" s="37">
        <f t="shared" si="1486"/>
        <v>0.6841395259</v>
      </c>
      <c r="AP536" s="36">
        <f t="shared" ref="AP536:AQ536" si="1490">SUM(T527)</f>
        <v>149.7867109</v>
      </c>
      <c r="AQ536" s="36">
        <f t="shared" si="1490"/>
        <v>5.165058995</v>
      </c>
      <c r="AR536" s="32">
        <f t="shared" si="1488"/>
        <v>132.2068966</v>
      </c>
    </row>
    <row r="537" ht="15.75" customHeight="1">
      <c r="A537" s="21"/>
      <c r="B537" s="60" t="s">
        <v>33</v>
      </c>
      <c r="C537" s="60">
        <v>18.0</v>
      </c>
      <c r="D537" s="60">
        <f t="shared" ref="D537:M537" si="1491">SUM(D519:D536)</f>
        <v>446</v>
      </c>
      <c r="E537" s="61">
        <f t="shared" si="1491"/>
        <v>576</v>
      </c>
      <c r="F537" s="62">
        <f t="shared" si="1491"/>
        <v>112418.192</v>
      </c>
      <c r="G537" s="61">
        <f t="shared" si="1491"/>
        <v>43479</v>
      </c>
      <c r="H537" s="61">
        <f t="shared" si="1491"/>
        <v>764</v>
      </c>
      <c r="I537" s="61">
        <f t="shared" si="1491"/>
        <v>44243</v>
      </c>
      <c r="J537" s="61">
        <f t="shared" si="1491"/>
        <v>56392</v>
      </c>
      <c r="K537" s="61">
        <f t="shared" si="1491"/>
        <v>1134</v>
      </c>
      <c r="L537" s="61">
        <f t="shared" si="1491"/>
        <v>57526</v>
      </c>
      <c r="M537" s="61">
        <f t="shared" si="1491"/>
        <v>101769</v>
      </c>
      <c r="N537" s="62">
        <f t="shared" si="1443"/>
        <v>195.1704722</v>
      </c>
      <c r="O537" s="60">
        <f>SUM(O519:O536)</f>
        <v>126399</v>
      </c>
      <c r="P537" s="63">
        <f t="shared" si="1444"/>
        <v>0.8051408635</v>
      </c>
      <c r="Q537" s="64">
        <v>1.5</v>
      </c>
      <c r="R537" s="63">
        <f t="shared" si="1445"/>
        <v>0.6035144205</v>
      </c>
      <c r="S537" s="65">
        <f t="shared" si="1446"/>
        <v>0.9052716308</v>
      </c>
      <c r="T537" s="64">
        <f>SUM(T519:T536)</f>
        <v>4134.025243</v>
      </c>
      <c r="U537" s="64">
        <f t="shared" si="1447"/>
        <v>7.177127158</v>
      </c>
      <c r="V537" s="61">
        <f t="shared" si="1448"/>
        <v>176.6822917</v>
      </c>
      <c r="X537" s="31">
        <v>4.0</v>
      </c>
      <c r="Y537" s="31" t="s">
        <v>37</v>
      </c>
      <c r="Z537" s="31">
        <f t="shared" ref="Z537:AI537" si="1492">SUM(D528)</f>
        <v>23</v>
      </c>
      <c r="AA537" s="32">
        <f t="shared" si="1492"/>
        <v>30</v>
      </c>
      <c r="AB537" s="33">
        <f t="shared" si="1492"/>
        <v>5812.188</v>
      </c>
      <c r="AC537" s="32">
        <f t="shared" si="1492"/>
        <v>2138</v>
      </c>
      <c r="AD537" s="32">
        <f t="shared" si="1492"/>
        <v>0</v>
      </c>
      <c r="AE537" s="32">
        <f t="shared" si="1492"/>
        <v>2138</v>
      </c>
      <c r="AF537" s="32">
        <f t="shared" si="1492"/>
        <v>3071</v>
      </c>
      <c r="AG537" s="32">
        <f t="shared" si="1492"/>
        <v>0</v>
      </c>
      <c r="AH537" s="32">
        <f t="shared" si="1492"/>
        <v>3071</v>
      </c>
      <c r="AI537" s="32">
        <f t="shared" si="1492"/>
        <v>5209</v>
      </c>
      <c r="AJ537" s="34">
        <f t="shared" si="1483"/>
        <v>193.7396</v>
      </c>
      <c r="AK537" s="31">
        <f t="shared" si="1493"/>
        <v>5887</v>
      </c>
      <c r="AL537" s="35">
        <f t="shared" si="1484"/>
        <v>0.8848309835</v>
      </c>
      <c r="AM537" s="36">
        <f t="shared" si="1494"/>
        <v>1.5</v>
      </c>
      <c r="AN537" s="35">
        <f t="shared" si="1485"/>
        <v>0.5974800999</v>
      </c>
      <c r="AO537" s="37">
        <f t="shared" si="1486"/>
        <v>0.8962201498</v>
      </c>
      <c r="AP537" s="36">
        <f t="shared" ref="AP537:AQ537" si="1495">SUM(T528)</f>
        <v>234.4380445</v>
      </c>
      <c r="AQ537" s="36">
        <f t="shared" si="1495"/>
        <v>7.814601484</v>
      </c>
      <c r="AR537" s="32">
        <f t="shared" si="1488"/>
        <v>173.6333333</v>
      </c>
    </row>
    <row r="538" ht="15.7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X538" s="31">
        <v>5.0</v>
      </c>
      <c r="Y538" s="31" t="s">
        <v>39</v>
      </c>
      <c r="Z538" s="31">
        <f t="shared" ref="Z538:AI538" si="1496">SUM(D529)</f>
        <v>21</v>
      </c>
      <c r="AA538" s="32">
        <f t="shared" si="1496"/>
        <v>28</v>
      </c>
      <c r="AB538" s="33">
        <f t="shared" si="1496"/>
        <v>5458.878</v>
      </c>
      <c r="AC538" s="32">
        <f t="shared" si="1496"/>
        <v>1516</v>
      </c>
      <c r="AD538" s="32">
        <f t="shared" si="1496"/>
        <v>43</v>
      </c>
      <c r="AE538" s="32">
        <f t="shared" si="1496"/>
        <v>1559</v>
      </c>
      <c r="AF538" s="32">
        <f t="shared" si="1496"/>
        <v>1765</v>
      </c>
      <c r="AG538" s="32">
        <f t="shared" si="1496"/>
        <v>115</v>
      </c>
      <c r="AH538" s="32">
        <f t="shared" si="1496"/>
        <v>1880</v>
      </c>
      <c r="AI538" s="32">
        <f t="shared" si="1496"/>
        <v>3439</v>
      </c>
      <c r="AJ538" s="34">
        <f t="shared" si="1483"/>
        <v>194.9599286</v>
      </c>
      <c r="AK538" s="31">
        <f t="shared" si="1493"/>
        <v>3569</v>
      </c>
      <c r="AL538" s="35">
        <f t="shared" si="1484"/>
        <v>0.9635752312</v>
      </c>
      <c r="AM538" s="36">
        <f t="shared" si="1494"/>
        <v>1.5</v>
      </c>
      <c r="AN538" s="35">
        <f t="shared" si="1485"/>
        <v>0.4199886253</v>
      </c>
      <c r="AO538" s="37">
        <f t="shared" si="1486"/>
        <v>0.6299829379</v>
      </c>
      <c r="AP538" s="36">
        <f t="shared" ref="AP538:AQ538" si="1497">SUM(T529)</f>
        <v>254.339002</v>
      </c>
      <c r="AQ538" s="36">
        <f t="shared" si="1497"/>
        <v>9.083535786</v>
      </c>
      <c r="AR538" s="32">
        <f t="shared" si="1488"/>
        <v>122.8214286</v>
      </c>
    </row>
    <row r="539" ht="15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X539" s="31">
        <v>6.0</v>
      </c>
      <c r="Y539" s="31" t="s">
        <v>41</v>
      </c>
      <c r="Z539" s="31">
        <f t="shared" ref="Z539:AI539" si="1498">SUM(D530)</f>
        <v>19</v>
      </c>
      <c r="AA539" s="32">
        <f t="shared" si="1498"/>
        <v>24</v>
      </c>
      <c r="AB539" s="33">
        <f t="shared" si="1498"/>
        <v>4806.32</v>
      </c>
      <c r="AC539" s="32">
        <f t="shared" si="1498"/>
        <v>1468</v>
      </c>
      <c r="AD539" s="32">
        <f t="shared" si="1498"/>
        <v>0</v>
      </c>
      <c r="AE539" s="32">
        <f t="shared" si="1498"/>
        <v>1468</v>
      </c>
      <c r="AF539" s="32">
        <f t="shared" si="1498"/>
        <v>1656</v>
      </c>
      <c r="AG539" s="32">
        <f t="shared" si="1498"/>
        <v>0</v>
      </c>
      <c r="AH539" s="32">
        <f t="shared" si="1498"/>
        <v>1656</v>
      </c>
      <c r="AI539" s="32">
        <f t="shared" si="1498"/>
        <v>3124</v>
      </c>
      <c r="AJ539" s="34">
        <f t="shared" si="1483"/>
        <v>200.2633333</v>
      </c>
      <c r="AK539" s="31">
        <f t="shared" si="1493"/>
        <v>3801</v>
      </c>
      <c r="AL539" s="35">
        <f t="shared" si="1484"/>
        <v>0.8218889766</v>
      </c>
      <c r="AM539" s="36">
        <f t="shared" si="1494"/>
        <v>1.5</v>
      </c>
      <c r="AN539" s="35">
        <f t="shared" si="1485"/>
        <v>0.4333183531</v>
      </c>
      <c r="AO539" s="37">
        <f t="shared" si="1486"/>
        <v>0.6499775296</v>
      </c>
      <c r="AP539" s="36">
        <f t="shared" ref="AP539:AQ539" si="1499">SUM(T530)</f>
        <v>162.2222222</v>
      </c>
      <c r="AQ539" s="36">
        <f t="shared" si="1499"/>
        <v>6.759259259</v>
      </c>
      <c r="AR539" s="32">
        <f t="shared" si="1488"/>
        <v>130.1666667</v>
      </c>
    </row>
    <row r="540" ht="15.75" customHeight="1">
      <c r="A540" s="1" t="s">
        <v>45</v>
      </c>
      <c r="D540" s="2"/>
      <c r="X540" s="46" t="s">
        <v>33</v>
      </c>
      <c r="Y540" s="46">
        <v>6.0</v>
      </c>
      <c r="Z540" s="46">
        <f t="shared" ref="Z540:AI540" si="1500">SUM(Z534:Z539)</f>
        <v>133</v>
      </c>
      <c r="AA540" s="47">
        <f t="shared" si="1500"/>
        <v>173</v>
      </c>
      <c r="AB540" s="49">
        <f t="shared" si="1500"/>
        <v>33421.484</v>
      </c>
      <c r="AC540" s="47">
        <f t="shared" si="1500"/>
        <v>13336</v>
      </c>
      <c r="AD540" s="47">
        <f t="shared" si="1500"/>
        <v>43</v>
      </c>
      <c r="AE540" s="47">
        <f t="shared" si="1500"/>
        <v>13379</v>
      </c>
      <c r="AF540" s="47">
        <f t="shared" si="1500"/>
        <v>17446</v>
      </c>
      <c r="AG540" s="47">
        <f t="shared" si="1500"/>
        <v>305</v>
      </c>
      <c r="AH540" s="47">
        <f t="shared" si="1500"/>
        <v>17751</v>
      </c>
      <c r="AI540" s="47">
        <f t="shared" si="1500"/>
        <v>31130</v>
      </c>
      <c r="AJ540" s="49">
        <f t="shared" si="1483"/>
        <v>193.1877688</v>
      </c>
      <c r="AK540" s="46">
        <f>SUM(AK534:AK539)</f>
        <v>37031</v>
      </c>
      <c r="AL540" s="50">
        <f t="shared" si="1484"/>
        <v>0.8406470255</v>
      </c>
      <c r="AM540" s="51">
        <v>1.5</v>
      </c>
      <c r="AN540" s="50">
        <f t="shared" si="1485"/>
        <v>0.6209578645</v>
      </c>
      <c r="AO540" s="52">
        <f t="shared" si="1486"/>
        <v>0.9314367968</v>
      </c>
      <c r="AP540" s="51">
        <f>SUM(AP534:AP539)</f>
        <v>1373.817821</v>
      </c>
      <c r="AQ540" s="51">
        <f>AP540/AA540</f>
        <v>7.941143477</v>
      </c>
      <c r="AR540" s="47">
        <f t="shared" si="1488"/>
        <v>179.9421965</v>
      </c>
    </row>
    <row r="541" ht="15.75" customHeight="1">
      <c r="A541" s="1" t="s">
        <v>45</v>
      </c>
      <c r="D541" s="2"/>
      <c r="X541" s="66" t="s">
        <v>1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6"/>
    </row>
    <row r="542" ht="15.75" customHeight="1">
      <c r="A542" s="7">
        <v>46286.0</v>
      </c>
      <c r="B542" s="8" t="s">
        <v>2</v>
      </c>
      <c r="C542" s="8" t="s">
        <v>3</v>
      </c>
      <c r="D542" s="8" t="s">
        <v>4</v>
      </c>
      <c r="E542" s="8" t="s">
        <v>5</v>
      </c>
      <c r="F542" s="9" t="s">
        <v>6</v>
      </c>
      <c r="G542" s="8" t="s">
        <v>7</v>
      </c>
      <c r="H542" s="8" t="s">
        <v>8</v>
      </c>
      <c r="I542" s="8" t="s">
        <v>9</v>
      </c>
      <c r="J542" s="8" t="s">
        <v>10</v>
      </c>
      <c r="K542" s="8" t="s">
        <v>11</v>
      </c>
      <c r="L542" s="8" t="s">
        <v>12</v>
      </c>
      <c r="M542" s="8" t="s">
        <v>13</v>
      </c>
      <c r="N542" s="9" t="s">
        <v>14</v>
      </c>
      <c r="O542" s="8" t="s">
        <v>15</v>
      </c>
      <c r="P542" s="8" t="s">
        <v>16</v>
      </c>
      <c r="Q542" s="8" t="s">
        <v>17</v>
      </c>
      <c r="R542" s="8" t="s">
        <v>18</v>
      </c>
      <c r="S542" s="11" t="s">
        <v>19</v>
      </c>
      <c r="T542" s="12" t="s">
        <v>20</v>
      </c>
      <c r="U542" s="12" t="s">
        <v>21</v>
      </c>
      <c r="V542" s="13" t="s">
        <v>22</v>
      </c>
      <c r="X542" s="14" t="s">
        <v>2</v>
      </c>
      <c r="Y542" s="14" t="s">
        <v>3</v>
      </c>
      <c r="Z542" s="14" t="s">
        <v>4</v>
      </c>
      <c r="AA542" s="14" t="s">
        <v>5</v>
      </c>
      <c r="AB542" s="15" t="s">
        <v>6</v>
      </c>
      <c r="AC542" s="14" t="s">
        <v>7</v>
      </c>
      <c r="AD542" s="14" t="s">
        <v>8</v>
      </c>
      <c r="AE542" s="14" t="s">
        <v>9</v>
      </c>
      <c r="AF542" s="14" t="s">
        <v>10</v>
      </c>
      <c r="AG542" s="14" t="s">
        <v>11</v>
      </c>
      <c r="AH542" s="14" t="s">
        <v>12</v>
      </c>
      <c r="AI542" s="14" t="s">
        <v>13</v>
      </c>
      <c r="AJ542" s="15" t="s">
        <v>14</v>
      </c>
      <c r="AK542" s="14" t="s">
        <v>15</v>
      </c>
      <c r="AL542" s="14" t="s">
        <v>16</v>
      </c>
      <c r="AM542" s="16" t="s">
        <v>17</v>
      </c>
      <c r="AN542" s="17" t="s">
        <v>18</v>
      </c>
      <c r="AO542" s="18" t="s">
        <v>19</v>
      </c>
      <c r="AP542" s="19" t="s">
        <v>20</v>
      </c>
      <c r="AQ542" s="19" t="s">
        <v>21</v>
      </c>
      <c r="AR542" s="20" t="s">
        <v>22</v>
      </c>
    </row>
    <row r="543" ht="15.7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X543" s="22">
        <v>1.0</v>
      </c>
      <c r="Y543" s="22" t="s">
        <v>23</v>
      </c>
      <c r="Z543" s="22">
        <f t="shared" ref="Z543:AI543" si="1501">SUM(D551)</f>
        <v>35</v>
      </c>
      <c r="AA543" s="23">
        <f t="shared" si="1501"/>
        <v>34</v>
      </c>
      <c r="AB543" s="24">
        <f t="shared" si="1501"/>
        <v>6680.52</v>
      </c>
      <c r="AC543" s="23">
        <f t="shared" si="1501"/>
        <v>2083</v>
      </c>
      <c r="AD543" s="23">
        <f t="shared" si="1501"/>
        <v>0</v>
      </c>
      <c r="AE543" s="23">
        <f t="shared" si="1501"/>
        <v>2083</v>
      </c>
      <c r="AF543" s="23">
        <f t="shared" si="1501"/>
        <v>2916</v>
      </c>
      <c r="AG543" s="23">
        <f t="shared" si="1501"/>
        <v>0</v>
      </c>
      <c r="AH543" s="23">
        <f t="shared" si="1501"/>
        <v>2916</v>
      </c>
      <c r="AI543" s="23">
        <f t="shared" si="1501"/>
        <v>4999</v>
      </c>
      <c r="AJ543" s="25">
        <f t="shared" ref="AJ543:AJ545" si="1504">AB543/AA543</f>
        <v>196.4858824</v>
      </c>
      <c r="AK543" s="22">
        <f>SUM(O551)</f>
        <v>6853</v>
      </c>
      <c r="AL543" s="26">
        <f t="shared" ref="AL543:AL549" si="1505">AI543/AK543</f>
        <v>0.7294615497</v>
      </c>
      <c r="AM543" s="27">
        <f t="shared" ref="AM543:AM545" si="1506">SUM(Q551)</f>
        <v>1.5</v>
      </c>
      <c r="AN543" s="26">
        <f t="shared" ref="AN543:AN549" si="1507">AO543/AM543</f>
        <v>0.4988633619</v>
      </c>
      <c r="AO543" s="28">
        <f t="shared" ref="AO543:AO549" si="1508">AI543/AB543</f>
        <v>0.7482950429</v>
      </c>
      <c r="AP543" s="27">
        <f t="shared" ref="AP543:AQ543" si="1502">SUM(T551)</f>
        <v>198</v>
      </c>
      <c r="AQ543" s="27">
        <f t="shared" si="1502"/>
        <v>5.823529412</v>
      </c>
      <c r="AR543" s="23">
        <f t="shared" ref="AR543:AR549" si="1510">AI543/AA543</f>
        <v>147.0294118</v>
      </c>
    </row>
    <row r="544" ht="15.7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X544" s="22">
        <v>2.0</v>
      </c>
      <c r="Y544" s="22" t="s">
        <v>24</v>
      </c>
      <c r="Z544" s="22">
        <f t="shared" ref="Z544:AI544" si="1503">SUM(D552)</f>
        <v>44</v>
      </c>
      <c r="AA544" s="23">
        <f t="shared" si="1503"/>
        <v>44</v>
      </c>
      <c r="AB544" s="24">
        <f t="shared" si="1503"/>
        <v>8354.582</v>
      </c>
      <c r="AC544" s="23">
        <f t="shared" si="1503"/>
        <v>1454</v>
      </c>
      <c r="AD544" s="23">
        <f t="shared" si="1503"/>
        <v>0</v>
      </c>
      <c r="AE544" s="23">
        <f t="shared" si="1503"/>
        <v>1454</v>
      </c>
      <c r="AF544" s="23">
        <f t="shared" si="1503"/>
        <v>1288</v>
      </c>
      <c r="AG544" s="23">
        <f t="shared" si="1503"/>
        <v>28</v>
      </c>
      <c r="AH544" s="23">
        <f t="shared" si="1503"/>
        <v>1316</v>
      </c>
      <c r="AI544" s="23">
        <f t="shared" si="1503"/>
        <v>2770</v>
      </c>
      <c r="AJ544" s="25">
        <f t="shared" si="1504"/>
        <v>189.8768636</v>
      </c>
      <c r="AK544" s="22">
        <v>1580.0</v>
      </c>
      <c r="AL544" s="29">
        <f t="shared" si="1505"/>
        <v>1.753164557</v>
      </c>
      <c r="AM544" s="27">
        <f t="shared" si="1506"/>
        <v>1.5</v>
      </c>
      <c r="AN544" s="26">
        <f t="shared" si="1507"/>
        <v>0.2210363926</v>
      </c>
      <c r="AO544" s="28">
        <f t="shared" si="1508"/>
        <v>0.3315545888</v>
      </c>
      <c r="AP544" s="27">
        <f t="shared" ref="AP544:AQ544" si="1509">SUM(T552)</f>
        <v>311.6799851</v>
      </c>
      <c r="AQ544" s="27">
        <f t="shared" si="1509"/>
        <v>7.083636024</v>
      </c>
      <c r="AR544" s="23">
        <f t="shared" si="1510"/>
        <v>62.95454545</v>
      </c>
    </row>
    <row r="545" ht="15.75" customHeight="1">
      <c r="A545" s="21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X545" s="31">
        <v>3.0</v>
      </c>
      <c r="Y545" s="31" t="s">
        <v>25</v>
      </c>
      <c r="Z545" s="31">
        <f t="shared" ref="Z545:AI545" si="1511">SUM(D553)</f>
        <v>32</v>
      </c>
      <c r="AA545" s="32">
        <f t="shared" si="1511"/>
        <v>31</v>
      </c>
      <c r="AB545" s="33">
        <f t="shared" si="1511"/>
        <v>5925.124</v>
      </c>
      <c r="AC545" s="32">
        <f t="shared" si="1511"/>
        <v>2351</v>
      </c>
      <c r="AD545" s="32">
        <f t="shared" si="1511"/>
        <v>438</v>
      </c>
      <c r="AE545" s="32">
        <f t="shared" si="1511"/>
        <v>2789</v>
      </c>
      <c r="AF545" s="32">
        <f t="shared" si="1511"/>
        <v>3213</v>
      </c>
      <c r="AG545" s="32">
        <f t="shared" si="1511"/>
        <v>305</v>
      </c>
      <c r="AH545" s="32">
        <f t="shared" si="1511"/>
        <v>3518</v>
      </c>
      <c r="AI545" s="32">
        <f t="shared" si="1511"/>
        <v>6307</v>
      </c>
      <c r="AJ545" s="34">
        <f t="shared" si="1504"/>
        <v>191.1330323</v>
      </c>
      <c r="AK545" s="31">
        <f>SUM(O553)</f>
        <v>6622</v>
      </c>
      <c r="AL545" s="35">
        <f t="shared" si="1505"/>
        <v>0.9524312896</v>
      </c>
      <c r="AM545" s="36">
        <f t="shared" si="1506"/>
        <v>1.5</v>
      </c>
      <c r="AN545" s="35">
        <f t="shared" si="1507"/>
        <v>0.7096335312</v>
      </c>
      <c r="AO545" s="37">
        <f t="shared" si="1508"/>
        <v>1.064450297</v>
      </c>
      <c r="AP545" s="36">
        <f t="shared" ref="AP545:AQ545" si="1512">SUM(T553)</f>
        <v>248.5370805</v>
      </c>
      <c r="AQ545" s="36">
        <f t="shared" si="1512"/>
        <v>8.017325179</v>
      </c>
      <c r="AR545" s="32">
        <f t="shared" si="1510"/>
        <v>203.4516129</v>
      </c>
    </row>
    <row r="546" ht="15.75" customHeight="1">
      <c r="A546" s="21"/>
      <c r="B546" s="38">
        <v>1.0</v>
      </c>
      <c r="C546" s="38" t="s">
        <v>26</v>
      </c>
      <c r="D546" s="39">
        <v>20.0</v>
      </c>
      <c r="E546" s="40">
        <f>IFERROR(__xludf.DUMMYFUNCTION("COUNT(IMPORTRANGE(""https://docs.google.com/spreadsheets/d/1F0NpMx7WhcgPgxTWpryY3Z1CGg56FL6aiL4mHs43w4E/edit"",""2!d2:d21""))"),20.0)</f>
        <v>20</v>
      </c>
      <c r="F546" s="41">
        <f>IFERROR(__xludf.DUMMYFUNCTION("SUM(IMPORTRANGE(""https://docs.google.com/spreadsheets/d/1F0NpMx7WhcgPgxTWpryY3Z1CGg56FL6aiL4mHs43w4E/edit"",""2!Q2:Q21""))"),3560.964)</f>
        <v>3560.964</v>
      </c>
      <c r="G546" s="40">
        <f>IFERROR(__xludf.DUMMYFUNCTION("IMPORTRANGE(""https://docs.google.com/spreadsheets/d/1F0NpMx7WhcgPgxTWpryY3Z1CGg56FL6aiL4mHs43w4E/edit"",""2!e28"")"),1873.0)</f>
        <v>1873</v>
      </c>
      <c r="H546" s="40">
        <f>IFERROR(__xludf.DUMMYFUNCTION("IMPORTRANGE(""https://docs.google.com/spreadsheets/d/1F0NpMx7WhcgPgxTWpryY3Z1CGg56FL6aiL4mHs43w4E/edit"",""2!e29"")"),0.0)</f>
        <v>0</v>
      </c>
      <c r="I546" s="40">
        <f t="shared" ref="I546:I563" si="1515">SUM(G546:H546)</f>
        <v>1873</v>
      </c>
      <c r="J546" s="40">
        <f>IFERROR(__xludf.DUMMYFUNCTION("IMPORTRANGE(""https://docs.google.com/spreadsheets/d/1F0NpMx7WhcgPgxTWpryY3Z1CGg56FL6aiL4mHs43w4E/edit"",""2!e32"")"),3204.0)</f>
        <v>3204</v>
      </c>
      <c r="K546" s="40">
        <f>IFERROR(__xludf.DUMMYFUNCTION("IMPORTRANGE(""https://docs.google.com/spreadsheets/d/1F0NpMx7WhcgPgxTWpryY3Z1CGg56FL6aiL4mHs43w4E/edit"",""2!e33"")"),0.0)</f>
        <v>0</v>
      </c>
      <c r="L546" s="40">
        <f t="shared" ref="L546:L552" si="1516">SUM(J546:K546)</f>
        <v>3204</v>
      </c>
      <c r="M546" s="40">
        <f t="shared" ref="M546:M563" si="1517">SUM(I546+L546)</f>
        <v>5077</v>
      </c>
      <c r="N546" s="41">
        <f t="shared" ref="N546:N564" si="1518">F546/E546</f>
        <v>178.0482</v>
      </c>
      <c r="O546" s="38">
        <v>5161.0</v>
      </c>
      <c r="P546" s="42">
        <f t="shared" ref="P546:P564" si="1519">M546/O546</f>
        <v>0.9837240845</v>
      </c>
      <c r="Q546" s="43">
        <v>1.5</v>
      </c>
      <c r="R546" s="42">
        <f t="shared" ref="R546:R564" si="1520">S546/Q546</f>
        <v>0.9504916833</v>
      </c>
      <c r="S546" s="44">
        <f t="shared" ref="S546:S564" si="1521">M546/F546</f>
        <v>1.425737525</v>
      </c>
      <c r="T546" s="43">
        <f>F546/14.415</f>
        <v>247.0318418</v>
      </c>
      <c r="U546" s="43">
        <f t="shared" ref="U546:U564" si="1522">T546/E546</f>
        <v>12.35159209</v>
      </c>
      <c r="V546" s="40">
        <f t="shared" ref="V546:V564" si="1523">M546/E546</f>
        <v>253.85</v>
      </c>
      <c r="X546" s="22">
        <v>4.0</v>
      </c>
      <c r="Y546" s="22" t="s">
        <v>27</v>
      </c>
      <c r="Z546" s="22">
        <f t="shared" ref="Z546:AK546" si="1513">SUM(D559)</f>
        <v>30</v>
      </c>
      <c r="AA546" s="23">
        <f t="shared" si="1513"/>
        <v>28</v>
      </c>
      <c r="AB546" s="24">
        <f t="shared" si="1513"/>
        <v>5465.76</v>
      </c>
      <c r="AC546" s="23">
        <f t="shared" si="1513"/>
        <v>2368</v>
      </c>
      <c r="AD546" s="23">
        <f t="shared" si="1513"/>
        <v>140</v>
      </c>
      <c r="AE546" s="23">
        <f t="shared" si="1513"/>
        <v>2508</v>
      </c>
      <c r="AF546" s="23">
        <f t="shared" si="1513"/>
        <v>3355</v>
      </c>
      <c r="AG546" s="23">
        <f t="shared" si="1513"/>
        <v>107</v>
      </c>
      <c r="AH546" s="23">
        <f t="shared" si="1513"/>
        <v>3462</v>
      </c>
      <c r="AI546" s="23">
        <f t="shared" si="1513"/>
        <v>5970</v>
      </c>
      <c r="AJ546" s="25">
        <f t="shared" si="1513"/>
        <v>195.2057143</v>
      </c>
      <c r="AK546" s="22">
        <f t="shared" si="1513"/>
        <v>8101</v>
      </c>
      <c r="AL546" s="26">
        <f t="shared" si="1505"/>
        <v>0.736946056</v>
      </c>
      <c r="AM546" s="27">
        <f>SUM(Q559)</f>
        <v>1.5</v>
      </c>
      <c r="AN546" s="26">
        <f t="shared" si="1507"/>
        <v>0.7281695501</v>
      </c>
      <c r="AO546" s="28">
        <f t="shared" si="1508"/>
        <v>1.092254325</v>
      </c>
      <c r="AP546" s="27">
        <f t="shared" ref="AP546:AQ546" si="1514">SUM(T559)</f>
        <v>273.4931198</v>
      </c>
      <c r="AQ546" s="27">
        <f t="shared" si="1514"/>
        <v>9.767611423</v>
      </c>
      <c r="AR546" s="23">
        <f t="shared" si="1510"/>
        <v>213.2142857</v>
      </c>
    </row>
    <row r="547" ht="15.75" customHeight="1">
      <c r="A547" s="21"/>
      <c r="B547" s="38">
        <v>2.0</v>
      </c>
      <c r="C547" s="38" t="s">
        <v>28</v>
      </c>
      <c r="D547" s="39">
        <v>33.0</v>
      </c>
      <c r="E547" s="40">
        <f>IFERROR(__xludf.DUMMYFUNCTION("COUNT(IMPORTRANGE(""https://docs.google.com/spreadsheets/d/1H9vAqftAHb0OdeSGXHTnJFzoWUgpoH31sc0sHNN8y1o/edit"",""2!d2:d34""))"),33.0)</f>
        <v>33</v>
      </c>
      <c r="F547" s="41">
        <f>IFERROR(__xludf.DUMMYFUNCTION("SUM(IMPORTRANGE(""https://docs.google.com/spreadsheets/d/1H9vAqftAHb0OdeSGXHTnJFzoWUgpoH31sc0sHNN8y1o/edit"",""2!Q2:Q34""))"),6528.832999999999)</f>
        <v>6528.833</v>
      </c>
      <c r="G547" s="40">
        <f>IFERROR(__xludf.DUMMYFUNCTION("IMPORTRANGE(""https://docs.google.com/spreadsheets/d/1H9vAqftAHb0OdeSGXHTnJFzoWUgpoH31sc0sHNN8y1o/edit"",""2!e41"")"),2700.0)</f>
        <v>2700</v>
      </c>
      <c r="H547" s="40">
        <f>IFERROR(__xludf.DUMMYFUNCTION("IMPORTRANGE(""https://docs.google.com/spreadsheets/d/1H9vAqftAHb0OdeSGXHTnJFzoWUgpoH31sc0sHNN8y1o/edit"",""2!e42"")"),104.0)</f>
        <v>104</v>
      </c>
      <c r="I547" s="40">
        <f t="shared" si="1515"/>
        <v>2804</v>
      </c>
      <c r="J547" s="40">
        <f>IFERROR(__xludf.DUMMYFUNCTION("IMPORTRANGE(""https://docs.google.com/spreadsheets/d/1H9vAqftAHb0OdeSGXHTnJFzoWUgpoH31sc0sHNN8y1o/edit"",""2!e45"")"),3205.0)</f>
        <v>3205</v>
      </c>
      <c r="K547" s="40">
        <f>IFERROR(__xludf.DUMMYFUNCTION("IMPORTRANGE(""https://docs.google.com/spreadsheets/d/1H9vAqftAHb0OdeSGXHTnJFzoWUgpoH31sc0sHNN8y1o/edit"",""2!e46"")"),102.0)</f>
        <v>102</v>
      </c>
      <c r="L547" s="40">
        <f t="shared" si="1516"/>
        <v>3307</v>
      </c>
      <c r="M547" s="40">
        <f t="shared" si="1517"/>
        <v>6111</v>
      </c>
      <c r="N547" s="41">
        <f t="shared" si="1518"/>
        <v>197.8434242</v>
      </c>
      <c r="O547" s="38">
        <v>7315.0</v>
      </c>
      <c r="P547" s="42">
        <f t="shared" si="1519"/>
        <v>0.8354066986</v>
      </c>
      <c r="Q547" s="43">
        <v>1.5</v>
      </c>
      <c r="R547" s="42">
        <f t="shared" si="1520"/>
        <v>0.6240012572</v>
      </c>
      <c r="S547" s="44">
        <f t="shared" si="1521"/>
        <v>0.9360018858</v>
      </c>
      <c r="T547" s="43">
        <f>F547/30.897</f>
        <v>211.3096093</v>
      </c>
      <c r="U547" s="43">
        <f t="shared" si="1522"/>
        <v>6.403321495</v>
      </c>
      <c r="V547" s="40">
        <f t="shared" si="1523"/>
        <v>185.1818182</v>
      </c>
      <c r="X547" s="22">
        <v>5.0</v>
      </c>
      <c r="Y547" s="22" t="s">
        <v>29</v>
      </c>
      <c r="Z547" s="22">
        <f t="shared" ref="Z547:AI547" si="1524">SUM(D562)</f>
        <v>30</v>
      </c>
      <c r="AA547" s="23">
        <f t="shared" si="1524"/>
        <v>29</v>
      </c>
      <c r="AB547" s="24">
        <f t="shared" si="1524"/>
        <v>5775.038</v>
      </c>
      <c r="AC547" s="23">
        <f t="shared" si="1524"/>
        <v>2726</v>
      </c>
      <c r="AD547" s="23">
        <f t="shared" si="1524"/>
        <v>0</v>
      </c>
      <c r="AE547" s="23">
        <f t="shared" si="1524"/>
        <v>2726</v>
      </c>
      <c r="AF547" s="23">
        <f t="shared" si="1524"/>
        <v>4235</v>
      </c>
      <c r="AG547" s="23">
        <f t="shared" si="1524"/>
        <v>0</v>
      </c>
      <c r="AH547" s="23">
        <f t="shared" si="1524"/>
        <v>4235</v>
      </c>
      <c r="AI547" s="23">
        <f t="shared" si="1524"/>
        <v>6961</v>
      </c>
      <c r="AJ547" s="25">
        <f t="shared" ref="AJ547:AJ549" si="1527">AB547/AA547</f>
        <v>199.1392414</v>
      </c>
      <c r="AK547" s="22">
        <f t="shared" ref="AK547:AK548" si="1528">SUM(O562)</f>
        <v>9201</v>
      </c>
      <c r="AL547" s="26">
        <f t="shared" si="1505"/>
        <v>0.7565482013</v>
      </c>
      <c r="AM547" s="27">
        <f t="shared" ref="AM547:AM548" si="1529">SUM(Q562)</f>
        <v>1.5</v>
      </c>
      <c r="AN547" s="26">
        <f t="shared" si="1507"/>
        <v>0.803573356</v>
      </c>
      <c r="AO547" s="28">
        <f t="shared" si="1508"/>
        <v>1.205360034</v>
      </c>
      <c r="AP547" s="27">
        <f t="shared" ref="AP547:AQ547" si="1525">SUM(T562)</f>
        <v>218</v>
      </c>
      <c r="AQ547" s="27">
        <f t="shared" si="1525"/>
        <v>7.517241379</v>
      </c>
      <c r="AR547" s="23">
        <f t="shared" si="1510"/>
        <v>240.0344828</v>
      </c>
    </row>
    <row r="548" ht="15.75" customHeight="1">
      <c r="A548" s="21"/>
      <c r="B548" s="38">
        <v>3.0</v>
      </c>
      <c r="C548" s="38" t="s">
        <v>30</v>
      </c>
      <c r="D548" s="39">
        <v>60.0</v>
      </c>
      <c r="E548" s="40">
        <f>IFERROR(__xludf.DUMMYFUNCTION("COUNT(IMPORTRANGE(""https://docs.google.com/spreadsheets/d/1EWN6nfpuVxbUE_9opjYCWaI7MTm5xsF6ssjklSbMZnA/edit"",""2!d2:d61""))"),58.0)</f>
        <v>58</v>
      </c>
      <c r="F548" s="45">
        <f>IFERROR(__xludf.DUMMYFUNCTION("SUM(IMPORTRANGE(""https://docs.google.com/spreadsheets/d/1EWN6nfpuVxbUE_9opjYCWaI7MTm5xsF6ssjklSbMZnA/edit"",""2!Q2:Q61""))"),11253.344999999988)</f>
        <v>11253.345</v>
      </c>
      <c r="G548" s="40">
        <f>IFERROR(__xludf.DUMMYFUNCTION("IMPORTRANGE(""https://docs.google.com/spreadsheets/d/1EWN6nfpuVxbUE_9opjYCWaI7MTm5xsF6ssjklSbMZnA/edit"",""2!e68"")"),3757.0)</f>
        <v>3757</v>
      </c>
      <c r="H548" s="40">
        <f>IFERROR(__xludf.DUMMYFUNCTION("IMPORTRANGE(""https://docs.google.com/spreadsheets/d/1EWN6nfpuVxbUE_9opjYCWaI7MTm5xsF6ssjklSbMZnA/edit"",""2!e69"")"),0.0)</f>
        <v>0</v>
      </c>
      <c r="I548" s="40">
        <f t="shared" si="1515"/>
        <v>3757</v>
      </c>
      <c r="J548" s="40">
        <f>IFERROR(__xludf.DUMMYFUNCTION("IMPORTRANGE(""https://docs.google.com/spreadsheets/d/1EWN6nfpuVxbUE_9opjYCWaI7MTm5xsF6ssjklSbMZnA/edit"",""2!e72"")"),5596.0)</f>
        <v>5596</v>
      </c>
      <c r="K548" s="40">
        <f>IFERROR(__xludf.DUMMYFUNCTION("IMPORTRANGE(""https://docs.google.com/spreadsheets/d/1EWN6nfpuVxbUE_9opjYCWaI7MTm5xsF6ssjklSbMZnA/edit"",""2!e73"")"),0.0)</f>
        <v>0</v>
      </c>
      <c r="L548" s="40">
        <f t="shared" si="1516"/>
        <v>5596</v>
      </c>
      <c r="M548" s="40">
        <f t="shared" si="1517"/>
        <v>9353</v>
      </c>
      <c r="N548" s="41">
        <f t="shared" si="1518"/>
        <v>194.0231897</v>
      </c>
      <c r="O548" s="38">
        <v>11164.0</v>
      </c>
      <c r="P548" s="42">
        <f t="shared" si="1519"/>
        <v>0.8377821569</v>
      </c>
      <c r="Q548" s="43">
        <v>1.5</v>
      </c>
      <c r="R548" s="42">
        <f t="shared" si="1520"/>
        <v>0.5540871033</v>
      </c>
      <c r="S548" s="44">
        <f t="shared" si="1521"/>
        <v>0.8311306549</v>
      </c>
      <c r="T548" s="43">
        <f>F548/29.603</f>
        <v>380.1420464</v>
      </c>
      <c r="U548" s="43">
        <f t="shared" si="1522"/>
        <v>6.554173214</v>
      </c>
      <c r="V548" s="40">
        <f t="shared" si="1523"/>
        <v>161.2586207</v>
      </c>
      <c r="X548" s="22">
        <v>6.0</v>
      </c>
      <c r="Y548" s="22" t="s">
        <v>31</v>
      </c>
      <c r="Z548" s="22">
        <f t="shared" ref="Z548:AI548" si="1526">SUM(D563)</f>
        <v>15</v>
      </c>
      <c r="AA548" s="23">
        <f t="shared" si="1526"/>
        <v>13</v>
      </c>
      <c r="AB548" s="25">
        <f t="shared" si="1526"/>
        <v>2607.9</v>
      </c>
      <c r="AC548" s="23">
        <f t="shared" si="1526"/>
        <v>870</v>
      </c>
      <c r="AD548" s="23">
        <f t="shared" si="1526"/>
        <v>0</v>
      </c>
      <c r="AE548" s="23">
        <f t="shared" si="1526"/>
        <v>870</v>
      </c>
      <c r="AF548" s="23">
        <f t="shared" si="1526"/>
        <v>975</v>
      </c>
      <c r="AG548" s="23">
        <f t="shared" si="1526"/>
        <v>55</v>
      </c>
      <c r="AH548" s="23">
        <f t="shared" si="1526"/>
        <v>1030</v>
      </c>
      <c r="AI548" s="23">
        <f t="shared" si="1526"/>
        <v>1900</v>
      </c>
      <c r="AJ548" s="25">
        <f t="shared" si="1527"/>
        <v>200.6076923</v>
      </c>
      <c r="AK548" s="22">
        <f t="shared" si="1528"/>
        <v>2717</v>
      </c>
      <c r="AL548" s="26">
        <f t="shared" si="1505"/>
        <v>0.6993006993</v>
      </c>
      <c r="AM548" s="27">
        <f t="shared" si="1529"/>
        <v>1.5</v>
      </c>
      <c r="AN548" s="26">
        <f t="shared" si="1507"/>
        <v>0.4857036952</v>
      </c>
      <c r="AO548" s="28">
        <f t="shared" si="1508"/>
        <v>0.7285555428</v>
      </c>
      <c r="AP548" s="27">
        <f t="shared" ref="AP548:AQ548" si="1530">SUM(T563)</f>
        <v>60</v>
      </c>
      <c r="AQ548" s="27">
        <f t="shared" si="1530"/>
        <v>4.615384615</v>
      </c>
      <c r="AR548" s="23">
        <f t="shared" si="1510"/>
        <v>146.1538462</v>
      </c>
    </row>
    <row r="549" ht="15.75" customHeight="1">
      <c r="A549" s="21"/>
      <c r="B549" s="38">
        <v>4.0</v>
      </c>
      <c r="C549" s="38" t="s">
        <v>32</v>
      </c>
      <c r="D549" s="39">
        <v>42.0</v>
      </c>
      <c r="E549" s="40">
        <f>IFERROR(__xludf.DUMMYFUNCTION("COUNT(IMPORTRANGE(""https://docs.google.com/spreadsheets/d/1Rmar8QqWK4XOJ-eY6xMzkAfDSw0srEXcAw89ilArun8/edit"",""2!d2:d43""))"),42.0)</f>
        <v>42</v>
      </c>
      <c r="F549" s="45">
        <f>IFERROR(__xludf.DUMMYFUNCTION("SUM(IMPORTRANGE(""https://docs.google.com/spreadsheets/d/1Rmar8QqWK4XOJ-eY6xMzkAfDSw0srEXcAw89ilArun8/edit"",""2!Q2:Q43""))"),8179.01399999999)</f>
        <v>8179.014</v>
      </c>
      <c r="G549" s="38">
        <f>IFERROR(__xludf.DUMMYFUNCTION("IMPORTRANGE(""https://docs.google.com/spreadsheets/d/1Rmar8QqWK4XOJ-eY6xMzkAfDSw0srEXcAw89ilArun8/edit"",""2!e50"")"),4808.0)</f>
        <v>4808</v>
      </c>
      <c r="H549" s="38">
        <f>IFERROR(__xludf.DUMMYFUNCTION("IMPORTRANGE(""https://docs.google.com/spreadsheets/d/1Rmar8QqWK4XOJ-eY6xMzkAfDSw0srEXcAw89ilArun8/edit"",""2!e51"")"),0.0)</f>
        <v>0</v>
      </c>
      <c r="I549" s="40">
        <f t="shared" si="1515"/>
        <v>4808</v>
      </c>
      <c r="J549" s="38">
        <f>IFERROR(__xludf.DUMMYFUNCTION("IMPORTRANGE(""https://docs.google.com/spreadsheets/d/1Rmar8QqWK4XOJ-eY6xMzkAfDSw0srEXcAw89ilArun8/edit"",""2!e54"")"),5449.0)</f>
        <v>5449</v>
      </c>
      <c r="K549" s="38">
        <f>IFERROR(__xludf.DUMMYFUNCTION("IMPORTRANGE(""https://docs.google.com/spreadsheets/d/1Rmar8QqWK4XOJ-eY6xMzkAfDSw0srEXcAw89ilArun8/edit"",""2!e55"")"),190.0)</f>
        <v>190</v>
      </c>
      <c r="L549" s="40">
        <f t="shared" si="1516"/>
        <v>5639</v>
      </c>
      <c r="M549" s="40">
        <f t="shared" si="1517"/>
        <v>10447</v>
      </c>
      <c r="N549" s="41">
        <f t="shared" si="1518"/>
        <v>194.7384286</v>
      </c>
      <c r="O549" s="38">
        <v>13817.0</v>
      </c>
      <c r="P549" s="42">
        <f t="shared" si="1519"/>
        <v>0.756097561</v>
      </c>
      <c r="Q549" s="43">
        <v>1.5</v>
      </c>
      <c r="R549" s="42">
        <f t="shared" si="1520"/>
        <v>0.8515288844</v>
      </c>
      <c r="S549" s="44">
        <f t="shared" si="1521"/>
        <v>1.277293327</v>
      </c>
      <c r="T549" s="43">
        <f>F549/25.089</f>
        <v>326</v>
      </c>
      <c r="U549" s="43">
        <f t="shared" si="1522"/>
        <v>7.761904762</v>
      </c>
      <c r="V549" s="40">
        <f t="shared" si="1523"/>
        <v>248.7380952</v>
      </c>
      <c r="X549" s="46" t="s">
        <v>33</v>
      </c>
      <c r="Y549" s="46">
        <v>6.0</v>
      </c>
      <c r="Z549" s="46">
        <f t="shared" ref="Z549:AI549" si="1531">SUM(Z543:Z548)</f>
        <v>186</v>
      </c>
      <c r="AA549" s="47">
        <f t="shared" si="1531"/>
        <v>179</v>
      </c>
      <c r="AB549" s="48">
        <f t="shared" si="1531"/>
        <v>34808.924</v>
      </c>
      <c r="AC549" s="47">
        <f t="shared" si="1531"/>
        <v>11852</v>
      </c>
      <c r="AD549" s="47">
        <f t="shared" si="1531"/>
        <v>578</v>
      </c>
      <c r="AE549" s="47">
        <f t="shared" si="1531"/>
        <v>12430</v>
      </c>
      <c r="AF549" s="47">
        <f t="shared" si="1531"/>
        <v>15982</v>
      </c>
      <c r="AG549" s="47">
        <f t="shared" si="1531"/>
        <v>495</v>
      </c>
      <c r="AH549" s="47">
        <f t="shared" si="1531"/>
        <v>16477</v>
      </c>
      <c r="AI549" s="47">
        <f t="shared" si="1531"/>
        <v>28907</v>
      </c>
      <c r="AJ549" s="49">
        <f t="shared" si="1527"/>
        <v>194.4632626</v>
      </c>
      <c r="AK549" s="46">
        <f>SUM(AK543:AK548)</f>
        <v>35074</v>
      </c>
      <c r="AL549" s="50">
        <f t="shared" si="1505"/>
        <v>0.8241717512</v>
      </c>
      <c r="AM549" s="51">
        <v>1.5</v>
      </c>
      <c r="AN549" s="50">
        <f t="shared" si="1507"/>
        <v>0.5536319748</v>
      </c>
      <c r="AO549" s="52">
        <f t="shared" si="1508"/>
        <v>0.8304479621</v>
      </c>
      <c r="AP549" s="51">
        <f>SUM(AP543:AP548)</f>
        <v>1309.710185</v>
      </c>
      <c r="AQ549" s="51">
        <f>AP549/AA549</f>
        <v>7.316816679</v>
      </c>
      <c r="AR549" s="47">
        <f t="shared" si="1510"/>
        <v>161.4916201</v>
      </c>
    </row>
    <row r="550" ht="15.75" customHeight="1">
      <c r="A550" s="21"/>
      <c r="B550" s="38">
        <v>5.0</v>
      </c>
      <c r="C550" s="38" t="s">
        <v>34</v>
      </c>
      <c r="D550" s="39">
        <v>40.0</v>
      </c>
      <c r="E550" s="40">
        <f>IFERROR(__xludf.DUMMYFUNCTION("COUNT(IMPORTRANGE(""https://docs.google.com/spreadsheets/d/1u99JxAoytGQQ8GcjxXl38CGdyEWy5uIbuJJHnsotyvk/edit"",""2!d2:d41""))"),40.0)</f>
        <v>40</v>
      </c>
      <c r="F550" s="45">
        <f>IFERROR(__xludf.DUMMYFUNCTION("SUM(IMPORTRANGE(""https://docs.google.com/spreadsheets/d/1u99JxAoytGQQ8GcjxXl38CGdyEWy5uIbuJJHnsotyvk/edit"",""2!Q2:Q41""))"),7895.343000000003)</f>
        <v>7895.343</v>
      </c>
      <c r="G550" s="40">
        <f>IFERROR(__xludf.DUMMYFUNCTION("IMPORTRANGE(""https://docs.google.com/spreadsheets/d/1u99JxAoytGQQ8GcjxXl38CGdyEWy5uIbuJJHnsotyvk/edit"",""2!e48"")"),3069.0)</f>
        <v>3069</v>
      </c>
      <c r="H550" s="40">
        <f>IFERROR(__xludf.DUMMYFUNCTION("IMPORTRANGE(""https://docs.google.com/spreadsheets/d/1u99JxAoytGQQ8GcjxXl38CGdyEWy5uIbuJJHnsotyvk/edit"",""2!e49"")"),0.0)</f>
        <v>0</v>
      </c>
      <c r="I550" s="40">
        <f t="shared" si="1515"/>
        <v>3069</v>
      </c>
      <c r="J550" s="40">
        <f>IFERROR(__xludf.DUMMYFUNCTION("IMPORTRANGE(""https://docs.google.com/spreadsheets/d/1u99JxAoytGQQ8GcjxXl38CGdyEWy5uIbuJJHnsotyvk/edit"",""2!e52"")"),3126.0)</f>
        <v>3126</v>
      </c>
      <c r="K550" s="40">
        <f>IFERROR(__xludf.DUMMYFUNCTION("IMPORTRANGE(""https://docs.google.com/spreadsheets/d/1u99JxAoytGQQ8GcjxXl38CGdyEWy5uIbuJJHnsotyvk/edit"",""2!e53"")"),0.0)</f>
        <v>0</v>
      </c>
      <c r="L550" s="40">
        <f t="shared" si="1516"/>
        <v>3126</v>
      </c>
      <c r="M550" s="40">
        <f t="shared" si="1517"/>
        <v>6195</v>
      </c>
      <c r="N550" s="41">
        <f t="shared" si="1518"/>
        <v>197.383575</v>
      </c>
      <c r="O550" s="38">
        <v>9354.0</v>
      </c>
      <c r="P550" s="42">
        <f t="shared" si="1519"/>
        <v>0.6622835151</v>
      </c>
      <c r="Q550" s="43">
        <v>1.5</v>
      </c>
      <c r="R550" s="42">
        <f t="shared" si="1520"/>
        <v>0.5230931702</v>
      </c>
      <c r="S550" s="44">
        <f t="shared" si="1521"/>
        <v>0.7846397554</v>
      </c>
      <c r="T550" s="43">
        <f>F550/30.713</f>
        <v>257.0684401</v>
      </c>
      <c r="U550" s="43">
        <f t="shared" si="1522"/>
        <v>6.426711002</v>
      </c>
      <c r="V550" s="40">
        <f t="shared" si="1523"/>
        <v>154.875</v>
      </c>
      <c r="X550" s="53" t="s">
        <v>35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6"/>
    </row>
    <row r="551" ht="15.75" customHeight="1">
      <c r="A551" s="21"/>
      <c r="B551" s="38">
        <v>6.0</v>
      </c>
      <c r="C551" s="38" t="s">
        <v>23</v>
      </c>
      <c r="D551" s="39">
        <v>35.0</v>
      </c>
      <c r="E551" s="40">
        <f>IFERROR(__xludf.DUMMYFUNCTION("COUNT(IMPORTRANGE(""https://docs.google.com/spreadsheets/d/1uVc-vnTn57HE53lwrUYNZP4sGKTXisrqOoZ-6EyvLzY/edit"",""2!d2:d36""))"),34.0)</f>
        <v>34</v>
      </c>
      <c r="F551" s="45">
        <f>IFERROR(__xludf.DUMMYFUNCTION("SUM(IMPORTRANGE(""https://docs.google.com/spreadsheets/d/1uVc-vnTn57HE53lwrUYNZP4sGKTXisrqOoZ-6EyvLzY/edit"",""2!Q2:Q36""))"),6680.519999999996)</f>
        <v>6680.52</v>
      </c>
      <c r="G551" s="40">
        <f>IFERROR(__xludf.DUMMYFUNCTION("IMPORTRANGE(""https://docs.google.com/spreadsheets/d/1uVc-vnTn57HE53lwrUYNZP4sGKTXisrqOoZ-6EyvLzY/edit"",""2!e43"")"),2083.0)</f>
        <v>2083</v>
      </c>
      <c r="H551" s="40">
        <f>IFERROR(__xludf.DUMMYFUNCTION("IMPORTRANGE(""https://docs.google.com/spreadsheets/d/1uVc-vnTn57HE53lwrUYNZP4sGKTXisrqOoZ-6EyvLzY/edit"",""2!e44"")"),0.0)</f>
        <v>0</v>
      </c>
      <c r="I551" s="40">
        <f t="shared" si="1515"/>
        <v>2083</v>
      </c>
      <c r="J551" s="40">
        <f>IFERROR(__xludf.DUMMYFUNCTION("IMPORTRANGE(""https://docs.google.com/spreadsheets/d/1uVc-vnTn57HE53lwrUYNZP4sGKTXisrqOoZ-6EyvLzY/edit"",""2!e47"")"),2916.0)</f>
        <v>2916</v>
      </c>
      <c r="K551" s="40">
        <f>IFERROR(__xludf.DUMMYFUNCTION("IMPORTRANGE(""https://docs.google.com/spreadsheets/d/1uVc-vnTn57HE53lwrUYNZP4sGKTXisrqOoZ-6EyvLzY/edit"",""2!e48"")"),0.0)</f>
        <v>0</v>
      </c>
      <c r="L551" s="40">
        <f t="shared" si="1516"/>
        <v>2916</v>
      </c>
      <c r="M551" s="40">
        <f t="shared" si="1517"/>
        <v>4999</v>
      </c>
      <c r="N551" s="41">
        <f t="shared" si="1518"/>
        <v>196.4858824</v>
      </c>
      <c r="O551" s="38">
        <v>6853.0</v>
      </c>
      <c r="P551" s="42">
        <f t="shared" si="1519"/>
        <v>0.7294615497</v>
      </c>
      <c r="Q551" s="43">
        <v>1.5</v>
      </c>
      <c r="R551" s="42">
        <f t="shared" si="1520"/>
        <v>0.4988633619</v>
      </c>
      <c r="S551" s="44">
        <f t="shared" si="1521"/>
        <v>0.7482950429</v>
      </c>
      <c r="T551" s="43">
        <f>F551/33.74</f>
        <v>198</v>
      </c>
      <c r="U551" s="43">
        <f t="shared" si="1522"/>
        <v>5.823529412</v>
      </c>
      <c r="V551" s="40">
        <f t="shared" si="1523"/>
        <v>147.0294118</v>
      </c>
      <c r="X551" s="14" t="s">
        <v>2</v>
      </c>
      <c r="Y551" s="14" t="s">
        <v>3</v>
      </c>
      <c r="Z551" s="14" t="s">
        <v>4</v>
      </c>
      <c r="AA551" s="14" t="s">
        <v>5</v>
      </c>
      <c r="AB551" s="15" t="s">
        <v>6</v>
      </c>
      <c r="AC551" s="14" t="s">
        <v>7</v>
      </c>
      <c r="AD551" s="14" t="s">
        <v>8</v>
      </c>
      <c r="AE551" s="14" t="s">
        <v>9</v>
      </c>
      <c r="AF551" s="14" t="s">
        <v>10</v>
      </c>
      <c r="AG551" s="14" t="s">
        <v>11</v>
      </c>
      <c r="AH551" s="14" t="s">
        <v>12</v>
      </c>
      <c r="AI551" s="14" t="s">
        <v>13</v>
      </c>
      <c r="AJ551" s="15" t="s">
        <v>14</v>
      </c>
      <c r="AK551" s="14" t="s">
        <v>15</v>
      </c>
      <c r="AL551" s="14" t="s">
        <v>16</v>
      </c>
      <c r="AM551" s="16" t="s">
        <v>17</v>
      </c>
      <c r="AN551" s="17" t="s">
        <v>18</v>
      </c>
      <c r="AO551" s="18" t="s">
        <v>19</v>
      </c>
      <c r="AP551" s="19" t="s">
        <v>20</v>
      </c>
      <c r="AQ551" s="19" t="s">
        <v>21</v>
      </c>
      <c r="AR551" s="20" t="s">
        <v>22</v>
      </c>
    </row>
    <row r="552" ht="15.75" customHeight="1">
      <c r="A552" s="21"/>
      <c r="B552" s="38">
        <v>7.0</v>
      </c>
      <c r="C552" s="38" t="s">
        <v>24</v>
      </c>
      <c r="D552" s="39">
        <v>44.0</v>
      </c>
      <c r="E552" s="54">
        <f>IFERROR(__xludf.DUMMYFUNCTION("COUNT(IMPORTRANGE(""https://docs.google.com/spreadsheets/d/1iuPvivSypupo44l6GtmR-2qZ3za7cTk7KzsOVp_kv2c/edit"",""2!d2:d45""))"),44.0)</f>
        <v>44</v>
      </c>
      <c r="F552" s="55">
        <f>IFERROR(__xludf.DUMMYFUNCTION("SUM(IMPORTRANGE(""https://docs.google.com/spreadsheets/d/1iuPvivSypupo44l6GtmR-2qZ3za7cTk7KzsOVp_kv2c/edit"",""2!Q2:Q45""))"),8354.581999999995)</f>
        <v>8354.582</v>
      </c>
      <c r="G552" s="54">
        <f>IFERROR(__xludf.DUMMYFUNCTION("IMPORTRANGE(""https://docs.google.com/spreadsheets/d/1iuPvivSypupo44l6GtmR-2qZ3za7cTk7KzsOVp_kv2c/edit"",""2!e53"")"),1454.0)</f>
        <v>1454</v>
      </c>
      <c r="H552" s="54">
        <f>IFERROR(__xludf.DUMMYFUNCTION("IMPORTRANGE(""https://docs.google.com/spreadsheets/d/1iuPvivSypupo44l6GtmR-2qZ3za7cTk7KzsOVp_kv2c/edit"",""2!e54"")"),0.0)</f>
        <v>0</v>
      </c>
      <c r="I552" s="54">
        <f t="shared" si="1515"/>
        <v>1454</v>
      </c>
      <c r="J552" s="54">
        <f>IFERROR(__xludf.DUMMYFUNCTION("IMPORTRANGE(""https://docs.google.com/spreadsheets/d/1iuPvivSypupo44l6GtmR-2qZ3za7cTk7KzsOVp_kv2c/edit"",""2!e57"")"),1288.0)</f>
        <v>1288</v>
      </c>
      <c r="K552" s="54">
        <f>IFERROR(__xludf.DUMMYFUNCTION("IMPORTRANGE(""https://docs.google.com/spreadsheets/d/1iuPvivSypupo44l6GtmR-2qZ3za7cTk7KzsOVp_kv2c/edit"",""2!e58"")"),28.0)</f>
        <v>28</v>
      </c>
      <c r="L552" s="40">
        <f t="shared" si="1516"/>
        <v>1316</v>
      </c>
      <c r="M552" s="40">
        <f t="shared" si="1517"/>
        <v>2770</v>
      </c>
      <c r="N552" s="41">
        <f t="shared" si="1518"/>
        <v>189.8768636</v>
      </c>
      <c r="O552" s="38">
        <v>1580.0</v>
      </c>
      <c r="P552" s="56">
        <f t="shared" si="1519"/>
        <v>1.753164557</v>
      </c>
      <c r="Q552" s="43">
        <v>1.5</v>
      </c>
      <c r="R552" s="42">
        <f t="shared" si="1520"/>
        <v>0.2210363926</v>
      </c>
      <c r="S552" s="44">
        <f t="shared" si="1521"/>
        <v>0.3315545888</v>
      </c>
      <c r="T552" s="43">
        <f>F552/26.805</f>
        <v>311.6799851</v>
      </c>
      <c r="U552" s="43">
        <f t="shared" si="1522"/>
        <v>7.083636024</v>
      </c>
      <c r="V552" s="40">
        <f t="shared" si="1523"/>
        <v>62.95454545</v>
      </c>
      <c r="X552" s="22">
        <v>1.0</v>
      </c>
      <c r="Y552" s="22" t="s">
        <v>28</v>
      </c>
      <c r="Z552" s="22">
        <f t="shared" ref="Z552:AI552" si="1532">SUM(D547)</f>
        <v>33</v>
      </c>
      <c r="AA552" s="23">
        <f t="shared" si="1532"/>
        <v>33</v>
      </c>
      <c r="AB552" s="25">
        <f t="shared" si="1532"/>
        <v>6528.833</v>
      </c>
      <c r="AC552" s="23">
        <f t="shared" si="1532"/>
        <v>2700</v>
      </c>
      <c r="AD552" s="23">
        <f t="shared" si="1532"/>
        <v>104</v>
      </c>
      <c r="AE552" s="23">
        <f t="shared" si="1532"/>
        <v>2804</v>
      </c>
      <c r="AF552" s="23">
        <f t="shared" si="1532"/>
        <v>3205</v>
      </c>
      <c r="AG552" s="23">
        <f t="shared" si="1532"/>
        <v>102</v>
      </c>
      <c r="AH552" s="23">
        <f t="shared" si="1532"/>
        <v>3307</v>
      </c>
      <c r="AI552" s="23">
        <f t="shared" si="1532"/>
        <v>6111</v>
      </c>
      <c r="AJ552" s="25">
        <f t="shared" ref="AJ552:AJ558" si="1535">AB552/AA552</f>
        <v>197.8434242</v>
      </c>
      <c r="AK552" s="22">
        <f t="shared" ref="AK552:AK553" si="1536">SUM(O547)</f>
        <v>7315</v>
      </c>
      <c r="AL552" s="26">
        <f t="shared" ref="AL552:AL558" si="1537">AI552/AK552</f>
        <v>0.8354066986</v>
      </c>
      <c r="AM552" s="27">
        <f t="shared" ref="AM552:AM553" si="1538">SUM(Q547)</f>
        <v>1.5</v>
      </c>
      <c r="AN552" s="26">
        <f t="shared" ref="AN552:AN558" si="1539">AO552/AM552</f>
        <v>0.6240012572</v>
      </c>
      <c r="AO552" s="28">
        <f t="shared" ref="AO552:AO558" si="1540">AI552/AB552</f>
        <v>0.9360018858</v>
      </c>
      <c r="AP552" s="27">
        <f t="shared" ref="AP552:AQ552" si="1533">SUM(T547)</f>
        <v>211.3096093</v>
      </c>
      <c r="AQ552" s="27">
        <f t="shared" si="1533"/>
        <v>6.403321495</v>
      </c>
      <c r="AR552" s="23">
        <f t="shared" ref="AR552:AR558" si="1542">AI552/AA552</f>
        <v>185.1818182</v>
      </c>
    </row>
    <row r="553" ht="15.75" customHeight="1">
      <c r="A553" s="21"/>
      <c r="B553" s="38">
        <v>8.0</v>
      </c>
      <c r="C553" s="38" t="s">
        <v>25</v>
      </c>
      <c r="D553" s="57">
        <v>32.0</v>
      </c>
      <c r="E553" s="40">
        <f>IFERROR(__xludf.DUMMYFUNCTION("COUNT(IMPORTRANGE(""https://docs.google.com/spreadsheets/d/1sqWX7UerdR9KR_duBzDNfjwbPG-3hLgV1LiN2ZVZ6Js/edit"",""2!d2:D33""))"),31.0)</f>
        <v>31</v>
      </c>
      <c r="F553" s="45">
        <f>IFERROR(__xludf.DUMMYFUNCTION("SUM(IMPORTRANGE(""https://docs.google.com/spreadsheets/d/1sqWX7UerdR9KR_duBzDNfjwbPG-3hLgV1LiN2ZVZ6Js/edit"",""2!Q2:Q33""))"),5925.124000000001)</f>
        <v>5925.124</v>
      </c>
      <c r="G553" s="40">
        <f>IFERROR(__xludf.DUMMYFUNCTION("IMPORTRANGE(""https://docs.google.com/spreadsheets/d/1sqWX7UerdR9KR_duBzDNfjwbPG-3hLgV1LiN2ZVZ6Js/edit"",""2!e40"")"),2351.0)</f>
        <v>2351</v>
      </c>
      <c r="H553" s="40">
        <f>IFERROR(__xludf.DUMMYFUNCTION("IMPORTRANGE(""https://docs.google.com/spreadsheets/d/1sqWX7UerdR9KR_duBzDNfjwbPG-3hLgV1LiN2ZVZ6Js/edit"",""2!e41"")"),438.0)</f>
        <v>438</v>
      </c>
      <c r="I553" s="40">
        <f t="shared" si="1515"/>
        <v>2789</v>
      </c>
      <c r="J553" s="40">
        <f>IFERROR(__xludf.DUMMYFUNCTION("IMPORTRANGE(""https://docs.google.com/spreadsheets/d/1sqWX7UerdR9KR_duBzDNfjwbPG-3hLgV1LiN2ZVZ6Js/edit"",""2!e44"")"),3213.0)</f>
        <v>3213</v>
      </c>
      <c r="K553" s="40">
        <f>IFERROR(__xludf.DUMMYFUNCTION("IMPORTRANGE(""https://docs.google.com/spreadsheets/d/1sqWX7UerdR9KR_duBzDNfjwbPG-3hLgV1LiN2ZVZ6Js/edit"",""2!e45"")"),305.0)</f>
        <v>305</v>
      </c>
      <c r="L553" s="40">
        <f>J553+K553</f>
        <v>3518</v>
      </c>
      <c r="M553" s="40">
        <f t="shared" si="1517"/>
        <v>6307</v>
      </c>
      <c r="N553" s="41">
        <f t="shared" si="1518"/>
        <v>191.1330323</v>
      </c>
      <c r="O553" s="38">
        <v>6622.0</v>
      </c>
      <c r="P553" s="42">
        <f t="shared" si="1519"/>
        <v>0.9524312896</v>
      </c>
      <c r="Q553" s="43">
        <v>1.5</v>
      </c>
      <c r="R553" s="42">
        <f t="shared" si="1520"/>
        <v>0.7096335312</v>
      </c>
      <c r="S553" s="44">
        <f t="shared" si="1521"/>
        <v>1.064450297</v>
      </c>
      <c r="T553" s="43">
        <f>F553/23.84</f>
        <v>248.5370805</v>
      </c>
      <c r="U553" s="43">
        <f t="shared" si="1522"/>
        <v>8.017325179</v>
      </c>
      <c r="V553" s="40">
        <f t="shared" si="1523"/>
        <v>203.4516129</v>
      </c>
      <c r="X553" s="31">
        <v>2.0</v>
      </c>
      <c r="Y553" s="31" t="s">
        <v>30</v>
      </c>
      <c r="Z553" s="31">
        <f t="shared" ref="Z553:AI553" si="1534">SUM(D548)</f>
        <v>60</v>
      </c>
      <c r="AA553" s="32">
        <f t="shared" si="1534"/>
        <v>58</v>
      </c>
      <c r="AB553" s="33">
        <f t="shared" si="1534"/>
        <v>11253.345</v>
      </c>
      <c r="AC553" s="32">
        <f t="shared" si="1534"/>
        <v>3757</v>
      </c>
      <c r="AD553" s="32">
        <f t="shared" si="1534"/>
        <v>0</v>
      </c>
      <c r="AE553" s="32">
        <f t="shared" si="1534"/>
        <v>3757</v>
      </c>
      <c r="AF553" s="32">
        <f t="shared" si="1534"/>
        <v>5596</v>
      </c>
      <c r="AG553" s="32">
        <f t="shared" si="1534"/>
        <v>0</v>
      </c>
      <c r="AH553" s="32">
        <f t="shared" si="1534"/>
        <v>5596</v>
      </c>
      <c r="AI553" s="32">
        <f t="shared" si="1534"/>
        <v>9353</v>
      </c>
      <c r="AJ553" s="34">
        <f t="shared" si="1535"/>
        <v>194.0231897</v>
      </c>
      <c r="AK553" s="31">
        <f t="shared" si="1536"/>
        <v>11164</v>
      </c>
      <c r="AL553" s="35">
        <f t="shared" si="1537"/>
        <v>0.8377821569</v>
      </c>
      <c r="AM553" s="36">
        <f t="shared" si="1538"/>
        <v>1.5</v>
      </c>
      <c r="AN553" s="35">
        <f t="shared" si="1539"/>
        <v>0.5540871033</v>
      </c>
      <c r="AO553" s="37">
        <f t="shared" si="1540"/>
        <v>0.8311306549</v>
      </c>
      <c r="AP553" s="36">
        <f t="shared" ref="AP553:AQ553" si="1541">SUM(T548)</f>
        <v>380.1420464</v>
      </c>
      <c r="AQ553" s="36">
        <f t="shared" si="1541"/>
        <v>6.554173214</v>
      </c>
      <c r="AR553" s="32">
        <f t="shared" si="1542"/>
        <v>161.2586207</v>
      </c>
    </row>
    <row r="554" ht="15.75" customHeight="1">
      <c r="A554" s="21"/>
      <c r="B554" s="38">
        <v>9.0</v>
      </c>
      <c r="C554" s="38" t="s">
        <v>36</v>
      </c>
      <c r="D554" s="58">
        <v>30.0</v>
      </c>
      <c r="E554" s="40">
        <f>IFERROR(__xludf.DUMMYFUNCTION("COUNT(IMPORTRANGE(""https://docs.google.com/spreadsheets/d/1YNna43iTSqnwwbMJgTIPHSJEoDO8RGPRFg5pJCoQR_Y/edit"",""2!d2:d31""))"),29.0)</f>
        <v>29</v>
      </c>
      <c r="F554" s="45">
        <f>IFERROR(__xludf.DUMMYFUNCTION("SUM(IMPORTRANGE(""https://docs.google.com/spreadsheets/d/1YNna43iTSqnwwbMJgTIPHSJEoDO8RGPRFg5pJCoQR_Y/edit"",""2!Q2:Q31""))"),5604.12)</f>
        <v>5604.12</v>
      </c>
      <c r="G554" s="40">
        <f>IFERROR(__xludf.DUMMYFUNCTION("IMPORTRANGE(""https://docs.google.com/spreadsheets/d/1YNna43iTSqnwwbMJgTIPHSJEoDO8RGPRFg5pJCoQR_Y/edit"",""2!e38"")"),1533.0)</f>
        <v>1533</v>
      </c>
      <c r="H554" s="40">
        <f>IFERROR(__xludf.DUMMYFUNCTION("IMPORTRANGE(""https://docs.google.com/spreadsheets/d/1YNna43iTSqnwwbMJgTIPHSJEoDO8RGPRFg5pJCoQR_Y/edit"",""2!e39"")"),0.0)</f>
        <v>0</v>
      </c>
      <c r="I554" s="40">
        <f t="shared" si="1515"/>
        <v>1533</v>
      </c>
      <c r="J554" s="40">
        <f>IFERROR(__xludf.DUMMYFUNCTION("IMPORTRANGE(""https://docs.google.com/spreadsheets/d/1YNna43iTSqnwwbMJgTIPHSJEoDO8RGPRFg5pJCoQR_Y/edit"",""2!e42"")"),2301.0)</f>
        <v>2301</v>
      </c>
      <c r="K554" s="40">
        <f>IFERROR(__xludf.DUMMYFUNCTION("IMPORTRANGE(""https://docs.google.com/spreadsheets/d/1YNna43iTSqnwwbMJgTIPHSJEoDO8RGPRFg5pJCoQR_Y/edit"",""2!e43"")"),0.0)</f>
        <v>0</v>
      </c>
      <c r="L554" s="40">
        <f t="shared" ref="L554:L563" si="1545">SUM(J554:K554)</f>
        <v>2301</v>
      </c>
      <c r="M554" s="40">
        <f t="shared" si="1517"/>
        <v>3834</v>
      </c>
      <c r="N554" s="41">
        <f t="shared" si="1518"/>
        <v>193.2455172</v>
      </c>
      <c r="O554" s="38">
        <v>4796.0</v>
      </c>
      <c r="P554" s="42">
        <f t="shared" si="1519"/>
        <v>0.7994161802</v>
      </c>
      <c r="Q554" s="43">
        <v>1.5</v>
      </c>
      <c r="R554" s="42">
        <f t="shared" si="1520"/>
        <v>0.4560930173</v>
      </c>
      <c r="S554" s="44">
        <f t="shared" si="1521"/>
        <v>0.6841395259</v>
      </c>
      <c r="T554" s="43">
        <f>F554/37.414</f>
        <v>149.7867109</v>
      </c>
      <c r="U554" s="43">
        <f t="shared" si="1522"/>
        <v>5.165058995</v>
      </c>
      <c r="V554" s="40">
        <f t="shared" si="1523"/>
        <v>132.2068966</v>
      </c>
      <c r="X554" s="22">
        <v>3.0</v>
      </c>
      <c r="Y554" s="22" t="s">
        <v>34</v>
      </c>
      <c r="Z554" s="22">
        <f t="shared" ref="Z554:AI554" si="1543">SUM(D550)</f>
        <v>40</v>
      </c>
      <c r="AA554" s="23">
        <f t="shared" si="1543"/>
        <v>40</v>
      </c>
      <c r="AB554" s="24">
        <f t="shared" si="1543"/>
        <v>7895.343</v>
      </c>
      <c r="AC554" s="23">
        <f t="shared" si="1543"/>
        <v>3069</v>
      </c>
      <c r="AD554" s="23">
        <f t="shared" si="1543"/>
        <v>0</v>
      </c>
      <c r="AE554" s="23">
        <f t="shared" si="1543"/>
        <v>3069</v>
      </c>
      <c r="AF554" s="23">
        <f t="shared" si="1543"/>
        <v>3126</v>
      </c>
      <c r="AG554" s="23">
        <f t="shared" si="1543"/>
        <v>0</v>
      </c>
      <c r="AH554" s="23">
        <f t="shared" si="1543"/>
        <v>3126</v>
      </c>
      <c r="AI554" s="23">
        <f t="shared" si="1543"/>
        <v>6195</v>
      </c>
      <c r="AJ554" s="25">
        <f t="shared" si="1535"/>
        <v>197.383575</v>
      </c>
      <c r="AK554" s="22">
        <f>SUM(O550)</f>
        <v>9354</v>
      </c>
      <c r="AL554" s="26">
        <f t="shared" si="1537"/>
        <v>0.6622835151</v>
      </c>
      <c r="AM554" s="27">
        <f>SUM(Q550)</f>
        <v>1.5</v>
      </c>
      <c r="AN554" s="26">
        <f t="shared" si="1539"/>
        <v>0.5230931702</v>
      </c>
      <c r="AO554" s="28">
        <f t="shared" si="1540"/>
        <v>0.7846397554</v>
      </c>
      <c r="AP554" s="27">
        <f t="shared" ref="AP554:AQ554" si="1544">SUM(T550)</f>
        <v>257.0684401</v>
      </c>
      <c r="AQ554" s="27">
        <f t="shared" si="1544"/>
        <v>6.426711002</v>
      </c>
      <c r="AR554" s="23">
        <f t="shared" si="1542"/>
        <v>154.875</v>
      </c>
    </row>
    <row r="555" ht="15.75" customHeight="1">
      <c r="A555" s="21"/>
      <c r="B555" s="38">
        <v>10.0</v>
      </c>
      <c r="C555" s="38" t="s">
        <v>37</v>
      </c>
      <c r="D555" s="39">
        <v>30.0</v>
      </c>
      <c r="E555" s="40">
        <f>IFERROR(__xludf.DUMMYFUNCTION("COUNT(IMPORTRANGE(""https://docs.google.com/spreadsheets/d/1913Df5BsXS_b-nClL8LOK5w0engQYTl1mPOiyngRtO0/edit"",""2!d2:d31""))"),30.0)</f>
        <v>30</v>
      </c>
      <c r="F555" s="45">
        <f>IFERROR(__xludf.DUMMYFUNCTION("SUM(IMPORTRANGE(""https://docs.google.com/spreadsheets/d/1913Df5BsXS_b-nClL8LOK5w0engQYTl1mPOiyngRtO0/edit"",""2!Q2:Q31""))"),5812.188)</f>
        <v>5812.188</v>
      </c>
      <c r="G555" s="40">
        <f>IFERROR(__xludf.DUMMYFUNCTION("(IMPORTRANGE(""https://docs.google.com/spreadsheets/d/1913Df5BsXS_b-nClL8LOK5w0engQYTl1mPOiyngRtO0/edit"",""2!e38""))"),2138.0)</f>
        <v>2138</v>
      </c>
      <c r="H555" s="40">
        <f>IFERROR(__xludf.DUMMYFUNCTION("(IMPORTRANGE(""https://docs.google.com/spreadsheets/d/1913Df5BsXS_b-nClL8LOK5w0engQYTl1mPOiyngRtO0/edit"",""2!e39""))"),0.0)</f>
        <v>0</v>
      </c>
      <c r="I555" s="40">
        <f t="shared" si="1515"/>
        <v>2138</v>
      </c>
      <c r="J555" s="40">
        <f>IFERROR(__xludf.DUMMYFUNCTION("(IMPORTRANGE(""https://docs.google.com/spreadsheets/d/1913Df5BsXS_b-nClL8LOK5w0engQYTl1mPOiyngRtO0/edit"",""2!e42""))"),3071.0)</f>
        <v>3071</v>
      </c>
      <c r="K555" s="40">
        <f>IFERROR(__xludf.DUMMYFUNCTION("(IMPORTRANGE(""https://docs.google.com/spreadsheets/d/1913Df5BsXS_b-nClL8LOK5w0engQYTl1mPOiyngRtO0/edit"",""2!e43""))"),0.0)</f>
        <v>0</v>
      </c>
      <c r="L555" s="40">
        <f t="shared" si="1545"/>
        <v>3071</v>
      </c>
      <c r="M555" s="40">
        <f t="shared" si="1517"/>
        <v>5209</v>
      </c>
      <c r="N555" s="41">
        <f t="shared" si="1518"/>
        <v>193.7396</v>
      </c>
      <c r="O555" s="38">
        <v>5887.0</v>
      </c>
      <c r="P555" s="42">
        <f t="shared" si="1519"/>
        <v>0.8848309835</v>
      </c>
      <c r="Q555" s="43">
        <v>1.5</v>
      </c>
      <c r="R555" s="42">
        <f t="shared" si="1520"/>
        <v>0.5974800999</v>
      </c>
      <c r="S555" s="44">
        <f t="shared" si="1521"/>
        <v>0.8962201498</v>
      </c>
      <c r="T555" s="43">
        <f>F555/24.792</f>
        <v>234.4380445</v>
      </c>
      <c r="U555" s="43">
        <f t="shared" si="1522"/>
        <v>7.814601484</v>
      </c>
      <c r="V555" s="40">
        <f t="shared" si="1523"/>
        <v>173.6333333</v>
      </c>
      <c r="X555" s="31">
        <v>4.0</v>
      </c>
      <c r="Y555" s="31" t="s">
        <v>38</v>
      </c>
      <c r="Z555" s="31">
        <f t="shared" ref="Z555:AI555" si="1546">SUM(D558)</f>
        <v>30</v>
      </c>
      <c r="AA555" s="32">
        <f t="shared" si="1546"/>
        <v>30</v>
      </c>
      <c r="AB555" s="33">
        <f t="shared" si="1546"/>
        <v>6284.278</v>
      </c>
      <c r="AC555" s="32">
        <f t="shared" si="1546"/>
        <v>2309</v>
      </c>
      <c r="AD555" s="32">
        <f t="shared" si="1546"/>
        <v>0</v>
      </c>
      <c r="AE555" s="32">
        <f t="shared" si="1546"/>
        <v>2309</v>
      </c>
      <c r="AF555" s="32">
        <f t="shared" si="1546"/>
        <v>2749</v>
      </c>
      <c r="AG555" s="32">
        <f t="shared" si="1546"/>
        <v>159</v>
      </c>
      <c r="AH555" s="32">
        <f t="shared" si="1546"/>
        <v>2908</v>
      </c>
      <c r="AI555" s="32">
        <f t="shared" si="1546"/>
        <v>5217</v>
      </c>
      <c r="AJ555" s="34">
        <f t="shared" si="1535"/>
        <v>209.4759333</v>
      </c>
      <c r="AK555" s="31">
        <v>7324.0</v>
      </c>
      <c r="AL555" s="35">
        <f t="shared" si="1537"/>
        <v>0.7123156745</v>
      </c>
      <c r="AM555" s="36">
        <f>SUM(Q558)</f>
        <v>1.5</v>
      </c>
      <c r="AN555" s="35">
        <f t="shared" si="1539"/>
        <v>0.5534446439</v>
      </c>
      <c r="AO555" s="37">
        <f t="shared" si="1540"/>
        <v>0.8301669659</v>
      </c>
      <c r="AP555" s="36">
        <f t="shared" ref="AP555:AQ555" si="1547">SUM(T558)</f>
        <v>152.5125106</v>
      </c>
      <c r="AQ555" s="36">
        <f t="shared" si="1547"/>
        <v>5.083750354</v>
      </c>
      <c r="AR555" s="32">
        <f t="shared" si="1542"/>
        <v>173.9</v>
      </c>
    </row>
    <row r="556" ht="15.75" customHeight="1">
      <c r="A556" s="21"/>
      <c r="B556" s="38">
        <v>12.0</v>
      </c>
      <c r="C556" s="38" t="s">
        <v>39</v>
      </c>
      <c r="D556" s="39">
        <v>28.0</v>
      </c>
      <c r="E556" s="40">
        <f>IFERROR(__xludf.DUMMYFUNCTION("COUNT(IMPORTRANGE(""https://docs.google.com/spreadsheets/d/1wMeol_MpSIcocGxt3WZGl46mJ2tc80mANPvP_YzaP18/edit"",""2!d2:d29""))"),28.0)</f>
        <v>28</v>
      </c>
      <c r="F556" s="45">
        <f>IFERROR(__xludf.DUMMYFUNCTION("SUM(IMPORTRANGE(""https://docs.google.com/spreadsheets/d/1wMeol_MpSIcocGxt3WZGl46mJ2tc80mANPvP_YzaP18/edit"",""2!Q2:Q29""))"),5458.878)</f>
        <v>5458.878</v>
      </c>
      <c r="G556" s="40">
        <f>IFERROR(__xludf.DUMMYFUNCTION("IMPORTRANGE(""https://docs.google.com/spreadsheets/d/1wMeol_MpSIcocGxt3WZGl46mJ2tc80mANPvP_YzaP18/edit"",""2!e36"")"),1516.0)</f>
        <v>1516</v>
      </c>
      <c r="H556" s="40">
        <f>IFERROR(__xludf.DUMMYFUNCTION("(IMPORTRANGE(""https://docs.google.com/spreadsheets/d/1wMeol_MpSIcocGxt3WZGl46mJ2tc80mANPvP_YzaP18/edit"",""2!e37""))"),43.0)</f>
        <v>43</v>
      </c>
      <c r="I556" s="40">
        <f t="shared" si="1515"/>
        <v>1559</v>
      </c>
      <c r="J556" s="40">
        <f>IFERROR(__xludf.DUMMYFUNCTION("IMPORTRANGE(""https://docs.google.com/spreadsheets/d/1wMeol_MpSIcocGxt3WZGl46mJ2tc80mANPvP_YzaP18/edit"",""2!e40"")"),1765.0)</f>
        <v>1765</v>
      </c>
      <c r="K556" s="40">
        <f>IFERROR(__xludf.DUMMYFUNCTION("IMPORTRANGE(""https://docs.google.com/spreadsheets/d/1wMeol_MpSIcocGxt3WZGl46mJ2tc80mANPvP_YzaP18/edit"",""2!e41"")"),115.0)</f>
        <v>115</v>
      </c>
      <c r="L556" s="40">
        <f t="shared" si="1545"/>
        <v>1880</v>
      </c>
      <c r="M556" s="40">
        <f t="shared" si="1517"/>
        <v>3439</v>
      </c>
      <c r="N556" s="41">
        <f t="shared" si="1518"/>
        <v>194.9599286</v>
      </c>
      <c r="O556" s="38">
        <v>3569.0</v>
      </c>
      <c r="P556" s="42">
        <f t="shared" si="1519"/>
        <v>0.9635752312</v>
      </c>
      <c r="Q556" s="43">
        <v>1.5</v>
      </c>
      <c r="R556" s="42">
        <f t="shared" si="1520"/>
        <v>0.4199886253</v>
      </c>
      <c r="S556" s="44">
        <f t="shared" si="1521"/>
        <v>0.6299829379</v>
      </c>
      <c r="T556" s="43">
        <f>F556/21.463</f>
        <v>254.339002</v>
      </c>
      <c r="U556" s="43">
        <f t="shared" si="1522"/>
        <v>9.083535786</v>
      </c>
      <c r="V556" s="40">
        <f t="shared" si="1523"/>
        <v>122.8214286</v>
      </c>
      <c r="X556" s="31">
        <v>5.0</v>
      </c>
      <c r="Y556" s="31" t="s">
        <v>40</v>
      </c>
      <c r="Z556" s="31">
        <f t="shared" ref="Z556:AI556" si="1548">SUM(D560)</f>
        <v>30</v>
      </c>
      <c r="AA556" s="32">
        <f t="shared" si="1548"/>
        <v>30</v>
      </c>
      <c r="AB556" s="33">
        <f t="shared" si="1548"/>
        <v>5845.703</v>
      </c>
      <c r="AC556" s="32">
        <f t="shared" si="1548"/>
        <v>3323</v>
      </c>
      <c r="AD556" s="32">
        <f t="shared" si="1548"/>
        <v>39</v>
      </c>
      <c r="AE556" s="32">
        <f t="shared" si="1548"/>
        <v>3362</v>
      </c>
      <c r="AF556" s="32">
        <f t="shared" si="1548"/>
        <v>3928</v>
      </c>
      <c r="AG556" s="32">
        <f t="shared" si="1548"/>
        <v>73</v>
      </c>
      <c r="AH556" s="32">
        <f t="shared" si="1548"/>
        <v>4001</v>
      </c>
      <c r="AI556" s="32">
        <f t="shared" si="1548"/>
        <v>7363</v>
      </c>
      <c r="AJ556" s="34">
        <f t="shared" si="1535"/>
        <v>194.8567667</v>
      </c>
      <c r="AK556" s="31">
        <f t="shared" ref="AK556:AK557" si="1551">SUM(O560)</f>
        <v>8239</v>
      </c>
      <c r="AL556" s="35">
        <f t="shared" si="1537"/>
        <v>0.893676417</v>
      </c>
      <c r="AM556" s="36">
        <f t="shared" ref="AM556:AM557" si="1552">SUM(Q560)</f>
        <v>1.5</v>
      </c>
      <c r="AN556" s="35">
        <f t="shared" si="1539"/>
        <v>0.8397051076</v>
      </c>
      <c r="AO556" s="37">
        <f t="shared" si="1540"/>
        <v>1.259557661</v>
      </c>
      <c r="AP556" s="36">
        <f t="shared" ref="AP556:AQ556" si="1549">SUM(T560)</f>
        <v>205.5234328</v>
      </c>
      <c r="AQ556" s="36">
        <f t="shared" si="1549"/>
        <v>6.850781094</v>
      </c>
      <c r="AR556" s="32">
        <f t="shared" si="1542"/>
        <v>245.4333333</v>
      </c>
    </row>
    <row r="557" ht="15.75" customHeight="1">
      <c r="A557" s="21"/>
      <c r="B557" s="38">
        <v>12.0</v>
      </c>
      <c r="C557" s="38" t="s">
        <v>41</v>
      </c>
      <c r="D557" s="39">
        <v>24.0</v>
      </c>
      <c r="E557" s="40">
        <f>IFERROR(__xludf.DUMMYFUNCTION("COUNT(IMPORTRANGE(""https://docs.google.com/spreadsheets/d/1sHk6_yuc4kORC_xnhEeazoemV_hVUQVqRpfoNae-PLk/edit"",""2!d2:d25""))"),24.0)</f>
        <v>24</v>
      </c>
      <c r="F557" s="45">
        <f>IFERROR(__xludf.DUMMYFUNCTION("SUM(IMPORTRANGE(""https://docs.google.com/spreadsheets/d/1sHk6_yuc4kORC_xnhEeazoemV_hVUQVqRpfoNae-PLk/edit"",""2!Q2:Q25""))"),4806.3200000000015)</f>
        <v>4806.32</v>
      </c>
      <c r="G557" s="40">
        <f>IFERROR(__xludf.DUMMYFUNCTION("IMPORTRANGE(""https://docs.google.com/spreadsheets/d/1sHk6_yuc4kORC_xnhEeazoemV_hVUQVqRpfoNae-PLk/edit"",""2!e32"")"),1468.0)</f>
        <v>1468</v>
      </c>
      <c r="H557" s="40">
        <f>IFERROR(__xludf.DUMMYFUNCTION("IMPORTRANGE(""https://docs.google.com/spreadsheets/d/1sHk6_yuc4kORC_xnhEeazoemV_hVUQVqRpfoNae-PLk/edit"",""2!e33"")"),0.0)</f>
        <v>0</v>
      </c>
      <c r="I557" s="40">
        <f t="shared" si="1515"/>
        <v>1468</v>
      </c>
      <c r="J557" s="40">
        <f>IFERROR(__xludf.DUMMYFUNCTION("IMPORTRANGE(""https://docs.google.com/spreadsheets/d/1sHk6_yuc4kORC_xnhEeazoemV_hVUQVqRpfoNae-PLk/edit"",""2!e36"")"),1656.0)</f>
        <v>1656</v>
      </c>
      <c r="K557" s="40">
        <f>IFERROR(__xludf.DUMMYFUNCTION("IMPORTRANGE(""https://docs.google.com/spreadsheets/d/1sHk6_yuc4kORC_xnhEeazoemV_hVUQVqRpfoNae-PLk/edit"",""2!e37"")"),0.0)</f>
        <v>0</v>
      </c>
      <c r="L557" s="40">
        <f t="shared" si="1545"/>
        <v>1656</v>
      </c>
      <c r="M557" s="40">
        <f t="shared" si="1517"/>
        <v>3124</v>
      </c>
      <c r="N557" s="41">
        <f t="shared" si="1518"/>
        <v>200.2633333</v>
      </c>
      <c r="O557" s="38">
        <v>3801.0</v>
      </c>
      <c r="P557" s="42">
        <f t="shared" si="1519"/>
        <v>0.8218889766</v>
      </c>
      <c r="Q557" s="43">
        <v>1.5</v>
      </c>
      <c r="R557" s="42">
        <f t="shared" si="1520"/>
        <v>0.4333183531</v>
      </c>
      <c r="S557" s="44">
        <f t="shared" si="1521"/>
        <v>0.6499775296</v>
      </c>
      <c r="T557" s="43">
        <f>F557/29.628</f>
        <v>162.2222222</v>
      </c>
      <c r="U557" s="43">
        <f t="shared" si="1522"/>
        <v>6.759259259</v>
      </c>
      <c r="V557" s="40">
        <f t="shared" si="1523"/>
        <v>130.1666667</v>
      </c>
      <c r="X557" s="22">
        <v>6.0</v>
      </c>
      <c r="Y557" s="22" t="s">
        <v>42</v>
      </c>
      <c r="Z557" s="22">
        <f t="shared" ref="Z557:AI557" si="1550">SUM(D561)</f>
        <v>33</v>
      </c>
      <c r="AA557" s="23">
        <f t="shared" si="1550"/>
        <v>33</v>
      </c>
      <c r="AB557" s="24">
        <f t="shared" si="1550"/>
        <v>6380.282</v>
      </c>
      <c r="AC557" s="23">
        <f t="shared" si="1550"/>
        <v>3133</v>
      </c>
      <c r="AD557" s="23">
        <f t="shared" si="1550"/>
        <v>0</v>
      </c>
      <c r="AE557" s="23">
        <f t="shared" si="1550"/>
        <v>3133</v>
      </c>
      <c r="AF557" s="23">
        <f t="shared" si="1550"/>
        <v>4360</v>
      </c>
      <c r="AG557" s="23">
        <f t="shared" si="1550"/>
        <v>0</v>
      </c>
      <c r="AH557" s="23">
        <f t="shared" si="1550"/>
        <v>4360</v>
      </c>
      <c r="AI557" s="23">
        <f t="shared" si="1550"/>
        <v>7493</v>
      </c>
      <c r="AJ557" s="25">
        <f t="shared" si="1535"/>
        <v>193.3418788</v>
      </c>
      <c r="AK557" s="22">
        <f t="shared" si="1551"/>
        <v>9877</v>
      </c>
      <c r="AL557" s="26">
        <f t="shared" si="1537"/>
        <v>0.7586311633</v>
      </c>
      <c r="AM557" s="27">
        <f t="shared" si="1552"/>
        <v>1.5</v>
      </c>
      <c r="AN557" s="26">
        <f t="shared" si="1539"/>
        <v>0.782933001</v>
      </c>
      <c r="AO557" s="28">
        <f t="shared" si="1540"/>
        <v>1.174399501</v>
      </c>
      <c r="AP557" s="27">
        <f t="shared" ref="AP557:AQ557" si="1553">SUM(T561)</f>
        <v>243.9411967</v>
      </c>
      <c r="AQ557" s="27">
        <f t="shared" si="1553"/>
        <v>7.392157476</v>
      </c>
      <c r="AR557" s="23">
        <f t="shared" si="1542"/>
        <v>227.0606061</v>
      </c>
    </row>
    <row r="558" ht="15.75" customHeight="1">
      <c r="A558" s="21"/>
      <c r="B558" s="38">
        <v>13.0</v>
      </c>
      <c r="C558" s="38" t="s">
        <v>43</v>
      </c>
      <c r="D558" s="39">
        <v>30.0</v>
      </c>
      <c r="E558" s="40">
        <f>IFERROR(__xludf.DUMMYFUNCTION("COUNT(IMPORTRANGE(""https://docs.google.com/spreadsheets/d/1uGXvAN2jA6kmcEHUY4KqOHHewllZsujDdA6KVDfBCoA/edit"",""2!d2:d31""))"),30.0)</f>
        <v>30</v>
      </c>
      <c r="F558" s="45">
        <f>IFERROR(__xludf.DUMMYFUNCTION("SUM(IMPORTRANGE(""https://docs.google.com/spreadsheets/d/1uGXvAN2jA6kmcEHUY4KqOHHewllZsujDdA6KVDfBCoA/edit"",""2!Q2:Q31""))"),6284.277999999999)</f>
        <v>6284.278</v>
      </c>
      <c r="G558" s="40">
        <f>IFERROR(__xludf.DUMMYFUNCTION("IMPORTRANGE(""https://docs.google.com/spreadsheets/d/1uGXvAN2jA6kmcEHUY4KqOHHewllZsujDdA6KVDfBCoA/edit"",""2!e38"")"),2309.0)</f>
        <v>2309</v>
      </c>
      <c r="H558" s="40">
        <f>IFERROR(__xludf.DUMMYFUNCTION("IMPORTRANGE(""https://docs.google.com/spreadsheets/d/1uGXvAN2jA6kmcEHUY4KqOHHewllZsujDdA6KVDfBCoA/edit"",""2!e39"")"),0.0)</f>
        <v>0</v>
      </c>
      <c r="I558" s="40">
        <f t="shared" si="1515"/>
        <v>2309</v>
      </c>
      <c r="J558" s="40">
        <f>IFERROR(__xludf.DUMMYFUNCTION("IMPORTRANGE(""https://docs.google.com/spreadsheets/d/1uGXvAN2jA6kmcEHUY4KqOHHewllZsujDdA6KVDfBCoA/edit"",""2!e42"")"),2749.0)</f>
        <v>2749</v>
      </c>
      <c r="K558" s="40">
        <f>IFERROR(__xludf.DUMMYFUNCTION("IMPORTRANGE(""https://docs.google.com/spreadsheets/d/1uGXvAN2jA6kmcEHUY4KqOHHewllZsujDdA6KVDfBCoA/edit"",""2!e43"")"),159.0)</f>
        <v>159</v>
      </c>
      <c r="L558" s="40">
        <f t="shared" si="1545"/>
        <v>2908</v>
      </c>
      <c r="M558" s="40">
        <f t="shared" si="1517"/>
        <v>5217</v>
      </c>
      <c r="N558" s="41">
        <f t="shared" si="1518"/>
        <v>209.4759333</v>
      </c>
      <c r="O558" s="38">
        <v>8345.0</v>
      </c>
      <c r="P558" s="42">
        <f t="shared" si="1519"/>
        <v>0.6251647693</v>
      </c>
      <c r="Q558" s="43">
        <v>1.5</v>
      </c>
      <c r="R558" s="42">
        <f t="shared" si="1520"/>
        <v>0.5534446439</v>
      </c>
      <c r="S558" s="44">
        <f t="shared" si="1521"/>
        <v>0.8301669659</v>
      </c>
      <c r="T558" s="43">
        <f>F558/41.205</f>
        <v>152.5125106</v>
      </c>
      <c r="U558" s="43">
        <f t="shared" si="1522"/>
        <v>5.083750354</v>
      </c>
      <c r="V558" s="40">
        <f t="shared" si="1523"/>
        <v>173.9</v>
      </c>
      <c r="X558" s="46" t="s">
        <v>33</v>
      </c>
      <c r="Y558" s="46">
        <v>6.0</v>
      </c>
      <c r="Z558" s="46">
        <f t="shared" ref="Z558:AI558" si="1554">SUM(Z552:Z557)</f>
        <v>226</v>
      </c>
      <c r="AA558" s="47">
        <f t="shared" si="1554"/>
        <v>224</v>
      </c>
      <c r="AB558" s="49">
        <f t="shared" si="1554"/>
        <v>44187.784</v>
      </c>
      <c r="AC558" s="47">
        <f t="shared" si="1554"/>
        <v>18291</v>
      </c>
      <c r="AD558" s="47">
        <f t="shared" si="1554"/>
        <v>143</v>
      </c>
      <c r="AE558" s="47">
        <f t="shared" si="1554"/>
        <v>18434</v>
      </c>
      <c r="AF558" s="47">
        <f t="shared" si="1554"/>
        <v>22964</v>
      </c>
      <c r="AG558" s="47">
        <f t="shared" si="1554"/>
        <v>334</v>
      </c>
      <c r="AH558" s="47">
        <f t="shared" si="1554"/>
        <v>23298</v>
      </c>
      <c r="AI558" s="47">
        <f t="shared" si="1554"/>
        <v>41732</v>
      </c>
      <c r="AJ558" s="49">
        <f t="shared" si="1535"/>
        <v>197.2668929</v>
      </c>
      <c r="AK558" s="46">
        <f>SUM(AK552:AK557)</f>
        <v>53273</v>
      </c>
      <c r="AL558" s="50">
        <f t="shared" si="1537"/>
        <v>0.7833611773</v>
      </c>
      <c r="AM558" s="51">
        <v>1.5</v>
      </c>
      <c r="AN558" s="50">
        <f t="shared" si="1539"/>
        <v>0.6296159439</v>
      </c>
      <c r="AO558" s="52">
        <f t="shared" si="1540"/>
        <v>0.9444239159</v>
      </c>
      <c r="AP558" s="51">
        <f>SUM(AP552:AP557)</f>
        <v>1450.497236</v>
      </c>
      <c r="AQ558" s="51">
        <f>AP558/AA558</f>
        <v>6.475434089</v>
      </c>
      <c r="AR558" s="47">
        <f t="shared" si="1542"/>
        <v>186.3035714</v>
      </c>
    </row>
    <row r="559" ht="15.75" customHeight="1">
      <c r="A559" s="21"/>
      <c r="B559" s="38">
        <v>14.0</v>
      </c>
      <c r="C559" s="38" t="s">
        <v>27</v>
      </c>
      <c r="D559" s="39">
        <v>30.0</v>
      </c>
      <c r="E559" s="40">
        <f>IFERROR(__xludf.DUMMYFUNCTION("COUNT(IMPORTRANGE(""https://docs.google.com/spreadsheets/d/1iYtf3wkjJIgOL8ej0-L89wY8FLXKi6EiRbi9UqA1Bzw/edit"",""2!d2:d31""))"),28.0)</f>
        <v>28</v>
      </c>
      <c r="F559" s="45">
        <f>IFERROR(__xludf.DUMMYFUNCTION("SUM(IMPORTRANGE(""https://docs.google.com/spreadsheets/d/1iYtf3wkjJIgOL8ej0-L89wY8FLXKi6EiRbi9UqA1Bzw/edit"",""2!Q2:Q31""))"),5465.76)</f>
        <v>5465.76</v>
      </c>
      <c r="G559" s="40">
        <f>IFERROR(__xludf.DUMMYFUNCTION("IMPORTRANGE(""https://docs.google.com/spreadsheets/d/1iYtf3wkjJIgOL8ej0-L89wY8FLXKi6EiRbi9UqA1Bzw/edit"",""2!e38"")"),2368.0)</f>
        <v>2368</v>
      </c>
      <c r="H559" s="40">
        <f>IFERROR(__xludf.DUMMYFUNCTION("IMPORTRANGE(""https://docs.google.com/spreadsheets/d/1iYtf3wkjJIgOL8ej0-L89wY8FLXKi6EiRbi9UqA1Bzw/edit"",""2!e39"")"),140.0)</f>
        <v>140</v>
      </c>
      <c r="I559" s="40">
        <f t="shared" si="1515"/>
        <v>2508</v>
      </c>
      <c r="J559" s="40">
        <f>IFERROR(__xludf.DUMMYFUNCTION("IMPORTRANGE(""https://docs.google.com/spreadsheets/d/1iYtf3wkjJIgOL8ej0-L89wY8FLXKi6EiRbi9UqA1Bzw/edit"",""2!e42"")"),3355.0)</f>
        <v>3355</v>
      </c>
      <c r="K559" s="40">
        <f>IFERROR(__xludf.DUMMYFUNCTION("IMPORTRANGE(""https://docs.google.com/spreadsheets/d/1iYtf3wkjJIgOL8ej0-L89wY8FLXKi6EiRbi9UqA1Bzw/edit"",""2!e43"")"),107.0)</f>
        <v>107</v>
      </c>
      <c r="L559" s="40">
        <f t="shared" si="1545"/>
        <v>3462</v>
      </c>
      <c r="M559" s="40">
        <f t="shared" si="1517"/>
        <v>5970</v>
      </c>
      <c r="N559" s="41">
        <f t="shared" si="1518"/>
        <v>195.2057143</v>
      </c>
      <c r="O559" s="38">
        <v>8101.0</v>
      </c>
      <c r="P559" s="42">
        <f t="shared" si="1519"/>
        <v>0.736946056</v>
      </c>
      <c r="Q559" s="43">
        <v>1.5</v>
      </c>
      <c r="R559" s="42">
        <f t="shared" si="1520"/>
        <v>0.7281695501</v>
      </c>
      <c r="S559" s="44">
        <f t="shared" si="1521"/>
        <v>1.092254325</v>
      </c>
      <c r="T559" s="43">
        <f>F559/19.985</f>
        <v>273.4931198</v>
      </c>
      <c r="U559" s="43">
        <f t="shared" si="1522"/>
        <v>9.767611423</v>
      </c>
      <c r="V559" s="40">
        <f t="shared" si="1523"/>
        <v>213.2142857</v>
      </c>
      <c r="X559" s="59" t="s">
        <v>44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6"/>
    </row>
    <row r="560" ht="15.75" customHeight="1">
      <c r="A560" s="21"/>
      <c r="B560" s="38">
        <v>15.0</v>
      </c>
      <c r="C560" s="38" t="s">
        <v>40</v>
      </c>
      <c r="D560" s="39">
        <v>30.0</v>
      </c>
      <c r="E560" s="40">
        <f>IFERROR(__xludf.DUMMYFUNCTION("COUNT(IMPORTRANGE(""https://docs.google.com/spreadsheets/d/1Wdf8MsoDBzMSsrzOXwaGQzbVjVqOWfKSqYmbncevZgA/edit"",""2!d2:d31""))"),30.0)</f>
        <v>30</v>
      </c>
      <c r="F560" s="45">
        <f>IFERROR(__xludf.DUMMYFUNCTION("SUM(IMPORTRANGE(""https://docs.google.com/spreadsheets/d/1Wdf8MsoDBzMSsrzOXwaGQzbVjVqOWfKSqYmbncevZgA/edit"",""2!Q2:Q31""))"),5845.702999999999)</f>
        <v>5845.703</v>
      </c>
      <c r="G560" s="40">
        <f>IFERROR(__xludf.DUMMYFUNCTION("IMPORTRANGE(""https://docs.google.com/spreadsheets/d/1Wdf8MsoDBzMSsrzOXwaGQzbVjVqOWfKSqYmbncevZgA/edit"",""2!e38"")"),3323.0)</f>
        <v>3323</v>
      </c>
      <c r="H560" s="40">
        <f>IFERROR(__xludf.DUMMYFUNCTION("IMPORTRANGE(""https://docs.google.com/spreadsheets/d/1Wdf8MsoDBzMSsrzOXwaGQzbVjVqOWfKSqYmbncevZgA/edit"",""2!e39"")"),39.0)</f>
        <v>39</v>
      </c>
      <c r="I560" s="40">
        <f t="shared" si="1515"/>
        <v>3362</v>
      </c>
      <c r="J560" s="40">
        <f>IFERROR(__xludf.DUMMYFUNCTION("IMPORTRANGE(""https://docs.google.com/spreadsheets/d/1Wdf8MsoDBzMSsrzOXwaGQzbVjVqOWfKSqYmbncevZgA/edit"",""2!e42"")"),3928.0)</f>
        <v>3928</v>
      </c>
      <c r="K560" s="40">
        <f>IFERROR(__xludf.DUMMYFUNCTION("IMPORTRANGE(""https://docs.google.com/spreadsheets/d/1Wdf8MsoDBzMSsrzOXwaGQzbVjVqOWfKSqYmbncevZgA/edit"",""2!e43"")"),73.0)</f>
        <v>73</v>
      </c>
      <c r="L560" s="40">
        <f t="shared" si="1545"/>
        <v>4001</v>
      </c>
      <c r="M560" s="40">
        <f t="shared" si="1517"/>
        <v>7363</v>
      </c>
      <c r="N560" s="41">
        <f t="shared" si="1518"/>
        <v>194.8567667</v>
      </c>
      <c r="O560" s="38">
        <v>8239.0</v>
      </c>
      <c r="P560" s="42">
        <f t="shared" si="1519"/>
        <v>0.893676417</v>
      </c>
      <c r="Q560" s="43">
        <v>1.5</v>
      </c>
      <c r="R560" s="42">
        <f t="shared" si="1520"/>
        <v>0.8397051076</v>
      </c>
      <c r="S560" s="44">
        <f t="shared" si="1521"/>
        <v>1.259557661</v>
      </c>
      <c r="T560" s="43">
        <f>F560/28.443</f>
        <v>205.5234328</v>
      </c>
      <c r="U560" s="43">
        <f t="shared" si="1522"/>
        <v>6.850781094</v>
      </c>
      <c r="V560" s="40">
        <f t="shared" si="1523"/>
        <v>245.4333333</v>
      </c>
      <c r="X560" s="14" t="s">
        <v>2</v>
      </c>
      <c r="Y560" s="14" t="s">
        <v>3</v>
      </c>
      <c r="Z560" s="14" t="s">
        <v>4</v>
      </c>
      <c r="AA560" s="14" t="s">
        <v>5</v>
      </c>
      <c r="AB560" s="15" t="s">
        <v>6</v>
      </c>
      <c r="AC560" s="14" t="s">
        <v>7</v>
      </c>
      <c r="AD560" s="14" t="s">
        <v>8</v>
      </c>
      <c r="AE560" s="14" t="s">
        <v>9</v>
      </c>
      <c r="AF560" s="14" t="s">
        <v>10</v>
      </c>
      <c r="AG560" s="14" t="s">
        <v>11</v>
      </c>
      <c r="AH560" s="14" t="s">
        <v>12</v>
      </c>
      <c r="AI560" s="14" t="s">
        <v>13</v>
      </c>
      <c r="AJ560" s="15" t="s">
        <v>14</v>
      </c>
      <c r="AK560" s="14" t="s">
        <v>15</v>
      </c>
      <c r="AL560" s="14" t="s">
        <v>16</v>
      </c>
      <c r="AM560" s="16" t="s">
        <v>17</v>
      </c>
      <c r="AN560" s="17" t="s">
        <v>18</v>
      </c>
      <c r="AO560" s="18" t="s">
        <v>19</v>
      </c>
      <c r="AP560" s="19" t="s">
        <v>20</v>
      </c>
      <c r="AQ560" s="19" t="s">
        <v>21</v>
      </c>
      <c r="AR560" s="20" t="s">
        <v>22</v>
      </c>
    </row>
    <row r="561" ht="15.75" customHeight="1">
      <c r="A561" s="21"/>
      <c r="B561" s="38">
        <v>16.0</v>
      </c>
      <c r="C561" s="38" t="s">
        <v>42</v>
      </c>
      <c r="D561" s="39">
        <v>33.0</v>
      </c>
      <c r="E561" s="40">
        <f>IFERROR(__xludf.DUMMYFUNCTION("COUNT(IMPORTRANGE(""https://docs.google.com/spreadsheets/d/1Z5uB5HbeAKcHmG4EOw3rf2J8NpyvDiha6RReERAMvA0/edit"",""2!d2:d34""))"),33.0)</f>
        <v>33</v>
      </c>
      <c r="F561" s="45">
        <f>IFERROR(__xludf.DUMMYFUNCTION("SUM(IMPORTRANGE(""https://docs.google.com/spreadsheets/d/1Z5uB5HbeAKcHmG4EOw3rf2J8NpyvDiha6RReERAMvA0/edit"",""2!Q2:Q34""))"),6380.281999999998)</f>
        <v>6380.282</v>
      </c>
      <c r="G561" s="40">
        <f>IFERROR(__xludf.DUMMYFUNCTION("IMPORTRANGE(""https://docs.google.com/spreadsheets/d/1Z5uB5HbeAKcHmG4EOw3rf2J8NpyvDiha6RReERAMvA0/edit"",""2!e41"")"),3133.0)</f>
        <v>3133</v>
      </c>
      <c r="H561" s="40">
        <f>IFERROR(__xludf.DUMMYFUNCTION("IMPORTRANGE(""https://docs.google.com/spreadsheets/d/1Z5uB5HbeAKcHmG4EOw3rf2J8NpyvDiha6RReERAMvA0/edit"",""2!e42"")"),0.0)</f>
        <v>0</v>
      </c>
      <c r="I561" s="40">
        <f t="shared" si="1515"/>
        <v>3133</v>
      </c>
      <c r="J561" s="40">
        <f>IFERROR(__xludf.DUMMYFUNCTION("IMPORTRANGE(""https://docs.google.com/spreadsheets/d/1Z5uB5HbeAKcHmG4EOw3rf2J8NpyvDiha6RReERAMvA0/edit"",""2!e45"")"),4360.0)</f>
        <v>4360</v>
      </c>
      <c r="K561" s="40">
        <f>IFERROR(__xludf.DUMMYFUNCTION("IMPORTRANGE(""https://docs.google.com/spreadsheets/d/1Z5uB5HbeAKcHmG4EOw3rf2J8NpyvDiha6RReERAMvA0/edit"",""2!e46"")"),0.0)</f>
        <v>0</v>
      </c>
      <c r="L561" s="40">
        <f t="shared" si="1545"/>
        <v>4360</v>
      </c>
      <c r="M561" s="40">
        <f t="shared" si="1517"/>
        <v>7493</v>
      </c>
      <c r="N561" s="41">
        <f t="shared" si="1518"/>
        <v>193.3418788</v>
      </c>
      <c r="O561" s="38">
        <v>9877.0</v>
      </c>
      <c r="P561" s="42">
        <f t="shared" si="1519"/>
        <v>0.7586311633</v>
      </c>
      <c r="Q561" s="43">
        <v>1.5</v>
      </c>
      <c r="R561" s="42">
        <f t="shared" si="1520"/>
        <v>0.782933001</v>
      </c>
      <c r="S561" s="44">
        <f t="shared" si="1521"/>
        <v>1.174399501</v>
      </c>
      <c r="T561" s="43">
        <f>F561/26.155</f>
        <v>243.9411967</v>
      </c>
      <c r="U561" s="43">
        <f t="shared" si="1522"/>
        <v>7.392157476</v>
      </c>
      <c r="V561" s="40">
        <f t="shared" si="1523"/>
        <v>227.0606061</v>
      </c>
      <c r="X561" s="31">
        <v>1.0</v>
      </c>
      <c r="Y561" s="31" t="s">
        <v>26</v>
      </c>
      <c r="Z561" s="31">
        <f t="shared" ref="Z561:AI561" si="1555">SUM(D546)</f>
        <v>20</v>
      </c>
      <c r="AA561" s="32">
        <f t="shared" si="1555"/>
        <v>20</v>
      </c>
      <c r="AB561" s="34">
        <f t="shared" si="1555"/>
        <v>3560.964</v>
      </c>
      <c r="AC561" s="32">
        <f t="shared" si="1555"/>
        <v>1873</v>
      </c>
      <c r="AD561" s="32">
        <f t="shared" si="1555"/>
        <v>0</v>
      </c>
      <c r="AE561" s="32">
        <f t="shared" si="1555"/>
        <v>1873</v>
      </c>
      <c r="AF561" s="32">
        <f t="shared" si="1555"/>
        <v>3204</v>
      </c>
      <c r="AG561" s="32">
        <f t="shared" si="1555"/>
        <v>0</v>
      </c>
      <c r="AH561" s="32">
        <f t="shared" si="1555"/>
        <v>3204</v>
      </c>
      <c r="AI561" s="32">
        <f t="shared" si="1555"/>
        <v>5077</v>
      </c>
      <c r="AJ561" s="34">
        <f t="shared" ref="AJ561:AJ567" si="1558">AB561/AA561</f>
        <v>178.0482</v>
      </c>
      <c r="AK561" s="31">
        <f>SUM(O546)</f>
        <v>5161</v>
      </c>
      <c r="AL561" s="35">
        <f t="shared" ref="AL561:AL567" si="1559">AI561/AK561</f>
        <v>0.9837240845</v>
      </c>
      <c r="AM561" s="36">
        <f>SUM(Q546)</f>
        <v>1.5</v>
      </c>
      <c r="AN561" s="35">
        <f t="shared" ref="AN561:AN567" si="1560">AO561/AM561</f>
        <v>0.9504916833</v>
      </c>
      <c r="AO561" s="37">
        <f t="shared" ref="AO561:AO567" si="1561">AI561/AB561</f>
        <v>1.425737525</v>
      </c>
      <c r="AP561" s="36">
        <f t="shared" ref="AP561:AQ561" si="1556">SUM(T546)</f>
        <v>247.0318418</v>
      </c>
      <c r="AQ561" s="36">
        <f t="shared" si="1556"/>
        <v>12.35159209</v>
      </c>
      <c r="AR561" s="32">
        <f t="shared" ref="AR561:AR567" si="1563">AI561/AA561</f>
        <v>253.85</v>
      </c>
    </row>
    <row r="562" ht="15.75" customHeight="1">
      <c r="A562" s="21"/>
      <c r="B562" s="38">
        <v>17.0</v>
      </c>
      <c r="C562" s="38" t="s">
        <v>29</v>
      </c>
      <c r="D562" s="39">
        <v>30.0</v>
      </c>
      <c r="E562" s="40">
        <f>IFERROR(__xludf.DUMMYFUNCTION("COUNT(IMPORTRANGE(""https://docs.google.com/spreadsheets/d/1wfJqI0e9wVPqEQv3N6b8KgINjqI0OBECEyIFeY9j3i8/edit"",""2!d2:d31""))"),29.0)</f>
        <v>29</v>
      </c>
      <c r="F562" s="45">
        <f>IFERROR(__xludf.DUMMYFUNCTION("SUM(IMPORTRANGE(""https://docs.google.com/spreadsheets/d/1wfJqI0e9wVPqEQv3N6b8KgINjqI0OBECEyIFeY9j3i8/edit"",""2!Q2:Q31""))"),5775.037999999998)</f>
        <v>5775.038</v>
      </c>
      <c r="G562" s="40">
        <f>IFERROR(__xludf.DUMMYFUNCTION("IMPORTRANGE(""https://docs.google.com/spreadsheets/d/1wfJqI0e9wVPqEQv3N6b8KgINjqI0OBECEyIFeY9j3i8/edit"",""2!e38"")"),2726.0)</f>
        <v>2726</v>
      </c>
      <c r="H562" s="40">
        <f>IFERROR(__xludf.DUMMYFUNCTION("IMPORTRANGE(""https://docs.google.com/spreadsheets/d/1wfJqI0e9wVPqEQv3N6b8KgINjqI0OBECEyIFeY9j3i8/edit"",""2!e39"")"),0.0)</f>
        <v>0</v>
      </c>
      <c r="I562" s="40">
        <f t="shared" si="1515"/>
        <v>2726</v>
      </c>
      <c r="J562" s="40">
        <f>IFERROR(__xludf.DUMMYFUNCTION("IMPORTRANGE(""https://docs.google.com/spreadsheets/d/1wfJqI0e9wVPqEQv3N6b8KgINjqI0OBECEyIFeY9j3i8/edit"",""2!e42"")"),4235.0)</f>
        <v>4235</v>
      </c>
      <c r="K562" s="40">
        <f>IFERROR(__xludf.DUMMYFUNCTION("IMPORTRANGE(""https://docs.google.com/spreadsheets/d/1wfJqI0e9wVPqEQv3N6b8KgINjqI0OBECEyIFeY9j3i8/edit"",""2!e43"")"),0.0)</f>
        <v>0</v>
      </c>
      <c r="L562" s="40">
        <f t="shared" si="1545"/>
        <v>4235</v>
      </c>
      <c r="M562" s="40">
        <f t="shared" si="1517"/>
        <v>6961</v>
      </c>
      <c r="N562" s="41">
        <f t="shared" si="1518"/>
        <v>199.1392414</v>
      </c>
      <c r="O562" s="38">
        <v>9201.0</v>
      </c>
      <c r="P562" s="42">
        <f t="shared" si="1519"/>
        <v>0.7565482013</v>
      </c>
      <c r="Q562" s="43">
        <v>1.5</v>
      </c>
      <c r="R562" s="42">
        <f t="shared" si="1520"/>
        <v>0.803573356</v>
      </c>
      <c r="S562" s="44">
        <f t="shared" si="1521"/>
        <v>1.205360034</v>
      </c>
      <c r="T562" s="43">
        <f>F562/26.491</f>
        <v>218</v>
      </c>
      <c r="U562" s="43">
        <f t="shared" si="1522"/>
        <v>7.517241379</v>
      </c>
      <c r="V562" s="40">
        <f t="shared" si="1523"/>
        <v>240.0344828</v>
      </c>
      <c r="X562" s="31">
        <v>2.0</v>
      </c>
      <c r="Y562" s="31" t="s">
        <v>32</v>
      </c>
      <c r="Z562" s="31">
        <f t="shared" ref="Z562:AI562" si="1557">SUM(D549)</f>
        <v>42</v>
      </c>
      <c r="AA562" s="32">
        <f t="shared" si="1557"/>
        <v>42</v>
      </c>
      <c r="AB562" s="33">
        <f t="shared" si="1557"/>
        <v>8179.014</v>
      </c>
      <c r="AC562" s="31">
        <f t="shared" si="1557"/>
        <v>4808</v>
      </c>
      <c r="AD562" s="31">
        <f t="shared" si="1557"/>
        <v>0</v>
      </c>
      <c r="AE562" s="32">
        <f t="shared" si="1557"/>
        <v>4808</v>
      </c>
      <c r="AF562" s="31">
        <f t="shared" si="1557"/>
        <v>5449</v>
      </c>
      <c r="AG562" s="31">
        <f t="shared" si="1557"/>
        <v>190</v>
      </c>
      <c r="AH562" s="32">
        <f t="shared" si="1557"/>
        <v>5639</v>
      </c>
      <c r="AI562" s="32">
        <f t="shared" si="1557"/>
        <v>10447</v>
      </c>
      <c r="AJ562" s="34">
        <f t="shared" si="1558"/>
        <v>194.7384286</v>
      </c>
      <c r="AK562" s="31">
        <f>SUM(O549)</f>
        <v>13817</v>
      </c>
      <c r="AL562" s="35">
        <f t="shared" si="1559"/>
        <v>0.756097561</v>
      </c>
      <c r="AM562" s="36">
        <f>SUM(Q549)</f>
        <v>1.5</v>
      </c>
      <c r="AN562" s="35">
        <f t="shared" si="1560"/>
        <v>0.8515288844</v>
      </c>
      <c r="AO562" s="37">
        <f t="shared" si="1561"/>
        <v>1.277293327</v>
      </c>
      <c r="AP562" s="36">
        <f t="shared" ref="AP562:AQ562" si="1562">SUM(T549)</f>
        <v>326</v>
      </c>
      <c r="AQ562" s="36">
        <f t="shared" si="1562"/>
        <v>7.761904762</v>
      </c>
      <c r="AR562" s="32">
        <f t="shared" si="1563"/>
        <v>248.7380952</v>
      </c>
    </row>
    <row r="563" ht="15.75" customHeight="1">
      <c r="A563" s="21"/>
      <c r="B563" s="38">
        <v>18.0</v>
      </c>
      <c r="C563" s="38" t="s">
        <v>31</v>
      </c>
      <c r="D563" s="39">
        <v>15.0</v>
      </c>
      <c r="E563" s="40">
        <f>IFERROR(__xludf.DUMMYFUNCTION("COUNT(IMPORTRANGE(""https://docs.google.com/spreadsheets/d/1-y2KhTAo7d8kowgUuWUDfRQuRMUAFteRYEXorT3_wOs/edit"",""2!d2:d16""))"),13.0)</f>
        <v>13</v>
      </c>
      <c r="F563" s="41">
        <f>IFERROR(__xludf.DUMMYFUNCTION("SUM(IMPORTRANGE(""https://docs.google.com/spreadsheets/d/1-y2KhTAo7d8kowgUuWUDfRQuRMUAFteRYEXorT3_wOs/edit"",""2!Q2:Q16""))"),2607.9000000000005)</f>
        <v>2607.9</v>
      </c>
      <c r="G563" s="40">
        <f>IFERROR(__xludf.DUMMYFUNCTION("IMPORTRANGE(""https://docs.google.com/spreadsheets/d/1-y2KhTAo7d8kowgUuWUDfRQuRMUAFteRYEXorT3_wOs/edit"",""2!e23"")"),870.0)</f>
        <v>870</v>
      </c>
      <c r="H563" s="40">
        <f>IFERROR(__xludf.DUMMYFUNCTION("IMPORTRANGE(""https://docs.google.com/spreadsheets/d/1-y2KhTAo7d8kowgUuWUDfRQuRMUAFteRYEXorT3_wOs/edit"",""2!e24"")"),0.0)</f>
        <v>0</v>
      </c>
      <c r="I563" s="40">
        <f t="shared" si="1515"/>
        <v>870</v>
      </c>
      <c r="J563" s="40">
        <f>IFERROR(__xludf.DUMMYFUNCTION("IMPORTRANGE(""https://docs.google.com/spreadsheets/d/1-y2KhTAo7d8kowgUuWUDfRQuRMUAFteRYEXorT3_wOs/edit"",""2!e27"")"),975.0)</f>
        <v>975</v>
      </c>
      <c r="K563" s="40">
        <f>IFERROR(__xludf.DUMMYFUNCTION("IMPORTRANGE(""https://docs.google.com/spreadsheets/d/1-y2KhTAo7d8kowgUuWUDfRQuRMUAFteRYEXorT3_wOs/edit"",""2!e28"")"),55.0)</f>
        <v>55</v>
      </c>
      <c r="L563" s="40">
        <f t="shared" si="1545"/>
        <v>1030</v>
      </c>
      <c r="M563" s="40">
        <f t="shared" si="1517"/>
        <v>1900</v>
      </c>
      <c r="N563" s="41">
        <f t="shared" si="1518"/>
        <v>200.6076923</v>
      </c>
      <c r="O563" s="38">
        <v>2717.0</v>
      </c>
      <c r="P563" s="42">
        <f t="shared" si="1519"/>
        <v>0.6993006993</v>
      </c>
      <c r="Q563" s="43">
        <v>1.5</v>
      </c>
      <c r="R563" s="42">
        <f t="shared" si="1520"/>
        <v>0.4857036952</v>
      </c>
      <c r="S563" s="44">
        <f t="shared" si="1521"/>
        <v>0.7285555428</v>
      </c>
      <c r="T563" s="43">
        <f>F563/43.465</f>
        <v>60</v>
      </c>
      <c r="U563" s="43">
        <f t="shared" si="1522"/>
        <v>4.615384615</v>
      </c>
      <c r="V563" s="40">
        <f t="shared" si="1523"/>
        <v>146.1538462</v>
      </c>
      <c r="X563" s="31">
        <v>3.0</v>
      </c>
      <c r="Y563" s="31" t="s">
        <v>36</v>
      </c>
      <c r="Z563" s="31">
        <f t="shared" ref="Z563:AI563" si="1564">SUM(D554)</f>
        <v>30</v>
      </c>
      <c r="AA563" s="32">
        <f t="shared" si="1564"/>
        <v>29</v>
      </c>
      <c r="AB563" s="33">
        <f t="shared" si="1564"/>
        <v>5604.12</v>
      </c>
      <c r="AC563" s="32">
        <f t="shared" si="1564"/>
        <v>1533</v>
      </c>
      <c r="AD563" s="32">
        <f t="shared" si="1564"/>
        <v>0</v>
      </c>
      <c r="AE563" s="32">
        <f t="shared" si="1564"/>
        <v>1533</v>
      </c>
      <c r="AF563" s="32">
        <f t="shared" si="1564"/>
        <v>2301</v>
      </c>
      <c r="AG563" s="32">
        <f t="shared" si="1564"/>
        <v>0</v>
      </c>
      <c r="AH563" s="32">
        <f t="shared" si="1564"/>
        <v>2301</v>
      </c>
      <c r="AI563" s="32">
        <f t="shared" si="1564"/>
        <v>3834</v>
      </c>
      <c r="AJ563" s="34">
        <f t="shared" si="1558"/>
        <v>193.2455172</v>
      </c>
      <c r="AK563" s="31">
        <f t="shared" ref="AK563:AK566" si="1568">SUM(O554)</f>
        <v>4796</v>
      </c>
      <c r="AL563" s="35">
        <f t="shared" si="1559"/>
        <v>0.7994161802</v>
      </c>
      <c r="AM563" s="36">
        <f t="shared" ref="AM563:AM566" si="1569">SUM(Q554)</f>
        <v>1.5</v>
      </c>
      <c r="AN563" s="35">
        <f t="shared" si="1560"/>
        <v>0.4560930173</v>
      </c>
      <c r="AO563" s="37">
        <f t="shared" si="1561"/>
        <v>0.6841395259</v>
      </c>
      <c r="AP563" s="36">
        <f t="shared" ref="AP563:AQ563" si="1565">SUM(T554)</f>
        <v>149.7867109</v>
      </c>
      <c r="AQ563" s="36">
        <f t="shared" si="1565"/>
        <v>5.165058995</v>
      </c>
      <c r="AR563" s="32">
        <f t="shared" si="1563"/>
        <v>132.2068966</v>
      </c>
    </row>
    <row r="564" ht="15.75" customHeight="1">
      <c r="A564" s="21"/>
      <c r="B564" s="60" t="s">
        <v>33</v>
      </c>
      <c r="C564" s="60">
        <v>18.0</v>
      </c>
      <c r="D564" s="60">
        <f t="shared" ref="D564:M564" si="1566">SUM(D546:D563)</f>
        <v>586</v>
      </c>
      <c r="E564" s="61">
        <f t="shared" si="1566"/>
        <v>576</v>
      </c>
      <c r="F564" s="62">
        <f t="shared" si="1566"/>
        <v>112418.192</v>
      </c>
      <c r="G564" s="61">
        <f t="shared" si="1566"/>
        <v>43479</v>
      </c>
      <c r="H564" s="61">
        <f t="shared" si="1566"/>
        <v>764</v>
      </c>
      <c r="I564" s="61">
        <f t="shared" si="1566"/>
        <v>44243</v>
      </c>
      <c r="J564" s="61">
        <f t="shared" si="1566"/>
        <v>56392</v>
      </c>
      <c r="K564" s="61">
        <f t="shared" si="1566"/>
        <v>1134</v>
      </c>
      <c r="L564" s="61">
        <f t="shared" si="1566"/>
        <v>57526</v>
      </c>
      <c r="M564" s="61">
        <f t="shared" si="1566"/>
        <v>101769</v>
      </c>
      <c r="N564" s="62">
        <f t="shared" si="1518"/>
        <v>195.1704722</v>
      </c>
      <c r="O564" s="60">
        <f>SUM(O546:O563)</f>
        <v>126399</v>
      </c>
      <c r="P564" s="63">
        <f t="shared" si="1519"/>
        <v>0.8051408635</v>
      </c>
      <c r="Q564" s="64">
        <v>1.5</v>
      </c>
      <c r="R564" s="63">
        <f t="shared" si="1520"/>
        <v>0.6035144205</v>
      </c>
      <c r="S564" s="65">
        <f t="shared" si="1521"/>
        <v>0.9052716308</v>
      </c>
      <c r="T564" s="64">
        <f>SUM(T546:T563)</f>
        <v>4134.025243</v>
      </c>
      <c r="U564" s="64">
        <f t="shared" si="1522"/>
        <v>7.177127158</v>
      </c>
      <c r="V564" s="61">
        <f t="shared" si="1523"/>
        <v>176.6822917</v>
      </c>
      <c r="X564" s="31">
        <v>4.0</v>
      </c>
      <c r="Y564" s="31" t="s">
        <v>37</v>
      </c>
      <c r="Z564" s="31">
        <f t="shared" ref="Z564:AI564" si="1567">SUM(D555)</f>
        <v>30</v>
      </c>
      <c r="AA564" s="32">
        <f t="shared" si="1567"/>
        <v>30</v>
      </c>
      <c r="AB564" s="33">
        <f t="shared" si="1567"/>
        <v>5812.188</v>
      </c>
      <c r="AC564" s="32">
        <f t="shared" si="1567"/>
        <v>2138</v>
      </c>
      <c r="AD564" s="32">
        <f t="shared" si="1567"/>
        <v>0</v>
      </c>
      <c r="AE564" s="32">
        <f t="shared" si="1567"/>
        <v>2138</v>
      </c>
      <c r="AF564" s="32">
        <f t="shared" si="1567"/>
        <v>3071</v>
      </c>
      <c r="AG564" s="32">
        <f t="shared" si="1567"/>
        <v>0</v>
      </c>
      <c r="AH564" s="32">
        <f t="shared" si="1567"/>
        <v>3071</v>
      </c>
      <c r="AI564" s="32">
        <f t="shared" si="1567"/>
        <v>5209</v>
      </c>
      <c r="AJ564" s="34">
        <f t="shared" si="1558"/>
        <v>193.7396</v>
      </c>
      <c r="AK564" s="31">
        <f t="shared" si="1568"/>
        <v>5887</v>
      </c>
      <c r="AL564" s="35">
        <f t="shared" si="1559"/>
        <v>0.8848309835</v>
      </c>
      <c r="AM564" s="36">
        <f t="shared" si="1569"/>
        <v>1.5</v>
      </c>
      <c r="AN564" s="35">
        <f t="shared" si="1560"/>
        <v>0.5974800999</v>
      </c>
      <c r="AO564" s="37">
        <f t="shared" si="1561"/>
        <v>0.8962201498</v>
      </c>
      <c r="AP564" s="36">
        <f t="shared" ref="AP564:AQ564" si="1570">SUM(T555)</f>
        <v>234.4380445</v>
      </c>
      <c r="AQ564" s="36">
        <f t="shared" si="1570"/>
        <v>7.814601484</v>
      </c>
      <c r="AR564" s="32">
        <f t="shared" si="1563"/>
        <v>173.6333333</v>
      </c>
    </row>
    <row r="565" ht="15.7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X565" s="31">
        <v>5.0</v>
      </c>
      <c r="Y565" s="31" t="s">
        <v>39</v>
      </c>
      <c r="Z565" s="31">
        <f t="shared" ref="Z565:AI565" si="1571">SUM(D556)</f>
        <v>28</v>
      </c>
      <c r="AA565" s="32">
        <f t="shared" si="1571"/>
        <v>28</v>
      </c>
      <c r="AB565" s="33">
        <f t="shared" si="1571"/>
        <v>5458.878</v>
      </c>
      <c r="AC565" s="32">
        <f t="shared" si="1571"/>
        <v>1516</v>
      </c>
      <c r="AD565" s="32">
        <f t="shared" si="1571"/>
        <v>43</v>
      </c>
      <c r="AE565" s="32">
        <f t="shared" si="1571"/>
        <v>1559</v>
      </c>
      <c r="AF565" s="32">
        <f t="shared" si="1571"/>
        <v>1765</v>
      </c>
      <c r="AG565" s="32">
        <f t="shared" si="1571"/>
        <v>115</v>
      </c>
      <c r="AH565" s="32">
        <f t="shared" si="1571"/>
        <v>1880</v>
      </c>
      <c r="AI565" s="32">
        <f t="shared" si="1571"/>
        <v>3439</v>
      </c>
      <c r="AJ565" s="34">
        <f t="shared" si="1558"/>
        <v>194.9599286</v>
      </c>
      <c r="AK565" s="31">
        <f t="shared" si="1568"/>
        <v>3569</v>
      </c>
      <c r="AL565" s="35">
        <f t="shared" si="1559"/>
        <v>0.9635752312</v>
      </c>
      <c r="AM565" s="36">
        <f t="shared" si="1569"/>
        <v>1.5</v>
      </c>
      <c r="AN565" s="35">
        <f t="shared" si="1560"/>
        <v>0.4199886253</v>
      </c>
      <c r="AO565" s="37">
        <f t="shared" si="1561"/>
        <v>0.6299829379</v>
      </c>
      <c r="AP565" s="36">
        <f t="shared" ref="AP565:AQ565" si="1572">SUM(T556)</f>
        <v>254.339002</v>
      </c>
      <c r="AQ565" s="36">
        <f t="shared" si="1572"/>
        <v>9.083535786</v>
      </c>
      <c r="AR565" s="32">
        <f t="shared" si="1563"/>
        <v>122.8214286</v>
      </c>
    </row>
    <row r="566" ht="15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X566" s="31">
        <v>6.0</v>
      </c>
      <c r="Y566" s="31" t="s">
        <v>41</v>
      </c>
      <c r="Z566" s="31">
        <f t="shared" ref="Z566:AI566" si="1573">SUM(D557)</f>
        <v>24</v>
      </c>
      <c r="AA566" s="32">
        <f t="shared" si="1573"/>
        <v>24</v>
      </c>
      <c r="AB566" s="33">
        <f t="shared" si="1573"/>
        <v>4806.32</v>
      </c>
      <c r="AC566" s="32">
        <f t="shared" si="1573"/>
        <v>1468</v>
      </c>
      <c r="AD566" s="32">
        <f t="shared" si="1573"/>
        <v>0</v>
      </c>
      <c r="AE566" s="32">
        <f t="shared" si="1573"/>
        <v>1468</v>
      </c>
      <c r="AF566" s="32">
        <f t="shared" si="1573"/>
        <v>1656</v>
      </c>
      <c r="AG566" s="32">
        <f t="shared" si="1573"/>
        <v>0</v>
      </c>
      <c r="AH566" s="32">
        <f t="shared" si="1573"/>
        <v>1656</v>
      </c>
      <c r="AI566" s="32">
        <f t="shared" si="1573"/>
        <v>3124</v>
      </c>
      <c r="AJ566" s="34">
        <f t="shared" si="1558"/>
        <v>200.2633333</v>
      </c>
      <c r="AK566" s="31">
        <f t="shared" si="1568"/>
        <v>3801</v>
      </c>
      <c r="AL566" s="35">
        <f t="shared" si="1559"/>
        <v>0.8218889766</v>
      </c>
      <c r="AM566" s="36">
        <f t="shared" si="1569"/>
        <v>1.5</v>
      </c>
      <c r="AN566" s="35">
        <f t="shared" si="1560"/>
        <v>0.4333183531</v>
      </c>
      <c r="AO566" s="37">
        <f t="shared" si="1561"/>
        <v>0.6499775296</v>
      </c>
      <c r="AP566" s="36">
        <f t="shared" ref="AP566:AQ566" si="1574">SUM(T557)</f>
        <v>162.2222222</v>
      </c>
      <c r="AQ566" s="36">
        <f t="shared" si="1574"/>
        <v>6.759259259</v>
      </c>
      <c r="AR566" s="32">
        <f t="shared" si="1563"/>
        <v>130.1666667</v>
      </c>
    </row>
    <row r="567" ht="15.75" customHeight="1">
      <c r="A567" s="1" t="s">
        <v>45</v>
      </c>
      <c r="D567" s="2"/>
      <c r="X567" s="46" t="s">
        <v>33</v>
      </c>
      <c r="Y567" s="46">
        <v>6.0</v>
      </c>
      <c r="Z567" s="46">
        <f t="shared" ref="Z567:AI567" si="1575">SUM(Z561:Z566)</f>
        <v>174</v>
      </c>
      <c r="AA567" s="47">
        <f t="shared" si="1575"/>
        <v>173</v>
      </c>
      <c r="AB567" s="49">
        <f t="shared" si="1575"/>
        <v>33421.484</v>
      </c>
      <c r="AC567" s="47">
        <f t="shared" si="1575"/>
        <v>13336</v>
      </c>
      <c r="AD567" s="47">
        <f t="shared" si="1575"/>
        <v>43</v>
      </c>
      <c r="AE567" s="47">
        <f t="shared" si="1575"/>
        <v>13379</v>
      </c>
      <c r="AF567" s="47">
        <f t="shared" si="1575"/>
        <v>17446</v>
      </c>
      <c r="AG567" s="47">
        <f t="shared" si="1575"/>
        <v>305</v>
      </c>
      <c r="AH567" s="47">
        <f t="shared" si="1575"/>
        <v>17751</v>
      </c>
      <c r="AI567" s="47">
        <f t="shared" si="1575"/>
        <v>31130</v>
      </c>
      <c r="AJ567" s="49">
        <f t="shared" si="1558"/>
        <v>193.1877688</v>
      </c>
      <c r="AK567" s="46">
        <f>SUM(AK561:AK566)</f>
        <v>37031</v>
      </c>
      <c r="AL567" s="50">
        <f t="shared" si="1559"/>
        <v>0.8406470255</v>
      </c>
      <c r="AM567" s="51">
        <v>1.5</v>
      </c>
      <c r="AN567" s="50">
        <f t="shared" si="1560"/>
        <v>0.6209578645</v>
      </c>
      <c r="AO567" s="52">
        <f t="shared" si="1561"/>
        <v>0.9314367968</v>
      </c>
      <c r="AP567" s="51">
        <f>SUM(AP561:AP566)</f>
        <v>1373.817821</v>
      </c>
      <c r="AQ567" s="51">
        <f>AP567/AA567</f>
        <v>7.941143477</v>
      </c>
      <c r="AR567" s="47">
        <f t="shared" si="1563"/>
        <v>179.9421965</v>
      </c>
    </row>
    <row r="568" ht="15.75" customHeight="1">
      <c r="A568" s="1" t="s">
        <v>45</v>
      </c>
      <c r="D568" s="2"/>
      <c r="X568" s="66" t="s">
        <v>1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6"/>
    </row>
    <row r="569" ht="15.75" customHeight="1">
      <c r="A569" s="7">
        <v>46287.0</v>
      </c>
      <c r="B569" s="8" t="s">
        <v>2</v>
      </c>
      <c r="C569" s="8" t="s">
        <v>3</v>
      </c>
      <c r="D569" s="8" t="s">
        <v>4</v>
      </c>
      <c r="E569" s="8" t="s">
        <v>5</v>
      </c>
      <c r="F569" s="9" t="s">
        <v>6</v>
      </c>
      <c r="G569" s="8" t="s">
        <v>7</v>
      </c>
      <c r="H569" s="8" t="s">
        <v>8</v>
      </c>
      <c r="I569" s="8" t="s">
        <v>9</v>
      </c>
      <c r="J569" s="8" t="s">
        <v>10</v>
      </c>
      <c r="K569" s="8" t="s">
        <v>11</v>
      </c>
      <c r="L569" s="8" t="s">
        <v>12</v>
      </c>
      <c r="M569" s="8" t="s">
        <v>13</v>
      </c>
      <c r="N569" s="9" t="s">
        <v>14</v>
      </c>
      <c r="O569" s="8" t="s">
        <v>15</v>
      </c>
      <c r="P569" s="8" t="s">
        <v>16</v>
      </c>
      <c r="Q569" s="8" t="s">
        <v>17</v>
      </c>
      <c r="R569" s="8" t="s">
        <v>18</v>
      </c>
      <c r="S569" s="11" t="s">
        <v>19</v>
      </c>
      <c r="T569" s="12" t="s">
        <v>20</v>
      </c>
      <c r="U569" s="12" t="s">
        <v>21</v>
      </c>
      <c r="V569" s="13" t="s">
        <v>22</v>
      </c>
      <c r="X569" s="14" t="s">
        <v>2</v>
      </c>
      <c r="Y569" s="14" t="s">
        <v>3</v>
      </c>
      <c r="Z569" s="14" t="s">
        <v>4</v>
      </c>
      <c r="AA569" s="14" t="s">
        <v>5</v>
      </c>
      <c r="AB569" s="15" t="s">
        <v>6</v>
      </c>
      <c r="AC569" s="14" t="s">
        <v>7</v>
      </c>
      <c r="AD569" s="14" t="s">
        <v>8</v>
      </c>
      <c r="AE569" s="14" t="s">
        <v>9</v>
      </c>
      <c r="AF569" s="14" t="s">
        <v>10</v>
      </c>
      <c r="AG569" s="14" t="s">
        <v>11</v>
      </c>
      <c r="AH569" s="14" t="s">
        <v>12</v>
      </c>
      <c r="AI569" s="14" t="s">
        <v>13</v>
      </c>
      <c r="AJ569" s="15" t="s">
        <v>14</v>
      </c>
      <c r="AK569" s="14" t="s">
        <v>15</v>
      </c>
      <c r="AL569" s="14" t="s">
        <v>16</v>
      </c>
      <c r="AM569" s="16" t="s">
        <v>17</v>
      </c>
      <c r="AN569" s="17" t="s">
        <v>18</v>
      </c>
      <c r="AO569" s="18" t="s">
        <v>19</v>
      </c>
      <c r="AP569" s="19" t="s">
        <v>20</v>
      </c>
      <c r="AQ569" s="19" t="s">
        <v>21</v>
      </c>
      <c r="AR569" s="20" t="s">
        <v>22</v>
      </c>
    </row>
    <row r="570" ht="15.7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X570" s="22">
        <v>1.0</v>
      </c>
      <c r="Y570" s="22" t="s">
        <v>23</v>
      </c>
      <c r="Z570" s="22">
        <f t="shared" ref="Z570:AI570" si="1576">SUM(D578)</f>
        <v>35</v>
      </c>
      <c r="AA570" s="23">
        <f t="shared" si="1576"/>
        <v>34</v>
      </c>
      <c r="AB570" s="24">
        <f t="shared" si="1576"/>
        <v>6680.52</v>
      </c>
      <c r="AC570" s="23">
        <f t="shared" si="1576"/>
        <v>2083</v>
      </c>
      <c r="AD570" s="23">
        <f t="shared" si="1576"/>
        <v>0</v>
      </c>
      <c r="AE570" s="23">
        <f t="shared" si="1576"/>
        <v>2083</v>
      </c>
      <c r="AF570" s="23">
        <f t="shared" si="1576"/>
        <v>2916</v>
      </c>
      <c r="AG570" s="23">
        <f t="shared" si="1576"/>
        <v>0</v>
      </c>
      <c r="AH570" s="23">
        <f t="shared" si="1576"/>
        <v>2916</v>
      </c>
      <c r="AI570" s="23">
        <f t="shared" si="1576"/>
        <v>4999</v>
      </c>
      <c r="AJ570" s="25">
        <f t="shared" ref="AJ570:AJ572" si="1579">AB570/AA570</f>
        <v>196.4858824</v>
      </c>
      <c r="AK570" s="22">
        <f>SUM(O578)</f>
        <v>6853</v>
      </c>
      <c r="AL570" s="26">
        <f t="shared" ref="AL570:AL576" si="1580">AI570/AK570</f>
        <v>0.7294615497</v>
      </c>
      <c r="AM570" s="27">
        <f t="shared" ref="AM570:AM572" si="1581">SUM(Q578)</f>
        <v>1.5</v>
      </c>
      <c r="AN570" s="26">
        <f t="shared" ref="AN570:AN576" si="1582">AO570/AM570</f>
        <v>0.4988633619</v>
      </c>
      <c r="AO570" s="28">
        <f t="shared" ref="AO570:AO576" si="1583">AI570/AB570</f>
        <v>0.7482950429</v>
      </c>
      <c r="AP570" s="27">
        <f t="shared" ref="AP570:AQ570" si="1577">SUM(T578)</f>
        <v>198</v>
      </c>
      <c r="AQ570" s="27">
        <f t="shared" si="1577"/>
        <v>5.823529412</v>
      </c>
      <c r="AR570" s="23">
        <f t="shared" ref="AR570:AR576" si="1585">AI570/AA570</f>
        <v>147.0294118</v>
      </c>
    </row>
    <row r="571" ht="15.7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X571" s="22">
        <v>2.0</v>
      </c>
      <c r="Y571" s="22" t="s">
        <v>24</v>
      </c>
      <c r="Z571" s="22">
        <f t="shared" ref="Z571:AI571" si="1578">SUM(D579)</f>
        <v>44</v>
      </c>
      <c r="AA571" s="23">
        <f t="shared" si="1578"/>
        <v>44</v>
      </c>
      <c r="AB571" s="24">
        <f t="shared" si="1578"/>
        <v>8354.582</v>
      </c>
      <c r="AC571" s="23">
        <f t="shared" si="1578"/>
        <v>1454</v>
      </c>
      <c r="AD571" s="23">
        <f t="shared" si="1578"/>
        <v>0</v>
      </c>
      <c r="AE571" s="23">
        <f t="shared" si="1578"/>
        <v>1454</v>
      </c>
      <c r="AF571" s="23">
        <f t="shared" si="1578"/>
        <v>1288</v>
      </c>
      <c r="AG571" s="23">
        <f t="shared" si="1578"/>
        <v>28</v>
      </c>
      <c r="AH571" s="23">
        <f t="shared" si="1578"/>
        <v>1316</v>
      </c>
      <c r="AI571" s="23">
        <f t="shared" si="1578"/>
        <v>2770</v>
      </c>
      <c r="AJ571" s="25">
        <f t="shared" si="1579"/>
        <v>189.8768636</v>
      </c>
      <c r="AK571" s="22">
        <v>1580.0</v>
      </c>
      <c r="AL571" s="29">
        <f t="shared" si="1580"/>
        <v>1.753164557</v>
      </c>
      <c r="AM571" s="27">
        <f t="shared" si="1581"/>
        <v>1.5</v>
      </c>
      <c r="AN571" s="26">
        <f t="shared" si="1582"/>
        <v>0.2210363926</v>
      </c>
      <c r="AO571" s="28">
        <f t="shared" si="1583"/>
        <v>0.3315545888</v>
      </c>
      <c r="AP571" s="27">
        <f t="shared" ref="AP571:AQ571" si="1584">SUM(T579)</f>
        <v>311.6799851</v>
      </c>
      <c r="AQ571" s="27">
        <f t="shared" si="1584"/>
        <v>7.083636024</v>
      </c>
      <c r="AR571" s="23">
        <f t="shared" si="1585"/>
        <v>62.95454545</v>
      </c>
    </row>
    <row r="572" ht="15.75" customHeight="1">
      <c r="A572" s="21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X572" s="31">
        <v>3.0</v>
      </c>
      <c r="Y572" s="31" t="s">
        <v>25</v>
      </c>
      <c r="Z572" s="31">
        <f t="shared" ref="Z572:AI572" si="1586">SUM(D580)</f>
        <v>32</v>
      </c>
      <c r="AA572" s="32">
        <f t="shared" si="1586"/>
        <v>31</v>
      </c>
      <c r="AB572" s="33">
        <f t="shared" si="1586"/>
        <v>5925.124</v>
      </c>
      <c r="AC572" s="32">
        <f t="shared" si="1586"/>
        <v>2351</v>
      </c>
      <c r="AD572" s="32">
        <f t="shared" si="1586"/>
        <v>438</v>
      </c>
      <c r="AE572" s="32">
        <f t="shared" si="1586"/>
        <v>2789</v>
      </c>
      <c r="AF572" s="32">
        <f t="shared" si="1586"/>
        <v>3213</v>
      </c>
      <c r="AG572" s="32">
        <f t="shared" si="1586"/>
        <v>305</v>
      </c>
      <c r="AH572" s="32">
        <f t="shared" si="1586"/>
        <v>3518</v>
      </c>
      <c r="AI572" s="32">
        <f t="shared" si="1586"/>
        <v>6307</v>
      </c>
      <c r="AJ572" s="34">
        <f t="shared" si="1579"/>
        <v>191.1330323</v>
      </c>
      <c r="AK572" s="31">
        <f>SUM(O580)</f>
        <v>6622</v>
      </c>
      <c r="AL572" s="35">
        <f t="shared" si="1580"/>
        <v>0.9524312896</v>
      </c>
      <c r="AM572" s="36">
        <f t="shared" si="1581"/>
        <v>1.5</v>
      </c>
      <c r="AN572" s="35">
        <f t="shared" si="1582"/>
        <v>0.7096335312</v>
      </c>
      <c r="AO572" s="37">
        <f t="shared" si="1583"/>
        <v>1.064450297</v>
      </c>
      <c r="AP572" s="36">
        <f t="shared" ref="AP572:AQ572" si="1587">SUM(T580)</f>
        <v>248.5370805</v>
      </c>
      <c r="AQ572" s="36">
        <f t="shared" si="1587"/>
        <v>8.017325179</v>
      </c>
      <c r="AR572" s="32">
        <f t="shared" si="1585"/>
        <v>203.4516129</v>
      </c>
    </row>
    <row r="573" ht="15.75" customHeight="1">
      <c r="A573" s="21"/>
      <c r="B573" s="38">
        <v>1.0</v>
      </c>
      <c r="C573" s="38" t="s">
        <v>26</v>
      </c>
      <c r="D573" s="39">
        <v>20.0</v>
      </c>
      <c r="E573" s="40">
        <f>IFERROR(__xludf.DUMMYFUNCTION("COUNT(IMPORTRANGE(""https://docs.google.com/spreadsheets/d/1F0NpMx7WhcgPgxTWpryY3Z1CGg56FL6aiL4mHs43w4E/edit"",""2!d2:d21""))"),20.0)</f>
        <v>20</v>
      </c>
      <c r="F573" s="41">
        <f>IFERROR(__xludf.DUMMYFUNCTION("SUM(IMPORTRANGE(""https://docs.google.com/spreadsheets/d/1F0NpMx7WhcgPgxTWpryY3Z1CGg56FL6aiL4mHs43w4E/edit"",""2!Q2:Q21""))"),3560.964)</f>
        <v>3560.964</v>
      </c>
      <c r="G573" s="40">
        <f>IFERROR(__xludf.DUMMYFUNCTION("IMPORTRANGE(""https://docs.google.com/spreadsheets/d/1F0NpMx7WhcgPgxTWpryY3Z1CGg56FL6aiL4mHs43w4E/edit"",""2!e28"")"),1873.0)</f>
        <v>1873</v>
      </c>
      <c r="H573" s="40">
        <f>IFERROR(__xludf.DUMMYFUNCTION("IMPORTRANGE(""https://docs.google.com/spreadsheets/d/1F0NpMx7WhcgPgxTWpryY3Z1CGg56FL6aiL4mHs43w4E/edit"",""2!e29"")"),0.0)</f>
        <v>0</v>
      </c>
      <c r="I573" s="40">
        <f t="shared" ref="I573:I590" si="1590">SUM(G573:H573)</f>
        <v>1873</v>
      </c>
      <c r="J573" s="40">
        <f>IFERROR(__xludf.DUMMYFUNCTION("IMPORTRANGE(""https://docs.google.com/spreadsheets/d/1F0NpMx7WhcgPgxTWpryY3Z1CGg56FL6aiL4mHs43w4E/edit"",""2!e32"")"),3204.0)</f>
        <v>3204</v>
      </c>
      <c r="K573" s="40">
        <f>IFERROR(__xludf.DUMMYFUNCTION("IMPORTRANGE(""https://docs.google.com/spreadsheets/d/1F0NpMx7WhcgPgxTWpryY3Z1CGg56FL6aiL4mHs43w4E/edit"",""2!e33"")"),0.0)</f>
        <v>0</v>
      </c>
      <c r="L573" s="40">
        <f t="shared" ref="L573:L579" si="1591">SUM(J573:K573)</f>
        <v>3204</v>
      </c>
      <c r="M573" s="40">
        <f t="shared" ref="M573:M590" si="1592">SUM(I573+L573)</f>
        <v>5077</v>
      </c>
      <c r="N573" s="41">
        <f t="shared" ref="N573:N591" si="1593">F573/E573</f>
        <v>178.0482</v>
      </c>
      <c r="O573" s="38">
        <v>5161.0</v>
      </c>
      <c r="P573" s="42">
        <f t="shared" ref="P573:P591" si="1594">M573/O573</f>
        <v>0.9837240845</v>
      </c>
      <c r="Q573" s="43">
        <v>1.5</v>
      </c>
      <c r="R573" s="42">
        <f t="shared" ref="R573:R591" si="1595">S573/Q573</f>
        <v>0.9504916833</v>
      </c>
      <c r="S573" s="44">
        <f t="shared" ref="S573:S591" si="1596">M573/F573</f>
        <v>1.425737525</v>
      </c>
      <c r="T573" s="43">
        <f>F573/14.415</f>
        <v>247.0318418</v>
      </c>
      <c r="U573" s="43">
        <f t="shared" ref="U573:U591" si="1597">T573/E573</f>
        <v>12.35159209</v>
      </c>
      <c r="V573" s="40">
        <f t="shared" ref="V573:V591" si="1598">M573/E573</f>
        <v>253.85</v>
      </c>
      <c r="X573" s="22">
        <v>4.0</v>
      </c>
      <c r="Y573" s="22" t="s">
        <v>27</v>
      </c>
      <c r="Z573" s="22">
        <f t="shared" ref="Z573:AK573" si="1588">SUM(D586)</f>
        <v>30</v>
      </c>
      <c r="AA573" s="23">
        <f t="shared" si="1588"/>
        <v>28</v>
      </c>
      <c r="AB573" s="24">
        <f t="shared" si="1588"/>
        <v>5465.76</v>
      </c>
      <c r="AC573" s="23">
        <f t="shared" si="1588"/>
        <v>2368</v>
      </c>
      <c r="AD573" s="23">
        <f t="shared" si="1588"/>
        <v>140</v>
      </c>
      <c r="AE573" s="23">
        <f t="shared" si="1588"/>
        <v>2508</v>
      </c>
      <c r="AF573" s="23">
        <f t="shared" si="1588"/>
        <v>3355</v>
      </c>
      <c r="AG573" s="23">
        <f t="shared" si="1588"/>
        <v>107</v>
      </c>
      <c r="AH573" s="23">
        <f t="shared" si="1588"/>
        <v>3462</v>
      </c>
      <c r="AI573" s="23">
        <f t="shared" si="1588"/>
        <v>5970</v>
      </c>
      <c r="AJ573" s="25">
        <f t="shared" si="1588"/>
        <v>195.2057143</v>
      </c>
      <c r="AK573" s="22">
        <f t="shared" si="1588"/>
        <v>8101</v>
      </c>
      <c r="AL573" s="26">
        <f t="shared" si="1580"/>
        <v>0.736946056</v>
      </c>
      <c r="AM573" s="27">
        <f>SUM(Q586)</f>
        <v>1.5</v>
      </c>
      <c r="AN573" s="26">
        <f t="shared" si="1582"/>
        <v>0.7281695501</v>
      </c>
      <c r="AO573" s="28">
        <f t="shared" si="1583"/>
        <v>1.092254325</v>
      </c>
      <c r="AP573" s="27">
        <f t="shared" ref="AP573:AQ573" si="1589">SUM(T586)</f>
        <v>273.4931198</v>
      </c>
      <c r="AQ573" s="27">
        <f t="shared" si="1589"/>
        <v>9.767611423</v>
      </c>
      <c r="AR573" s="23">
        <f t="shared" si="1585"/>
        <v>213.2142857</v>
      </c>
    </row>
    <row r="574" ht="15.75" customHeight="1">
      <c r="A574" s="21"/>
      <c r="B574" s="38">
        <v>2.0</v>
      </c>
      <c r="C574" s="38" t="s">
        <v>28</v>
      </c>
      <c r="D574" s="39">
        <v>33.0</v>
      </c>
      <c r="E574" s="40">
        <f>IFERROR(__xludf.DUMMYFUNCTION("COUNT(IMPORTRANGE(""https://docs.google.com/spreadsheets/d/1H9vAqftAHb0OdeSGXHTnJFzoWUgpoH31sc0sHNN8y1o/edit"",""2!d2:d34""))"),33.0)</f>
        <v>33</v>
      </c>
      <c r="F574" s="41">
        <f>IFERROR(__xludf.DUMMYFUNCTION("SUM(IMPORTRANGE(""https://docs.google.com/spreadsheets/d/1H9vAqftAHb0OdeSGXHTnJFzoWUgpoH31sc0sHNN8y1o/edit"",""2!Q2:Q34""))"),6528.832999999999)</f>
        <v>6528.833</v>
      </c>
      <c r="G574" s="40">
        <f>IFERROR(__xludf.DUMMYFUNCTION("IMPORTRANGE(""https://docs.google.com/spreadsheets/d/1H9vAqftAHb0OdeSGXHTnJFzoWUgpoH31sc0sHNN8y1o/edit"",""2!e41"")"),2700.0)</f>
        <v>2700</v>
      </c>
      <c r="H574" s="40">
        <f>IFERROR(__xludf.DUMMYFUNCTION("IMPORTRANGE(""https://docs.google.com/spreadsheets/d/1H9vAqftAHb0OdeSGXHTnJFzoWUgpoH31sc0sHNN8y1o/edit"",""2!e42"")"),104.0)</f>
        <v>104</v>
      </c>
      <c r="I574" s="40">
        <f t="shared" si="1590"/>
        <v>2804</v>
      </c>
      <c r="J574" s="40">
        <f>IFERROR(__xludf.DUMMYFUNCTION("IMPORTRANGE(""https://docs.google.com/spreadsheets/d/1H9vAqftAHb0OdeSGXHTnJFzoWUgpoH31sc0sHNN8y1o/edit"",""2!e45"")"),3205.0)</f>
        <v>3205</v>
      </c>
      <c r="K574" s="40">
        <f>IFERROR(__xludf.DUMMYFUNCTION("IMPORTRANGE(""https://docs.google.com/spreadsheets/d/1H9vAqftAHb0OdeSGXHTnJFzoWUgpoH31sc0sHNN8y1o/edit"",""2!e46"")"),102.0)</f>
        <v>102</v>
      </c>
      <c r="L574" s="40">
        <f t="shared" si="1591"/>
        <v>3307</v>
      </c>
      <c r="M574" s="40">
        <f t="shared" si="1592"/>
        <v>6111</v>
      </c>
      <c r="N574" s="41">
        <f t="shared" si="1593"/>
        <v>197.8434242</v>
      </c>
      <c r="O574" s="38">
        <v>7315.0</v>
      </c>
      <c r="P574" s="42">
        <f t="shared" si="1594"/>
        <v>0.8354066986</v>
      </c>
      <c r="Q574" s="43">
        <v>1.5</v>
      </c>
      <c r="R574" s="42">
        <f t="shared" si="1595"/>
        <v>0.6240012572</v>
      </c>
      <c r="S574" s="44">
        <f t="shared" si="1596"/>
        <v>0.9360018858</v>
      </c>
      <c r="T574" s="43">
        <f>F574/30.897</f>
        <v>211.3096093</v>
      </c>
      <c r="U574" s="43">
        <f t="shared" si="1597"/>
        <v>6.403321495</v>
      </c>
      <c r="V574" s="40">
        <f t="shared" si="1598"/>
        <v>185.1818182</v>
      </c>
      <c r="X574" s="22">
        <v>5.0</v>
      </c>
      <c r="Y574" s="22" t="s">
        <v>29</v>
      </c>
      <c r="Z574" s="22">
        <f t="shared" ref="Z574:AI574" si="1599">SUM(D589)</f>
        <v>30</v>
      </c>
      <c r="AA574" s="23">
        <f t="shared" si="1599"/>
        <v>29</v>
      </c>
      <c r="AB574" s="24">
        <f t="shared" si="1599"/>
        <v>5775.038</v>
      </c>
      <c r="AC574" s="23">
        <f t="shared" si="1599"/>
        <v>2726</v>
      </c>
      <c r="AD574" s="23">
        <f t="shared" si="1599"/>
        <v>0</v>
      </c>
      <c r="AE574" s="23">
        <f t="shared" si="1599"/>
        <v>2726</v>
      </c>
      <c r="AF574" s="23">
        <f t="shared" si="1599"/>
        <v>4235</v>
      </c>
      <c r="AG574" s="23">
        <f t="shared" si="1599"/>
        <v>0</v>
      </c>
      <c r="AH574" s="23">
        <f t="shared" si="1599"/>
        <v>4235</v>
      </c>
      <c r="AI574" s="23">
        <f t="shared" si="1599"/>
        <v>6961</v>
      </c>
      <c r="AJ574" s="25">
        <f t="shared" ref="AJ574:AJ576" si="1602">AB574/AA574</f>
        <v>199.1392414</v>
      </c>
      <c r="AK574" s="22">
        <f t="shared" ref="AK574:AK575" si="1603">SUM(O589)</f>
        <v>9201</v>
      </c>
      <c r="AL574" s="26">
        <f t="shared" si="1580"/>
        <v>0.7565482013</v>
      </c>
      <c r="AM574" s="27">
        <f t="shared" ref="AM574:AM575" si="1604">SUM(Q589)</f>
        <v>1.5</v>
      </c>
      <c r="AN574" s="26">
        <f t="shared" si="1582"/>
        <v>0.803573356</v>
      </c>
      <c r="AO574" s="28">
        <f t="shared" si="1583"/>
        <v>1.205360034</v>
      </c>
      <c r="AP574" s="27">
        <f t="shared" ref="AP574:AQ574" si="1600">SUM(T589)</f>
        <v>218</v>
      </c>
      <c r="AQ574" s="27">
        <f t="shared" si="1600"/>
        <v>7.517241379</v>
      </c>
      <c r="AR574" s="23">
        <f t="shared" si="1585"/>
        <v>240.0344828</v>
      </c>
    </row>
    <row r="575" ht="15.75" customHeight="1">
      <c r="A575" s="21"/>
      <c r="B575" s="38">
        <v>3.0</v>
      </c>
      <c r="C575" s="38" t="s">
        <v>30</v>
      </c>
      <c r="D575" s="39">
        <v>60.0</v>
      </c>
      <c r="E575" s="40">
        <f>IFERROR(__xludf.DUMMYFUNCTION("COUNT(IMPORTRANGE(""https://docs.google.com/spreadsheets/d/1EWN6nfpuVxbUE_9opjYCWaI7MTm5xsF6ssjklSbMZnA/edit"",""2!d2:d61""))"),58.0)</f>
        <v>58</v>
      </c>
      <c r="F575" s="45">
        <f>IFERROR(__xludf.DUMMYFUNCTION("SUM(IMPORTRANGE(""https://docs.google.com/spreadsheets/d/1EWN6nfpuVxbUE_9opjYCWaI7MTm5xsF6ssjklSbMZnA/edit"",""2!Q2:Q61""))"),11253.344999999988)</f>
        <v>11253.345</v>
      </c>
      <c r="G575" s="40">
        <f>IFERROR(__xludf.DUMMYFUNCTION("IMPORTRANGE(""https://docs.google.com/spreadsheets/d/1EWN6nfpuVxbUE_9opjYCWaI7MTm5xsF6ssjklSbMZnA/edit"",""2!e68"")"),3757.0)</f>
        <v>3757</v>
      </c>
      <c r="H575" s="40">
        <f>IFERROR(__xludf.DUMMYFUNCTION("IMPORTRANGE(""https://docs.google.com/spreadsheets/d/1EWN6nfpuVxbUE_9opjYCWaI7MTm5xsF6ssjklSbMZnA/edit"",""2!e69"")"),0.0)</f>
        <v>0</v>
      </c>
      <c r="I575" s="40">
        <f t="shared" si="1590"/>
        <v>3757</v>
      </c>
      <c r="J575" s="40">
        <f>IFERROR(__xludf.DUMMYFUNCTION("IMPORTRANGE(""https://docs.google.com/spreadsheets/d/1EWN6nfpuVxbUE_9opjYCWaI7MTm5xsF6ssjklSbMZnA/edit"",""2!e72"")"),5596.0)</f>
        <v>5596</v>
      </c>
      <c r="K575" s="40">
        <f>IFERROR(__xludf.DUMMYFUNCTION("IMPORTRANGE(""https://docs.google.com/spreadsheets/d/1EWN6nfpuVxbUE_9opjYCWaI7MTm5xsF6ssjklSbMZnA/edit"",""2!e73"")"),0.0)</f>
        <v>0</v>
      </c>
      <c r="L575" s="40">
        <f t="shared" si="1591"/>
        <v>5596</v>
      </c>
      <c r="M575" s="40">
        <f t="shared" si="1592"/>
        <v>9353</v>
      </c>
      <c r="N575" s="41">
        <f t="shared" si="1593"/>
        <v>194.0231897</v>
      </c>
      <c r="O575" s="38">
        <v>11164.0</v>
      </c>
      <c r="P575" s="42">
        <f t="shared" si="1594"/>
        <v>0.8377821569</v>
      </c>
      <c r="Q575" s="43">
        <v>1.5</v>
      </c>
      <c r="R575" s="42">
        <f t="shared" si="1595"/>
        <v>0.5540871033</v>
      </c>
      <c r="S575" s="44">
        <f t="shared" si="1596"/>
        <v>0.8311306549</v>
      </c>
      <c r="T575" s="43">
        <f>F575/29.603</f>
        <v>380.1420464</v>
      </c>
      <c r="U575" s="43">
        <f t="shared" si="1597"/>
        <v>6.554173214</v>
      </c>
      <c r="V575" s="40">
        <f t="shared" si="1598"/>
        <v>161.2586207</v>
      </c>
      <c r="X575" s="22">
        <v>6.0</v>
      </c>
      <c r="Y575" s="22" t="s">
        <v>31</v>
      </c>
      <c r="Z575" s="22">
        <f t="shared" ref="Z575:AI575" si="1601">SUM(D590)</f>
        <v>15</v>
      </c>
      <c r="AA575" s="23">
        <f t="shared" si="1601"/>
        <v>13</v>
      </c>
      <c r="AB575" s="25">
        <f t="shared" si="1601"/>
        <v>2607.9</v>
      </c>
      <c r="AC575" s="23">
        <f t="shared" si="1601"/>
        <v>870</v>
      </c>
      <c r="AD575" s="23">
        <f t="shared" si="1601"/>
        <v>0</v>
      </c>
      <c r="AE575" s="23">
        <f t="shared" si="1601"/>
        <v>870</v>
      </c>
      <c r="AF575" s="23">
        <f t="shared" si="1601"/>
        <v>975</v>
      </c>
      <c r="AG575" s="23">
        <f t="shared" si="1601"/>
        <v>55</v>
      </c>
      <c r="AH575" s="23">
        <f t="shared" si="1601"/>
        <v>1030</v>
      </c>
      <c r="AI575" s="23">
        <f t="shared" si="1601"/>
        <v>1900</v>
      </c>
      <c r="AJ575" s="25">
        <f t="shared" si="1602"/>
        <v>200.6076923</v>
      </c>
      <c r="AK575" s="22">
        <f t="shared" si="1603"/>
        <v>2717</v>
      </c>
      <c r="AL575" s="26">
        <f t="shared" si="1580"/>
        <v>0.6993006993</v>
      </c>
      <c r="AM575" s="27">
        <f t="shared" si="1604"/>
        <v>1.5</v>
      </c>
      <c r="AN575" s="26">
        <f t="shared" si="1582"/>
        <v>0.4857036952</v>
      </c>
      <c r="AO575" s="28">
        <f t="shared" si="1583"/>
        <v>0.7285555428</v>
      </c>
      <c r="AP575" s="27">
        <f t="shared" ref="AP575:AQ575" si="1605">SUM(T590)</f>
        <v>60</v>
      </c>
      <c r="AQ575" s="27">
        <f t="shared" si="1605"/>
        <v>4.615384615</v>
      </c>
      <c r="AR575" s="23">
        <f t="shared" si="1585"/>
        <v>146.1538462</v>
      </c>
    </row>
    <row r="576" ht="15.75" customHeight="1">
      <c r="A576" s="21"/>
      <c r="B576" s="38">
        <v>4.0</v>
      </c>
      <c r="C576" s="38" t="s">
        <v>32</v>
      </c>
      <c r="D576" s="39">
        <v>42.0</v>
      </c>
      <c r="E576" s="40">
        <f>IFERROR(__xludf.DUMMYFUNCTION("COUNT(IMPORTRANGE(""https://docs.google.com/spreadsheets/d/1Rmar8QqWK4XOJ-eY6xMzkAfDSw0srEXcAw89ilArun8/edit"",""2!d2:d43""))"),42.0)</f>
        <v>42</v>
      </c>
      <c r="F576" s="45">
        <f>IFERROR(__xludf.DUMMYFUNCTION("SUM(IMPORTRANGE(""https://docs.google.com/spreadsheets/d/1Rmar8QqWK4XOJ-eY6xMzkAfDSw0srEXcAw89ilArun8/edit"",""2!Q2:Q43""))"),8179.01399999999)</f>
        <v>8179.014</v>
      </c>
      <c r="G576" s="38">
        <f>IFERROR(__xludf.DUMMYFUNCTION("IMPORTRANGE(""https://docs.google.com/spreadsheets/d/1Rmar8QqWK4XOJ-eY6xMzkAfDSw0srEXcAw89ilArun8/edit"",""2!e50"")"),4808.0)</f>
        <v>4808</v>
      </c>
      <c r="H576" s="38">
        <f>IFERROR(__xludf.DUMMYFUNCTION("IMPORTRANGE(""https://docs.google.com/spreadsheets/d/1Rmar8QqWK4XOJ-eY6xMzkAfDSw0srEXcAw89ilArun8/edit"",""2!e51"")"),0.0)</f>
        <v>0</v>
      </c>
      <c r="I576" s="40">
        <f t="shared" si="1590"/>
        <v>4808</v>
      </c>
      <c r="J576" s="38">
        <f>IFERROR(__xludf.DUMMYFUNCTION("IMPORTRANGE(""https://docs.google.com/spreadsheets/d/1Rmar8QqWK4XOJ-eY6xMzkAfDSw0srEXcAw89ilArun8/edit"",""2!e54"")"),5449.0)</f>
        <v>5449</v>
      </c>
      <c r="K576" s="38">
        <f>IFERROR(__xludf.DUMMYFUNCTION("IMPORTRANGE(""https://docs.google.com/spreadsheets/d/1Rmar8QqWK4XOJ-eY6xMzkAfDSw0srEXcAw89ilArun8/edit"",""2!e55"")"),190.0)</f>
        <v>190</v>
      </c>
      <c r="L576" s="40">
        <f t="shared" si="1591"/>
        <v>5639</v>
      </c>
      <c r="M576" s="40">
        <f t="shared" si="1592"/>
        <v>10447</v>
      </c>
      <c r="N576" s="41">
        <f t="shared" si="1593"/>
        <v>194.7384286</v>
      </c>
      <c r="O576" s="38">
        <v>13817.0</v>
      </c>
      <c r="P576" s="42">
        <f t="shared" si="1594"/>
        <v>0.756097561</v>
      </c>
      <c r="Q576" s="43">
        <v>1.5</v>
      </c>
      <c r="R576" s="42">
        <f t="shared" si="1595"/>
        <v>0.8515288844</v>
      </c>
      <c r="S576" s="44">
        <f t="shared" si="1596"/>
        <v>1.277293327</v>
      </c>
      <c r="T576" s="43">
        <f>F576/25.089</f>
        <v>326</v>
      </c>
      <c r="U576" s="43">
        <f t="shared" si="1597"/>
        <v>7.761904762</v>
      </c>
      <c r="V576" s="40">
        <f t="shared" si="1598"/>
        <v>248.7380952</v>
      </c>
      <c r="X576" s="46" t="s">
        <v>33</v>
      </c>
      <c r="Y576" s="46">
        <v>6.0</v>
      </c>
      <c r="Z576" s="46">
        <f t="shared" ref="Z576:AI576" si="1606">SUM(Z570:Z575)</f>
        <v>186</v>
      </c>
      <c r="AA576" s="47">
        <f t="shared" si="1606"/>
        <v>179</v>
      </c>
      <c r="AB576" s="48">
        <f t="shared" si="1606"/>
        <v>34808.924</v>
      </c>
      <c r="AC576" s="47">
        <f t="shared" si="1606"/>
        <v>11852</v>
      </c>
      <c r="AD576" s="47">
        <f t="shared" si="1606"/>
        <v>578</v>
      </c>
      <c r="AE576" s="47">
        <f t="shared" si="1606"/>
        <v>12430</v>
      </c>
      <c r="AF576" s="47">
        <f t="shared" si="1606"/>
        <v>15982</v>
      </c>
      <c r="AG576" s="47">
        <f t="shared" si="1606"/>
        <v>495</v>
      </c>
      <c r="AH576" s="47">
        <f t="shared" si="1606"/>
        <v>16477</v>
      </c>
      <c r="AI576" s="47">
        <f t="shared" si="1606"/>
        <v>28907</v>
      </c>
      <c r="AJ576" s="49">
        <f t="shared" si="1602"/>
        <v>194.4632626</v>
      </c>
      <c r="AK576" s="46">
        <f>SUM(AK570:AK575)</f>
        <v>35074</v>
      </c>
      <c r="AL576" s="50">
        <f t="shared" si="1580"/>
        <v>0.8241717512</v>
      </c>
      <c r="AM576" s="51">
        <v>1.5</v>
      </c>
      <c r="AN576" s="50">
        <f t="shared" si="1582"/>
        <v>0.5536319748</v>
      </c>
      <c r="AO576" s="52">
        <f t="shared" si="1583"/>
        <v>0.8304479621</v>
      </c>
      <c r="AP576" s="51">
        <f>SUM(AP570:AP575)</f>
        <v>1309.710185</v>
      </c>
      <c r="AQ576" s="51">
        <f>AP576/AA576</f>
        <v>7.316816679</v>
      </c>
      <c r="AR576" s="47">
        <f t="shared" si="1585"/>
        <v>161.4916201</v>
      </c>
    </row>
    <row r="577" ht="15.75" customHeight="1">
      <c r="A577" s="21"/>
      <c r="B577" s="38">
        <v>5.0</v>
      </c>
      <c r="C577" s="38" t="s">
        <v>34</v>
      </c>
      <c r="D577" s="39">
        <v>40.0</v>
      </c>
      <c r="E577" s="40">
        <f>IFERROR(__xludf.DUMMYFUNCTION("COUNT(IMPORTRANGE(""https://docs.google.com/spreadsheets/d/1u99JxAoytGQQ8GcjxXl38CGdyEWy5uIbuJJHnsotyvk/edit"",""2!d2:d41""))"),40.0)</f>
        <v>40</v>
      </c>
      <c r="F577" s="45">
        <f>IFERROR(__xludf.DUMMYFUNCTION("SUM(IMPORTRANGE(""https://docs.google.com/spreadsheets/d/1u99JxAoytGQQ8GcjxXl38CGdyEWy5uIbuJJHnsotyvk/edit"",""2!Q2:Q41""))"),7895.343000000003)</f>
        <v>7895.343</v>
      </c>
      <c r="G577" s="40">
        <f>IFERROR(__xludf.DUMMYFUNCTION("IMPORTRANGE(""https://docs.google.com/spreadsheets/d/1u99JxAoytGQQ8GcjxXl38CGdyEWy5uIbuJJHnsotyvk/edit"",""2!e48"")"),3069.0)</f>
        <v>3069</v>
      </c>
      <c r="H577" s="40">
        <f>IFERROR(__xludf.DUMMYFUNCTION("IMPORTRANGE(""https://docs.google.com/spreadsheets/d/1u99JxAoytGQQ8GcjxXl38CGdyEWy5uIbuJJHnsotyvk/edit"",""2!e49"")"),0.0)</f>
        <v>0</v>
      </c>
      <c r="I577" s="40">
        <f t="shared" si="1590"/>
        <v>3069</v>
      </c>
      <c r="J577" s="40">
        <f>IFERROR(__xludf.DUMMYFUNCTION("IMPORTRANGE(""https://docs.google.com/spreadsheets/d/1u99JxAoytGQQ8GcjxXl38CGdyEWy5uIbuJJHnsotyvk/edit"",""2!e52"")"),3126.0)</f>
        <v>3126</v>
      </c>
      <c r="K577" s="40">
        <f>IFERROR(__xludf.DUMMYFUNCTION("IMPORTRANGE(""https://docs.google.com/spreadsheets/d/1u99JxAoytGQQ8GcjxXl38CGdyEWy5uIbuJJHnsotyvk/edit"",""2!e53"")"),0.0)</f>
        <v>0</v>
      </c>
      <c r="L577" s="40">
        <f t="shared" si="1591"/>
        <v>3126</v>
      </c>
      <c r="M577" s="40">
        <f t="shared" si="1592"/>
        <v>6195</v>
      </c>
      <c r="N577" s="41">
        <f t="shared" si="1593"/>
        <v>197.383575</v>
      </c>
      <c r="O577" s="38">
        <v>9354.0</v>
      </c>
      <c r="P577" s="42">
        <f t="shared" si="1594"/>
        <v>0.6622835151</v>
      </c>
      <c r="Q577" s="43">
        <v>1.5</v>
      </c>
      <c r="R577" s="42">
        <f t="shared" si="1595"/>
        <v>0.5230931702</v>
      </c>
      <c r="S577" s="44">
        <f t="shared" si="1596"/>
        <v>0.7846397554</v>
      </c>
      <c r="T577" s="43">
        <f>F577/30.713</f>
        <v>257.0684401</v>
      </c>
      <c r="U577" s="43">
        <f t="shared" si="1597"/>
        <v>6.426711002</v>
      </c>
      <c r="V577" s="40">
        <f t="shared" si="1598"/>
        <v>154.875</v>
      </c>
      <c r="X577" s="53" t="s">
        <v>35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6"/>
    </row>
    <row r="578" ht="15.75" customHeight="1">
      <c r="A578" s="21"/>
      <c r="B578" s="38">
        <v>6.0</v>
      </c>
      <c r="C578" s="38" t="s">
        <v>23</v>
      </c>
      <c r="D578" s="39">
        <v>35.0</v>
      </c>
      <c r="E578" s="40">
        <f>IFERROR(__xludf.DUMMYFUNCTION("COUNT(IMPORTRANGE(""https://docs.google.com/spreadsheets/d/1uVc-vnTn57HE53lwrUYNZP4sGKTXisrqOoZ-6EyvLzY/edit"",""2!d2:d36""))"),34.0)</f>
        <v>34</v>
      </c>
      <c r="F578" s="45">
        <f>IFERROR(__xludf.DUMMYFUNCTION("SUM(IMPORTRANGE(""https://docs.google.com/spreadsheets/d/1uVc-vnTn57HE53lwrUYNZP4sGKTXisrqOoZ-6EyvLzY/edit"",""2!Q2:Q36""))"),6680.519999999996)</f>
        <v>6680.52</v>
      </c>
      <c r="G578" s="40">
        <f>IFERROR(__xludf.DUMMYFUNCTION("IMPORTRANGE(""https://docs.google.com/spreadsheets/d/1uVc-vnTn57HE53lwrUYNZP4sGKTXisrqOoZ-6EyvLzY/edit"",""2!e43"")"),2083.0)</f>
        <v>2083</v>
      </c>
      <c r="H578" s="40">
        <f>IFERROR(__xludf.DUMMYFUNCTION("IMPORTRANGE(""https://docs.google.com/spreadsheets/d/1uVc-vnTn57HE53lwrUYNZP4sGKTXisrqOoZ-6EyvLzY/edit"",""2!e44"")"),0.0)</f>
        <v>0</v>
      </c>
      <c r="I578" s="40">
        <f t="shared" si="1590"/>
        <v>2083</v>
      </c>
      <c r="J578" s="40">
        <f>IFERROR(__xludf.DUMMYFUNCTION("IMPORTRANGE(""https://docs.google.com/spreadsheets/d/1uVc-vnTn57HE53lwrUYNZP4sGKTXisrqOoZ-6EyvLzY/edit"",""2!e47"")"),2916.0)</f>
        <v>2916</v>
      </c>
      <c r="K578" s="40">
        <f>IFERROR(__xludf.DUMMYFUNCTION("IMPORTRANGE(""https://docs.google.com/spreadsheets/d/1uVc-vnTn57HE53lwrUYNZP4sGKTXisrqOoZ-6EyvLzY/edit"",""2!e48"")"),0.0)</f>
        <v>0</v>
      </c>
      <c r="L578" s="40">
        <f t="shared" si="1591"/>
        <v>2916</v>
      </c>
      <c r="M578" s="40">
        <f t="shared" si="1592"/>
        <v>4999</v>
      </c>
      <c r="N578" s="41">
        <f t="shared" si="1593"/>
        <v>196.4858824</v>
      </c>
      <c r="O578" s="38">
        <v>6853.0</v>
      </c>
      <c r="P578" s="42">
        <f t="shared" si="1594"/>
        <v>0.7294615497</v>
      </c>
      <c r="Q578" s="43">
        <v>1.5</v>
      </c>
      <c r="R578" s="42">
        <f t="shared" si="1595"/>
        <v>0.4988633619</v>
      </c>
      <c r="S578" s="44">
        <f t="shared" si="1596"/>
        <v>0.7482950429</v>
      </c>
      <c r="T578" s="43">
        <f>F578/33.74</f>
        <v>198</v>
      </c>
      <c r="U578" s="43">
        <f t="shared" si="1597"/>
        <v>5.823529412</v>
      </c>
      <c r="V578" s="40">
        <f t="shared" si="1598"/>
        <v>147.0294118</v>
      </c>
      <c r="X578" s="14" t="s">
        <v>2</v>
      </c>
      <c r="Y578" s="14" t="s">
        <v>3</v>
      </c>
      <c r="Z578" s="14" t="s">
        <v>4</v>
      </c>
      <c r="AA578" s="14" t="s">
        <v>5</v>
      </c>
      <c r="AB578" s="15" t="s">
        <v>6</v>
      </c>
      <c r="AC578" s="14" t="s">
        <v>7</v>
      </c>
      <c r="AD578" s="14" t="s">
        <v>8</v>
      </c>
      <c r="AE578" s="14" t="s">
        <v>9</v>
      </c>
      <c r="AF578" s="14" t="s">
        <v>10</v>
      </c>
      <c r="AG578" s="14" t="s">
        <v>11</v>
      </c>
      <c r="AH578" s="14" t="s">
        <v>12</v>
      </c>
      <c r="AI578" s="14" t="s">
        <v>13</v>
      </c>
      <c r="AJ578" s="15" t="s">
        <v>14</v>
      </c>
      <c r="AK578" s="14" t="s">
        <v>15</v>
      </c>
      <c r="AL578" s="14" t="s">
        <v>16</v>
      </c>
      <c r="AM578" s="16" t="s">
        <v>17</v>
      </c>
      <c r="AN578" s="17" t="s">
        <v>18</v>
      </c>
      <c r="AO578" s="18" t="s">
        <v>19</v>
      </c>
      <c r="AP578" s="19" t="s">
        <v>20</v>
      </c>
      <c r="AQ578" s="19" t="s">
        <v>21</v>
      </c>
      <c r="AR578" s="20" t="s">
        <v>22</v>
      </c>
    </row>
    <row r="579" ht="15.75" customHeight="1">
      <c r="A579" s="21"/>
      <c r="B579" s="38">
        <v>7.0</v>
      </c>
      <c r="C579" s="38" t="s">
        <v>24</v>
      </c>
      <c r="D579" s="39">
        <v>44.0</v>
      </c>
      <c r="E579" s="54">
        <f>IFERROR(__xludf.DUMMYFUNCTION("COUNT(IMPORTRANGE(""https://docs.google.com/spreadsheets/d/1iuPvivSypupo44l6GtmR-2qZ3za7cTk7KzsOVp_kv2c/edit"",""2!d2:d45""))"),44.0)</f>
        <v>44</v>
      </c>
      <c r="F579" s="55">
        <f>IFERROR(__xludf.DUMMYFUNCTION("SUM(IMPORTRANGE(""https://docs.google.com/spreadsheets/d/1iuPvivSypupo44l6GtmR-2qZ3za7cTk7KzsOVp_kv2c/edit"",""2!Q2:Q45""))"),8354.581999999995)</f>
        <v>8354.582</v>
      </c>
      <c r="G579" s="54">
        <f>IFERROR(__xludf.DUMMYFUNCTION("IMPORTRANGE(""https://docs.google.com/spreadsheets/d/1iuPvivSypupo44l6GtmR-2qZ3za7cTk7KzsOVp_kv2c/edit"",""2!e53"")"),1454.0)</f>
        <v>1454</v>
      </c>
      <c r="H579" s="54">
        <f>IFERROR(__xludf.DUMMYFUNCTION("IMPORTRANGE(""https://docs.google.com/spreadsheets/d/1iuPvivSypupo44l6GtmR-2qZ3za7cTk7KzsOVp_kv2c/edit"",""2!e54"")"),0.0)</f>
        <v>0</v>
      </c>
      <c r="I579" s="54">
        <f t="shared" si="1590"/>
        <v>1454</v>
      </c>
      <c r="J579" s="54">
        <f>IFERROR(__xludf.DUMMYFUNCTION("IMPORTRANGE(""https://docs.google.com/spreadsheets/d/1iuPvivSypupo44l6GtmR-2qZ3za7cTk7KzsOVp_kv2c/edit"",""2!e57"")"),1288.0)</f>
        <v>1288</v>
      </c>
      <c r="K579" s="54">
        <f>IFERROR(__xludf.DUMMYFUNCTION("IMPORTRANGE(""https://docs.google.com/spreadsheets/d/1iuPvivSypupo44l6GtmR-2qZ3za7cTk7KzsOVp_kv2c/edit"",""2!e58"")"),28.0)</f>
        <v>28</v>
      </c>
      <c r="L579" s="40">
        <f t="shared" si="1591"/>
        <v>1316</v>
      </c>
      <c r="M579" s="40">
        <f t="shared" si="1592"/>
        <v>2770</v>
      </c>
      <c r="N579" s="41">
        <f t="shared" si="1593"/>
        <v>189.8768636</v>
      </c>
      <c r="O579" s="38">
        <v>1580.0</v>
      </c>
      <c r="P579" s="56">
        <f t="shared" si="1594"/>
        <v>1.753164557</v>
      </c>
      <c r="Q579" s="43">
        <v>1.5</v>
      </c>
      <c r="R579" s="42">
        <f t="shared" si="1595"/>
        <v>0.2210363926</v>
      </c>
      <c r="S579" s="44">
        <f t="shared" si="1596"/>
        <v>0.3315545888</v>
      </c>
      <c r="T579" s="43">
        <f>F579/26.805</f>
        <v>311.6799851</v>
      </c>
      <c r="U579" s="43">
        <f t="shared" si="1597"/>
        <v>7.083636024</v>
      </c>
      <c r="V579" s="40">
        <f t="shared" si="1598"/>
        <v>62.95454545</v>
      </c>
      <c r="X579" s="22">
        <v>1.0</v>
      </c>
      <c r="Y579" s="22" t="s">
        <v>28</v>
      </c>
      <c r="Z579" s="22">
        <f t="shared" ref="Z579:AI579" si="1607">SUM(D574)</f>
        <v>33</v>
      </c>
      <c r="AA579" s="23">
        <f t="shared" si="1607"/>
        <v>33</v>
      </c>
      <c r="AB579" s="25">
        <f t="shared" si="1607"/>
        <v>6528.833</v>
      </c>
      <c r="AC579" s="23">
        <f t="shared" si="1607"/>
        <v>2700</v>
      </c>
      <c r="AD579" s="23">
        <f t="shared" si="1607"/>
        <v>104</v>
      </c>
      <c r="AE579" s="23">
        <f t="shared" si="1607"/>
        <v>2804</v>
      </c>
      <c r="AF579" s="23">
        <f t="shared" si="1607"/>
        <v>3205</v>
      </c>
      <c r="AG579" s="23">
        <f t="shared" si="1607"/>
        <v>102</v>
      </c>
      <c r="AH579" s="23">
        <f t="shared" si="1607"/>
        <v>3307</v>
      </c>
      <c r="AI579" s="23">
        <f t="shared" si="1607"/>
        <v>6111</v>
      </c>
      <c r="AJ579" s="25">
        <f t="shared" ref="AJ579:AJ585" si="1610">AB579/AA579</f>
        <v>197.8434242</v>
      </c>
      <c r="AK579" s="22">
        <f t="shared" ref="AK579:AK580" si="1611">SUM(O574)</f>
        <v>7315</v>
      </c>
      <c r="AL579" s="26">
        <f t="shared" ref="AL579:AL585" si="1612">AI579/AK579</f>
        <v>0.8354066986</v>
      </c>
      <c r="AM579" s="27">
        <f t="shared" ref="AM579:AM580" si="1613">SUM(Q574)</f>
        <v>1.5</v>
      </c>
      <c r="AN579" s="26">
        <f t="shared" ref="AN579:AN585" si="1614">AO579/AM579</f>
        <v>0.6240012572</v>
      </c>
      <c r="AO579" s="28">
        <f t="shared" ref="AO579:AO585" si="1615">AI579/AB579</f>
        <v>0.9360018858</v>
      </c>
      <c r="AP579" s="27">
        <f t="shared" ref="AP579:AQ579" si="1608">SUM(T574)</f>
        <v>211.3096093</v>
      </c>
      <c r="AQ579" s="27">
        <f t="shared" si="1608"/>
        <v>6.403321495</v>
      </c>
      <c r="AR579" s="23">
        <f t="shared" ref="AR579:AR585" si="1617">AI579/AA579</f>
        <v>185.1818182</v>
      </c>
    </row>
    <row r="580" ht="15.75" customHeight="1">
      <c r="A580" s="21"/>
      <c r="B580" s="38">
        <v>8.0</v>
      </c>
      <c r="C580" s="38" t="s">
        <v>25</v>
      </c>
      <c r="D580" s="57">
        <v>32.0</v>
      </c>
      <c r="E580" s="40">
        <f>IFERROR(__xludf.DUMMYFUNCTION("COUNT(IMPORTRANGE(""https://docs.google.com/spreadsheets/d/1sqWX7UerdR9KR_duBzDNfjwbPG-3hLgV1LiN2ZVZ6Js/edit"",""2!d2:D33""))"),31.0)</f>
        <v>31</v>
      </c>
      <c r="F580" s="45">
        <f>IFERROR(__xludf.DUMMYFUNCTION("SUM(IMPORTRANGE(""https://docs.google.com/spreadsheets/d/1sqWX7UerdR9KR_duBzDNfjwbPG-3hLgV1LiN2ZVZ6Js/edit"",""2!Q2:Q33""))"),5925.124000000001)</f>
        <v>5925.124</v>
      </c>
      <c r="G580" s="40">
        <f>IFERROR(__xludf.DUMMYFUNCTION("IMPORTRANGE(""https://docs.google.com/spreadsheets/d/1sqWX7UerdR9KR_duBzDNfjwbPG-3hLgV1LiN2ZVZ6Js/edit"",""2!e40"")"),2351.0)</f>
        <v>2351</v>
      </c>
      <c r="H580" s="40">
        <f>IFERROR(__xludf.DUMMYFUNCTION("IMPORTRANGE(""https://docs.google.com/spreadsheets/d/1sqWX7UerdR9KR_duBzDNfjwbPG-3hLgV1LiN2ZVZ6Js/edit"",""2!e41"")"),438.0)</f>
        <v>438</v>
      </c>
      <c r="I580" s="40">
        <f t="shared" si="1590"/>
        <v>2789</v>
      </c>
      <c r="J580" s="40">
        <f>IFERROR(__xludf.DUMMYFUNCTION("IMPORTRANGE(""https://docs.google.com/spreadsheets/d/1sqWX7UerdR9KR_duBzDNfjwbPG-3hLgV1LiN2ZVZ6Js/edit"",""2!e44"")"),3213.0)</f>
        <v>3213</v>
      </c>
      <c r="K580" s="40">
        <f>IFERROR(__xludf.DUMMYFUNCTION("IMPORTRANGE(""https://docs.google.com/spreadsheets/d/1sqWX7UerdR9KR_duBzDNfjwbPG-3hLgV1LiN2ZVZ6Js/edit"",""2!e45"")"),305.0)</f>
        <v>305</v>
      </c>
      <c r="L580" s="40">
        <f>J580+K580</f>
        <v>3518</v>
      </c>
      <c r="M580" s="40">
        <f t="shared" si="1592"/>
        <v>6307</v>
      </c>
      <c r="N580" s="41">
        <f t="shared" si="1593"/>
        <v>191.1330323</v>
      </c>
      <c r="O580" s="38">
        <v>6622.0</v>
      </c>
      <c r="P580" s="42">
        <f t="shared" si="1594"/>
        <v>0.9524312896</v>
      </c>
      <c r="Q580" s="43">
        <v>1.5</v>
      </c>
      <c r="R580" s="42">
        <f t="shared" si="1595"/>
        <v>0.7096335312</v>
      </c>
      <c r="S580" s="44">
        <f t="shared" si="1596"/>
        <v>1.064450297</v>
      </c>
      <c r="T580" s="43">
        <f>F580/23.84</f>
        <v>248.5370805</v>
      </c>
      <c r="U580" s="43">
        <f t="shared" si="1597"/>
        <v>8.017325179</v>
      </c>
      <c r="V580" s="40">
        <f t="shared" si="1598"/>
        <v>203.4516129</v>
      </c>
      <c r="X580" s="31">
        <v>2.0</v>
      </c>
      <c r="Y580" s="31" t="s">
        <v>30</v>
      </c>
      <c r="Z580" s="31">
        <f t="shared" ref="Z580:AI580" si="1609">SUM(D575)</f>
        <v>60</v>
      </c>
      <c r="AA580" s="32">
        <f t="shared" si="1609"/>
        <v>58</v>
      </c>
      <c r="AB580" s="33">
        <f t="shared" si="1609"/>
        <v>11253.345</v>
      </c>
      <c r="AC580" s="32">
        <f t="shared" si="1609"/>
        <v>3757</v>
      </c>
      <c r="AD580" s="32">
        <f t="shared" si="1609"/>
        <v>0</v>
      </c>
      <c r="AE580" s="32">
        <f t="shared" si="1609"/>
        <v>3757</v>
      </c>
      <c r="AF580" s="32">
        <f t="shared" si="1609"/>
        <v>5596</v>
      </c>
      <c r="AG580" s="32">
        <f t="shared" si="1609"/>
        <v>0</v>
      </c>
      <c r="AH580" s="32">
        <f t="shared" si="1609"/>
        <v>5596</v>
      </c>
      <c r="AI580" s="32">
        <f t="shared" si="1609"/>
        <v>9353</v>
      </c>
      <c r="AJ580" s="34">
        <f t="shared" si="1610"/>
        <v>194.0231897</v>
      </c>
      <c r="AK580" s="31">
        <f t="shared" si="1611"/>
        <v>11164</v>
      </c>
      <c r="AL580" s="35">
        <f t="shared" si="1612"/>
        <v>0.8377821569</v>
      </c>
      <c r="AM580" s="36">
        <f t="shared" si="1613"/>
        <v>1.5</v>
      </c>
      <c r="AN580" s="35">
        <f t="shared" si="1614"/>
        <v>0.5540871033</v>
      </c>
      <c r="AO580" s="37">
        <f t="shared" si="1615"/>
        <v>0.8311306549</v>
      </c>
      <c r="AP580" s="36">
        <f t="shared" ref="AP580:AQ580" si="1616">SUM(T575)</f>
        <v>380.1420464</v>
      </c>
      <c r="AQ580" s="36">
        <f t="shared" si="1616"/>
        <v>6.554173214</v>
      </c>
      <c r="AR580" s="32">
        <f t="shared" si="1617"/>
        <v>161.2586207</v>
      </c>
    </row>
    <row r="581" ht="15.75" customHeight="1">
      <c r="A581" s="21"/>
      <c r="B581" s="38">
        <v>9.0</v>
      </c>
      <c r="C581" s="38" t="s">
        <v>36</v>
      </c>
      <c r="D581" s="58">
        <v>30.0</v>
      </c>
      <c r="E581" s="40">
        <f>IFERROR(__xludf.DUMMYFUNCTION("COUNT(IMPORTRANGE(""https://docs.google.com/spreadsheets/d/1YNna43iTSqnwwbMJgTIPHSJEoDO8RGPRFg5pJCoQR_Y/edit"",""2!d2:d31""))"),29.0)</f>
        <v>29</v>
      </c>
      <c r="F581" s="45">
        <f>IFERROR(__xludf.DUMMYFUNCTION("SUM(IMPORTRANGE(""https://docs.google.com/spreadsheets/d/1YNna43iTSqnwwbMJgTIPHSJEoDO8RGPRFg5pJCoQR_Y/edit"",""2!Q2:Q31""))"),5604.12)</f>
        <v>5604.12</v>
      </c>
      <c r="G581" s="40">
        <f>IFERROR(__xludf.DUMMYFUNCTION("IMPORTRANGE(""https://docs.google.com/spreadsheets/d/1YNna43iTSqnwwbMJgTIPHSJEoDO8RGPRFg5pJCoQR_Y/edit"",""2!e38"")"),1533.0)</f>
        <v>1533</v>
      </c>
      <c r="H581" s="40">
        <f>IFERROR(__xludf.DUMMYFUNCTION("IMPORTRANGE(""https://docs.google.com/spreadsheets/d/1YNna43iTSqnwwbMJgTIPHSJEoDO8RGPRFg5pJCoQR_Y/edit"",""2!e39"")"),0.0)</f>
        <v>0</v>
      </c>
      <c r="I581" s="40">
        <f t="shared" si="1590"/>
        <v>1533</v>
      </c>
      <c r="J581" s="40">
        <f>IFERROR(__xludf.DUMMYFUNCTION("IMPORTRANGE(""https://docs.google.com/spreadsheets/d/1YNna43iTSqnwwbMJgTIPHSJEoDO8RGPRFg5pJCoQR_Y/edit"",""2!e42"")"),2301.0)</f>
        <v>2301</v>
      </c>
      <c r="K581" s="40">
        <f>IFERROR(__xludf.DUMMYFUNCTION("IMPORTRANGE(""https://docs.google.com/spreadsheets/d/1YNna43iTSqnwwbMJgTIPHSJEoDO8RGPRFg5pJCoQR_Y/edit"",""2!e43"")"),0.0)</f>
        <v>0</v>
      </c>
      <c r="L581" s="40">
        <f t="shared" ref="L581:L590" si="1620">SUM(J581:K581)</f>
        <v>2301</v>
      </c>
      <c r="M581" s="40">
        <f t="shared" si="1592"/>
        <v>3834</v>
      </c>
      <c r="N581" s="41">
        <f t="shared" si="1593"/>
        <v>193.2455172</v>
      </c>
      <c r="O581" s="38">
        <v>4796.0</v>
      </c>
      <c r="P581" s="42">
        <f t="shared" si="1594"/>
        <v>0.7994161802</v>
      </c>
      <c r="Q581" s="43">
        <v>1.5</v>
      </c>
      <c r="R581" s="42">
        <f t="shared" si="1595"/>
        <v>0.4560930173</v>
      </c>
      <c r="S581" s="44">
        <f t="shared" si="1596"/>
        <v>0.6841395259</v>
      </c>
      <c r="T581" s="43">
        <f>F581/37.414</f>
        <v>149.7867109</v>
      </c>
      <c r="U581" s="43">
        <f t="shared" si="1597"/>
        <v>5.165058995</v>
      </c>
      <c r="V581" s="40">
        <f t="shared" si="1598"/>
        <v>132.2068966</v>
      </c>
      <c r="X581" s="22">
        <v>3.0</v>
      </c>
      <c r="Y581" s="22" t="s">
        <v>34</v>
      </c>
      <c r="Z581" s="22">
        <f t="shared" ref="Z581:AI581" si="1618">SUM(D577)</f>
        <v>40</v>
      </c>
      <c r="AA581" s="23">
        <f t="shared" si="1618"/>
        <v>40</v>
      </c>
      <c r="AB581" s="24">
        <f t="shared" si="1618"/>
        <v>7895.343</v>
      </c>
      <c r="AC581" s="23">
        <f t="shared" si="1618"/>
        <v>3069</v>
      </c>
      <c r="AD581" s="23">
        <f t="shared" si="1618"/>
        <v>0</v>
      </c>
      <c r="AE581" s="23">
        <f t="shared" si="1618"/>
        <v>3069</v>
      </c>
      <c r="AF581" s="23">
        <f t="shared" si="1618"/>
        <v>3126</v>
      </c>
      <c r="AG581" s="23">
        <f t="shared" si="1618"/>
        <v>0</v>
      </c>
      <c r="AH581" s="23">
        <f t="shared" si="1618"/>
        <v>3126</v>
      </c>
      <c r="AI581" s="23">
        <f t="shared" si="1618"/>
        <v>6195</v>
      </c>
      <c r="AJ581" s="25">
        <f t="shared" si="1610"/>
        <v>197.383575</v>
      </c>
      <c r="AK581" s="22">
        <f>SUM(O577)</f>
        <v>9354</v>
      </c>
      <c r="AL581" s="26">
        <f t="shared" si="1612"/>
        <v>0.6622835151</v>
      </c>
      <c r="AM581" s="27">
        <f>SUM(Q577)</f>
        <v>1.5</v>
      </c>
      <c r="AN581" s="26">
        <f t="shared" si="1614"/>
        <v>0.5230931702</v>
      </c>
      <c r="AO581" s="28">
        <f t="shared" si="1615"/>
        <v>0.7846397554</v>
      </c>
      <c r="AP581" s="27">
        <f t="shared" ref="AP581:AQ581" si="1619">SUM(T577)</f>
        <v>257.0684401</v>
      </c>
      <c r="AQ581" s="27">
        <f t="shared" si="1619"/>
        <v>6.426711002</v>
      </c>
      <c r="AR581" s="23">
        <f t="shared" si="1617"/>
        <v>154.875</v>
      </c>
    </row>
    <row r="582" ht="15.75" customHeight="1">
      <c r="A582" s="21"/>
      <c r="B582" s="38">
        <v>10.0</v>
      </c>
      <c r="C582" s="38" t="s">
        <v>37</v>
      </c>
      <c r="D582" s="39">
        <v>30.0</v>
      </c>
      <c r="E582" s="40">
        <f>IFERROR(__xludf.DUMMYFUNCTION("COUNT(IMPORTRANGE(""https://docs.google.com/spreadsheets/d/1913Df5BsXS_b-nClL8LOK5w0engQYTl1mPOiyngRtO0/edit"",""2!d2:d31""))"),30.0)</f>
        <v>30</v>
      </c>
      <c r="F582" s="45">
        <f>IFERROR(__xludf.DUMMYFUNCTION("SUM(IMPORTRANGE(""https://docs.google.com/spreadsheets/d/1913Df5BsXS_b-nClL8LOK5w0engQYTl1mPOiyngRtO0/edit"",""2!Q2:Q31""))"),5812.188)</f>
        <v>5812.188</v>
      </c>
      <c r="G582" s="40">
        <f>IFERROR(__xludf.DUMMYFUNCTION("(IMPORTRANGE(""https://docs.google.com/spreadsheets/d/1913Df5BsXS_b-nClL8LOK5w0engQYTl1mPOiyngRtO0/edit"",""2!e38""))"),2138.0)</f>
        <v>2138</v>
      </c>
      <c r="H582" s="40">
        <f>IFERROR(__xludf.DUMMYFUNCTION("(IMPORTRANGE(""https://docs.google.com/spreadsheets/d/1913Df5BsXS_b-nClL8LOK5w0engQYTl1mPOiyngRtO0/edit"",""2!e39""))"),0.0)</f>
        <v>0</v>
      </c>
      <c r="I582" s="40">
        <f t="shared" si="1590"/>
        <v>2138</v>
      </c>
      <c r="J582" s="40">
        <f>IFERROR(__xludf.DUMMYFUNCTION("(IMPORTRANGE(""https://docs.google.com/spreadsheets/d/1913Df5BsXS_b-nClL8LOK5w0engQYTl1mPOiyngRtO0/edit"",""2!e42""))"),3071.0)</f>
        <v>3071</v>
      </c>
      <c r="K582" s="40">
        <f>IFERROR(__xludf.DUMMYFUNCTION("(IMPORTRANGE(""https://docs.google.com/spreadsheets/d/1913Df5BsXS_b-nClL8LOK5w0engQYTl1mPOiyngRtO0/edit"",""2!e43""))"),0.0)</f>
        <v>0</v>
      </c>
      <c r="L582" s="40">
        <f t="shared" si="1620"/>
        <v>3071</v>
      </c>
      <c r="M582" s="40">
        <f t="shared" si="1592"/>
        <v>5209</v>
      </c>
      <c r="N582" s="41">
        <f t="shared" si="1593"/>
        <v>193.7396</v>
      </c>
      <c r="O582" s="38">
        <v>5887.0</v>
      </c>
      <c r="P582" s="42">
        <f t="shared" si="1594"/>
        <v>0.8848309835</v>
      </c>
      <c r="Q582" s="43">
        <v>1.5</v>
      </c>
      <c r="R582" s="42">
        <f t="shared" si="1595"/>
        <v>0.5974800999</v>
      </c>
      <c r="S582" s="44">
        <f t="shared" si="1596"/>
        <v>0.8962201498</v>
      </c>
      <c r="T582" s="43">
        <f>F582/24.792</f>
        <v>234.4380445</v>
      </c>
      <c r="U582" s="43">
        <f t="shared" si="1597"/>
        <v>7.814601484</v>
      </c>
      <c r="V582" s="40">
        <f t="shared" si="1598"/>
        <v>173.6333333</v>
      </c>
      <c r="X582" s="31">
        <v>4.0</v>
      </c>
      <c r="Y582" s="31" t="s">
        <v>38</v>
      </c>
      <c r="Z582" s="31">
        <f t="shared" ref="Z582:AI582" si="1621">SUM(D585)</f>
        <v>30</v>
      </c>
      <c r="AA582" s="32">
        <f t="shared" si="1621"/>
        <v>30</v>
      </c>
      <c r="AB582" s="33">
        <f t="shared" si="1621"/>
        <v>6284.278</v>
      </c>
      <c r="AC582" s="32">
        <f t="shared" si="1621"/>
        <v>2309</v>
      </c>
      <c r="AD582" s="32">
        <f t="shared" si="1621"/>
        <v>0</v>
      </c>
      <c r="AE582" s="32">
        <f t="shared" si="1621"/>
        <v>2309</v>
      </c>
      <c r="AF582" s="32">
        <f t="shared" si="1621"/>
        <v>2749</v>
      </c>
      <c r="AG582" s="32">
        <f t="shared" si="1621"/>
        <v>159</v>
      </c>
      <c r="AH582" s="32">
        <f t="shared" si="1621"/>
        <v>2908</v>
      </c>
      <c r="AI582" s="32">
        <f t="shared" si="1621"/>
        <v>5217</v>
      </c>
      <c r="AJ582" s="34">
        <f t="shared" si="1610"/>
        <v>209.4759333</v>
      </c>
      <c r="AK582" s="31">
        <v>7324.0</v>
      </c>
      <c r="AL582" s="35">
        <f t="shared" si="1612"/>
        <v>0.7123156745</v>
      </c>
      <c r="AM582" s="36">
        <f>SUM(Q585)</f>
        <v>1.5</v>
      </c>
      <c r="AN582" s="35">
        <f t="shared" si="1614"/>
        <v>0.5534446439</v>
      </c>
      <c r="AO582" s="37">
        <f t="shared" si="1615"/>
        <v>0.8301669659</v>
      </c>
      <c r="AP582" s="36">
        <f t="shared" ref="AP582:AQ582" si="1622">SUM(T585)</f>
        <v>152.5125106</v>
      </c>
      <c r="AQ582" s="36">
        <f t="shared" si="1622"/>
        <v>5.083750354</v>
      </c>
      <c r="AR582" s="32">
        <f t="shared" si="1617"/>
        <v>173.9</v>
      </c>
    </row>
    <row r="583" ht="15.75" customHeight="1">
      <c r="A583" s="21"/>
      <c r="B583" s="38">
        <v>12.0</v>
      </c>
      <c r="C583" s="38" t="s">
        <v>39</v>
      </c>
      <c r="D583" s="39">
        <v>28.0</v>
      </c>
      <c r="E583" s="40">
        <f>IFERROR(__xludf.DUMMYFUNCTION("COUNT(IMPORTRANGE(""https://docs.google.com/spreadsheets/d/1wMeol_MpSIcocGxt3WZGl46mJ2tc80mANPvP_YzaP18/edit"",""2!d2:d29""))"),28.0)</f>
        <v>28</v>
      </c>
      <c r="F583" s="45">
        <f>IFERROR(__xludf.DUMMYFUNCTION("SUM(IMPORTRANGE(""https://docs.google.com/spreadsheets/d/1wMeol_MpSIcocGxt3WZGl46mJ2tc80mANPvP_YzaP18/edit"",""2!Q2:Q29""))"),5458.878)</f>
        <v>5458.878</v>
      </c>
      <c r="G583" s="40">
        <f>IFERROR(__xludf.DUMMYFUNCTION("IMPORTRANGE(""https://docs.google.com/spreadsheets/d/1wMeol_MpSIcocGxt3WZGl46mJ2tc80mANPvP_YzaP18/edit"",""2!e36"")"),1516.0)</f>
        <v>1516</v>
      </c>
      <c r="H583" s="40">
        <f>IFERROR(__xludf.DUMMYFUNCTION("(IMPORTRANGE(""https://docs.google.com/spreadsheets/d/1wMeol_MpSIcocGxt3WZGl46mJ2tc80mANPvP_YzaP18/edit"",""2!e37""))"),43.0)</f>
        <v>43</v>
      </c>
      <c r="I583" s="40">
        <f t="shared" si="1590"/>
        <v>1559</v>
      </c>
      <c r="J583" s="40">
        <f>IFERROR(__xludf.DUMMYFUNCTION("IMPORTRANGE(""https://docs.google.com/spreadsheets/d/1wMeol_MpSIcocGxt3WZGl46mJ2tc80mANPvP_YzaP18/edit"",""2!e40"")"),1765.0)</f>
        <v>1765</v>
      </c>
      <c r="K583" s="40">
        <f>IFERROR(__xludf.DUMMYFUNCTION("IMPORTRANGE(""https://docs.google.com/spreadsheets/d/1wMeol_MpSIcocGxt3WZGl46mJ2tc80mANPvP_YzaP18/edit"",""2!e41"")"),115.0)</f>
        <v>115</v>
      </c>
      <c r="L583" s="40">
        <f t="shared" si="1620"/>
        <v>1880</v>
      </c>
      <c r="M583" s="40">
        <f t="shared" si="1592"/>
        <v>3439</v>
      </c>
      <c r="N583" s="41">
        <f t="shared" si="1593"/>
        <v>194.9599286</v>
      </c>
      <c r="O583" s="38">
        <v>3569.0</v>
      </c>
      <c r="P583" s="42">
        <f t="shared" si="1594"/>
        <v>0.9635752312</v>
      </c>
      <c r="Q583" s="43">
        <v>1.5</v>
      </c>
      <c r="R583" s="42">
        <f t="shared" si="1595"/>
        <v>0.4199886253</v>
      </c>
      <c r="S583" s="44">
        <f t="shared" si="1596"/>
        <v>0.6299829379</v>
      </c>
      <c r="T583" s="43">
        <f>F583/21.463</f>
        <v>254.339002</v>
      </c>
      <c r="U583" s="43">
        <f t="shared" si="1597"/>
        <v>9.083535786</v>
      </c>
      <c r="V583" s="40">
        <f t="shared" si="1598"/>
        <v>122.8214286</v>
      </c>
      <c r="X583" s="31">
        <v>5.0</v>
      </c>
      <c r="Y583" s="31" t="s">
        <v>40</v>
      </c>
      <c r="Z583" s="31">
        <f t="shared" ref="Z583:AI583" si="1623">SUM(D587)</f>
        <v>30</v>
      </c>
      <c r="AA583" s="32">
        <f t="shared" si="1623"/>
        <v>30</v>
      </c>
      <c r="AB583" s="33">
        <f t="shared" si="1623"/>
        <v>5845.703</v>
      </c>
      <c r="AC583" s="32">
        <f t="shared" si="1623"/>
        <v>3323</v>
      </c>
      <c r="AD583" s="32">
        <f t="shared" si="1623"/>
        <v>39</v>
      </c>
      <c r="AE583" s="32">
        <f t="shared" si="1623"/>
        <v>3362</v>
      </c>
      <c r="AF583" s="32">
        <f t="shared" si="1623"/>
        <v>3928</v>
      </c>
      <c r="AG583" s="32">
        <f t="shared" si="1623"/>
        <v>73</v>
      </c>
      <c r="AH583" s="32">
        <f t="shared" si="1623"/>
        <v>4001</v>
      </c>
      <c r="AI583" s="32">
        <f t="shared" si="1623"/>
        <v>7363</v>
      </c>
      <c r="AJ583" s="34">
        <f t="shared" si="1610"/>
        <v>194.8567667</v>
      </c>
      <c r="AK583" s="31">
        <f t="shared" ref="AK583:AK584" si="1626">SUM(O587)</f>
        <v>8239</v>
      </c>
      <c r="AL583" s="35">
        <f t="shared" si="1612"/>
        <v>0.893676417</v>
      </c>
      <c r="AM583" s="36">
        <f t="shared" ref="AM583:AM584" si="1627">SUM(Q587)</f>
        <v>1.5</v>
      </c>
      <c r="AN583" s="35">
        <f t="shared" si="1614"/>
        <v>0.8397051076</v>
      </c>
      <c r="AO583" s="37">
        <f t="shared" si="1615"/>
        <v>1.259557661</v>
      </c>
      <c r="AP583" s="36">
        <f t="shared" ref="AP583:AQ583" si="1624">SUM(T587)</f>
        <v>205.5234328</v>
      </c>
      <c r="AQ583" s="36">
        <f t="shared" si="1624"/>
        <v>6.850781094</v>
      </c>
      <c r="AR583" s="32">
        <f t="shared" si="1617"/>
        <v>245.4333333</v>
      </c>
    </row>
    <row r="584" ht="15.75" customHeight="1">
      <c r="A584" s="21"/>
      <c r="B584" s="38">
        <v>12.0</v>
      </c>
      <c r="C584" s="38" t="s">
        <v>41</v>
      </c>
      <c r="D584" s="39">
        <v>24.0</v>
      </c>
      <c r="E584" s="40">
        <f>IFERROR(__xludf.DUMMYFUNCTION("COUNT(IMPORTRANGE(""https://docs.google.com/spreadsheets/d/1sHk6_yuc4kORC_xnhEeazoemV_hVUQVqRpfoNae-PLk/edit"",""2!d2:d25""))"),24.0)</f>
        <v>24</v>
      </c>
      <c r="F584" s="45">
        <f>IFERROR(__xludf.DUMMYFUNCTION("SUM(IMPORTRANGE(""https://docs.google.com/spreadsheets/d/1sHk6_yuc4kORC_xnhEeazoemV_hVUQVqRpfoNae-PLk/edit"",""2!Q2:Q25""))"),4806.3200000000015)</f>
        <v>4806.32</v>
      </c>
      <c r="G584" s="40">
        <f>IFERROR(__xludf.DUMMYFUNCTION("IMPORTRANGE(""https://docs.google.com/spreadsheets/d/1sHk6_yuc4kORC_xnhEeazoemV_hVUQVqRpfoNae-PLk/edit"",""2!e32"")"),1468.0)</f>
        <v>1468</v>
      </c>
      <c r="H584" s="40">
        <f>IFERROR(__xludf.DUMMYFUNCTION("IMPORTRANGE(""https://docs.google.com/spreadsheets/d/1sHk6_yuc4kORC_xnhEeazoemV_hVUQVqRpfoNae-PLk/edit"",""2!e33"")"),0.0)</f>
        <v>0</v>
      </c>
      <c r="I584" s="40">
        <f t="shared" si="1590"/>
        <v>1468</v>
      </c>
      <c r="J584" s="40">
        <f>IFERROR(__xludf.DUMMYFUNCTION("IMPORTRANGE(""https://docs.google.com/spreadsheets/d/1sHk6_yuc4kORC_xnhEeazoemV_hVUQVqRpfoNae-PLk/edit"",""2!e36"")"),1656.0)</f>
        <v>1656</v>
      </c>
      <c r="K584" s="40">
        <f>IFERROR(__xludf.DUMMYFUNCTION("IMPORTRANGE(""https://docs.google.com/spreadsheets/d/1sHk6_yuc4kORC_xnhEeazoemV_hVUQVqRpfoNae-PLk/edit"",""2!e37"")"),0.0)</f>
        <v>0</v>
      </c>
      <c r="L584" s="40">
        <f t="shared" si="1620"/>
        <v>1656</v>
      </c>
      <c r="M584" s="40">
        <f t="shared" si="1592"/>
        <v>3124</v>
      </c>
      <c r="N584" s="41">
        <f t="shared" si="1593"/>
        <v>200.2633333</v>
      </c>
      <c r="O584" s="38">
        <v>3801.0</v>
      </c>
      <c r="P584" s="42">
        <f t="shared" si="1594"/>
        <v>0.8218889766</v>
      </c>
      <c r="Q584" s="43">
        <v>1.5</v>
      </c>
      <c r="R584" s="42">
        <f t="shared" si="1595"/>
        <v>0.4333183531</v>
      </c>
      <c r="S584" s="44">
        <f t="shared" si="1596"/>
        <v>0.6499775296</v>
      </c>
      <c r="T584" s="43">
        <f>F584/29.628</f>
        <v>162.2222222</v>
      </c>
      <c r="U584" s="43">
        <f t="shared" si="1597"/>
        <v>6.759259259</v>
      </c>
      <c r="V584" s="40">
        <f t="shared" si="1598"/>
        <v>130.1666667</v>
      </c>
      <c r="X584" s="22">
        <v>6.0</v>
      </c>
      <c r="Y584" s="22" t="s">
        <v>42</v>
      </c>
      <c r="Z584" s="22">
        <f t="shared" ref="Z584:AI584" si="1625">SUM(D588)</f>
        <v>33</v>
      </c>
      <c r="AA584" s="23">
        <f t="shared" si="1625"/>
        <v>33</v>
      </c>
      <c r="AB584" s="24">
        <f t="shared" si="1625"/>
        <v>6380.282</v>
      </c>
      <c r="AC584" s="23">
        <f t="shared" si="1625"/>
        <v>3133</v>
      </c>
      <c r="AD584" s="23">
        <f t="shared" si="1625"/>
        <v>0</v>
      </c>
      <c r="AE584" s="23">
        <f t="shared" si="1625"/>
        <v>3133</v>
      </c>
      <c r="AF584" s="23">
        <f t="shared" si="1625"/>
        <v>4360</v>
      </c>
      <c r="AG584" s="23">
        <f t="shared" si="1625"/>
        <v>0</v>
      </c>
      <c r="AH584" s="23">
        <f t="shared" si="1625"/>
        <v>4360</v>
      </c>
      <c r="AI584" s="23">
        <f t="shared" si="1625"/>
        <v>7493</v>
      </c>
      <c r="AJ584" s="25">
        <f t="shared" si="1610"/>
        <v>193.3418788</v>
      </c>
      <c r="AK584" s="22">
        <f t="shared" si="1626"/>
        <v>9877</v>
      </c>
      <c r="AL584" s="26">
        <f t="shared" si="1612"/>
        <v>0.7586311633</v>
      </c>
      <c r="AM584" s="27">
        <f t="shared" si="1627"/>
        <v>1.5</v>
      </c>
      <c r="AN584" s="26">
        <f t="shared" si="1614"/>
        <v>0.782933001</v>
      </c>
      <c r="AO584" s="28">
        <f t="shared" si="1615"/>
        <v>1.174399501</v>
      </c>
      <c r="AP584" s="27">
        <f t="shared" ref="AP584:AQ584" si="1628">SUM(T588)</f>
        <v>243.9411967</v>
      </c>
      <c r="AQ584" s="27">
        <f t="shared" si="1628"/>
        <v>7.392157476</v>
      </c>
      <c r="AR584" s="23">
        <f t="shared" si="1617"/>
        <v>227.0606061</v>
      </c>
    </row>
    <row r="585" ht="15.75" customHeight="1">
      <c r="A585" s="21"/>
      <c r="B585" s="38">
        <v>13.0</v>
      </c>
      <c r="C585" s="38" t="s">
        <v>43</v>
      </c>
      <c r="D585" s="39">
        <v>30.0</v>
      </c>
      <c r="E585" s="40">
        <f>IFERROR(__xludf.DUMMYFUNCTION("COUNT(IMPORTRANGE(""https://docs.google.com/spreadsheets/d/1uGXvAN2jA6kmcEHUY4KqOHHewllZsujDdA6KVDfBCoA/edit"",""2!d2:d31""))"),30.0)</f>
        <v>30</v>
      </c>
      <c r="F585" s="45">
        <f>IFERROR(__xludf.DUMMYFUNCTION("SUM(IMPORTRANGE(""https://docs.google.com/spreadsheets/d/1uGXvAN2jA6kmcEHUY4KqOHHewllZsujDdA6KVDfBCoA/edit"",""2!Q2:Q31""))"),6284.277999999999)</f>
        <v>6284.278</v>
      </c>
      <c r="G585" s="40">
        <f>IFERROR(__xludf.DUMMYFUNCTION("IMPORTRANGE(""https://docs.google.com/spreadsheets/d/1uGXvAN2jA6kmcEHUY4KqOHHewllZsujDdA6KVDfBCoA/edit"",""2!e38"")"),2309.0)</f>
        <v>2309</v>
      </c>
      <c r="H585" s="40">
        <f>IFERROR(__xludf.DUMMYFUNCTION("IMPORTRANGE(""https://docs.google.com/spreadsheets/d/1uGXvAN2jA6kmcEHUY4KqOHHewllZsujDdA6KVDfBCoA/edit"",""2!e39"")"),0.0)</f>
        <v>0</v>
      </c>
      <c r="I585" s="40">
        <f t="shared" si="1590"/>
        <v>2309</v>
      </c>
      <c r="J585" s="40">
        <f>IFERROR(__xludf.DUMMYFUNCTION("IMPORTRANGE(""https://docs.google.com/spreadsheets/d/1uGXvAN2jA6kmcEHUY4KqOHHewllZsujDdA6KVDfBCoA/edit"",""2!e42"")"),2749.0)</f>
        <v>2749</v>
      </c>
      <c r="K585" s="40">
        <f>IFERROR(__xludf.DUMMYFUNCTION("IMPORTRANGE(""https://docs.google.com/spreadsheets/d/1uGXvAN2jA6kmcEHUY4KqOHHewllZsujDdA6KVDfBCoA/edit"",""2!e43"")"),159.0)</f>
        <v>159</v>
      </c>
      <c r="L585" s="40">
        <f t="shared" si="1620"/>
        <v>2908</v>
      </c>
      <c r="M585" s="40">
        <f t="shared" si="1592"/>
        <v>5217</v>
      </c>
      <c r="N585" s="41">
        <f t="shared" si="1593"/>
        <v>209.4759333</v>
      </c>
      <c r="O585" s="38">
        <v>8345.0</v>
      </c>
      <c r="P585" s="42">
        <f t="shared" si="1594"/>
        <v>0.6251647693</v>
      </c>
      <c r="Q585" s="43">
        <v>1.5</v>
      </c>
      <c r="R585" s="42">
        <f t="shared" si="1595"/>
        <v>0.5534446439</v>
      </c>
      <c r="S585" s="44">
        <f t="shared" si="1596"/>
        <v>0.8301669659</v>
      </c>
      <c r="T585" s="43">
        <f>F585/41.205</f>
        <v>152.5125106</v>
      </c>
      <c r="U585" s="43">
        <f t="shared" si="1597"/>
        <v>5.083750354</v>
      </c>
      <c r="V585" s="40">
        <f t="shared" si="1598"/>
        <v>173.9</v>
      </c>
      <c r="X585" s="46" t="s">
        <v>33</v>
      </c>
      <c r="Y585" s="46">
        <v>6.0</v>
      </c>
      <c r="Z585" s="46">
        <f t="shared" ref="Z585:AI585" si="1629">SUM(Z579:Z584)</f>
        <v>226</v>
      </c>
      <c r="AA585" s="47">
        <f t="shared" si="1629"/>
        <v>224</v>
      </c>
      <c r="AB585" s="49">
        <f t="shared" si="1629"/>
        <v>44187.784</v>
      </c>
      <c r="AC585" s="47">
        <f t="shared" si="1629"/>
        <v>18291</v>
      </c>
      <c r="AD585" s="47">
        <f t="shared" si="1629"/>
        <v>143</v>
      </c>
      <c r="AE585" s="47">
        <f t="shared" si="1629"/>
        <v>18434</v>
      </c>
      <c r="AF585" s="47">
        <f t="shared" si="1629"/>
        <v>22964</v>
      </c>
      <c r="AG585" s="47">
        <f t="shared" si="1629"/>
        <v>334</v>
      </c>
      <c r="AH585" s="47">
        <f t="shared" si="1629"/>
        <v>23298</v>
      </c>
      <c r="AI585" s="47">
        <f t="shared" si="1629"/>
        <v>41732</v>
      </c>
      <c r="AJ585" s="49">
        <f t="shared" si="1610"/>
        <v>197.2668929</v>
      </c>
      <c r="AK585" s="46">
        <f>SUM(AK579:AK584)</f>
        <v>53273</v>
      </c>
      <c r="AL585" s="50">
        <f t="shared" si="1612"/>
        <v>0.7833611773</v>
      </c>
      <c r="AM585" s="51">
        <v>1.5</v>
      </c>
      <c r="AN585" s="50">
        <f t="shared" si="1614"/>
        <v>0.6296159439</v>
      </c>
      <c r="AO585" s="52">
        <f t="shared" si="1615"/>
        <v>0.9444239159</v>
      </c>
      <c r="AP585" s="51">
        <f>SUM(AP579:AP584)</f>
        <v>1450.497236</v>
      </c>
      <c r="AQ585" s="51">
        <f>AP585/AA585</f>
        <v>6.475434089</v>
      </c>
      <c r="AR585" s="47">
        <f t="shared" si="1617"/>
        <v>186.3035714</v>
      </c>
    </row>
    <row r="586" ht="15.75" customHeight="1">
      <c r="A586" s="21"/>
      <c r="B586" s="38">
        <v>14.0</v>
      </c>
      <c r="C586" s="38" t="s">
        <v>27</v>
      </c>
      <c r="D586" s="39">
        <v>30.0</v>
      </c>
      <c r="E586" s="40">
        <f>IFERROR(__xludf.DUMMYFUNCTION("COUNT(IMPORTRANGE(""https://docs.google.com/spreadsheets/d/1iYtf3wkjJIgOL8ej0-L89wY8FLXKi6EiRbi9UqA1Bzw/edit"",""2!d2:d31""))"),28.0)</f>
        <v>28</v>
      </c>
      <c r="F586" s="45">
        <f>IFERROR(__xludf.DUMMYFUNCTION("SUM(IMPORTRANGE(""https://docs.google.com/spreadsheets/d/1iYtf3wkjJIgOL8ej0-L89wY8FLXKi6EiRbi9UqA1Bzw/edit"",""2!Q2:Q31""))"),5465.76)</f>
        <v>5465.76</v>
      </c>
      <c r="G586" s="40">
        <f>IFERROR(__xludf.DUMMYFUNCTION("IMPORTRANGE(""https://docs.google.com/spreadsheets/d/1iYtf3wkjJIgOL8ej0-L89wY8FLXKi6EiRbi9UqA1Bzw/edit"",""2!e38"")"),2368.0)</f>
        <v>2368</v>
      </c>
      <c r="H586" s="40">
        <f>IFERROR(__xludf.DUMMYFUNCTION("IMPORTRANGE(""https://docs.google.com/spreadsheets/d/1iYtf3wkjJIgOL8ej0-L89wY8FLXKi6EiRbi9UqA1Bzw/edit"",""2!e39"")"),140.0)</f>
        <v>140</v>
      </c>
      <c r="I586" s="40">
        <f t="shared" si="1590"/>
        <v>2508</v>
      </c>
      <c r="J586" s="40">
        <f>IFERROR(__xludf.DUMMYFUNCTION("IMPORTRANGE(""https://docs.google.com/spreadsheets/d/1iYtf3wkjJIgOL8ej0-L89wY8FLXKi6EiRbi9UqA1Bzw/edit"",""2!e42"")"),3355.0)</f>
        <v>3355</v>
      </c>
      <c r="K586" s="40">
        <f>IFERROR(__xludf.DUMMYFUNCTION("IMPORTRANGE(""https://docs.google.com/spreadsheets/d/1iYtf3wkjJIgOL8ej0-L89wY8FLXKi6EiRbi9UqA1Bzw/edit"",""2!e43"")"),107.0)</f>
        <v>107</v>
      </c>
      <c r="L586" s="40">
        <f t="shared" si="1620"/>
        <v>3462</v>
      </c>
      <c r="M586" s="40">
        <f t="shared" si="1592"/>
        <v>5970</v>
      </c>
      <c r="N586" s="41">
        <f t="shared" si="1593"/>
        <v>195.2057143</v>
      </c>
      <c r="O586" s="38">
        <v>8101.0</v>
      </c>
      <c r="P586" s="42">
        <f t="shared" si="1594"/>
        <v>0.736946056</v>
      </c>
      <c r="Q586" s="43">
        <v>1.5</v>
      </c>
      <c r="R586" s="42">
        <f t="shared" si="1595"/>
        <v>0.7281695501</v>
      </c>
      <c r="S586" s="44">
        <f t="shared" si="1596"/>
        <v>1.092254325</v>
      </c>
      <c r="T586" s="43">
        <f>F586/19.985</f>
        <v>273.4931198</v>
      </c>
      <c r="U586" s="43">
        <f t="shared" si="1597"/>
        <v>9.767611423</v>
      </c>
      <c r="V586" s="40">
        <f t="shared" si="1598"/>
        <v>213.2142857</v>
      </c>
      <c r="X586" s="59" t="s">
        <v>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6"/>
    </row>
    <row r="587" ht="15.75" customHeight="1">
      <c r="A587" s="21"/>
      <c r="B587" s="38">
        <v>15.0</v>
      </c>
      <c r="C587" s="38" t="s">
        <v>40</v>
      </c>
      <c r="D587" s="39">
        <v>30.0</v>
      </c>
      <c r="E587" s="40">
        <f>IFERROR(__xludf.DUMMYFUNCTION("COUNT(IMPORTRANGE(""https://docs.google.com/spreadsheets/d/1Wdf8MsoDBzMSsrzOXwaGQzbVjVqOWfKSqYmbncevZgA/edit"",""2!d2:d31""))"),30.0)</f>
        <v>30</v>
      </c>
      <c r="F587" s="45">
        <f>IFERROR(__xludf.DUMMYFUNCTION("SUM(IMPORTRANGE(""https://docs.google.com/spreadsheets/d/1Wdf8MsoDBzMSsrzOXwaGQzbVjVqOWfKSqYmbncevZgA/edit"",""2!Q2:Q31""))"),5845.702999999999)</f>
        <v>5845.703</v>
      </c>
      <c r="G587" s="40">
        <f>IFERROR(__xludf.DUMMYFUNCTION("IMPORTRANGE(""https://docs.google.com/spreadsheets/d/1Wdf8MsoDBzMSsrzOXwaGQzbVjVqOWfKSqYmbncevZgA/edit"",""2!e38"")"),3323.0)</f>
        <v>3323</v>
      </c>
      <c r="H587" s="40">
        <f>IFERROR(__xludf.DUMMYFUNCTION("IMPORTRANGE(""https://docs.google.com/spreadsheets/d/1Wdf8MsoDBzMSsrzOXwaGQzbVjVqOWfKSqYmbncevZgA/edit"",""2!e39"")"),39.0)</f>
        <v>39</v>
      </c>
      <c r="I587" s="40">
        <f t="shared" si="1590"/>
        <v>3362</v>
      </c>
      <c r="J587" s="40">
        <f>IFERROR(__xludf.DUMMYFUNCTION("IMPORTRANGE(""https://docs.google.com/spreadsheets/d/1Wdf8MsoDBzMSsrzOXwaGQzbVjVqOWfKSqYmbncevZgA/edit"",""2!e42"")"),3928.0)</f>
        <v>3928</v>
      </c>
      <c r="K587" s="40">
        <f>IFERROR(__xludf.DUMMYFUNCTION("IMPORTRANGE(""https://docs.google.com/spreadsheets/d/1Wdf8MsoDBzMSsrzOXwaGQzbVjVqOWfKSqYmbncevZgA/edit"",""2!e43"")"),73.0)</f>
        <v>73</v>
      </c>
      <c r="L587" s="40">
        <f t="shared" si="1620"/>
        <v>4001</v>
      </c>
      <c r="M587" s="40">
        <f t="shared" si="1592"/>
        <v>7363</v>
      </c>
      <c r="N587" s="41">
        <f t="shared" si="1593"/>
        <v>194.8567667</v>
      </c>
      <c r="O587" s="38">
        <v>8239.0</v>
      </c>
      <c r="P587" s="42">
        <f t="shared" si="1594"/>
        <v>0.893676417</v>
      </c>
      <c r="Q587" s="43">
        <v>1.5</v>
      </c>
      <c r="R587" s="42">
        <f t="shared" si="1595"/>
        <v>0.8397051076</v>
      </c>
      <c r="S587" s="44">
        <f t="shared" si="1596"/>
        <v>1.259557661</v>
      </c>
      <c r="T587" s="43">
        <f>F587/28.443</f>
        <v>205.5234328</v>
      </c>
      <c r="U587" s="43">
        <f t="shared" si="1597"/>
        <v>6.850781094</v>
      </c>
      <c r="V587" s="40">
        <f t="shared" si="1598"/>
        <v>245.4333333</v>
      </c>
      <c r="X587" s="14" t="s">
        <v>2</v>
      </c>
      <c r="Y587" s="14" t="s">
        <v>3</v>
      </c>
      <c r="Z587" s="14" t="s">
        <v>4</v>
      </c>
      <c r="AA587" s="14" t="s">
        <v>5</v>
      </c>
      <c r="AB587" s="15" t="s">
        <v>6</v>
      </c>
      <c r="AC587" s="14" t="s">
        <v>7</v>
      </c>
      <c r="AD587" s="14" t="s">
        <v>8</v>
      </c>
      <c r="AE587" s="14" t="s">
        <v>9</v>
      </c>
      <c r="AF587" s="14" t="s">
        <v>10</v>
      </c>
      <c r="AG587" s="14" t="s">
        <v>11</v>
      </c>
      <c r="AH587" s="14" t="s">
        <v>12</v>
      </c>
      <c r="AI587" s="14" t="s">
        <v>13</v>
      </c>
      <c r="AJ587" s="15" t="s">
        <v>14</v>
      </c>
      <c r="AK587" s="14" t="s">
        <v>15</v>
      </c>
      <c r="AL587" s="14" t="s">
        <v>16</v>
      </c>
      <c r="AM587" s="16" t="s">
        <v>17</v>
      </c>
      <c r="AN587" s="17" t="s">
        <v>18</v>
      </c>
      <c r="AO587" s="18" t="s">
        <v>19</v>
      </c>
      <c r="AP587" s="19" t="s">
        <v>20</v>
      </c>
      <c r="AQ587" s="19" t="s">
        <v>21</v>
      </c>
      <c r="AR587" s="20" t="s">
        <v>22</v>
      </c>
    </row>
    <row r="588" ht="15.75" customHeight="1">
      <c r="A588" s="21"/>
      <c r="B588" s="38">
        <v>16.0</v>
      </c>
      <c r="C588" s="38" t="s">
        <v>42</v>
      </c>
      <c r="D588" s="39">
        <v>33.0</v>
      </c>
      <c r="E588" s="40">
        <f>IFERROR(__xludf.DUMMYFUNCTION("COUNT(IMPORTRANGE(""https://docs.google.com/spreadsheets/d/1Z5uB5HbeAKcHmG4EOw3rf2J8NpyvDiha6RReERAMvA0/edit"",""2!d2:d34""))"),33.0)</f>
        <v>33</v>
      </c>
      <c r="F588" s="45">
        <f>IFERROR(__xludf.DUMMYFUNCTION("SUM(IMPORTRANGE(""https://docs.google.com/spreadsheets/d/1Z5uB5HbeAKcHmG4EOw3rf2J8NpyvDiha6RReERAMvA0/edit"",""2!Q2:Q34""))"),6380.281999999998)</f>
        <v>6380.282</v>
      </c>
      <c r="G588" s="40">
        <f>IFERROR(__xludf.DUMMYFUNCTION("IMPORTRANGE(""https://docs.google.com/spreadsheets/d/1Z5uB5HbeAKcHmG4EOw3rf2J8NpyvDiha6RReERAMvA0/edit"",""2!e41"")"),3133.0)</f>
        <v>3133</v>
      </c>
      <c r="H588" s="40">
        <f>IFERROR(__xludf.DUMMYFUNCTION("IMPORTRANGE(""https://docs.google.com/spreadsheets/d/1Z5uB5HbeAKcHmG4EOw3rf2J8NpyvDiha6RReERAMvA0/edit"",""2!e42"")"),0.0)</f>
        <v>0</v>
      </c>
      <c r="I588" s="40">
        <f t="shared" si="1590"/>
        <v>3133</v>
      </c>
      <c r="J588" s="40">
        <f>IFERROR(__xludf.DUMMYFUNCTION("IMPORTRANGE(""https://docs.google.com/spreadsheets/d/1Z5uB5HbeAKcHmG4EOw3rf2J8NpyvDiha6RReERAMvA0/edit"",""2!e45"")"),4360.0)</f>
        <v>4360</v>
      </c>
      <c r="K588" s="40">
        <f>IFERROR(__xludf.DUMMYFUNCTION("IMPORTRANGE(""https://docs.google.com/spreadsheets/d/1Z5uB5HbeAKcHmG4EOw3rf2J8NpyvDiha6RReERAMvA0/edit"",""2!e46"")"),0.0)</f>
        <v>0</v>
      </c>
      <c r="L588" s="40">
        <f t="shared" si="1620"/>
        <v>4360</v>
      </c>
      <c r="M588" s="40">
        <f t="shared" si="1592"/>
        <v>7493</v>
      </c>
      <c r="N588" s="41">
        <f t="shared" si="1593"/>
        <v>193.3418788</v>
      </c>
      <c r="O588" s="38">
        <v>9877.0</v>
      </c>
      <c r="P588" s="42">
        <f t="shared" si="1594"/>
        <v>0.7586311633</v>
      </c>
      <c r="Q588" s="43">
        <v>1.5</v>
      </c>
      <c r="R588" s="42">
        <f t="shared" si="1595"/>
        <v>0.782933001</v>
      </c>
      <c r="S588" s="44">
        <f t="shared" si="1596"/>
        <v>1.174399501</v>
      </c>
      <c r="T588" s="43">
        <f>F588/26.155</f>
        <v>243.9411967</v>
      </c>
      <c r="U588" s="43">
        <f t="shared" si="1597"/>
        <v>7.392157476</v>
      </c>
      <c r="V588" s="40">
        <f t="shared" si="1598"/>
        <v>227.0606061</v>
      </c>
      <c r="X588" s="31">
        <v>1.0</v>
      </c>
      <c r="Y588" s="31" t="s">
        <v>26</v>
      </c>
      <c r="Z588" s="31">
        <f t="shared" ref="Z588:AI588" si="1630">SUM(D573)</f>
        <v>20</v>
      </c>
      <c r="AA588" s="32">
        <f t="shared" si="1630"/>
        <v>20</v>
      </c>
      <c r="AB588" s="34">
        <f t="shared" si="1630"/>
        <v>3560.964</v>
      </c>
      <c r="AC588" s="32">
        <f t="shared" si="1630"/>
        <v>1873</v>
      </c>
      <c r="AD588" s="32">
        <f t="shared" si="1630"/>
        <v>0</v>
      </c>
      <c r="AE588" s="32">
        <f t="shared" si="1630"/>
        <v>1873</v>
      </c>
      <c r="AF588" s="32">
        <f t="shared" si="1630"/>
        <v>3204</v>
      </c>
      <c r="AG588" s="32">
        <f t="shared" si="1630"/>
        <v>0</v>
      </c>
      <c r="AH588" s="32">
        <f t="shared" si="1630"/>
        <v>3204</v>
      </c>
      <c r="AI588" s="32">
        <f t="shared" si="1630"/>
        <v>5077</v>
      </c>
      <c r="AJ588" s="34">
        <f t="shared" ref="AJ588:AJ594" si="1633">AB588/AA588</f>
        <v>178.0482</v>
      </c>
      <c r="AK588" s="31">
        <f>SUM(O573)</f>
        <v>5161</v>
      </c>
      <c r="AL588" s="35">
        <f t="shared" ref="AL588:AL594" si="1634">AI588/AK588</f>
        <v>0.9837240845</v>
      </c>
      <c r="AM588" s="36">
        <f>SUM(Q573)</f>
        <v>1.5</v>
      </c>
      <c r="AN588" s="35">
        <f t="shared" ref="AN588:AN594" si="1635">AO588/AM588</f>
        <v>0.9504916833</v>
      </c>
      <c r="AO588" s="37">
        <f t="shared" ref="AO588:AO594" si="1636">AI588/AB588</f>
        <v>1.425737525</v>
      </c>
      <c r="AP588" s="36">
        <f t="shared" ref="AP588:AQ588" si="1631">SUM(T573)</f>
        <v>247.0318418</v>
      </c>
      <c r="AQ588" s="36">
        <f t="shared" si="1631"/>
        <v>12.35159209</v>
      </c>
      <c r="AR588" s="32">
        <f t="shared" ref="AR588:AR594" si="1638">AI588/AA588</f>
        <v>253.85</v>
      </c>
    </row>
    <row r="589" ht="15.75" customHeight="1">
      <c r="A589" s="21"/>
      <c r="B589" s="38">
        <v>17.0</v>
      </c>
      <c r="C589" s="38" t="s">
        <v>29</v>
      </c>
      <c r="D589" s="39">
        <v>30.0</v>
      </c>
      <c r="E589" s="40">
        <f>IFERROR(__xludf.DUMMYFUNCTION("COUNT(IMPORTRANGE(""https://docs.google.com/spreadsheets/d/1wfJqI0e9wVPqEQv3N6b8KgINjqI0OBECEyIFeY9j3i8/edit"",""2!d2:d31""))"),29.0)</f>
        <v>29</v>
      </c>
      <c r="F589" s="45">
        <f>IFERROR(__xludf.DUMMYFUNCTION("SUM(IMPORTRANGE(""https://docs.google.com/spreadsheets/d/1wfJqI0e9wVPqEQv3N6b8KgINjqI0OBECEyIFeY9j3i8/edit"",""2!Q2:Q31""))"),5775.037999999998)</f>
        <v>5775.038</v>
      </c>
      <c r="G589" s="40">
        <f>IFERROR(__xludf.DUMMYFUNCTION("IMPORTRANGE(""https://docs.google.com/spreadsheets/d/1wfJqI0e9wVPqEQv3N6b8KgINjqI0OBECEyIFeY9j3i8/edit"",""2!e38"")"),2726.0)</f>
        <v>2726</v>
      </c>
      <c r="H589" s="40">
        <f>IFERROR(__xludf.DUMMYFUNCTION("IMPORTRANGE(""https://docs.google.com/spreadsheets/d/1wfJqI0e9wVPqEQv3N6b8KgINjqI0OBECEyIFeY9j3i8/edit"",""2!e39"")"),0.0)</f>
        <v>0</v>
      </c>
      <c r="I589" s="40">
        <f t="shared" si="1590"/>
        <v>2726</v>
      </c>
      <c r="J589" s="40">
        <f>IFERROR(__xludf.DUMMYFUNCTION("IMPORTRANGE(""https://docs.google.com/spreadsheets/d/1wfJqI0e9wVPqEQv3N6b8KgINjqI0OBECEyIFeY9j3i8/edit"",""2!e42"")"),4235.0)</f>
        <v>4235</v>
      </c>
      <c r="K589" s="40">
        <f>IFERROR(__xludf.DUMMYFUNCTION("IMPORTRANGE(""https://docs.google.com/spreadsheets/d/1wfJqI0e9wVPqEQv3N6b8KgINjqI0OBECEyIFeY9j3i8/edit"",""2!e43"")"),0.0)</f>
        <v>0</v>
      </c>
      <c r="L589" s="40">
        <f t="shared" si="1620"/>
        <v>4235</v>
      </c>
      <c r="M589" s="40">
        <f t="shared" si="1592"/>
        <v>6961</v>
      </c>
      <c r="N589" s="41">
        <f t="shared" si="1593"/>
        <v>199.1392414</v>
      </c>
      <c r="O589" s="38">
        <v>9201.0</v>
      </c>
      <c r="P589" s="42">
        <f t="shared" si="1594"/>
        <v>0.7565482013</v>
      </c>
      <c r="Q589" s="43">
        <v>1.5</v>
      </c>
      <c r="R589" s="42">
        <f t="shared" si="1595"/>
        <v>0.803573356</v>
      </c>
      <c r="S589" s="44">
        <f t="shared" si="1596"/>
        <v>1.205360034</v>
      </c>
      <c r="T589" s="43">
        <f>F589/26.491</f>
        <v>218</v>
      </c>
      <c r="U589" s="43">
        <f t="shared" si="1597"/>
        <v>7.517241379</v>
      </c>
      <c r="V589" s="40">
        <f t="shared" si="1598"/>
        <v>240.0344828</v>
      </c>
      <c r="X589" s="31">
        <v>2.0</v>
      </c>
      <c r="Y589" s="31" t="s">
        <v>32</v>
      </c>
      <c r="Z589" s="31">
        <f t="shared" ref="Z589:AI589" si="1632">SUM(D576)</f>
        <v>42</v>
      </c>
      <c r="AA589" s="32">
        <f t="shared" si="1632"/>
        <v>42</v>
      </c>
      <c r="AB589" s="33">
        <f t="shared" si="1632"/>
        <v>8179.014</v>
      </c>
      <c r="AC589" s="31">
        <f t="shared" si="1632"/>
        <v>4808</v>
      </c>
      <c r="AD589" s="31">
        <f t="shared" si="1632"/>
        <v>0</v>
      </c>
      <c r="AE589" s="32">
        <f t="shared" si="1632"/>
        <v>4808</v>
      </c>
      <c r="AF589" s="31">
        <f t="shared" si="1632"/>
        <v>5449</v>
      </c>
      <c r="AG589" s="31">
        <f t="shared" si="1632"/>
        <v>190</v>
      </c>
      <c r="AH589" s="32">
        <f t="shared" si="1632"/>
        <v>5639</v>
      </c>
      <c r="AI589" s="32">
        <f t="shared" si="1632"/>
        <v>10447</v>
      </c>
      <c r="AJ589" s="34">
        <f t="shared" si="1633"/>
        <v>194.7384286</v>
      </c>
      <c r="AK589" s="31">
        <f>SUM(O576)</f>
        <v>13817</v>
      </c>
      <c r="AL589" s="35">
        <f t="shared" si="1634"/>
        <v>0.756097561</v>
      </c>
      <c r="AM589" s="36">
        <f>SUM(Q576)</f>
        <v>1.5</v>
      </c>
      <c r="AN589" s="35">
        <f t="shared" si="1635"/>
        <v>0.8515288844</v>
      </c>
      <c r="AO589" s="37">
        <f t="shared" si="1636"/>
        <v>1.277293327</v>
      </c>
      <c r="AP589" s="36">
        <f t="shared" ref="AP589:AQ589" si="1637">SUM(T576)</f>
        <v>326</v>
      </c>
      <c r="AQ589" s="36">
        <f t="shared" si="1637"/>
        <v>7.761904762</v>
      </c>
      <c r="AR589" s="32">
        <f t="shared" si="1638"/>
        <v>248.7380952</v>
      </c>
    </row>
    <row r="590" ht="15.75" customHeight="1">
      <c r="A590" s="21"/>
      <c r="B590" s="38">
        <v>18.0</v>
      </c>
      <c r="C590" s="38" t="s">
        <v>31</v>
      </c>
      <c r="D590" s="39">
        <v>15.0</v>
      </c>
      <c r="E590" s="40">
        <f>IFERROR(__xludf.DUMMYFUNCTION("COUNT(IMPORTRANGE(""https://docs.google.com/spreadsheets/d/1-y2KhTAo7d8kowgUuWUDfRQuRMUAFteRYEXorT3_wOs/edit"",""2!d2:d16""))"),13.0)</f>
        <v>13</v>
      </c>
      <c r="F590" s="41">
        <f>IFERROR(__xludf.DUMMYFUNCTION("SUM(IMPORTRANGE(""https://docs.google.com/spreadsheets/d/1-y2KhTAo7d8kowgUuWUDfRQuRMUAFteRYEXorT3_wOs/edit"",""2!Q2:Q16""))"),2607.9000000000005)</f>
        <v>2607.9</v>
      </c>
      <c r="G590" s="40">
        <f>IFERROR(__xludf.DUMMYFUNCTION("IMPORTRANGE(""https://docs.google.com/spreadsheets/d/1-y2KhTAo7d8kowgUuWUDfRQuRMUAFteRYEXorT3_wOs/edit"",""2!e23"")"),870.0)</f>
        <v>870</v>
      </c>
      <c r="H590" s="40">
        <f>IFERROR(__xludf.DUMMYFUNCTION("IMPORTRANGE(""https://docs.google.com/spreadsheets/d/1-y2KhTAo7d8kowgUuWUDfRQuRMUAFteRYEXorT3_wOs/edit"",""2!e24"")"),0.0)</f>
        <v>0</v>
      </c>
      <c r="I590" s="40">
        <f t="shared" si="1590"/>
        <v>870</v>
      </c>
      <c r="J590" s="40">
        <f>IFERROR(__xludf.DUMMYFUNCTION("IMPORTRANGE(""https://docs.google.com/spreadsheets/d/1-y2KhTAo7d8kowgUuWUDfRQuRMUAFteRYEXorT3_wOs/edit"",""2!e27"")"),975.0)</f>
        <v>975</v>
      </c>
      <c r="K590" s="40">
        <f>IFERROR(__xludf.DUMMYFUNCTION("IMPORTRANGE(""https://docs.google.com/spreadsheets/d/1-y2KhTAo7d8kowgUuWUDfRQuRMUAFteRYEXorT3_wOs/edit"",""2!e28"")"),55.0)</f>
        <v>55</v>
      </c>
      <c r="L590" s="40">
        <f t="shared" si="1620"/>
        <v>1030</v>
      </c>
      <c r="M590" s="40">
        <f t="shared" si="1592"/>
        <v>1900</v>
      </c>
      <c r="N590" s="41">
        <f t="shared" si="1593"/>
        <v>200.6076923</v>
      </c>
      <c r="O590" s="38">
        <v>2717.0</v>
      </c>
      <c r="P590" s="42">
        <f t="shared" si="1594"/>
        <v>0.6993006993</v>
      </c>
      <c r="Q590" s="43">
        <v>1.5</v>
      </c>
      <c r="R590" s="42">
        <f t="shared" si="1595"/>
        <v>0.4857036952</v>
      </c>
      <c r="S590" s="44">
        <f t="shared" si="1596"/>
        <v>0.7285555428</v>
      </c>
      <c r="T590" s="43">
        <f>F590/43.465</f>
        <v>60</v>
      </c>
      <c r="U590" s="43">
        <f t="shared" si="1597"/>
        <v>4.615384615</v>
      </c>
      <c r="V590" s="40">
        <f t="shared" si="1598"/>
        <v>146.1538462</v>
      </c>
      <c r="X590" s="31">
        <v>3.0</v>
      </c>
      <c r="Y590" s="31" t="s">
        <v>36</v>
      </c>
      <c r="Z590" s="31">
        <f t="shared" ref="Z590:AI590" si="1639">SUM(D581)</f>
        <v>30</v>
      </c>
      <c r="AA590" s="32">
        <f t="shared" si="1639"/>
        <v>29</v>
      </c>
      <c r="AB590" s="33">
        <f t="shared" si="1639"/>
        <v>5604.12</v>
      </c>
      <c r="AC590" s="32">
        <f t="shared" si="1639"/>
        <v>1533</v>
      </c>
      <c r="AD590" s="32">
        <f t="shared" si="1639"/>
        <v>0</v>
      </c>
      <c r="AE590" s="32">
        <f t="shared" si="1639"/>
        <v>1533</v>
      </c>
      <c r="AF590" s="32">
        <f t="shared" si="1639"/>
        <v>2301</v>
      </c>
      <c r="AG590" s="32">
        <f t="shared" si="1639"/>
        <v>0</v>
      </c>
      <c r="AH590" s="32">
        <f t="shared" si="1639"/>
        <v>2301</v>
      </c>
      <c r="AI590" s="32">
        <f t="shared" si="1639"/>
        <v>3834</v>
      </c>
      <c r="AJ590" s="34">
        <f t="shared" si="1633"/>
        <v>193.2455172</v>
      </c>
      <c r="AK590" s="31">
        <f t="shared" ref="AK590:AK593" si="1643">SUM(O581)</f>
        <v>4796</v>
      </c>
      <c r="AL590" s="35">
        <f t="shared" si="1634"/>
        <v>0.7994161802</v>
      </c>
      <c r="AM590" s="36">
        <f t="shared" ref="AM590:AM593" si="1644">SUM(Q581)</f>
        <v>1.5</v>
      </c>
      <c r="AN590" s="35">
        <f t="shared" si="1635"/>
        <v>0.4560930173</v>
      </c>
      <c r="AO590" s="37">
        <f t="shared" si="1636"/>
        <v>0.6841395259</v>
      </c>
      <c r="AP590" s="36">
        <f t="shared" ref="AP590:AQ590" si="1640">SUM(T581)</f>
        <v>149.7867109</v>
      </c>
      <c r="AQ590" s="36">
        <f t="shared" si="1640"/>
        <v>5.165058995</v>
      </c>
      <c r="AR590" s="32">
        <f t="shared" si="1638"/>
        <v>132.2068966</v>
      </c>
    </row>
    <row r="591" ht="15.75" customHeight="1">
      <c r="A591" s="21"/>
      <c r="B591" s="60" t="s">
        <v>33</v>
      </c>
      <c r="C591" s="60">
        <v>18.0</v>
      </c>
      <c r="D591" s="60">
        <f t="shared" ref="D591:M591" si="1641">SUM(D573:D590)</f>
        <v>586</v>
      </c>
      <c r="E591" s="61">
        <f t="shared" si="1641"/>
        <v>576</v>
      </c>
      <c r="F591" s="62">
        <f t="shared" si="1641"/>
        <v>112418.192</v>
      </c>
      <c r="G591" s="61">
        <f t="shared" si="1641"/>
        <v>43479</v>
      </c>
      <c r="H591" s="61">
        <f t="shared" si="1641"/>
        <v>764</v>
      </c>
      <c r="I591" s="61">
        <f t="shared" si="1641"/>
        <v>44243</v>
      </c>
      <c r="J591" s="61">
        <f t="shared" si="1641"/>
        <v>56392</v>
      </c>
      <c r="K591" s="61">
        <f t="shared" si="1641"/>
        <v>1134</v>
      </c>
      <c r="L591" s="61">
        <f t="shared" si="1641"/>
        <v>57526</v>
      </c>
      <c r="M591" s="61">
        <f t="shared" si="1641"/>
        <v>101769</v>
      </c>
      <c r="N591" s="62">
        <f t="shared" si="1593"/>
        <v>195.1704722</v>
      </c>
      <c r="O591" s="60">
        <f>SUM(O573:O590)</f>
        <v>126399</v>
      </c>
      <c r="P591" s="63">
        <f t="shared" si="1594"/>
        <v>0.8051408635</v>
      </c>
      <c r="Q591" s="64">
        <v>1.5</v>
      </c>
      <c r="R591" s="63">
        <f t="shared" si="1595"/>
        <v>0.6035144205</v>
      </c>
      <c r="S591" s="65">
        <f t="shared" si="1596"/>
        <v>0.9052716308</v>
      </c>
      <c r="T591" s="64">
        <f>SUM(T573:T590)</f>
        <v>4134.025243</v>
      </c>
      <c r="U591" s="64">
        <f t="shared" si="1597"/>
        <v>7.177127158</v>
      </c>
      <c r="V591" s="61">
        <f t="shared" si="1598"/>
        <v>176.6822917</v>
      </c>
      <c r="X591" s="31">
        <v>4.0</v>
      </c>
      <c r="Y591" s="31" t="s">
        <v>37</v>
      </c>
      <c r="Z591" s="31">
        <f t="shared" ref="Z591:AI591" si="1642">SUM(D582)</f>
        <v>30</v>
      </c>
      <c r="AA591" s="32">
        <f t="shared" si="1642"/>
        <v>30</v>
      </c>
      <c r="AB591" s="33">
        <f t="shared" si="1642"/>
        <v>5812.188</v>
      </c>
      <c r="AC591" s="32">
        <f t="shared" si="1642"/>
        <v>2138</v>
      </c>
      <c r="AD591" s="32">
        <f t="shared" si="1642"/>
        <v>0</v>
      </c>
      <c r="AE591" s="32">
        <f t="shared" si="1642"/>
        <v>2138</v>
      </c>
      <c r="AF591" s="32">
        <f t="shared" si="1642"/>
        <v>3071</v>
      </c>
      <c r="AG591" s="32">
        <f t="shared" si="1642"/>
        <v>0</v>
      </c>
      <c r="AH591" s="32">
        <f t="shared" si="1642"/>
        <v>3071</v>
      </c>
      <c r="AI591" s="32">
        <f t="shared" si="1642"/>
        <v>5209</v>
      </c>
      <c r="AJ591" s="34">
        <f t="shared" si="1633"/>
        <v>193.7396</v>
      </c>
      <c r="AK591" s="31">
        <f t="shared" si="1643"/>
        <v>5887</v>
      </c>
      <c r="AL591" s="35">
        <f t="shared" si="1634"/>
        <v>0.8848309835</v>
      </c>
      <c r="AM591" s="36">
        <f t="shared" si="1644"/>
        <v>1.5</v>
      </c>
      <c r="AN591" s="35">
        <f t="shared" si="1635"/>
        <v>0.5974800999</v>
      </c>
      <c r="AO591" s="37">
        <f t="shared" si="1636"/>
        <v>0.8962201498</v>
      </c>
      <c r="AP591" s="36">
        <f t="shared" ref="AP591:AQ591" si="1645">SUM(T582)</f>
        <v>234.4380445</v>
      </c>
      <c r="AQ591" s="36">
        <f t="shared" si="1645"/>
        <v>7.814601484</v>
      </c>
      <c r="AR591" s="32">
        <f t="shared" si="1638"/>
        <v>173.6333333</v>
      </c>
    </row>
    <row r="592" ht="15.7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X592" s="31">
        <v>5.0</v>
      </c>
      <c r="Y592" s="31" t="s">
        <v>39</v>
      </c>
      <c r="Z592" s="31">
        <f t="shared" ref="Z592:AI592" si="1646">SUM(D583)</f>
        <v>28</v>
      </c>
      <c r="AA592" s="32">
        <f t="shared" si="1646"/>
        <v>28</v>
      </c>
      <c r="AB592" s="33">
        <f t="shared" si="1646"/>
        <v>5458.878</v>
      </c>
      <c r="AC592" s="32">
        <f t="shared" si="1646"/>
        <v>1516</v>
      </c>
      <c r="AD592" s="32">
        <f t="shared" si="1646"/>
        <v>43</v>
      </c>
      <c r="AE592" s="32">
        <f t="shared" si="1646"/>
        <v>1559</v>
      </c>
      <c r="AF592" s="32">
        <f t="shared" si="1646"/>
        <v>1765</v>
      </c>
      <c r="AG592" s="32">
        <f t="shared" si="1646"/>
        <v>115</v>
      </c>
      <c r="AH592" s="32">
        <f t="shared" si="1646"/>
        <v>1880</v>
      </c>
      <c r="AI592" s="32">
        <f t="shared" si="1646"/>
        <v>3439</v>
      </c>
      <c r="AJ592" s="34">
        <f t="shared" si="1633"/>
        <v>194.9599286</v>
      </c>
      <c r="AK592" s="31">
        <f t="shared" si="1643"/>
        <v>3569</v>
      </c>
      <c r="AL592" s="35">
        <f t="shared" si="1634"/>
        <v>0.9635752312</v>
      </c>
      <c r="AM592" s="36">
        <f t="shared" si="1644"/>
        <v>1.5</v>
      </c>
      <c r="AN592" s="35">
        <f t="shared" si="1635"/>
        <v>0.4199886253</v>
      </c>
      <c r="AO592" s="37">
        <f t="shared" si="1636"/>
        <v>0.6299829379</v>
      </c>
      <c r="AP592" s="36">
        <f t="shared" ref="AP592:AQ592" si="1647">SUM(T583)</f>
        <v>254.339002</v>
      </c>
      <c r="AQ592" s="36">
        <f t="shared" si="1647"/>
        <v>9.083535786</v>
      </c>
      <c r="AR592" s="32">
        <f t="shared" si="1638"/>
        <v>122.8214286</v>
      </c>
    </row>
    <row r="593" ht="15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X593" s="31">
        <v>6.0</v>
      </c>
      <c r="Y593" s="31" t="s">
        <v>41</v>
      </c>
      <c r="Z593" s="31">
        <f t="shared" ref="Z593:AI593" si="1648">SUM(D584)</f>
        <v>24</v>
      </c>
      <c r="AA593" s="32">
        <f t="shared" si="1648"/>
        <v>24</v>
      </c>
      <c r="AB593" s="33">
        <f t="shared" si="1648"/>
        <v>4806.32</v>
      </c>
      <c r="AC593" s="32">
        <f t="shared" si="1648"/>
        <v>1468</v>
      </c>
      <c r="AD593" s="32">
        <f t="shared" si="1648"/>
        <v>0</v>
      </c>
      <c r="AE593" s="32">
        <f t="shared" si="1648"/>
        <v>1468</v>
      </c>
      <c r="AF593" s="32">
        <f t="shared" si="1648"/>
        <v>1656</v>
      </c>
      <c r="AG593" s="32">
        <f t="shared" si="1648"/>
        <v>0</v>
      </c>
      <c r="AH593" s="32">
        <f t="shared" si="1648"/>
        <v>1656</v>
      </c>
      <c r="AI593" s="32">
        <f t="shared" si="1648"/>
        <v>3124</v>
      </c>
      <c r="AJ593" s="34">
        <f t="shared" si="1633"/>
        <v>200.2633333</v>
      </c>
      <c r="AK593" s="31">
        <f t="shared" si="1643"/>
        <v>3801</v>
      </c>
      <c r="AL593" s="35">
        <f t="shared" si="1634"/>
        <v>0.8218889766</v>
      </c>
      <c r="AM593" s="36">
        <f t="shared" si="1644"/>
        <v>1.5</v>
      </c>
      <c r="AN593" s="35">
        <f t="shared" si="1635"/>
        <v>0.4333183531</v>
      </c>
      <c r="AO593" s="37">
        <f t="shared" si="1636"/>
        <v>0.6499775296</v>
      </c>
      <c r="AP593" s="36">
        <f t="shared" ref="AP593:AQ593" si="1649">SUM(T584)</f>
        <v>162.2222222</v>
      </c>
      <c r="AQ593" s="36">
        <f t="shared" si="1649"/>
        <v>6.759259259</v>
      </c>
      <c r="AR593" s="32">
        <f t="shared" si="1638"/>
        <v>130.1666667</v>
      </c>
    </row>
    <row r="594" ht="15.75" customHeight="1">
      <c r="A594" s="1" t="s">
        <v>45</v>
      </c>
      <c r="D594" s="2"/>
      <c r="X594" s="46" t="s">
        <v>33</v>
      </c>
      <c r="Y594" s="46">
        <v>6.0</v>
      </c>
      <c r="Z594" s="46">
        <f t="shared" ref="Z594:AI594" si="1650">SUM(Z588:Z593)</f>
        <v>174</v>
      </c>
      <c r="AA594" s="47">
        <f t="shared" si="1650"/>
        <v>173</v>
      </c>
      <c r="AB594" s="49">
        <f t="shared" si="1650"/>
        <v>33421.484</v>
      </c>
      <c r="AC594" s="47">
        <f t="shared" si="1650"/>
        <v>13336</v>
      </c>
      <c r="AD594" s="47">
        <f t="shared" si="1650"/>
        <v>43</v>
      </c>
      <c r="AE594" s="47">
        <f t="shared" si="1650"/>
        <v>13379</v>
      </c>
      <c r="AF594" s="47">
        <f t="shared" si="1650"/>
        <v>17446</v>
      </c>
      <c r="AG594" s="47">
        <f t="shared" si="1650"/>
        <v>305</v>
      </c>
      <c r="AH594" s="47">
        <f t="shared" si="1650"/>
        <v>17751</v>
      </c>
      <c r="AI594" s="47">
        <f t="shared" si="1650"/>
        <v>31130</v>
      </c>
      <c r="AJ594" s="49">
        <f t="shared" si="1633"/>
        <v>193.1877688</v>
      </c>
      <c r="AK594" s="46">
        <f>SUM(AK588:AK593)</f>
        <v>37031</v>
      </c>
      <c r="AL594" s="50">
        <f t="shared" si="1634"/>
        <v>0.8406470255</v>
      </c>
      <c r="AM594" s="51">
        <v>1.5</v>
      </c>
      <c r="AN594" s="50">
        <f t="shared" si="1635"/>
        <v>0.6209578645</v>
      </c>
      <c r="AO594" s="52">
        <f t="shared" si="1636"/>
        <v>0.9314367968</v>
      </c>
      <c r="AP594" s="51">
        <f>SUM(AP588:AP593)</f>
        <v>1373.817821</v>
      </c>
      <c r="AQ594" s="51">
        <f>AP594/AA594</f>
        <v>7.941143477</v>
      </c>
      <c r="AR594" s="47">
        <f t="shared" si="1638"/>
        <v>179.9421965</v>
      </c>
    </row>
    <row r="595" ht="15.75" customHeight="1">
      <c r="A595" s="1" t="s">
        <v>45</v>
      </c>
      <c r="D595" s="2"/>
      <c r="X595" s="66" t="s">
        <v>1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6"/>
    </row>
    <row r="596" ht="15.75" customHeight="1">
      <c r="A596" s="7">
        <v>46288.0</v>
      </c>
      <c r="B596" s="8" t="s">
        <v>2</v>
      </c>
      <c r="C596" s="8" t="s">
        <v>3</v>
      </c>
      <c r="D596" s="8" t="s">
        <v>4</v>
      </c>
      <c r="E596" s="8" t="s">
        <v>5</v>
      </c>
      <c r="F596" s="9" t="s">
        <v>6</v>
      </c>
      <c r="G596" s="8" t="s">
        <v>7</v>
      </c>
      <c r="H596" s="8" t="s">
        <v>8</v>
      </c>
      <c r="I596" s="8" t="s">
        <v>9</v>
      </c>
      <c r="J596" s="8" t="s">
        <v>10</v>
      </c>
      <c r="K596" s="8" t="s">
        <v>11</v>
      </c>
      <c r="L596" s="8" t="s">
        <v>12</v>
      </c>
      <c r="M596" s="8" t="s">
        <v>13</v>
      </c>
      <c r="N596" s="9" t="s">
        <v>14</v>
      </c>
      <c r="O596" s="8" t="s">
        <v>15</v>
      </c>
      <c r="P596" s="8" t="s">
        <v>16</v>
      </c>
      <c r="Q596" s="8" t="s">
        <v>17</v>
      </c>
      <c r="R596" s="8" t="s">
        <v>18</v>
      </c>
      <c r="S596" s="11" t="s">
        <v>19</v>
      </c>
      <c r="T596" s="12" t="s">
        <v>20</v>
      </c>
      <c r="U596" s="12" t="s">
        <v>21</v>
      </c>
      <c r="V596" s="13" t="s">
        <v>22</v>
      </c>
      <c r="X596" s="14" t="s">
        <v>2</v>
      </c>
      <c r="Y596" s="14" t="s">
        <v>3</v>
      </c>
      <c r="Z596" s="14" t="s">
        <v>4</v>
      </c>
      <c r="AA596" s="14" t="s">
        <v>5</v>
      </c>
      <c r="AB596" s="15" t="s">
        <v>6</v>
      </c>
      <c r="AC596" s="14" t="s">
        <v>7</v>
      </c>
      <c r="AD596" s="14" t="s">
        <v>8</v>
      </c>
      <c r="AE596" s="14" t="s">
        <v>9</v>
      </c>
      <c r="AF596" s="14" t="s">
        <v>10</v>
      </c>
      <c r="AG596" s="14" t="s">
        <v>11</v>
      </c>
      <c r="AH596" s="14" t="s">
        <v>12</v>
      </c>
      <c r="AI596" s="14" t="s">
        <v>13</v>
      </c>
      <c r="AJ596" s="15" t="s">
        <v>14</v>
      </c>
      <c r="AK596" s="14" t="s">
        <v>15</v>
      </c>
      <c r="AL596" s="14" t="s">
        <v>16</v>
      </c>
      <c r="AM596" s="16" t="s">
        <v>17</v>
      </c>
      <c r="AN596" s="17" t="s">
        <v>18</v>
      </c>
      <c r="AO596" s="18" t="s">
        <v>19</v>
      </c>
      <c r="AP596" s="19" t="s">
        <v>20</v>
      </c>
      <c r="AQ596" s="19" t="s">
        <v>21</v>
      </c>
      <c r="AR596" s="20" t="s">
        <v>22</v>
      </c>
    </row>
    <row r="597" ht="15.7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X597" s="22">
        <v>1.0</v>
      </c>
      <c r="Y597" s="22" t="s">
        <v>23</v>
      </c>
      <c r="Z597" s="22">
        <f t="shared" ref="Z597:AI597" si="1651">SUM(D605)</f>
        <v>35</v>
      </c>
      <c r="AA597" s="23">
        <f t="shared" si="1651"/>
        <v>34</v>
      </c>
      <c r="AB597" s="24">
        <f t="shared" si="1651"/>
        <v>6680.52</v>
      </c>
      <c r="AC597" s="23">
        <f t="shared" si="1651"/>
        <v>2083</v>
      </c>
      <c r="AD597" s="23">
        <f t="shared" si="1651"/>
        <v>0</v>
      </c>
      <c r="AE597" s="23">
        <f t="shared" si="1651"/>
        <v>2083</v>
      </c>
      <c r="AF597" s="23">
        <f t="shared" si="1651"/>
        <v>2916</v>
      </c>
      <c r="AG597" s="23">
        <f t="shared" si="1651"/>
        <v>0</v>
      </c>
      <c r="AH597" s="23">
        <f t="shared" si="1651"/>
        <v>2916</v>
      </c>
      <c r="AI597" s="23">
        <f t="shared" si="1651"/>
        <v>4999</v>
      </c>
      <c r="AJ597" s="25">
        <f t="shared" ref="AJ597:AJ599" si="1654">AB597/AA597</f>
        <v>196.4858824</v>
      </c>
      <c r="AK597" s="22">
        <f>SUM(O605)</f>
        <v>6853</v>
      </c>
      <c r="AL597" s="26">
        <f t="shared" ref="AL597:AL603" si="1655">AI597/AK597</f>
        <v>0.7294615497</v>
      </c>
      <c r="AM597" s="27">
        <f t="shared" ref="AM597:AM599" si="1656">SUM(Q605)</f>
        <v>1.5</v>
      </c>
      <c r="AN597" s="26">
        <f t="shared" ref="AN597:AN603" si="1657">AO597/AM597</f>
        <v>0.4988633619</v>
      </c>
      <c r="AO597" s="28">
        <f t="shared" ref="AO597:AO603" si="1658">AI597/AB597</f>
        <v>0.7482950429</v>
      </c>
      <c r="AP597" s="27">
        <f t="shared" ref="AP597:AQ597" si="1652">SUM(T605)</f>
        <v>198</v>
      </c>
      <c r="AQ597" s="27">
        <f t="shared" si="1652"/>
        <v>5.823529412</v>
      </c>
      <c r="AR597" s="23">
        <f t="shared" ref="AR597:AR603" si="1660">AI597/AA597</f>
        <v>147.0294118</v>
      </c>
    </row>
    <row r="598" ht="15.7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X598" s="22">
        <v>2.0</v>
      </c>
      <c r="Y598" s="22" t="s">
        <v>24</v>
      </c>
      <c r="Z598" s="22">
        <f t="shared" ref="Z598:AI598" si="1653">SUM(D606)</f>
        <v>44</v>
      </c>
      <c r="AA598" s="23">
        <f t="shared" si="1653"/>
        <v>44</v>
      </c>
      <c r="AB598" s="24">
        <f t="shared" si="1653"/>
        <v>8354.582</v>
      </c>
      <c r="AC598" s="23">
        <f t="shared" si="1653"/>
        <v>1454</v>
      </c>
      <c r="AD598" s="23">
        <f t="shared" si="1653"/>
        <v>0</v>
      </c>
      <c r="AE598" s="23">
        <f t="shared" si="1653"/>
        <v>1454</v>
      </c>
      <c r="AF598" s="23">
        <f t="shared" si="1653"/>
        <v>1288</v>
      </c>
      <c r="AG598" s="23">
        <f t="shared" si="1653"/>
        <v>28</v>
      </c>
      <c r="AH598" s="23">
        <f t="shared" si="1653"/>
        <v>1316</v>
      </c>
      <c r="AI598" s="23">
        <f t="shared" si="1653"/>
        <v>2770</v>
      </c>
      <c r="AJ598" s="25">
        <f t="shared" si="1654"/>
        <v>189.8768636</v>
      </c>
      <c r="AK598" s="22">
        <v>1580.0</v>
      </c>
      <c r="AL598" s="26">
        <f t="shared" si="1655"/>
        <v>1.753164557</v>
      </c>
      <c r="AM598" s="27">
        <f t="shared" si="1656"/>
        <v>1.5</v>
      </c>
      <c r="AN598" s="26">
        <f t="shared" si="1657"/>
        <v>0.2210363926</v>
      </c>
      <c r="AO598" s="28">
        <f t="shared" si="1658"/>
        <v>0.3315545888</v>
      </c>
      <c r="AP598" s="27">
        <f t="shared" ref="AP598:AQ598" si="1659">SUM(T606)</f>
        <v>311.6799851</v>
      </c>
      <c r="AQ598" s="27">
        <f t="shared" si="1659"/>
        <v>7.083636024</v>
      </c>
      <c r="AR598" s="23">
        <f t="shared" si="1660"/>
        <v>62.95454545</v>
      </c>
    </row>
    <row r="599" ht="15.75" customHeight="1">
      <c r="A599" s="21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X599" s="31">
        <v>3.0</v>
      </c>
      <c r="Y599" s="31" t="s">
        <v>25</v>
      </c>
      <c r="Z599" s="31">
        <f t="shared" ref="Z599:AI599" si="1661">SUM(D607)</f>
        <v>32</v>
      </c>
      <c r="AA599" s="32">
        <f t="shared" si="1661"/>
        <v>31</v>
      </c>
      <c r="AB599" s="33">
        <f t="shared" si="1661"/>
        <v>5925.124</v>
      </c>
      <c r="AC599" s="32">
        <f t="shared" si="1661"/>
        <v>2351</v>
      </c>
      <c r="AD599" s="32">
        <f t="shared" si="1661"/>
        <v>438</v>
      </c>
      <c r="AE599" s="32">
        <f t="shared" si="1661"/>
        <v>2789</v>
      </c>
      <c r="AF599" s="32">
        <f t="shared" si="1661"/>
        <v>3213</v>
      </c>
      <c r="AG599" s="32">
        <f t="shared" si="1661"/>
        <v>305</v>
      </c>
      <c r="AH599" s="32">
        <f t="shared" si="1661"/>
        <v>3518</v>
      </c>
      <c r="AI599" s="32">
        <f t="shared" si="1661"/>
        <v>6307</v>
      </c>
      <c r="AJ599" s="34">
        <f t="shared" si="1654"/>
        <v>191.1330323</v>
      </c>
      <c r="AK599" s="31">
        <f>SUM(O607)</f>
        <v>6622</v>
      </c>
      <c r="AL599" s="35">
        <f t="shared" si="1655"/>
        <v>0.9524312896</v>
      </c>
      <c r="AM599" s="36">
        <f t="shared" si="1656"/>
        <v>1.5</v>
      </c>
      <c r="AN599" s="35">
        <f t="shared" si="1657"/>
        <v>0.7096335312</v>
      </c>
      <c r="AO599" s="37">
        <f t="shared" si="1658"/>
        <v>1.064450297</v>
      </c>
      <c r="AP599" s="36">
        <f t="shared" ref="AP599:AQ599" si="1662">SUM(T607)</f>
        <v>248.5370805</v>
      </c>
      <c r="AQ599" s="36">
        <f t="shared" si="1662"/>
        <v>8.017325179</v>
      </c>
      <c r="AR599" s="32">
        <f t="shared" si="1660"/>
        <v>203.4516129</v>
      </c>
    </row>
    <row r="600" ht="15.75" customHeight="1">
      <c r="A600" s="21"/>
      <c r="B600" s="38">
        <v>1.0</v>
      </c>
      <c r="C600" s="38" t="s">
        <v>26</v>
      </c>
      <c r="D600" s="39">
        <v>20.0</v>
      </c>
      <c r="E600" s="40">
        <f>IFERROR(__xludf.DUMMYFUNCTION("COUNT(IMPORTRANGE(""https://docs.google.com/spreadsheets/d/1F0NpMx7WhcgPgxTWpryY3Z1CGg56FL6aiL4mHs43w4E/edit"",""2!d2:d21""))"),20.0)</f>
        <v>20</v>
      </c>
      <c r="F600" s="41">
        <f>IFERROR(__xludf.DUMMYFUNCTION("SUM(IMPORTRANGE(""https://docs.google.com/spreadsheets/d/1F0NpMx7WhcgPgxTWpryY3Z1CGg56FL6aiL4mHs43w4E/edit"",""2!Q2:Q21""))"),3560.964)</f>
        <v>3560.964</v>
      </c>
      <c r="G600" s="40">
        <f>IFERROR(__xludf.DUMMYFUNCTION("IMPORTRANGE(""https://docs.google.com/spreadsheets/d/1F0NpMx7WhcgPgxTWpryY3Z1CGg56FL6aiL4mHs43w4E/edit"",""2!e28"")"),1873.0)</f>
        <v>1873</v>
      </c>
      <c r="H600" s="40">
        <f>IFERROR(__xludf.DUMMYFUNCTION("IMPORTRANGE(""https://docs.google.com/spreadsheets/d/1F0NpMx7WhcgPgxTWpryY3Z1CGg56FL6aiL4mHs43w4E/edit"",""2!e29"")"),0.0)</f>
        <v>0</v>
      </c>
      <c r="I600" s="40">
        <f t="shared" ref="I600:I617" si="1665">SUM(G600:H600)</f>
        <v>1873</v>
      </c>
      <c r="J600" s="40">
        <f>IFERROR(__xludf.DUMMYFUNCTION("IMPORTRANGE(""https://docs.google.com/spreadsheets/d/1F0NpMx7WhcgPgxTWpryY3Z1CGg56FL6aiL4mHs43w4E/edit"",""2!e32"")"),3204.0)</f>
        <v>3204</v>
      </c>
      <c r="K600" s="40">
        <f>IFERROR(__xludf.DUMMYFUNCTION("IMPORTRANGE(""https://docs.google.com/spreadsheets/d/1F0NpMx7WhcgPgxTWpryY3Z1CGg56FL6aiL4mHs43w4E/edit"",""2!e33"")"),0.0)</f>
        <v>0</v>
      </c>
      <c r="L600" s="40">
        <f t="shared" ref="L600:L606" si="1666">SUM(J600:K600)</f>
        <v>3204</v>
      </c>
      <c r="M600" s="40">
        <f t="shared" ref="M600:M617" si="1667">SUM(I600+L600)</f>
        <v>5077</v>
      </c>
      <c r="N600" s="41">
        <f t="shared" ref="N600:N618" si="1668">F600/E600</f>
        <v>178.0482</v>
      </c>
      <c r="O600" s="38">
        <v>5161.0</v>
      </c>
      <c r="P600" s="42">
        <f t="shared" ref="P600:P618" si="1669">M600/O600</f>
        <v>0.9837240845</v>
      </c>
      <c r="Q600" s="43">
        <v>1.5</v>
      </c>
      <c r="R600" s="42">
        <f t="shared" ref="R600:R618" si="1670">S600/Q600</f>
        <v>0.9504916833</v>
      </c>
      <c r="S600" s="44">
        <f t="shared" ref="S600:S618" si="1671">M600/F600</f>
        <v>1.425737525</v>
      </c>
      <c r="T600" s="43">
        <f>F600/14.415</f>
        <v>247.0318418</v>
      </c>
      <c r="U600" s="43">
        <f t="shared" ref="U600:U618" si="1672">T600/E600</f>
        <v>12.35159209</v>
      </c>
      <c r="V600" s="40">
        <f t="shared" ref="V600:V618" si="1673">M600/E600</f>
        <v>253.85</v>
      </c>
      <c r="X600" s="22">
        <v>4.0</v>
      </c>
      <c r="Y600" s="22" t="s">
        <v>27</v>
      </c>
      <c r="Z600" s="22">
        <f t="shared" ref="Z600:AK600" si="1663">SUM(D613)</f>
        <v>30</v>
      </c>
      <c r="AA600" s="23">
        <f t="shared" si="1663"/>
        <v>28</v>
      </c>
      <c r="AB600" s="24">
        <f t="shared" si="1663"/>
        <v>5465.76</v>
      </c>
      <c r="AC600" s="23">
        <f t="shared" si="1663"/>
        <v>2368</v>
      </c>
      <c r="AD600" s="23">
        <f t="shared" si="1663"/>
        <v>140</v>
      </c>
      <c r="AE600" s="23">
        <f t="shared" si="1663"/>
        <v>2508</v>
      </c>
      <c r="AF600" s="23">
        <f t="shared" si="1663"/>
        <v>3355</v>
      </c>
      <c r="AG600" s="23">
        <f t="shared" si="1663"/>
        <v>107</v>
      </c>
      <c r="AH600" s="23">
        <f t="shared" si="1663"/>
        <v>3462</v>
      </c>
      <c r="AI600" s="23">
        <f t="shared" si="1663"/>
        <v>5970</v>
      </c>
      <c r="AJ600" s="25">
        <f t="shared" si="1663"/>
        <v>195.2057143</v>
      </c>
      <c r="AK600" s="22">
        <f t="shared" si="1663"/>
        <v>8101</v>
      </c>
      <c r="AL600" s="26">
        <f t="shared" si="1655"/>
        <v>0.736946056</v>
      </c>
      <c r="AM600" s="27">
        <f>SUM(Q613)</f>
        <v>1.5</v>
      </c>
      <c r="AN600" s="26">
        <f t="shared" si="1657"/>
        <v>0.7281695501</v>
      </c>
      <c r="AO600" s="28">
        <f t="shared" si="1658"/>
        <v>1.092254325</v>
      </c>
      <c r="AP600" s="27">
        <f t="shared" ref="AP600:AQ600" si="1664">SUM(T613)</f>
        <v>273.4931198</v>
      </c>
      <c r="AQ600" s="27">
        <f t="shared" si="1664"/>
        <v>9.767611423</v>
      </c>
      <c r="AR600" s="23">
        <f t="shared" si="1660"/>
        <v>213.2142857</v>
      </c>
    </row>
    <row r="601" ht="15.75" customHeight="1">
      <c r="A601" s="21"/>
      <c r="B601" s="38">
        <v>2.0</v>
      </c>
      <c r="C601" s="38" t="s">
        <v>28</v>
      </c>
      <c r="D601" s="39">
        <v>33.0</v>
      </c>
      <c r="E601" s="40">
        <f>IFERROR(__xludf.DUMMYFUNCTION("COUNT(IMPORTRANGE(""https://docs.google.com/spreadsheets/d/1H9vAqftAHb0OdeSGXHTnJFzoWUgpoH31sc0sHNN8y1o/edit"",""2!d2:d34""))"),33.0)</f>
        <v>33</v>
      </c>
      <c r="F601" s="41">
        <f>IFERROR(__xludf.DUMMYFUNCTION("SUM(IMPORTRANGE(""https://docs.google.com/spreadsheets/d/1H9vAqftAHb0OdeSGXHTnJFzoWUgpoH31sc0sHNN8y1o/edit"",""2!Q2:Q34""))"),6528.832999999999)</f>
        <v>6528.833</v>
      </c>
      <c r="G601" s="40">
        <f>IFERROR(__xludf.DUMMYFUNCTION("IMPORTRANGE(""https://docs.google.com/spreadsheets/d/1H9vAqftAHb0OdeSGXHTnJFzoWUgpoH31sc0sHNN8y1o/edit"",""2!e41"")"),2700.0)</f>
        <v>2700</v>
      </c>
      <c r="H601" s="40">
        <f>IFERROR(__xludf.DUMMYFUNCTION("IMPORTRANGE(""https://docs.google.com/spreadsheets/d/1H9vAqftAHb0OdeSGXHTnJFzoWUgpoH31sc0sHNN8y1o/edit"",""2!e42"")"),104.0)</f>
        <v>104</v>
      </c>
      <c r="I601" s="40">
        <f t="shared" si="1665"/>
        <v>2804</v>
      </c>
      <c r="J601" s="40">
        <f>IFERROR(__xludf.DUMMYFUNCTION("IMPORTRANGE(""https://docs.google.com/spreadsheets/d/1H9vAqftAHb0OdeSGXHTnJFzoWUgpoH31sc0sHNN8y1o/edit"",""2!e45"")"),3205.0)</f>
        <v>3205</v>
      </c>
      <c r="K601" s="40">
        <f>IFERROR(__xludf.DUMMYFUNCTION("IMPORTRANGE(""https://docs.google.com/spreadsheets/d/1H9vAqftAHb0OdeSGXHTnJFzoWUgpoH31sc0sHNN8y1o/edit"",""2!e46"")"),102.0)</f>
        <v>102</v>
      </c>
      <c r="L601" s="40">
        <f t="shared" si="1666"/>
        <v>3307</v>
      </c>
      <c r="M601" s="40">
        <f t="shared" si="1667"/>
        <v>6111</v>
      </c>
      <c r="N601" s="41">
        <f t="shared" si="1668"/>
        <v>197.8434242</v>
      </c>
      <c r="O601" s="38">
        <v>7315.0</v>
      </c>
      <c r="P601" s="42">
        <f t="shared" si="1669"/>
        <v>0.8354066986</v>
      </c>
      <c r="Q601" s="43">
        <v>1.5</v>
      </c>
      <c r="R601" s="42">
        <f t="shared" si="1670"/>
        <v>0.6240012572</v>
      </c>
      <c r="S601" s="44">
        <f t="shared" si="1671"/>
        <v>0.9360018858</v>
      </c>
      <c r="T601" s="43">
        <f>F601/30.897</f>
        <v>211.3096093</v>
      </c>
      <c r="U601" s="43">
        <f t="shared" si="1672"/>
        <v>6.403321495</v>
      </c>
      <c r="V601" s="40">
        <f t="shared" si="1673"/>
        <v>185.1818182</v>
      </c>
      <c r="X601" s="22">
        <v>5.0</v>
      </c>
      <c r="Y601" s="22" t="s">
        <v>29</v>
      </c>
      <c r="Z601" s="22">
        <f t="shared" ref="Z601:AI601" si="1674">SUM(D616)</f>
        <v>30</v>
      </c>
      <c r="AA601" s="23">
        <f t="shared" si="1674"/>
        <v>29</v>
      </c>
      <c r="AB601" s="24">
        <f t="shared" si="1674"/>
        <v>5775.038</v>
      </c>
      <c r="AC601" s="23">
        <f t="shared" si="1674"/>
        <v>2726</v>
      </c>
      <c r="AD601" s="23">
        <f t="shared" si="1674"/>
        <v>0</v>
      </c>
      <c r="AE601" s="23">
        <f t="shared" si="1674"/>
        <v>2726</v>
      </c>
      <c r="AF601" s="23">
        <f t="shared" si="1674"/>
        <v>4235</v>
      </c>
      <c r="AG601" s="23">
        <f t="shared" si="1674"/>
        <v>0</v>
      </c>
      <c r="AH601" s="23">
        <f t="shared" si="1674"/>
        <v>4235</v>
      </c>
      <c r="AI601" s="23">
        <f t="shared" si="1674"/>
        <v>6961</v>
      </c>
      <c r="AJ601" s="25">
        <f t="shared" ref="AJ601:AJ603" si="1677">AB601/AA601</f>
        <v>199.1392414</v>
      </c>
      <c r="AK601" s="22">
        <f t="shared" ref="AK601:AK602" si="1678">SUM(O616)</f>
        <v>9201</v>
      </c>
      <c r="AL601" s="26">
        <f t="shared" si="1655"/>
        <v>0.7565482013</v>
      </c>
      <c r="AM601" s="27">
        <f t="shared" ref="AM601:AM602" si="1679">SUM(Q616)</f>
        <v>1.5</v>
      </c>
      <c r="AN601" s="26">
        <f t="shared" si="1657"/>
        <v>0.803573356</v>
      </c>
      <c r="AO601" s="28">
        <f t="shared" si="1658"/>
        <v>1.205360034</v>
      </c>
      <c r="AP601" s="27">
        <f t="shared" ref="AP601:AQ601" si="1675">SUM(T616)</f>
        <v>218</v>
      </c>
      <c r="AQ601" s="27">
        <f t="shared" si="1675"/>
        <v>7.517241379</v>
      </c>
      <c r="AR601" s="23">
        <f t="shared" si="1660"/>
        <v>240.0344828</v>
      </c>
    </row>
    <row r="602" ht="15.75" customHeight="1">
      <c r="A602" s="21"/>
      <c r="B602" s="38">
        <v>3.0</v>
      </c>
      <c r="C602" s="38" t="s">
        <v>30</v>
      </c>
      <c r="D602" s="39">
        <v>60.0</v>
      </c>
      <c r="E602" s="40">
        <f>IFERROR(__xludf.DUMMYFUNCTION("COUNT(IMPORTRANGE(""https://docs.google.com/spreadsheets/d/1EWN6nfpuVxbUE_9opjYCWaI7MTm5xsF6ssjklSbMZnA/edit"",""2!d2:d61""))"),58.0)</f>
        <v>58</v>
      </c>
      <c r="F602" s="45">
        <f>IFERROR(__xludf.DUMMYFUNCTION("SUM(IMPORTRANGE(""https://docs.google.com/spreadsheets/d/1EWN6nfpuVxbUE_9opjYCWaI7MTm5xsF6ssjklSbMZnA/edit"",""2!Q2:Q61""))"),11253.344999999988)</f>
        <v>11253.345</v>
      </c>
      <c r="G602" s="40">
        <f>IFERROR(__xludf.DUMMYFUNCTION("IMPORTRANGE(""https://docs.google.com/spreadsheets/d/1EWN6nfpuVxbUE_9opjYCWaI7MTm5xsF6ssjklSbMZnA/edit"",""2!e68"")"),3757.0)</f>
        <v>3757</v>
      </c>
      <c r="H602" s="40">
        <f>IFERROR(__xludf.DUMMYFUNCTION("IMPORTRANGE(""https://docs.google.com/spreadsheets/d/1EWN6nfpuVxbUE_9opjYCWaI7MTm5xsF6ssjklSbMZnA/edit"",""2!e69"")"),0.0)</f>
        <v>0</v>
      </c>
      <c r="I602" s="40">
        <f t="shared" si="1665"/>
        <v>3757</v>
      </c>
      <c r="J602" s="40">
        <f>IFERROR(__xludf.DUMMYFUNCTION("IMPORTRANGE(""https://docs.google.com/spreadsheets/d/1EWN6nfpuVxbUE_9opjYCWaI7MTm5xsF6ssjklSbMZnA/edit"",""2!e72"")"),5596.0)</f>
        <v>5596</v>
      </c>
      <c r="K602" s="40">
        <f>IFERROR(__xludf.DUMMYFUNCTION("IMPORTRANGE(""https://docs.google.com/spreadsheets/d/1EWN6nfpuVxbUE_9opjYCWaI7MTm5xsF6ssjklSbMZnA/edit"",""2!e73"")"),0.0)</f>
        <v>0</v>
      </c>
      <c r="L602" s="40">
        <f t="shared" si="1666"/>
        <v>5596</v>
      </c>
      <c r="M602" s="40">
        <f t="shared" si="1667"/>
        <v>9353</v>
      </c>
      <c r="N602" s="41">
        <f t="shared" si="1668"/>
        <v>194.0231897</v>
      </c>
      <c r="O602" s="38">
        <v>11164.0</v>
      </c>
      <c r="P602" s="42">
        <f t="shared" si="1669"/>
        <v>0.8377821569</v>
      </c>
      <c r="Q602" s="43">
        <v>1.5</v>
      </c>
      <c r="R602" s="42">
        <f t="shared" si="1670"/>
        <v>0.5540871033</v>
      </c>
      <c r="S602" s="44">
        <f t="shared" si="1671"/>
        <v>0.8311306549</v>
      </c>
      <c r="T602" s="43">
        <f>F602/29.603</f>
        <v>380.1420464</v>
      </c>
      <c r="U602" s="43">
        <f t="shared" si="1672"/>
        <v>6.554173214</v>
      </c>
      <c r="V602" s="40">
        <f t="shared" si="1673"/>
        <v>161.2586207</v>
      </c>
      <c r="X602" s="22">
        <v>6.0</v>
      </c>
      <c r="Y602" s="22" t="s">
        <v>31</v>
      </c>
      <c r="Z602" s="22">
        <f t="shared" ref="Z602:AI602" si="1676">SUM(D617)</f>
        <v>15</v>
      </c>
      <c r="AA602" s="23">
        <f t="shared" si="1676"/>
        <v>13</v>
      </c>
      <c r="AB602" s="25">
        <f t="shared" si="1676"/>
        <v>2607.9</v>
      </c>
      <c r="AC602" s="23">
        <f t="shared" si="1676"/>
        <v>870</v>
      </c>
      <c r="AD602" s="23">
        <f t="shared" si="1676"/>
        <v>0</v>
      </c>
      <c r="AE602" s="23">
        <f t="shared" si="1676"/>
        <v>870</v>
      </c>
      <c r="AF602" s="23">
        <f t="shared" si="1676"/>
        <v>975</v>
      </c>
      <c r="AG602" s="23">
        <f t="shared" si="1676"/>
        <v>55</v>
      </c>
      <c r="AH602" s="23">
        <f t="shared" si="1676"/>
        <v>1030</v>
      </c>
      <c r="AI602" s="23">
        <f t="shared" si="1676"/>
        <v>1900</v>
      </c>
      <c r="AJ602" s="25">
        <f t="shared" si="1677"/>
        <v>200.6076923</v>
      </c>
      <c r="AK602" s="22">
        <f t="shared" si="1678"/>
        <v>2717</v>
      </c>
      <c r="AL602" s="26">
        <f t="shared" si="1655"/>
        <v>0.6993006993</v>
      </c>
      <c r="AM602" s="27">
        <f t="shared" si="1679"/>
        <v>1.5</v>
      </c>
      <c r="AN602" s="26">
        <f t="shared" si="1657"/>
        <v>0.4857036952</v>
      </c>
      <c r="AO602" s="28">
        <f t="shared" si="1658"/>
        <v>0.7285555428</v>
      </c>
      <c r="AP602" s="27">
        <f t="shared" ref="AP602:AQ602" si="1680">SUM(T617)</f>
        <v>60</v>
      </c>
      <c r="AQ602" s="27">
        <f t="shared" si="1680"/>
        <v>4.615384615</v>
      </c>
      <c r="AR602" s="23">
        <f t="shared" si="1660"/>
        <v>146.1538462</v>
      </c>
    </row>
    <row r="603" ht="15.75" customHeight="1">
      <c r="A603" s="21"/>
      <c r="B603" s="38">
        <v>4.0</v>
      </c>
      <c r="C603" s="38" t="s">
        <v>32</v>
      </c>
      <c r="D603" s="39">
        <v>42.0</v>
      </c>
      <c r="E603" s="40">
        <f>IFERROR(__xludf.DUMMYFUNCTION("COUNT(IMPORTRANGE(""https://docs.google.com/spreadsheets/d/1Rmar8QqWK4XOJ-eY6xMzkAfDSw0srEXcAw89ilArun8/edit"",""2!d2:d43""))"),42.0)</f>
        <v>42</v>
      </c>
      <c r="F603" s="45">
        <f>IFERROR(__xludf.DUMMYFUNCTION("SUM(IMPORTRANGE(""https://docs.google.com/spreadsheets/d/1Rmar8QqWK4XOJ-eY6xMzkAfDSw0srEXcAw89ilArun8/edit"",""2!Q2:Q43""))"),8179.01399999999)</f>
        <v>8179.014</v>
      </c>
      <c r="G603" s="38">
        <f>IFERROR(__xludf.DUMMYFUNCTION("IMPORTRANGE(""https://docs.google.com/spreadsheets/d/1Rmar8QqWK4XOJ-eY6xMzkAfDSw0srEXcAw89ilArun8/edit"",""2!e50"")"),4808.0)</f>
        <v>4808</v>
      </c>
      <c r="H603" s="38">
        <f>IFERROR(__xludf.DUMMYFUNCTION("IMPORTRANGE(""https://docs.google.com/spreadsheets/d/1Rmar8QqWK4XOJ-eY6xMzkAfDSw0srEXcAw89ilArun8/edit"",""2!e51"")"),0.0)</f>
        <v>0</v>
      </c>
      <c r="I603" s="40">
        <f t="shared" si="1665"/>
        <v>4808</v>
      </c>
      <c r="J603" s="38">
        <f>IFERROR(__xludf.DUMMYFUNCTION("IMPORTRANGE(""https://docs.google.com/spreadsheets/d/1Rmar8QqWK4XOJ-eY6xMzkAfDSw0srEXcAw89ilArun8/edit"",""2!e54"")"),5449.0)</f>
        <v>5449</v>
      </c>
      <c r="K603" s="38">
        <f>IFERROR(__xludf.DUMMYFUNCTION("IMPORTRANGE(""https://docs.google.com/spreadsheets/d/1Rmar8QqWK4XOJ-eY6xMzkAfDSw0srEXcAw89ilArun8/edit"",""2!e55"")"),190.0)</f>
        <v>190</v>
      </c>
      <c r="L603" s="40">
        <f t="shared" si="1666"/>
        <v>5639</v>
      </c>
      <c r="M603" s="40">
        <f t="shared" si="1667"/>
        <v>10447</v>
      </c>
      <c r="N603" s="41">
        <f t="shared" si="1668"/>
        <v>194.7384286</v>
      </c>
      <c r="O603" s="38">
        <v>13817.0</v>
      </c>
      <c r="P603" s="42">
        <f t="shared" si="1669"/>
        <v>0.756097561</v>
      </c>
      <c r="Q603" s="43">
        <v>1.5</v>
      </c>
      <c r="R603" s="42">
        <f t="shared" si="1670"/>
        <v>0.8515288844</v>
      </c>
      <c r="S603" s="44">
        <f t="shared" si="1671"/>
        <v>1.277293327</v>
      </c>
      <c r="T603" s="43">
        <f>F603/25.089</f>
        <v>326</v>
      </c>
      <c r="U603" s="43">
        <f t="shared" si="1672"/>
        <v>7.761904762</v>
      </c>
      <c r="V603" s="40">
        <f t="shared" si="1673"/>
        <v>248.7380952</v>
      </c>
      <c r="X603" s="46" t="s">
        <v>33</v>
      </c>
      <c r="Y603" s="46">
        <v>6.0</v>
      </c>
      <c r="Z603" s="46">
        <f t="shared" ref="Z603:AI603" si="1681">SUM(Z597:Z602)</f>
        <v>186</v>
      </c>
      <c r="AA603" s="47">
        <f t="shared" si="1681"/>
        <v>179</v>
      </c>
      <c r="AB603" s="48">
        <f t="shared" si="1681"/>
        <v>34808.924</v>
      </c>
      <c r="AC603" s="47">
        <f t="shared" si="1681"/>
        <v>11852</v>
      </c>
      <c r="AD603" s="47">
        <f t="shared" si="1681"/>
        <v>578</v>
      </c>
      <c r="AE603" s="47">
        <f t="shared" si="1681"/>
        <v>12430</v>
      </c>
      <c r="AF603" s="47">
        <f t="shared" si="1681"/>
        <v>15982</v>
      </c>
      <c r="AG603" s="47">
        <f t="shared" si="1681"/>
        <v>495</v>
      </c>
      <c r="AH603" s="47">
        <f t="shared" si="1681"/>
        <v>16477</v>
      </c>
      <c r="AI603" s="47">
        <f t="shared" si="1681"/>
        <v>28907</v>
      </c>
      <c r="AJ603" s="49">
        <f t="shared" si="1677"/>
        <v>194.4632626</v>
      </c>
      <c r="AK603" s="46">
        <f>SUM(AK597:AK602)</f>
        <v>35074</v>
      </c>
      <c r="AL603" s="50">
        <f t="shared" si="1655"/>
        <v>0.8241717512</v>
      </c>
      <c r="AM603" s="51">
        <v>1.5</v>
      </c>
      <c r="AN603" s="50">
        <f t="shared" si="1657"/>
        <v>0.5536319748</v>
      </c>
      <c r="AO603" s="52">
        <f t="shared" si="1658"/>
        <v>0.8304479621</v>
      </c>
      <c r="AP603" s="51">
        <f>SUM(AP597:AP602)</f>
        <v>1309.710185</v>
      </c>
      <c r="AQ603" s="51">
        <f>AP603/AA603</f>
        <v>7.316816679</v>
      </c>
      <c r="AR603" s="47">
        <f t="shared" si="1660"/>
        <v>161.4916201</v>
      </c>
    </row>
    <row r="604" ht="15.75" customHeight="1">
      <c r="A604" s="21"/>
      <c r="B604" s="38">
        <v>5.0</v>
      </c>
      <c r="C604" s="38" t="s">
        <v>34</v>
      </c>
      <c r="D604" s="39">
        <v>40.0</v>
      </c>
      <c r="E604" s="40">
        <f>IFERROR(__xludf.DUMMYFUNCTION("COUNT(IMPORTRANGE(""https://docs.google.com/spreadsheets/d/1u99JxAoytGQQ8GcjxXl38CGdyEWy5uIbuJJHnsotyvk/edit"",""2!d2:d41""))"),40.0)</f>
        <v>40</v>
      </c>
      <c r="F604" s="45">
        <f>IFERROR(__xludf.DUMMYFUNCTION("SUM(IMPORTRANGE(""https://docs.google.com/spreadsheets/d/1u99JxAoytGQQ8GcjxXl38CGdyEWy5uIbuJJHnsotyvk/edit"",""2!Q2:Q41""))"),7895.343000000003)</f>
        <v>7895.343</v>
      </c>
      <c r="G604" s="40">
        <f>IFERROR(__xludf.DUMMYFUNCTION("IMPORTRANGE(""https://docs.google.com/spreadsheets/d/1u99JxAoytGQQ8GcjxXl38CGdyEWy5uIbuJJHnsotyvk/edit"",""2!e48"")"),3069.0)</f>
        <v>3069</v>
      </c>
      <c r="H604" s="40">
        <f>IFERROR(__xludf.DUMMYFUNCTION("IMPORTRANGE(""https://docs.google.com/spreadsheets/d/1u99JxAoytGQQ8GcjxXl38CGdyEWy5uIbuJJHnsotyvk/edit"",""2!e49"")"),0.0)</f>
        <v>0</v>
      </c>
      <c r="I604" s="40">
        <f t="shared" si="1665"/>
        <v>3069</v>
      </c>
      <c r="J604" s="40">
        <f>IFERROR(__xludf.DUMMYFUNCTION("IMPORTRANGE(""https://docs.google.com/spreadsheets/d/1u99JxAoytGQQ8GcjxXl38CGdyEWy5uIbuJJHnsotyvk/edit"",""2!e52"")"),3126.0)</f>
        <v>3126</v>
      </c>
      <c r="K604" s="40">
        <f>IFERROR(__xludf.DUMMYFUNCTION("IMPORTRANGE(""https://docs.google.com/spreadsheets/d/1u99JxAoytGQQ8GcjxXl38CGdyEWy5uIbuJJHnsotyvk/edit"",""2!e53"")"),0.0)</f>
        <v>0</v>
      </c>
      <c r="L604" s="40">
        <f t="shared" si="1666"/>
        <v>3126</v>
      </c>
      <c r="M604" s="40">
        <f t="shared" si="1667"/>
        <v>6195</v>
      </c>
      <c r="N604" s="41">
        <f t="shared" si="1668"/>
        <v>197.383575</v>
      </c>
      <c r="O604" s="38">
        <v>9354.0</v>
      </c>
      <c r="P604" s="42">
        <f t="shared" si="1669"/>
        <v>0.6622835151</v>
      </c>
      <c r="Q604" s="43">
        <v>1.5</v>
      </c>
      <c r="R604" s="42">
        <f t="shared" si="1670"/>
        <v>0.5230931702</v>
      </c>
      <c r="S604" s="44">
        <f t="shared" si="1671"/>
        <v>0.7846397554</v>
      </c>
      <c r="T604" s="43">
        <f>F604/30.713</f>
        <v>257.0684401</v>
      </c>
      <c r="U604" s="43">
        <f t="shared" si="1672"/>
        <v>6.426711002</v>
      </c>
      <c r="V604" s="40">
        <f t="shared" si="1673"/>
        <v>154.875</v>
      </c>
      <c r="X604" s="53" t="s">
        <v>35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6"/>
    </row>
    <row r="605" ht="15.75" customHeight="1">
      <c r="A605" s="21"/>
      <c r="B605" s="38">
        <v>6.0</v>
      </c>
      <c r="C605" s="38" t="s">
        <v>23</v>
      </c>
      <c r="D605" s="39">
        <v>35.0</v>
      </c>
      <c r="E605" s="40">
        <f>IFERROR(__xludf.DUMMYFUNCTION("COUNT(IMPORTRANGE(""https://docs.google.com/spreadsheets/d/1uVc-vnTn57HE53lwrUYNZP4sGKTXisrqOoZ-6EyvLzY/edit"",""2!d2:d36""))"),34.0)</f>
        <v>34</v>
      </c>
      <c r="F605" s="45">
        <f>IFERROR(__xludf.DUMMYFUNCTION("SUM(IMPORTRANGE(""https://docs.google.com/spreadsheets/d/1uVc-vnTn57HE53lwrUYNZP4sGKTXisrqOoZ-6EyvLzY/edit"",""2!Q2:Q36""))"),6680.519999999996)</f>
        <v>6680.52</v>
      </c>
      <c r="G605" s="40">
        <f>IFERROR(__xludf.DUMMYFUNCTION("IMPORTRANGE(""https://docs.google.com/spreadsheets/d/1uVc-vnTn57HE53lwrUYNZP4sGKTXisrqOoZ-6EyvLzY/edit"",""2!e43"")"),2083.0)</f>
        <v>2083</v>
      </c>
      <c r="H605" s="40">
        <f>IFERROR(__xludf.DUMMYFUNCTION("IMPORTRANGE(""https://docs.google.com/spreadsheets/d/1uVc-vnTn57HE53lwrUYNZP4sGKTXisrqOoZ-6EyvLzY/edit"",""2!e44"")"),0.0)</f>
        <v>0</v>
      </c>
      <c r="I605" s="40">
        <f t="shared" si="1665"/>
        <v>2083</v>
      </c>
      <c r="J605" s="40">
        <f>IFERROR(__xludf.DUMMYFUNCTION("IMPORTRANGE(""https://docs.google.com/spreadsheets/d/1uVc-vnTn57HE53lwrUYNZP4sGKTXisrqOoZ-6EyvLzY/edit"",""2!e47"")"),2916.0)</f>
        <v>2916</v>
      </c>
      <c r="K605" s="40">
        <f>IFERROR(__xludf.DUMMYFUNCTION("IMPORTRANGE(""https://docs.google.com/spreadsheets/d/1uVc-vnTn57HE53lwrUYNZP4sGKTXisrqOoZ-6EyvLzY/edit"",""2!e48"")"),0.0)</f>
        <v>0</v>
      </c>
      <c r="L605" s="40">
        <f t="shared" si="1666"/>
        <v>2916</v>
      </c>
      <c r="M605" s="40">
        <f t="shared" si="1667"/>
        <v>4999</v>
      </c>
      <c r="N605" s="41">
        <f t="shared" si="1668"/>
        <v>196.4858824</v>
      </c>
      <c r="O605" s="38">
        <v>6853.0</v>
      </c>
      <c r="P605" s="42">
        <f t="shared" si="1669"/>
        <v>0.7294615497</v>
      </c>
      <c r="Q605" s="43">
        <v>1.5</v>
      </c>
      <c r="R605" s="42">
        <f t="shared" si="1670"/>
        <v>0.4988633619</v>
      </c>
      <c r="S605" s="44">
        <f t="shared" si="1671"/>
        <v>0.7482950429</v>
      </c>
      <c r="T605" s="43">
        <f>F605/33.74</f>
        <v>198</v>
      </c>
      <c r="U605" s="43">
        <f t="shared" si="1672"/>
        <v>5.823529412</v>
      </c>
      <c r="V605" s="40">
        <f t="shared" si="1673"/>
        <v>147.0294118</v>
      </c>
      <c r="X605" s="14" t="s">
        <v>2</v>
      </c>
      <c r="Y605" s="14" t="s">
        <v>3</v>
      </c>
      <c r="Z605" s="14" t="s">
        <v>4</v>
      </c>
      <c r="AA605" s="14" t="s">
        <v>5</v>
      </c>
      <c r="AB605" s="15" t="s">
        <v>6</v>
      </c>
      <c r="AC605" s="14" t="s">
        <v>7</v>
      </c>
      <c r="AD605" s="14" t="s">
        <v>8</v>
      </c>
      <c r="AE605" s="14" t="s">
        <v>9</v>
      </c>
      <c r="AF605" s="14" t="s">
        <v>10</v>
      </c>
      <c r="AG605" s="14" t="s">
        <v>11</v>
      </c>
      <c r="AH605" s="14" t="s">
        <v>12</v>
      </c>
      <c r="AI605" s="14" t="s">
        <v>13</v>
      </c>
      <c r="AJ605" s="15" t="s">
        <v>14</v>
      </c>
      <c r="AK605" s="14" t="s">
        <v>15</v>
      </c>
      <c r="AL605" s="14" t="s">
        <v>16</v>
      </c>
      <c r="AM605" s="16" t="s">
        <v>17</v>
      </c>
      <c r="AN605" s="17" t="s">
        <v>18</v>
      </c>
      <c r="AO605" s="18" t="s">
        <v>19</v>
      </c>
      <c r="AP605" s="19" t="s">
        <v>20</v>
      </c>
      <c r="AQ605" s="19" t="s">
        <v>21</v>
      </c>
      <c r="AR605" s="20" t="s">
        <v>22</v>
      </c>
    </row>
    <row r="606" ht="15.75" customHeight="1">
      <c r="A606" s="21"/>
      <c r="B606" s="38">
        <v>7.0</v>
      </c>
      <c r="C606" s="38" t="s">
        <v>24</v>
      </c>
      <c r="D606" s="39">
        <v>44.0</v>
      </c>
      <c r="E606" s="54">
        <f>IFERROR(__xludf.DUMMYFUNCTION("COUNT(IMPORTRANGE(""https://docs.google.com/spreadsheets/d/1iuPvivSypupo44l6GtmR-2qZ3za7cTk7KzsOVp_kv2c/edit"",""2!d2:d45""))"),44.0)</f>
        <v>44</v>
      </c>
      <c r="F606" s="55">
        <f>IFERROR(__xludf.DUMMYFUNCTION("SUM(IMPORTRANGE(""https://docs.google.com/spreadsheets/d/1iuPvivSypupo44l6GtmR-2qZ3za7cTk7KzsOVp_kv2c/edit"",""2!Q2:Q45""))"),8354.581999999995)</f>
        <v>8354.582</v>
      </c>
      <c r="G606" s="54">
        <f>IFERROR(__xludf.DUMMYFUNCTION("IMPORTRANGE(""https://docs.google.com/spreadsheets/d/1iuPvivSypupo44l6GtmR-2qZ3za7cTk7KzsOVp_kv2c/edit"",""2!e53"")"),1454.0)</f>
        <v>1454</v>
      </c>
      <c r="H606" s="54">
        <f>IFERROR(__xludf.DUMMYFUNCTION("IMPORTRANGE(""https://docs.google.com/spreadsheets/d/1iuPvivSypupo44l6GtmR-2qZ3za7cTk7KzsOVp_kv2c/edit"",""2!e54"")"),0.0)</f>
        <v>0</v>
      </c>
      <c r="I606" s="54">
        <f t="shared" si="1665"/>
        <v>1454</v>
      </c>
      <c r="J606" s="54">
        <f>IFERROR(__xludf.DUMMYFUNCTION("IMPORTRANGE(""https://docs.google.com/spreadsheets/d/1iuPvivSypupo44l6GtmR-2qZ3za7cTk7KzsOVp_kv2c/edit"",""2!e57"")"),1288.0)</f>
        <v>1288</v>
      </c>
      <c r="K606" s="54">
        <f>IFERROR(__xludf.DUMMYFUNCTION("IMPORTRANGE(""https://docs.google.com/spreadsheets/d/1iuPvivSypupo44l6GtmR-2qZ3za7cTk7KzsOVp_kv2c/edit"",""2!e58"")"),28.0)</f>
        <v>28</v>
      </c>
      <c r="L606" s="40">
        <f t="shared" si="1666"/>
        <v>1316</v>
      </c>
      <c r="M606" s="40">
        <f t="shared" si="1667"/>
        <v>2770</v>
      </c>
      <c r="N606" s="41">
        <f t="shared" si="1668"/>
        <v>189.8768636</v>
      </c>
      <c r="O606" s="38">
        <v>1580.0</v>
      </c>
      <c r="P606" s="42">
        <f t="shared" si="1669"/>
        <v>1.753164557</v>
      </c>
      <c r="Q606" s="43">
        <v>1.5</v>
      </c>
      <c r="R606" s="42">
        <f t="shared" si="1670"/>
        <v>0.2210363926</v>
      </c>
      <c r="S606" s="44">
        <f t="shared" si="1671"/>
        <v>0.3315545888</v>
      </c>
      <c r="T606" s="43">
        <f>F606/26.805</f>
        <v>311.6799851</v>
      </c>
      <c r="U606" s="43">
        <f t="shared" si="1672"/>
        <v>7.083636024</v>
      </c>
      <c r="V606" s="40">
        <f t="shared" si="1673"/>
        <v>62.95454545</v>
      </c>
      <c r="X606" s="22">
        <v>1.0</v>
      </c>
      <c r="Y606" s="22" t="s">
        <v>28</v>
      </c>
      <c r="Z606" s="22">
        <f t="shared" ref="Z606:AI606" si="1682">SUM(D601)</f>
        <v>33</v>
      </c>
      <c r="AA606" s="23">
        <f t="shared" si="1682"/>
        <v>33</v>
      </c>
      <c r="AB606" s="25">
        <f t="shared" si="1682"/>
        <v>6528.833</v>
      </c>
      <c r="AC606" s="23">
        <f t="shared" si="1682"/>
        <v>2700</v>
      </c>
      <c r="AD606" s="23">
        <f t="shared" si="1682"/>
        <v>104</v>
      </c>
      <c r="AE606" s="23">
        <f t="shared" si="1682"/>
        <v>2804</v>
      </c>
      <c r="AF606" s="23">
        <f t="shared" si="1682"/>
        <v>3205</v>
      </c>
      <c r="AG606" s="23">
        <f t="shared" si="1682"/>
        <v>102</v>
      </c>
      <c r="AH606" s="23">
        <f t="shared" si="1682"/>
        <v>3307</v>
      </c>
      <c r="AI606" s="23">
        <f t="shared" si="1682"/>
        <v>6111</v>
      </c>
      <c r="AJ606" s="25">
        <f t="shared" ref="AJ606:AJ612" si="1685">AB606/AA606</f>
        <v>197.8434242</v>
      </c>
      <c r="AK606" s="22">
        <f t="shared" ref="AK606:AK607" si="1686">SUM(O601)</f>
        <v>7315</v>
      </c>
      <c r="AL606" s="26">
        <f t="shared" ref="AL606:AL612" si="1687">AI606/AK606</f>
        <v>0.8354066986</v>
      </c>
      <c r="AM606" s="27">
        <f t="shared" ref="AM606:AM607" si="1688">SUM(Q601)</f>
        <v>1.5</v>
      </c>
      <c r="AN606" s="26">
        <f t="shared" ref="AN606:AN612" si="1689">AO606/AM606</f>
        <v>0.6240012572</v>
      </c>
      <c r="AO606" s="28">
        <f t="shared" ref="AO606:AO612" si="1690">AI606/AB606</f>
        <v>0.9360018858</v>
      </c>
      <c r="AP606" s="27">
        <f t="shared" ref="AP606:AQ606" si="1683">SUM(T601)</f>
        <v>211.3096093</v>
      </c>
      <c r="AQ606" s="27">
        <f t="shared" si="1683"/>
        <v>6.403321495</v>
      </c>
      <c r="AR606" s="23">
        <f t="shared" ref="AR606:AR612" si="1692">AI606/AA606</f>
        <v>185.1818182</v>
      </c>
    </row>
    <row r="607" ht="15.75" customHeight="1">
      <c r="A607" s="21"/>
      <c r="B607" s="38">
        <v>8.0</v>
      </c>
      <c r="C607" s="38" t="s">
        <v>25</v>
      </c>
      <c r="D607" s="57">
        <v>32.0</v>
      </c>
      <c r="E607" s="40">
        <f>IFERROR(__xludf.DUMMYFUNCTION("COUNT(IMPORTRANGE(""https://docs.google.com/spreadsheets/d/1sqWX7UerdR9KR_duBzDNfjwbPG-3hLgV1LiN2ZVZ6Js/edit"",""2!d2:D33""))"),31.0)</f>
        <v>31</v>
      </c>
      <c r="F607" s="45">
        <f>IFERROR(__xludf.DUMMYFUNCTION("SUM(IMPORTRANGE(""https://docs.google.com/spreadsheets/d/1sqWX7UerdR9KR_duBzDNfjwbPG-3hLgV1LiN2ZVZ6Js/edit"",""2!Q2:Q33""))"),5925.124000000001)</f>
        <v>5925.124</v>
      </c>
      <c r="G607" s="40">
        <f>IFERROR(__xludf.DUMMYFUNCTION("IMPORTRANGE(""https://docs.google.com/spreadsheets/d/1sqWX7UerdR9KR_duBzDNfjwbPG-3hLgV1LiN2ZVZ6Js/edit"",""2!e40"")"),2351.0)</f>
        <v>2351</v>
      </c>
      <c r="H607" s="40">
        <f>IFERROR(__xludf.DUMMYFUNCTION("IMPORTRANGE(""https://docs.google.com/spreadsheets/d/1sqWX7UerdR9KR_duBzDNfjwbPG-3hLgV1LiN2ZVZ6Js/edit"",""2!e41"")"),438.0)</f>
        <v>438</v>
      </c>
      <c r="I607" s="40">
        <f t="shared" si="1665"/>
        <v>2789</v>
      </c>
      <c r="J607" s="40">
        <f>IFERROR(__xludf.DUMMYFUNCTION("IMPORTRANGE(""https://docs.google.com/spreadsheets/d/1sqWX7UerdR9KR_duBzDNfjwbPG-3hLgV1LiN2ZVZ6Js/edit"",""2!e44"")"),3213.0)</f>
        <v>3213</v>
      </c>
      <c r="K607" s="40">
        <f>IFERROR(__xludf.DUMMYFUNCTION("IMPORTRANGE(""https://docs.google.com/spreadsheets/d/1sqWX7UerdR9KR_duBzDNfjwbPG-3hLgV1LiN2ZVZ6Js/edit"",""2!e45"")"),305.0)</f>
        <v>305</v>
      </c>
      <c r="L607" s="40">
        <f>J607+K607</f>
        <v>3518</v>
      </c>
      <c r="M607" s="40">
        <f t="shared" si="1667"/>
        <v>6307</v>
      </c>
      <c r="N607" s="41">
        <f t="shared" si="1668"/>
        <v>191.1330323</v>
      </c>
      <c r="O607" s="38">
        <v>6622.0</v>
      </c>
      <c r="P607" s="42">
        <f t="shared" si="1669"/>
        <v>0.9524312896</v>
      </c>
      <c r="Q607" s="43">
        <v>1.5</v>
      </c>
      <c r="R607" s="42">
        <f t="shared" si="1670"/>
        <v>0.7096335312</v>
      </c>
      <c r="S607" s="44">
        <f t="shared" si="1671"/>
        <v>1.064450297</v>
      </c>
      <c r="T607" s="43">
        <f>F607/23.84</f>
        <v>248.5370805</v>
      </c>
      <c r="U607" s="43">
        <f t="shared" si="1672"/>
        <v>8.017325179</v>
      </c>
      <c r="V607" s="40">
        <f t="shared" si="1673"/>
        <v>203.4516129</v>
      </c>
      <c r="X607" s="31">
        <v>2.0</v>
      </c>
      <c r="Y607" s="31" t="s">
        <v>30</v>
      </c>
      <c r="Z607" s="31">
        <f t="shared" ref="Z607:AI607" si="1684">SUM(D602)</f>
        <v>60</v>
      </c>
      <c r="AA607" s="32">
        <f t="shared" si="1684"/>
        <v>58</v>
      </c>
      <c r="AB607" s="33">
        <f t="shared" si="1684"/>
        <v>11253.345</v>
      </c>
      <c r="AC607" s="32">
        <f t="shared" si="1684"/>
        <v>3757</v>
      </c>
      <c r="AD607" s="32">
        <f t="shared" si="1684"/>
        <v>0</v>
      </c>
      <c r="AE607" s="32">
        <f t="shared" si="1684"/>
        <v>3757</v>
      </c>
      <c r="AF607" s="32">
        <f t="shared" si="1684"/>
        <v>5596</v>
      </c>
      <c r="AG607" s="32">
        <f t="shared" si="1684"/>
        <v>0</v>
      </c>
      <c r="AH607" s="32">
        <f t="shared" si="1684"/>
        <v>5596</v>
      </c>
      <c r="AI607" s="32">
        <f t="shared" si="1684"/>
        <v>9353</v>
      </c>
      <c r="AJ607" s="34">
        <f t="shared" si="1685"/>
        <v>194.0231897</v>
      </c>
      <c r="AK607" s="31">
        <f t="shared" si="1686"/>
        <v>11164</v>
      </c>
      <c r="AL607" s="35">
        <f t="shared" si="1687"/>
        <v>0.8377821569</v>
      </c>
      <c r="AM607" s="36">
        <f t="shared" si="1688"/>
        <v>1.5</v>
      </c>
      <c r="AN607" s="35">
        <f t="shared" si="1689"/>
        <v>0.5540871033</v>
      </c>
      <c r="AO607" s="37">
        <f t="shared" si="1690"/>
        <v>0.8311306549</v>
      </c>
      <c r="AP607" s="36">
        <f t="shared" ref="AP607:AQ607" si="1691">SUM(T602)</f>
        <v>380.1420464</v>
      </c>
      <c r="AQ607" s="36">
        <f t="shared" si="1691"/>
        <v>6.554173214</v>
      </c>
      <c r="AR607" s="32">
        <f t="shared" si="1692"/>
        <v>161.2586207</v>
      </c>
    </row>
    <row r="608" ht="15.75" customHeight="1">
      <c r="A608" s="21"/>
      <c r="B608" s="38">
        <v>9.0</v>
      </c>
      <c r="C608" s="38" t="s">
        <v>36</v>
      </c>
      <c r="D608" s="58">
        <v>30.0</v>
      </c>
      <c r="E608" s="40">
        <f>IFERROR(__xludf.DUMMYFUNCTION("COUNT(IMPORTRANGE(""https://docs.google.com/spreadsheets/d/1YNna43iTSqnwwbMJgTIPHSJEoDO8RGPRFg5pJCoQR_Y/edit"",""2!d2:d31""))"),29.0)</f>
        <v>29</v>
      </c>
      <c r="F608" s="45">
        <f>IFERROR(__xludf.DUMMYFUNCTION("SUM(IMPORTRANGE(""https://docs.google.com/spreadsheets/d/1YNna43iTSqnwwbMJgTIPHSJEoDO8RGPRFg5pJCoQR_Y/edit"",""2!Q2:Q31""))"),5604.12)</f>
        <v>5604.12</v>
      </c>
      <c r="G608" s="40">
        <f>IFERROR(__xludf.DUMMYFUNCTION("IMPORTRANGE(""https://docs.google.com/spreadsheets/d/1YNna43iTSqnwwbMJgTIPHSJEoDO8RGPRFg5pJCoQR_Y/edit"",""2!e38"")"),1533.0)</f>
        <v>1533</v>
      </c>
      <c r="H608" s="40">
        <f>IFERROR(__xludf.DUMMYFUNCTION("IMPORTRANGE(""https://docs.google.com/spreadsheets/d/1YNna43iTSqnwwbMJgTIPHSJEoDO8RGPRFg5pJCoQR_Y/edit"",""2!e39"")"),0.0)</f>
        <v>0</v>
      </c>
      <c r="I608" s="40">
        <f t="shared" si="1665"/>
        <v>1533</v>
      </c>
      <c r="J608" s="40">
        <f>IFERROR(__xludf.DUMMYFUNCTION("IMPORTRANGE(""https://docs.google.com/spreadsheets/d/1YNna43iTSqnwwbMJgTIPHSJEoDO8RGPRFg5pJCoQR_Y/edit"",""2!e42"")"),2301.0)</f>
        <v>2301</v>
      </c>
      <c r="K608" s="40">
        <f>IFERROR(__xludf.DUMMYFUNCTION("IMPORTRANGE(""https://docs.google.com/spreadsheets/d/1YNna43iTSqnwwbMJgTIPHSJEoDO8RGPRFg5pJCoQR_Y/edit"",""2!e43"")"),0.0)</f>
        <v>0</v>
      </c>
      <c r="L608" s="40">
        <f t="shared" ref="L608:L617" si="1695">SUM(J608:K608)</f>
        <v>2301</v>
      </c>
      <c r="M608" s="40">
        <f t="shared" si="1667"/>
        <v>3834</v>
      </c>
      <c r="N608" s="41">
        <f t="shared" si="1668"/>
        <v>193.2455172</v>
      </c>
      <c r="O608" s="38">
        <v>4796.0</v>
      </c>
      <c r="P608" s="42">
        <f t="shared" si="1669"/>
        <v>0.7994161802</v>
      </c>
      <c r="Q608" s="43">
        <v>1.5</v>
      </c>
      <c r="R608" s="42">
        <f t="shared" si="1670"/>
        <v>0.4560930173</v>
      </c>
      <c r="S608" s="44">
        <f t="shared" si="1671"/>
        <v>0.6841395259</v>
      </c>
      <c r="T608" s="43">
        <f>F608/37.414</f>
        <v>149.7867109</v>
      </c>
      <c r="U608" s="43">
        <f t="shared" si="1672"/>
        <v>5.165058995</v>
      </c>
      <c r="V608" s="40">
        <f t="shared" si="1673"/>
        <v>132.2068966</v>
      </c>
      <c r="X608" s="22">
        <v>3.0</v>
      </c>
      <c r="Y608" s="22" t="s">
        <v>34</v>
      </c>
      <c r="Z608" s="22">
        <f t="shared" ref="Z608:AI608" si="1693">SUM(D604)</f>
        <v>40</v>
      </c>
      <c r="AA608" s="23">
        <f t="shared" si="1693"/>
        <v>40</v>
      </c>
      <c r="AB608" s="24">
        <f t="shared" si="1693"/>
        <v>7895.343</v>
      </c>
      <c r="AC608" s="23">
        <f t="shared" si="1693"/>
        <v>3069</v>
      </c>
      <c r="AD608" s="23">
        <f t="shared" si="1693"/>
        <v>0</v>
      </c>
      <c r="AE608" s="23">
        <f t="shared" si="1693"/>
        <v>3069</v>
      </c>
      <c r="AF608" s="23">
        <f t="shared" si="1693"/>
        <v>3126</v>
      </c>
      <c r="AG608" s="23">
        <f t="shared" si="1693"/>
        <v>0</v>
      </c>
      <c r="AH608" s="23">
        <f t="shared" si="1693"/>
        <v>3126</v>
      </c>
      <c r="AI608" s="23">
        <f t="shared" si="1693"/>
        <v>6195</v>
      </c>
      <c r="AJ608" s="25">
        <f t="shared" si="1685"/>
        <v>197.383575</v>
      </c>
      <c r="AK608" s="22">
        <f>SUM(O604)</f>
        <v>9354</v>
      </c>
      <c r="AL608" s="26">
        <f t="shared" si="1687"/>
        <v>0.6622835151</v>
      </c>
      <c r="AM608" s="27">
        <f>SUM(Q604)</f>
        <v>1.5</v>
      </c>
      <c r="AN608" s="26">
        <f t="shared" si="1689"/>
        <v>0.5230931702</v>
      </c>
      <c r="AO608" s="28">
        <f t="shared" si="1690"/>
        <v>0.7846397554</v>
      </c>
      <c r="AP608" s="27">
        <f t="shared" ref="AP608:AQ608" si="1694">SUM(T604)</f>
        <v>257.0684401</v>
      </c>
      <c r="AQ608" s="27">
        <f t="shared" si="1694"/>
        <v>6.426711002</v>
      </c>
      <c r="AR608" s="23">
        <f t="shared" si="1692"/>
        <v>154.875</v>
      </c>
    </row>
    <row r="609" ht="15.75" customHeight="1">
      <c r="A609" s="21"/>
      <c r="B609" s="38">
        <v>10.0</v>
      </c>
      <c r="C609" s="38" t="s">
        <v>37</v>
      </c>
      <c r="D609" s="39">
        <v>30.0</v>
      </c>
      <c r="E609" s="40">
        <f>IFERROR(__xludf.DUMMYFUNCTION("COUNT(IMPORTRANGE(""https://docs.google.com/spreadsheets/d/1913Df5BsXS_b-nClL8LOK5w0engQYTl1mPOiyngRtO0/edit"",""2!d2:d31""))"),30.0)</f>
        <v>30</v>
      </c>
      <c r="F609" s="45">
        <f>IFERROR(__xludf.DUMMYFUNCTION("SUM(IMPORTRANGE(""https://docs.google.com/spreadsheets/d/1913Df5BsXS_b-nClL8LOK5w0engQYTl1mPOiyngRtO0/edit"",""2!Q2:Q31""))"),5812.188)</f>
        <v>5812.188</v>
      </c>
      <c r="G609" s="40">
        <f>IFERROR(__xludf.DUMMYFUNCTION("(IMPORTRANGE(""https://docs.google.com/spreadsheets/d/1913Df5BsXS_b-nClL8LOK5w0engQYTl1mPOiyngRtO0/edit"",""2!e38""))"),2138.0)</f>
        <v>2138</v>
      </c>
      <c r="H609" s="40">
        <f>IFERROR(__xludf.DUMMYFUNCTION("(IMPORTRANGE(""https://docs.google.com/spreadsheets/d/1913Df5BsXS_b-nClL8LOK5w0engQYTl1mPOiyngRtO0/edit"",""2!e39""))"),0.0)</f>
        <v>0</v>
      </c>
      <c r="I609" s="40">
        <f t="shared" si="1665"/>
        <v>2138</v>
      </c>
      <c r="J609" s="40">
        <f>IFERROR(__xludf.DUMMYFUNCTION("(IMPORTRANGE(""https://docs.google.com/spreadsheets/d/1913Df5BsXS_b-nClL8LOK5w0engQYTl1mPOiyngRtO0/edit"",""2!e42""))"),3071.0)</f>
        <v>3071</v>
      </c>
      <c r="K609" s="40">
        <f>IFERROR(__xludf.DUMMYFUNCTION("(IMPORTRANGE(""https://docs.google.com/spreadsheets/d/1913Df5BsXS_b-nClL8LOK5w0engQYTl1mPOiyngRtO0/edit"",""2!e43""))"),0.0)</f>
        <v>0</v>
      </c>
      <c r="L609" s="40">
        <f t="shared" si="1695"/>
        <v>3071</v>
      </c>
      <c r="M609" s="40">
        <f t="shared" si="1667"/>
        <v>5209</v>
      </c>
      <c r="N609" s="41">
        <f t="shared" si="1668"/>
        <v>193.7396</v>
      </c>
      <c r="O609" s="38">
        <v>5887.0</v>
      </c>
      <c r="P609" s="42">
        <f t="shared" si="1669"/>
        <v>0.8848309835</v>
      </c>
      <c r="Q609" s="43">
        <v>1.5</v>
      </c>
      <c r="R609" s="42">
        <f t="shared" si="1670"/>
        <v>0.5974800999</v>
      </c>
      <c r="S609" s="44">
        <f t="shared" si="1671"/>
        <v>0.8962201498</v>
      </c>
      <c r="T609" s="43">
        <f>F609/24.792</f>
        <v>234.4380445</v>
      </c>
      <c r="U609" s="43">
        <f t="shared" si="1672"/>
        <v>7.814601484</v>
      </c>
      <c r="V609" s="40">
        <f t="shared" si="1673"/>
        <v>173.6333333</v>
      </c>
      <c r="X609" s="31">
        <v>4.0</v>
      </c>
      <c r="Y609" s="31" t="s">
        <v>38</v>
      </c>
      <c r="Z609" s="31">
        <f t="shared" ref="Z609:AI609" si="1696">SUM(D612)</f>
        <v>30</v>
      </c>
      <c r="AA609" s="32">
        <f t="shared" si="1696"/>
        <v>30</v>
      </c>
      <c r="AB609" s="33">
        <f t="shared" si="1696"/>
        <v>6284.278</v>
      </c>
      <c r="AC609" s="32">
        <f t="shared" si="1696"/>
        <v>2309</v>
      </c>
      <c r="AD609" s="32">
        <f t="shared" si="1696"/>
        <v>0</v>
      </c>
      <c r="AE609" s="32">
        <f t="shared" si="1696"/>
        <v>2309</v>
      </c>
      <c r="AF609" s="32">
        <f t="shared" si="1696"/>
        <v>2749</v>
      </c>
      <c r="AG609" s="32">
        <f t="shared" si="1696"/>
        <v>159</v>
      </c>
      <c r="AH609" s="32">
        <f t="shared" si="1696"/>
        <v>2908</v>
      </c>
      <c r="AI609" s="32">
        <f t="shared" si="1696"/>
        <v>5217</v>
      </c>
      <c r="AJ609" s="34">
        <f t="shared" si="1685"/>
        <v>209.4759333</v>
      </c>
      <c r="AK609" s="31">
        <v>7324.0</v>
      </c>
      <c r="AL609" s="35">
        <f t="shared" si="1687"/>
        <v>0.7123156745</v>
      </c>
      <c r="AM609" s="36">
        <f>SUM(Q612)</f>
        <v>1.5</v>
      </c>
      <c r="AN609" s="35">
        <f t="shared" si="1689"/>
        <v>0.5534446439</v>
      </c>
      <c r="AO609" s="37">
        <f t="shared" si="1690"/>
        <v>0.8301669659</v>
      </c>
      <c r="AP609" s="36">
        <f t="shared" ref="AP609:AQ609" si="1697">SUM(T612)</f>
        <v>152.5125106</v>
      </c>
      <c r="AQ609" s="36">
        <f t="shared" si="1697"/>
        <v>5.083750354</v>
      </c>
      <c r="AR609" s="32">
        <f t="shared" si="1692"/>
        <v>173.9</v>
      </c>
    </row>
    <row r="610" ht="15.75" customHeight="1">
      <c r="A610" s="21"/>
      <c r="B610" s="38">
        <v>12.0</v>
      </c>
      <c r="C610" s="38" t="s">
        <v>39</v>
      </c>
      <c r="D610" s="39">
        <v>28.0</v>
      </c>
      <c r="E610" s="40">
        <f>IFERROR(__xludf.DUMMYFUNCTION("COUNT(IMPORTRANGE(""https://docs.google.com/spreadsheets/d/1wMeol_MpSIcocGxt3WZGl46mJ2tc80mANPvP_YzaP18/edit"",""2!d2:d29""))"),28.0)</f>
        <v>28</v>
      </c>
      <c r="F610" s="45">
        <f>IFERROR(__xludf.DUMMYFUNCTION("SUM(IMPORTRANGE(""https://docs.google.com/spreadsheets/d/1wMeol_MpSIcocGxt3WZGl46mJ2tc80mANPvP_YzaP18/edit"",""2!Q2:Q29""))"),5458.878)</f>
        <v>5458.878</v>
      </c>
      <c r="G610" s="40">
        <f>IFERROR(__xludf.DUMMYFUNCTION("IMPORTRANGE(""https://docs.google.com/spreadsheets/d/1wMeol_MpSIcocGxt3WZGl46mJ2tc80mANPvP_YzaP18/edit"",""2!e36"")"),1516.0)</f>
        <v>1516</v>
      </c>
      <c r="H610" s="40">
        <f>IFERROR(__xludf.DUMMYFUNCTION("(IMPORTRANGE(""https://docs.google.com/spreadsheets/d/1wMeol_MpSIcocGxt3WZGl46mJ2tc80mANPvP_YzaP18/edit"",""2!e37""))"),43.0)</f>
        <v>43</v>
      </c>
      <c r="I610" s="40">
        <f t="shared" si="1665"/>
        <v>1559</v>
      </c>
      <c r="J610" s="40">
        <f>IFERROR(__xludf.DUMMYFUNCTION("IMPORTRANGE(""https://docs.google.com/spreadsheets/d/1wMeol_MpSIcocGxt3WZGl46mJ2tc80mANPvP_YzaP18/edit"",""2!e40"")"),1765.0)</f>
        <v>1765</v>
      </c>
      <c r="K610" s="40">
        <f>IFERROR(__xludf.DUMMYFUNCTION("IMPORTRANGE(""https://docs.google.com/spreadsheets/d/1wMeol_MpSIcocGxt3WZGl46mJ2tc80mANPvP_YzaP18/edit"",""2!e41"")"),115.0)</f>
        <v>115</v>
      </c>
      <c r="L610" s="40">
        <f t="shared" si="1695"/>
        <v>1880</v>
      </c>
      <c r="M610" s="40">
        <f t="shared" si="1667"/>
        <v>3439</v>
      </c>
      <c r="N610" s="41">
        <f t="shared" si="1668"/>
        <v>194.9599286</v>
      </c>
      <c r="O610" s="38">
        <v>3569.0</v>
      </c>
      <c r="P610" s="42">
        <f t="shared" si="1669"/>
        <v>0.9635752312</v>
      </c>
      <c r="Q610" s="43">
        <v>1.5</v>
      </c>
      <c r="R610" s="42">
        <f t="shared" si="1670"/>
        <v>0.4199886253</v>
      </c>
      <c r="S610" s="44">
        <f t="shared" si="1671"/>
        <v>0.6299829379</v>
      </c>
      <c r="T610" s="43">
        <f>F610/21.463</f>
        <v>254.339002</v>
      </c>
      <c r="U610" s="43">
        <f t="shared" si="1672"/>
        <v>9.083535786</v>
      </c>
      <c r="V610" s="40">
        <f t="shared" si="1673"/>
        <v>122.8214286</v>
      </c>
      <c r="X610" s="31">
        <v>5.0</v>
      </c>
      <c r="Y610" s="31" t="s">
        <v>40</v>
      </c>
      <c r="Z610" s="31">
        <f t="shared" ref="Z610:AI610" si="1698">SUM(D614)</f>
        <v>30</v>
      </c>
      <c r="AA610" s="32">
        <f t="shared" si="1698"/>
        <v>30</v>
      </c>
      <c r="AB610" s="33">
        <f t="shared" si="1698"/>
        <v>5845.703</v>
      </c>
      <c r="AC610" s="32">
        <f t="shared" si="1698"/>
        <v>3323</v>
      </c>
      <c r="AD610" s="32">
        <f t="shared" si="1698"/>
        <v>39</v>
      </c>
      <c r="AE610" s="32">
        <f t="shared" si="1698"/>
        <v>3362</v>
      </c>
      <c r="AF610" s="32">
        <f t="shared" si="1698"/>
        <v>3928</v>
      </c>
      <c r="AG610" s="32">
        <f t="shared" si="1698"/>
        <v>73</v>
      </c>
      <c r="AH610" s="32">
        <f t="shared" si="1698"/>
        <v>4001</v>
      </c>
      <c r="AI610" s="32">
        <f t="shared" si="1698"/>
        <v>7363</v>
      </c>
      <c r="AJ610" s="34">
        <f t="shared" si="1685"/>
        <v>194.8567667</v>
      </c>
      <c r="AK610" s="31">
        <f t="shared" ref="AK610:AK611" si="1701">SUM(O614)</f>
        <v>8239</v>
      </c>
      <c r="AL610" s="35">
        <f t="shared" si="1687"/>
        <v>0.893676417</v>
      </c>
      <c r="AM610" s="36">
        <f t="shared" ref="AM610:AM611" si="1702">SUM(Q614)</f>
        <v>1.5</v>
      </c>
      <c r="AN610" s="35">
        <f t="shared" si="1689"/>
        <v>0.8397051076</v>
      </c>
      <c r="AO610" s="37">
        <f t="shared" si="1690"/>
        <v>1.259557661</v>
      </c>
      <c r="AP610" s="36">
        <f t="shared" ref="AP610:AQ610" si="1699">SUM(T614)</f>
        <v>205.5234328</v>
      </c>
      <c r="AQ610" s="36">
        <f t="shared" si="1699"/>
        <v>6.850781094</v>
      </c>
      <c r="AR610" s="32">
        <f t="shared" si="1692"/>
        <v>245.4333333</v>
      </c>
    </row>
    <row r="611" ht="15.75" customHeight="1">
      <c r="A611" s="21"/>
      <c r="B611" s="38">
        <v>12.0</v>
      </c>
      <c r="C611" s="38" t="s">
        <v>41</v>
      </c>
      <c r="D611" s="39">
        <v>24.0</v>
      </c>
      <c r="E611" s="40">
        <f>IFERROR(__xludf.DUMMYFUNCTION("COUNT(IMPORTRANGE(""https://docs.google.com/spreadsheets/d/1sHk6_yuc4kORC_xnhEeazoemV_hVUQVqRpfoNae-PLk/edit"",""2!d2:d25""))"),24.0)</f>
        <v>24</v>
      </c>
      <c r="F611" s="45">
        <f>IFERROR(__xludf.DUMMYFUNCTION("SUM(IMPORTRANGE(""https://docs.google.com/spreadsheets/d/1sHk6_yuc4kORC_xnhEeazoemV_hVUQVqRpfoNae-PLk/edit"",""2!Q2:Q25""))"),4806.3200000000015)</f>
        <v>4806.32</v>
      </c>
      <c r="G611" s="40">
        <f>IFERROR(__xludf.DUMMYFUNCTION("IMPORTRANGE(""https://docs.google.com/spreadsheets/d/1sHk6_yuc4kORC_xnhEeazoemV_hVUQVqRpfoNae-PLk/edit"",""2!e32"")"),1468.0)</f>
        <v>1468</v>
      </c>
      <c r="H611" s="40">
        <f>IFERROR(__xludf.DUMMYFUNCTION("IMPORTRANGE(""https://docs.google.com/spreadsheets/d/1sHk6_yuc4kORC_xnhEeazoemV_hVUQVqRpfoNae-PLk/edit"",""2!e33"")"),0.0)</f>
        <v>0</v>
      </c>
      <c r="I611" s="40">
        <f t="shared" si="1665"/>
        <v>1468</v>
      </c>
      <c r="J611" s="40">
        <f>IFERROR(__xludf.DUMMYFUNCTION("IMPORTRANGE(""https://docs.google.com/spreadsheets/d/1sHk6_yuc4kORC_xnhEeazoemV_hVUQVqRpfoNae-PLk/edit"",""2!e36"")"),1656.0)</f>
        <v>1656</v>
      </c>
      <c r="K611" s="40">
        <f>IFERROR(__xludf.DUMMYFUNCTION("IMPORTRANGE(""https://docs.google.com/spreadsheets/d/1sHk6_yuc4kORC_xnhEeazoemV_hVUQVqRpfoNae-PLk/edit"",""2!e37"")"),0.0)</f>
        <v>0</v>
      </c>
      <c r="L611" s="40">
        <f t="shared" si="1695"/>
        <v>1656</v>
      </c>
      <c r="M611" s="40">
        <f t="shared" si="1667"/>
        <v>3124</v>
      </c>
      <c r="N611" s="41">
        <f t="shared" si="1668"/>
        <v>200.2633333</v>
      </c>
      <c r="O611" s="38">
        <v>3801.0</v>
      </c>
      <c r="P611" s="42">
        <f t="shared" si="1669"/>
        <v>0.8218889766</v>
      </c>
      <c r="Q611" s="43">
        <v>1.5</v>
      </c>
      <c r="R611" s="42">
        <f t="shared" si="1670"/>
        <v>0.4333183531</v>
      </c>
      <c r="S611" s="44">
        <f t="shared" si="1671"/>
        <v>0.6499775296</v>
      </c>
      <c r="T611" s="43">
        <f>F611/29.628</f>
        <v>162.2222222</v>
      </c>
      <c r="U611" s="43">
        <f t="shared" si="1672"/>
        <v>6.759259259</v>
      </c>
      <c r="V611" s="40">
        <f t="shared" si="1673"/>
        <v>130.1666667</v>
      </c>
      <c r="X611" s="22">
        <v>6.0</v>
      </c>
      <c r="Y611" s="22" t="s">
        <v>42</v>
      </c>
      <c r="Z611" s="22">
        <f t="shared" ref="Z611:AI611" si="1700">SUM(D615)</f>
        <v>33</v>
      </c>
      <c r="AA611" s="23">
        <f t="shared" si="1700"/>
        <v>33</v>
      </c>
      <c r="AB611" s="24">
        <f t="shared" si="1700"/>
        <v>6380.282</v>
      </c>
      <c r="AC611" s="23">
        <f t="shared" si="1700"/>
        <v>3133</v>
      </c>
      <c r="AD611" s="23">
        <f t="shared" si="1700"/>
        <v>0</v>
      </c>
      <c r="AE611" s="23">
        <f t="shared" si="1700"/>
        <v>3133</v>
      </c>
      <c r="AF611" s="23">
        <f t="shared" si="1700"/>
        <v>4360</v>
      </c>
      <c r="AG611" s="23">
        <f t="shared" si="1700"/>
        <v>0</v>
      </c>
      <c r="AH611" s="23">
        <f t="shared" si="1700"/>
        <v>4360</v>
      </c>
      <c r="AI611" s="23">
        <f t="shared" si="1700"/>
        <v>7493</v>
      </c>
      <c r="AJ611" s="25">
        <f t="shared" si="1685"/>
        <v>193.3418788</v>
      </c>
      <c r="AK611" s="22">
        <f t="shared" si="1701"/>
        <v>9877</v>
      </c>
      <c r="AL611" s="26">
        <f t="shared" si="1687"/>
        <v>0.7586311633</v>
      </c>
      <c r="AM611" s="27">
        <f t="shared" si="1702"/>
        <v>1.5</v>
      </c>
      <c r="AN611" s="26">
        <f t="shared" si="1689"/>
        <v>0.782933001</v>
      </c>
      <c r="AO611" s="28">
        <f t="shared" si="1690"/>
        <v>1.174399501</v>
      </c>
      <c r="AP611" s="27">
        <f t="shared" ref="AP611:AQ611" si="1703">SUM(T615)</f>
        <v>243.9411967</v>
      </c>
      <c r="AQ611" s="27">
        <f t="shared" si="1703"/>
        <v>7.392157476</v>
      </c>
      <c r="AR611" s="23">
        <f t="shared" si="1692"/>
        <v>227.0606061</v>
      </c>
    </row>
    <row r="612" ht="15.75" customHeight="1">
      <c r="A612" s="21"/>
      <c r="B612" s="38">
        <v>13.0</v>
      </c>
      <c r="C612" s="38" t="s">
        <v>43</v>
      </c>
      <c r="D612" s="39">
        <v>30.0</v>
      </c>
      <c r="E612" s="40">
        <f>IFERROR(__xludf.DUMMYFUNCTION("COUNT(IMPORTRANGE(""https://docs.google.com/spreadsheets/d/1uGXvAN2jA6kmcEHUY4KqOHHewllZsujDdA6KVDfBCoA/edit"",""2!d2:d31""))"),30.0)</f>
        <v>30</v>
      </c>
      <c r="F612" s="45">
        <f>IFERROR(__xludf.DUMMYFUNCTION("SUM(IMPORTRANGE(""https://docs.google.com/spreadsheets/d/1uGXvAN2jA6kmcEHUY4KqOHHewllZsujDdA6KVDfBCoA/edit"",""2!Q2:Q31""))"),6284.277999999999)</f>
        <v>6284.278</v>
      </c>
      <c r="G612" s="40">
        <f>IFERROR(__xludf.DUMMYFUNCTION("IMPORTRANGE(""https://docs.google.com/spreadsheets/d/1uGXvAN2jA6kmcEHUY4KqOHHewllZsujDdA6KVDfBCoA/edit"",""2!e38"")"),2309.0)</f>
        <v>2309</v>
      </c>
      <c r="H612" s="40">
        <f>IFERROR(__xludf.DUMMYFUNCTION("IMPORTRANGE(""https://docs.google.com/spreadsheets/d/1uGXvAN2jA6kmcEHUY4KqOHHewllZsujDdA6KVDfBCoA/edit"",""2!e39"")"),0.0)</f>
        <v>0</v>
      </c>
      <c r="I612" s="40">
        <f t="shared" si="1665"/>
        <v>2309</v>
      </c>
      <c r="J612" s="40">
        <f>IFERROR(__xludf.DUMMYFUNCTION("IMPORTRANGE(""https://docs.google.com/spreadsheets/d/1uGXvAN2jA6kmcEHUY4KqOHHewllZsujDdA6KVDfBCoA/edit"",""2!e42"")"),2749.0)</f>
        <v>2749</v>
      </c>
      <c r="K612" s="40">
        <f>IFERROR(__xludf.DUMMYFUNCTION("IMPORTRANGE(""https://docs.google.com/spreadsheets/d/1uGXvAN2jA6kmcEHUY4KqOHHewllZsujDdA6KVDfBCoA/edit"",""2!e43"")"),159.0)</f>
        <v>159</v>
      </c>
      <c r="L612" s="40">
        <f t="shared" si="1695"/>
        <v>2908</v>
      </c>
      <c r="M612" s="40">
        <f t="shared" si="1667"/>
        <v>5217</v>
      </c>
      <c r="N612" s="41">
        <f t="shared" si="1668"/>
        <v>209.4759333</v>
      </c>
      <c r="O612" s="38">
        <v>8345.0</v>
      </c>
      <c r="P612" s="42">
        <f t="shared" si="1669"/>
        <v>0.6251647693</v>
      </c>
      <c r="Q612" s="43">
        <v>1.5</v>
      </c>
      <c r="R612" s="42">
        <f t="shared" si="1670"/>
        <v>0.5534446439</v>
      </c>
      <c r="S612" s="44">
        <f t="shared" si="1671"/>
        <v>0.8301669659</v>
      </c>
      <c r="T612" s="43">
        <f>F612/41.205</f>
        <v>152.5125106</v>
      </c>
      <c r="U612" s="43">
        <f t="shared" si="1672"/>
        <v>5.083750354</v>
      </c>
      <c r="V612" s="40">
        <f t="shared" si="1673"/>
        <v>173.9</v>
      </c>
      <c r="X612" s="46" t="s">
        <v>33</v>
      </c>
      <c r="Y612" s="46">
        <v>6.0</v>
      </c>
      <c r="Z612" s="46">
        <f t="shared" ref="Z612:AI612" si="1704">SUM(Z606:Z611)</f>
        <v>226</v>
      </c>
      <c r="AA612" s="47">
        <f t="shared" si="1704"/>
        <v>224</v>
      </c>
      <c r="AB612" s="49">
        <f t="shared" si="1704"/>
        <v>44187.784</v>
      </c>
      <c r="AC612" s="47">
        <f t="shared" si="1704"/>
        <v>18291</v>
      </c>
      <c r="AD612" s="47">
        <f t="shared" si="1704"/>
        <v>143</v>
      </c>
      <c r="AE612" s="47">
        <f t="shared" si="1704"/>
        <v>18434</v>
      </c>
      <c r="AF612" s="47">
        <f t="shared" si="1704"/>
        <v>22964</v>
      </c>
      <c r="AG612" s="47">
        <f t="shared" si="1704"/>
        <v>334</v>
      </c>
      <c r="AH612" s="47">
        <f t="shared" si="1704"/>
        <v>23298</v>
      </c>
      <c r="AI612" s="47">
        <f t="shared" si="1704"/>
        <v>41732</v>
      </c>
      <c r="AJ612" s="49">
        <f t="shared" si="1685"/>
        <v>197.2668929</v>
      </c>
      <c r="AK612" s="46">
        <f>SUM(AK606:AK611)</f>
        <v>53273</v>
      </c>
      <c r="AL612" s="50">
        <f t="shared" si="1687"/>
        <v>0.7833611773</v>
      </c>
      <c r="AM612" s="51">
        <v>1.5</v>
      </c>
      <c r="AN612" s="50">
        <f t="shared" si="1689"/>
        <v>0.6296159439</v>
      </c>
      <c r="AO612" s="52">
        <f t="shared" si="1690"/>
        <v>0.9444239159</v>
      </c>
      <c r="AP612" s="51">
        <f>SUM(AP606:AP611)</f>
        <v>1450.497236</v>
      </c>
      <c r="AQ612" s="51">
        <f>AP612/AA612</f>
        <v>6.475434089</v>
      </c>
      <c r="AR612" s="47">
        <f t="shared" si="1692"/>
        <v>186.3035714</v>
      </c>
    </row>
    <row r="613" ht="15.75" customHeight="1">
      <c r="A613" s="21"/>
      <c r="B613" s="38">
        <v>14.0</v>
      </c>
      <c r="C613" s="38" t="s">
        <v>27</v>
      </c>
      <c r="D613" s="39">
        <v>30.0</v>
      </c>
      <c r="E613" s="40">
        <f>IFERROR(__xludf.DUMMYFUNCTION("COUNT(IMPORTRANGE(""https://docs.google.com/spreadsheets/d/1iYtf3wkjJIgOL8ej0-L89wY8FLXKi6EiRbi9UqA1Bzw/edit"",""2!d2:d31""))"),28.0)</f>
        <v>28</v>
      </c>
      <c r="F613" s="45">
        <f>IFERROR(__xludf.DUMMYFUNCTION("SUM(IMPORTRANGE(""https://docs.google.com/spreadsheets/d/1iYtf3wkjJIgOL8ej0-L89wY8FLXKi6EiRbi9UqA1Bzw/edit"",""2!Q2:Q31""))"),5465.76)</f>
        <v>5465.76</v>
      </c>
      <c r="G613" s="40">
        <f>IFERROR(__xludf.DUMMYFUNCTION("IMPORTRANGE(""https://docs.google.com/spreadsheets/d/1iYtf3wkjJIgOL8ej0-L89wY8FLXKi6EiRbi9UqA1Bzw/edit"",""2!e38"")"),2368.0)</f>
        <v>2368</v>
      </c>
      <c r="H613" s="40">
        <f>IFERROR(__xludf.DUMMYFUNCTION("IMPORTRANGE(""https://docs.google.com/spreadsheets/d/1iYtf3wkjJIgOL8ej0-L89wY8FLXKi6EiRbi9UqA1Bzw/edit"",""2!e39"")"),140.0)</f>
        <v>140</v>
      </c>
      <c r="I613" s="40">
        <f t="shared" si="1665"/>
        <v>2508</v>
      </c>
      <c r="J613" s="40">
        <f>IFERROR(__xludf.DUMMYFUNCTION("IMPORTRANGE(""https://docs.google.com/spreadsheets/d/1iYtf3wkjJIgOL8ej0-L89wY8FLXKi6EiRbi9UqA1Bzw/edit"",""2!e42"")"),3355.0)</f>
        <v>3355</v>
      </c>
      <c r="K613" s="40">
        <f>IFERROR(__xludf.DUMMYFUNCTION("IMPORTRANGE(""https://docs.google.com/spreadsheets/d/1iYtf3wkjJIgOL8ej0-L89wY8FLXKi6EiRbi9UqA1Bzw/edit"",""2!e43"")"),107.0)</f>
        <v>107</v>
      </c>
      <c r="L613" s="40">
        <f t="shared" si="1695"/>
        <v>3462</v>
      </c>
      <c r="M613" s="40">
        <f t="shared" si="1667"/>
        <v>5970</v>
      </c>
      <c r="N613" s="41">
        <f t="shared" si="1668"/>
        <v>195.2057143</v>
      </c>
      <c r="O613" s="38">
        <v>8101.0</v>
      </c>
      <c r="P613" s="42">
        <f t="shared" si="1669"/>
        <v>0.736946056</v>
      </c>
      <c r="Q613" s="43">
        <v>1.5</v>
      </c>
      <c r="R613" s="42">
        <f t="shared" si="1670"/>
        <v>0.7281695501</v>
      </c>
      <c r="S613" s="44">
        <f t="shared" si="1671"/>
        <v>1.092254325</v>
      </c>
      <c r="T613" s="43">
        <f>F613/19.985</f>
        <v>273.4931198</v>
      </c>
      <c r="U613" s="43">
        <f t="shared" si="1672"/>
        <v>9.767611423</v>
      </c>
      <c r="V613" s="40">
        <f t="shared" si="1673"/>
        <v>213.2142857</v>
      </c>
      <c r="X613" s="59" t="s">
        <v>44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6"/>
    </row>
    <row r="614" ht="15.75" customHeight="1">
      <c r="A614" s="21"/>
      <c r="B614" s="38">
        <v>15.0</v>
      </c>
      <c r="C614" s="38" t="s">
        <v>40</v>
      </c>
      <c r="D614" s="39">
        <v>30.0</v>
      </c>
      <c r="E614" s="40">
        <f>IFERROR(__xludf.DUMMYFUNCTION("COUNT(IMPORTRANGE(""https://docs.google.com/spreadsheets/d/1Wdf8MsoDBzMSsrzOXwaGQzbVjVqOWfKSqYmbncevZgA/edit"",""2!d2:d31""))"),30.0)</f>
        <v>30</v>
      </c>
      <c r="F614" s="45">
        <f>IFERROR(__xludf.DUMMYFUNCTION("SUM(IMPORTRANGE(""https://docs.google.com/spreadsheets/d/1Wdf8MsoDBzMSsrzOXwaGQzbVjVqOWfKSqYmbncevZgA/edit"",""2!Q2:Q31""))"),5845.702999999999)</f>
        <v>5845.703</v>
      </c>
      <c r="G614" s="40">
        <f>IFERROR(__xludf.DUMMYFUNCTION("IMPORTRANGE(""https://docs.google.com/spreadsheets/d/1Wdf8MsoDBzMSsrzOXwaGQzbVjVqOWfKSqYmbncevZgA/edit"",""2!e38"")"),3323.0)</f>
        <v>3323</v>
      </c>
      <c r="H614" s="40">
        <f>IFERROR(__xludf.DUMMYFUNCTION("IMPORTRANGE(""https://docs.google.com/spreadsheets/d/1Wdf8MsoDBzMSsrzOXwaGQzbVjVqOWfKSqYmbncevZgA/edit"",""2!e39"")"),39.0)</f>
        <v>39</v>
      </c>
      <c r="I614" s="40">
        <f t="shared" si="1665"/>
        <v>3362</v>
      </c>
      <c r="J614" s="40">
        <f>IFERROR(__xludf.DUMMYFUNCTION("IMPORTRANGE(""https://docs.google.com/spreadsheets/d/1Wdf8MsoDBzMSsrzOXwaGQzbVjVqOWfKSqYmbncevZgA/edit"",""2!e42"")"),3928.0)</f>
        <v>3928</v>
      </c>
      <c r="K614" s="40">
        <f>IFERROR(__xludf.DUMMYFUNCTION("IMPORTRANGE(""https://docs.google.com/spreadsheets/d/1Wdf8MsoDBzMSsrzOXwaGQzbVjVqOWfKSqYmbncevZgA/edit"",""2!e43"")"),73.0)</f>
        <v>73</v>
      </c>
      <c r="L614" s="40">
        <f t="shared" si="1695"/>
        <v>4001</v>
      </c>
      <c r="M614" s="40">
        <f t="shared" si="1667"/>
        <v>7363</v>
      </c>
      <c r="N614" s="41">
        <f t="shared" si="1668"/>
        <v>194.8567667</v>
      </c>
      <c r="O614" s="38">
        <v>8239.0</v>
      </c>
      <c r="P614" s="42">
        <f t="shared" si="1669"/>
        <v>0.893676417</v>
      </c>
      <c r="Q614" s="43">
        <v>1.5</v>
      </c>
      <c r="R614" s="42">
        <f t="shared" si="1670"/>
        <v>0.8397051076</v>
      </c>
      <c r="S614" s="44">
        <f t="shared" si="1671"/>
        <v>1.259557661</v>
      </c>
      <c r="T614" s="43">
        <f>F614/28.443</f>
        <v>205.5234328</v>
      </c>
      <c r="U614" s="43">
        <f t="shared" si="1672"/>
        <v>6.850781094</v>
      </c>
      <c r="V614" s="40">
        <f t="shared" si="1673"/>
        <v>245.4333333</v>
      </c>
      <c r="X614" s="14" t="s">
        <v>2</v>
      </c>
      <c r="Y614" s="14" t="s">
        <v>3</v>
      </c>
      <c r="Z614" s="14" t="s">
        <v>4</v>
      </c>
      <c r="AA614" s="14" t="s">
        <v>5</v>
      </c>
      <c r="AB614" s="15" t="s">
        <v>6</v>
      </c>
      <c r="AC614" s="14" t="s">
        <v>7</v>
      </c>
      <c r="AD614" s="14" t="s">
        <v>8</v>
      </c>
      <c r="AE614" s="14" t="s">
        <v>9</v>
      </c>
      <c r="AF614" s="14" t="s">
        <v>10</v>
      </c>
      <c r="AG614" s="14" t="s">
        <v>11</v>
      </c>
      <c r="AH614" s="14" t="s">
        <v>12</v>
      </c>
      <c r="AI614" s="14" t="s">
        <v>13</v>
      </c>
      <c r="AJ614" s="15" t="s">
        <v>14</v>
      </c>
      <c r="AK614" s="14" t="s">
        <v>15</v>
      </c>
      <c r="AL614" s="14" t="s">
        <v>16</v>
      </c>
      <c r="AM614" s="16" t="s">
        <v>17</v>
      </c>
      <c r="AN614" s="17" t="s">
        <v>18</v>
      </c>
      <c r="AO614" s="18" t="s">
        <v>19</v>
      </c>
      <c r="AP614" s="19" t="s">
        <v>20</v>
      </c>
      <c r="AQ614" s="19" t="s">
        <v>21</v>
      </c>
      <c r="AR614" s="20" t="s">
        <v>22</v>
      </c>
    </row>
    <row r="615" ht="15.75" customHeight="1">
      <c r="A615" s="21"/>
      <c r="B615" s="38">
        <v>16.0</v>
      </c>
      <c r="C615" s="38" t="s">
        <v>42</v>
      </c>
      <c r="D615" s="39">
        <v>33.0</v>
      </c>
      <c r="E615" s="40">
        <f>IFERROR(__xludf.DUMMYFUNCTION("COUNT(IMPORTRANGE(""https://docs.google.com/spreadsheets/d/1Z5uB5HbeAKcHmG4EOw3rf2J8NpyvDiha6RReERAMvA0/edit"",""2!d2:d34""))"),33.0)</f>
        <v>33</v>
      </c>
      <c r="F615" s="45">
        <f>IFERROR(__xludf.DUMMYFUNCTION("SUM(IMPORTRANGE(""https://docs.google.com/spreadsheets/d/1Z5uB5HbeAKcHmG4EOw3rf2J8NpyvDiha6RReERAMvA0/edit"",""2!Q2:Q34""))"),6380.281999999998)</f>
        <v>6380.282</v>
      </c>
      <c r="G615" s="40">
        <f>IFERROR(__xludf.DUMMYFUNCTION("IMPORTRANGE(""https://docs.google.com/spreadsheets/d/1Z5uB5HbeAKcHmG4EOw3rf2J8NpyvDiha6RReERAMvA0/edit"",""2!e41"")"),3133.0)</f>
        <v>3133</v>
      </c>
      <c r="H615" s="40">
        <f>IFERROR(__xludf.DUMMYFUNCTION("IMPORTRANGE(""https://docs.google.com/spreadsheets/d/1Z5uB5HbeAKcHmG4EOw3rf2J8NpyvDiha6RReERAMvA0/edit"",""2!e42"")"),0.0)</f>
        <v>0</v>
      </c>
      <c r="I615" s="40">
        <f t="shared" si="1665"/>
        <v>3133</v>
      </c>
      <c r="J615" s="40">
        <f>IFERROR(__xludf.DUMMYFUNCTION("IMPORTRANGE(""https://docs.google.com/spreadsheets/d/1Z5uB5HbeAKcHmG4EOw3rf2J8NpyvDiha6RReERAMvA0/edit"",""2!e45"")"),4360.0)</f>
        <v>4360</v>
      </c>
      <c r="K615" s="40">
        <f>IFERROR(__xludf.DUMMYFUNCTION("IMPORTRANGE(""https://docs.google.com/spreadsheets/d/1Z5uB5HbeAKcHmG4EOw3rf2J8NpyvDiha6RReERAMvA0/edit"",""2!e46"")"),0.0)</f>
        <v>0</v>
      </c>
      <c r="L615" s="40">
        <f t="shared" si="1695"/>
        <v>4360</v>
      </c>
      <c r="M615" s="40">
        <f t="shared" si="1667"/>
        <v>7493</v>
      </c>
      <c r="N615" s="41">
        <f t="shared" si="1668"/>
        <v>193.3418788</v>
      </c>
      <c r="O615" s="38">
        <v>9877.0</v>
      </c>
      <c r="P615" s="42">
        <f t="shared" si="1669"/>
        <v>0.7586311633</v>
      </c>
      <c r="Q615" s="43">
        <v>1.5</v>
      </c>
      <c r="R615" s="42">
        <f t="shared" si="1670"/>
        <v>0.782933001</v>
      </c>
      <c r="S615" s="44">
        <f t="shared" si="1671"/>
        <v>1.174399501</v>
      </c>
      <c r="T615" s="43">
        <f>F615/26.155</f>
        <v>243.9411967</v>
      </c>
      <c r="U615" s="43">
        <f t="shared" si="1672"/>
        <v>7.392157476</v>
      </c>
      <c r="V615" s="40">
        <f t="shared" si="1673"/>
        <v>227.0606061</v>
      </c>
      <c r="X615" s="31">
        <v>1.0</v>
      </c>
      <c r="Y615" s="31" t="s">
        <v>26</v>
      </c>
      <c r="Z615" s="31">
        <f t="shared" ref="Z615:AI615" si="1705">SUM(D600)</f>
        <v>20</v>
      </c>
      <c r="AA615" s="32">
        <f t="shared" si="1705"/>
        <v>20</v>
      </c>
      <c r="AB615" s="34">
        <f t="shared" si="1705"/>
        <v>3560.964</v>
      </c>
      <c r="AC615" s="32">
        <f t="shared" si="1705"/>
        <v>1873</v>
      </c>
      <c r="AD615" s="32">
        <f t="shared" si="1705"/>
        <v>0</v>
      </c>
      <c r="AE615" s="32">
        <f t="shared" si="1705"/>
        <v>1873</v>
      </c>
      <c r="AF615" s="32">
        <f t="shared" si="1705"/>
        <v>3204</v>
      </c>
      <c r="AG615" s="32">
        <f t="shared" si="1705"/>
        <v>0</v>
      </c>
      <c r="AH615" s="32">
        <f t="shared" si="1705"/>
        <v>3204</v>
      </c>
      <c r="AI615" s="32">
        <f t="shared" si="1705"/>
        <v>5077</v>
      </c>
      <c r="AJ615" s="34">
        <f t="shared" ref="AJ615:AJ621" si="1708">AB615/AA615</f>
        <v>178.0482</v>
      </c>
      <c r="AK615" s="31">
        <f>SUM(O600)</f>
        <v>5161</v>
      </c>
      <c r="AL615" s="35">
        <f t="shared" ref="AL615:AL621" si="1709">AI615/AK615</f>
        <v>0.9837240845</v>
      </c>
      <c r="AM615" s="36">
        <f>SUM(Q600)</f>
        <v>1.5</v>
      </c>
      <c r="AN615" s="35">
        <f t="shared" ref="AN615:AN621" si="1710">AO615/AM615</f>
        <v>0.9504916833</v>
      </c>
      <c r="AO615" s="37">
        <f t="shared" ref="AO615:AO621" si="1711">AI615/AB615</f>
        <v>1.425737525</v>
      </c>
      <c r="AP615" s="36">
        <f t="shared" ref="AP615:AQ615" si="1706">SUM(T600)</f>
        <v>247.0318418</v>
      </c>
      <c r="AQ615" s="36">
        <f t="shared" si="1706"/>
        <v>12.35159209</v>
      </c>
      <c r="AR615" s="32">
        <f t="shared" ref="AR615:AR621" si="1713">AI615/AA615</f>
        <v>253.85</v>
      </c>
    </row>
    <row r="616" ht="15.75" customHeight="1">
      <c r="A616" s="21"/>
      <c r="B616" s="38">
        <v>17.0</v>
      </c>
      <c r="C616" s="38" t="s">
        <v>29</v>
      </c>
      <c r="D616" s="39">
        <v>30.0</v>
      </c>
      <c r="E616" s="40">
        <f>IFERROR(__xludf.DUMMYFUNCTION("COUNT(IMPORTRANGE(""https://docs.google.com/spreadsheets/d/1wfJqI0e9wVPqEQv3N6b8KgINjqI0OBECEyIFeY9j3i8/edit"",""2!d2:d31""))"),29.0)</f>
        <v>29</v>
      </c>
      <c r="F616" s="45">
        <f>IFERROR(__xludf.DUMMYFUNCTION("SUM(IMPORTRANGE(""https://docs.google.com/spreadsheets/d/1wfJqI0e9wVPqEQv3N6b8KgINjqI0OBECEyIFeY9j3i8/edit"",""2!Q2:Q31""))"),5775.037999999998)</f>
        <v>5775.038</v>
      </c>
      <c r="G616" s="40">
        <f>IFERROR(__xludf.DUMMYFUNCTION("IMPORTRANGE(""https://docs.google.com/spreadsheets/d/1wfJqI0e9wVPqEQv3N6b8KgINjqI0OBECEyIFeY9j3i8/edit"",""2!e38"")"),2726.0)</f>
        <v>2726</v>
      </c>
      <c r="H616" s="40">
        <f>IFERROR(__xludf.DUMMYFUNCTION("IMPORTRANGE(""https://docs.google.com/spreadsheets/d/1wfJqI0e9wVPqEQv3N6b8KgINjqI0OBECEyIFeY9j3i8/edit"",""2!e39"")"),0.0)</f>
        <v>0</v>
      </c>
      <c r="I616" s="40">
        <f t="shared" si="1665"/>
        <v>2726</v>
      </c>
      <c r="J616" s="40">
        <f>IFERROR(__xludf.DUMMYFUNCTION("IMPORTRANGE(""https://docs.google.com/spreadsheets/d/1wfJqI0e9wVPqEQv3N6b8KgINjqI0OBECEyIFeY9j3i8/edit"",""2!e42"")"),4235.0)</f>
        <v>4235</v>
      </c>
      <c r="K616" s="40">
        <f>IFERROR(__xludf.DUMMYFUNCTION("IMPORTRANGE(""https://docs.google.com/spreadsheets/d/1wfJqI0e9wVPqEQv3N6b8KgINjqI0OBECEyIFeY9j3i8/edit"",""2!e43"")"),0.0)</f>
        <v>0</v>
      </c>
      <c r="L616" s="40">
        <f t="shared" si="1695"/>
        <v>4235</v>
      </c>
      <c r="M616" s="40">
        <f t="shared" si="1667"/>
        <v>6961</v>
      </c>
      <c r="N616" s="41">
        <f t="shared" si="1668"/>
        <v>199.1392414</v>
      </c>
      <c r="O616" s="38">
        <v>9201.0</v>
      </c>
      <c r="P616" s="42">
        <f t="shared" si="1669"/>
        <v>0.7565482013</v>
      </c>
      <c r="Q616" s="43">
        <v>1.5</v>
      </c>
      <c r="R616" s="42">
        <f t="shared" si="1670"/>
        <v>0.803573356</v>
      </c>
      <c r="S616" s="44">
        <f t="shared" si="1671"/>
        <v>1.205360034</v>
      </c>
      <c r="T616" s="43">
        <f>F616/26.491</f>
        <v>218</v>
      </c>
      <c r="U616" s="43">
        <f t="shared" si="1672"/>
        <v>7.517241379</v>
      </c>
      <c r="V616" s="40">
        <f t="shared" si="1673"/>
        <v>240.0344828</v>
      </c>
      <c r="X616" s="31">
        <v>2.0</v>
      </c>
      <c r="Y616" s="31" t="s">
        <v>32</v>
      </c>
      <c r="Z616" s="31">
        <f t="shared" ref="Z616:AI616" si="1707">SUM(D603)</f>
        <v>42</v>
      </c>
      <c r="AA616" s="32">
        <f t="shared" si="1707"/>
        <v>42</v>
      </c>
      <c r="AB616" s="33">
        <f t="shared" si="1707"/>
        <v>8179.014</v>
      </c>
      <c r="AC616" s="31">
        <f t="shared" si="1707"/>
        <v>4808</v>
      </c>
      <c r="AD616" s="31">
        <f t="shared" si="1707"/>
        <v>0</v>
      </c>
      <c r="AE616" s="32">
        <f t="shared" si="1707"/>
        <v>4808</v>
      </c>
      <c r="AF616" s="31">
        <f t="shared" si="1707"/>
        <v>5449</v>
      </c>
      <c r="AG616" s="31">
        <f t="shared" si="1707"/>
        <v>190</v>
      </c>
      <c r="AH616" s="32">
        <f t="shared" si="1707"/>
        <v>5639</v>
      </c>
      <c r="AI616" s="32">
        <f t="shared" si="1707"/>
        <v>10447</v>
      </c>
      <c r="AJ616" s="34">
        <f t="shared" si="1708"/>
        <v>194.7384286</v>
      </c>
      <c r="AK616" s="31">
        <f>SUM(O603)</f>
        <v>13817</v>
      </c>
      <c r="AL616" s="35">
        <f t="shared" si="1709"/>
        <v>0.756097561</v>
      </c>
      <c r="AM616" s="36">
        <f>SUM(Q603)</f>
        <v>1.5</v>
      </c>
      <c r="AN616" s="35">
        <f t="shared" si="1710"/>
        <v>0.8515288844</v>
      </c>
      <c r="AO616" s="37">
        <f t="shared" si="1711"/>
        <v>1.277293327</v>
      </c>
      <c r="AP616" s="36">
        <f t="shared" ref="AP616:AQ616" si="1712">SUM(T603)</f>
        <v>326</v>
      </c>
      <c r="AQ616" s="36">
        <f t="shared" si="1712"/>
        <v>7.761904762</v>
      </c>
      <c r="AR616" s="32">
        <f t="shared" si="1713"/>
        <v>248.7380952</v>
      </c>
    </row>
    <row r="617" ht="15.75" customHeight="1">
      <c r="A617" s="21"/>
      <c r="B617" s="38">
        <v>18.0</v>
      </c>
      <c r="C617" s="38" t="s">
        <v>31</v>
      </c>
      <c r="D617" s="39">
        <v>15.0</v>
      </c>
      <c r="E617" s="40">
        <f>IFERROR(__xludf.DUMMYFUNCTION("COUNT(IMPORTRANGE(""https://docs.google.com/spreadsheets/d/1-y2KhTAo7d8kowgUuWUDfRQuRMUAFteRYEXorT3_wOs/edit"",""2!d2:d16""))"),13.0)</f>
        <v>13</v>
      </c>
      <c r="F617" s="41">
        <f>IFERROR(__xludf.DUMMYFUNCTION("SUM(IMPORTRANGE(""https://docs.google.com/spreadsheets/d/1-y2KhTAo7d8kowgUuWUDfRQuRMUAFteRYEXorT3_wOs/edit"",""2!Q2:Q16""))"),2607.9000000000005)</f>
        <v>2607.9</v>
      </c>
      <c r="G617" s="40">
        <f>IFERROR(__xludf.DUMMYFUNCTION("IMPORTRANGE(""https://docs.google.com/spreadsheets/d/1-y2KhTAo7d8kowgUuWUDfRQuRMUAFteRYEXorT3_wOs/edit"",""2!e23"")"),870.0)</f>
        <v>870</v>
      </c>
      <c r="H617" s="40">
        <f>IFERROR(__xludf.DUMMYFUNCTION("IMPORTRANGE(""https://docs.google.com/spreadsheets/d/1-y2KhTAo7d8kowgUuWUDfRQuRMUAFteRYEXorT3_wOs/edit"",""2!e24"")"),0.0)</f>
        <v>0</v>
      </c>
      <c r="I617" s="40">
        <f t="shared" si="1665"/>
        <v>870</v>
      </c>
      <c r="J617" s="40">
        <f>IFERROR(__xludf.DUMMYFUNCTION("IMPORTRANGE(""https://docs.google.com/spreadsheets/d/1-y2KhTAo7d8kowgUuWUDfRQuRMUAFteRYEXorT3_wOs/edit"",""2!e27"")"),975.0)</f>
        <v>975</v>
      </c>
      <c r="K617" s="40">
        <f>IFERROR(__xludf.DUMMYFUNCTION("IMPORTRANGE(""https://docs.google.com/spreadsheets/d/1-y2KhTAo7d8kowgUuWUDfRQuRMUAFteRYEXorT3_wOs/edit"",""2!e28"")"),55.0)</f>
        <v>55</v>
      </c>
      <c r="L617" s="40">
        <f t="shared" si="1695"/>
        <v>1030</v>
      </c>
      <c r="M617" s="40">
        <f t="shared" si="1667"/>
        <v>1900</v>
      </c>
      <c r="N617" s="41">
        <f t="shared" si="1668"/>
        <v>200.6076923</v>
      </c>
      <c r="O617" s="38">
        <v>2717.0</v>
      </c>
      <c r="P617" s="42">
        <f t="shared" si="1669"/>
        <v>0.6993006993</v>
      </c>
      <c r="Q617" s="43">
        <v>1.5</v>
      </c>
      <c r="R617" s="42">
        <f t="shared" si="1670"/>
        <v>0.4857036952</v>
      </c>
      <c r="S617" s="44">
        <f t="shared" si="1671"/>
        <v>0.7285555428</v>
      </c>
      <c r="T617" s="43">
        <f>F617/43.465</f>
        <v>60</v>
      </c>
      <c r="U617" s="43">
        <f t="shared" si="1672"/>
        <v>4.615384615</v>
      </c>
      <c r="V617" s="40">
        <f t="shared" si="1673"/>
        <v>146.1538462</v>
      </c>
      <c r="X617" s="31">
        <v>3.0</v>
      </c>
      <c r="Y617" s="31" t="s">
        <v>36</v>
      </c>
      <c r="Z617" s="31">
        <f t="shared" ref="Z617:AI617" si="1714">SUM(D608)</f>
        <v>30</v>
      </c>
      <c r="AA617" s="32">
        <f t="shared" si="1714"/>
        <v>29</v>
      </c>
      <c r="AB617" s="33">
        <f t="shared" si="1714"/>
        <v>5604.12</v>
      </c>
      <c r="AC617" s="32">
        <f t="shared" si="1714"/>
        <v>1533</v>
      </c>
      <c r="AD617" s="32">
        <f t="shared" si="1714"/>
        <v>0</v>
      </c>
      <c r="AE617" s="32">
        <f t="shared" si="1714"/>
        <v>1533</v>
      </c>
      <c r="AF617" s="32">
        <f t="shared" si="1714"/>
        <v>2301</v>
      </c>
      <c r="AG617" s="32">
        <f t="shared" si="1714"/>
        <v>0</v>
      </c>
      <c r="AH617" s="32">
        <f t="shared" si="1714"/>
        <v>2301</v>
      </c>
      <c r="AI617" s="32">
        <f t="shared" si="1714"/>
        <v>3834</v>
      </c>
      <c r="AJ617" s="34">
        <f t="shared" si="1708"/>
        <v>193.2455172</v>
      </c>
      <c r="AK617" s="31">
        <f t="shared" ref="AK617:AK620" si="1718">SUM(O608)</f>
        <v>4796</v>
      </c>
      <c r="AL617" s="35">
        <f t="shared" si="1709"/>
        <v>0.7994161802</v>
      </c>
      <c r="AM617" s="36">
        <f t="shared" ref="AM617:AM620" si="1719">SUM(Q608)</f>
        <v>1.5</v>
      </c>
      <c r="AN617" s="35">
        <f t="shared" si="1710"/>
        <v>0.4560930173</v>
      </c>
      <c r="AO617" s="37">
        <f t="shared" si="1711"/>
        <v>0.6841395259</v>
      </c>
      <c r="AP617" s="36">
        <f t="shared" ref="AP617:AQ617" si="1715">SUM(T608)</f>
        <v>149.7867109</v>
      </c>
      <c r="AQ617" s="36">
        <f t="shared" si="1715"/>
        <v>5.165058995</v>
      </c>
      <c r="AR617" s="32">
        <f t="shared" si="1713"/>
        <v>132.2068966</v>
      </c>
    </row>
    <row r="618" ht="15.75" customHeight="1">
      <c r="A618" s="21"/>
      <c r="B618" s="60" t="s">
        <v>33</v>
      </c>
      <c r="C618" s="60">
        <v>18.0</v>
      </c>
      <c r="D618" s="60">
        <f t="shared" ref="D618:M618" si="1716">SUM(D600:D617)</f>
        <v>586</v>
      </c>
      <c r="E618" s="61">
        <f t="shared" si="1716"/>
        <v>576</v>
      </c>
      <c r="F618" s="62">
        <f t="shared" si="1716"/>
        <v>112418.192</v>
      </c>
      <c r="G618" s="61">
        <f t="shared" si="1716"/>
        <v>43479</v>
      </c>
      <c r="H618" s="61">
        <f t="shared" si="1716"/>
        <v>764</v>
      </c>
      <c r="I618" s="61">
        <f t="shared" si="1716"/>
        <v>44243</v>
      </c>
      <c r="J618" s="61">
        <f t="shared" si="1716"/>
        <v>56392</v>
      </c>
      <c r="K618" s="61">
        <f t="shared" si="1716"/>
        <v>1134</v>
      </c>
      <c r="L618" s="61">
        <f t="shared" si="1716"/>
        <v>57526</v>
      </c>
      <c r="M618" s="61">
        <f t="shared" si="1716"/>
        <v>101769</v>
      </c>
      <c r="N618" s="62">
        <f t="shared" si="1668"/>
        <v>195.1704722</v>
      </c>
      <c r="O618" s="60">
        <f>SUM(O600:O617)</f>
        <v>126399</v>
      </c>
      <c r="P618" s="63">
        <f t="shared" si="1669"/>
        <v>0.8051408635</v>
      </c>
      <c r="Q618" s="64">
        <v>1.5</v>
      </c>
      <c r="R618" s="63">
        <f t="shared" si="1670"/>
        <v>0.6035144205</v>
      </c>
      <c r="S618" s="65">
        <f t="shared" si="1671"/>
        <v>0.9052716308</v>
      </c>
      <c r="T618" s="64">
        <f>SUM(T600:T617)</f>
        <v>4134.025243</v>
      </c>
      <c r="U618" s="64">
        <f t="shared" si="1672"/>
        <v>7.177127158</v>
      </c>
      <c r="V618" s="61">
        <f t="shared" si="1673"/>
        <v>176.6822917</v>
      </c>
      <c r="X618" s="31">
        <v>4.0</v>
      </c>
      <c r="Y618" s="31" t="s">
        <v>37</v>
      </c>
      <c r="Z618" s="31">
        <f t="shared" ref="Z618:AI618" si="1717">SUM(D609)</f>
        <v>30</v>
      </c>
      <c r="AA618" s="32">
        <f t="shared" si="1717"/>
        <v>30</v>
      </c>
      <c r="AB618" s="33">
        <f t="shared" si="1717"/>
        <v>5812.188</v>
      </c>
      <c r="AC618" s="32">
        <f t="shared" si="1717"/>
        <v>2138</v>
      </c>
      <c r="AD618" s="32">
        <f t="shared" si="1717"/>
        <v>0</v>
      </c>
      <c r="AE618" s="32">
        <f t="shared" si="1717"/>
        <v>2138</v>
      </c>
      <c r="AF618" s="32">
        <f t="shared" si="1717"/>
        <v>3071</v>
      </c>
      <c r="AG618" s="32">
        <f t="shared" si="1717"/>
        <v>0</v>
      </c>
      <c r="AH618" s="32">
        <f t="shared" si="1717"/>
        <v>3071</v>
      </c>
      <c r="AI618" s="32">
        <f t="shared" si="1717"/>
        <v>5209</v>
      </c>
      <c r="AJ618" s="34">
        <f t="shared" si="1708"/>
        <v>193.7396</v>
      </c>
      <c r="AK618" s="31">
        <f t="shared" si="1718"/>
        <v>5887</v>
      </c>
      <c r="AL618" s="35">
        <f t="shared" si="1709"/>
        <v>0.8848309835</v>
      </c>
      <c r="AM618" s="36">
        <f t="shared" si="1719"/>
        <v>1.5</v>
      </c>
      <c r="AN618" s="35">
        <f t="shared" si="1710"/>
        <v>0.5974800999</v>
      </c>
      <c r="AO618" s="37">
        <f t="shared" si="1711"/>
        <v>0.8962201498</v>
      </c>
      <c r="AP618" s="36">
        <f t="shared" ref="AP618:AQ618" si="1720">SUM(T609)</f>
        <v>234.4380445</v>
      </c>
      <c r="AQ618" s="36">
        <f t="shared" si="1720"/>
        <v>7.814601484</v>
      </c>
      <c r="AR618" s="32">
        <f t="shared" si="1713"/>
        <v>173.6333333</v>
      </c>
    </row>
    <row r="619" ht="15.7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X619" s="31">
        <v>5.0</v>
      </c>
      <c r="Y619" s="31" t="s">
        <v>39</v>
      </c>
      <c r="Z619" s="31">
        <f t="shared" ref="Z619:AI619" si="1721">SUM(D610)</f>
        <v>28</v>
      </c>
      <c r="AA619" s="32">
        <f t="shared" si="1721"/>
        <v>28</v>
      </c>
      <c r="AB619" s="33">
        <f t="shared" si="1721"/>
        <v>5458.878</v>
      </c>
      <c r="AC619" s="32">
        <f t="shared" si="1721"/>
        <v>1516</v>
      </c>
      <c r="AD619" s="32">
        <f t="shared" si="1721"/>
        <v>43</v>
      </c>
      <c r="AE619" s="32">
        <f t="shared" si="1721"/>
        <v>1559</v>
      </c>
      <c r="AF619" s="32">
        <f t="shared" si="1721"/>
        <v>1765</v>
      </c>
      <c r="AG619" s="32">
        <f t="shared" si="1721"/>
        <v>115</v>
      </c>
      <c r="AH619" s="32">
        <f t="shared" si="1721"/>
        <v>1880</v>
      </c>
      <c r="AI619" s="32">
        <f t="shared" si="1721"/>
        <v>3439</v>
      </c>
      <c r="AJ619" s="34">
        <f t="shared" si="1708"/>
        <v>194.9599286</v>
      </c>
      <c r="AK619" s="31">
        <f t="shared" si="1718"/>
        <v>3569</v>
      </c>
      <c r="AL619" s="35">
        <f t="shared" si="1709"/>
        <v>0.9635752312</v>
      </c>
      <c r="AM619" s="36">
        <f t="shared" si="1719"/>
        <v>1.5</v>
      </c>
      <c r="AN619" s="35">
        <f t="shared" si="1710"/>
        <v>0.4199886253</v>
      </c>
      <c r="AO619" s="37">
        <f t="shared" si="1711"/>
        <v>0.6299829379</v>
      </c>
      <c r="AP619" s="36">
        <f t="shared" ref="AP619:AQ619" si="1722">SUM(T610)</f>
        <v>254.339002</v>
      </c>
      <c r="AQ619" s="36">
        <f t="shared" si="1722"/>
        <v>9.083535786</v>
      </c>
      <c r="AR619" s="32">
        <f t="shared" si="1713"/>
        <v>122.8214286</v>
      </c>
    </row>
    <row r="620" ht="15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X620" s="31">
        <v>6.0</v>
      </c>
      <c r="Y620" s="31" t="s">
        <v>41</v>
      </c>
      <c r="Z620" s="31">
        <f t="shared" ref="Z620:AI620" si="1723">SUM(D611)</f>
        <v>24</v>
      </c>
      <c r="AA620" s="32">
        <f t="shared" si="1723"/>
        <v>24</v>
      </c>
      <c r="AB620" s="33">
        <f t="shared" si="1723"/>
        <v>4806.32</v>
      </c>
      <c r="AC620" s="32">
        <f t="shared" si="1723"/>
        <v>1468</v>
      </c>
      <c r="AD620" s="32">
        <f t="shared" si="1723"/>
        <v>0</v>
      </c>
      <c r="AE620" s="32">
        <f t="shared" si="1723"/>
        <v>1468</v>
      </c>
      <c r="AF620" s="32">
        <f t="shared" si="1723"/>
        <v>1656</v>
      </c>
      <c r="AG620" s="32">
        <f t="shared" si="1723"/>
        <v>0</v>
      </c>
      <c r="AH620" s="32">
        <f t="shared" si="1723"/>
        <v>1656</v>
      </c>
      <c r="AI620" s="32">
        <f t="shared" si="1723"/>
        <v>3124</v>
      </c>
      <c r="AJ620" s="34">
        <f t="shared" si="1708"/>
        <v>200.2633333</v>
      </c>
      <c r="AK620" s="31">
        <f t="shared" si="1718"/>
        <v>3801</v>
      </c>
      <c r="AL620" s="35">
        <f t="shared" si="1709"/>
        <v>0.8218889766</v>
      </c>
      <c r="AM620" s="36">
        <f t="shared" si="1719"/>
        <v>1.5</v>
      </c>
      <c r="AN620" s="35">
        <f t="shared" si="1710"/>
        <v>0.4333183531</v>
      </c>
      <c r="AO620" s="37">
        <f t="shared" si="1711"/>
        <v>0.6499775296</v>
      </c>
      <c r="AP620" s="36">
        <f t="shared" ref="AP620:AQ620" si="1724">SUM(T611)</f>
        <v>162.2222222</v>
      </c>
      <c r="AQ620" s="36">
        <f t="shared" si="1724"/>
        <v>6.759259259</v>
      </c>
      <c r="AR620" s="32">
        <f t="shared" si="1713"/>
        <v>130.1666667</v>
      </c>
    </row>
    <row r="621" ht="15.75" customHeight="1">
      <c r="A621" s="1" t="s">
        <v>45</v>
      </c>
      <c r="D621" s="2"/>
      <c r="X621" s="46" t="s">
        <v>33</v>
      </c>
      <c r="Y621" s="46">
        <v>6.0</v>
      </c>
      <c r="Z621" s="46">
        <f t="shared" ref="Z621:AI621" si="1725">SUM(Z615:Z620)</f>
        <v>174</v>
      </c>
      <c r="AA621" s="47">
        <f t="shared" si="1725"/>
        <v>173</v>
      </c>
      <c r="AB621" s="49">
        <f t="shared" si="1725"/>
        <v>33421.484</v>
      </c>
      <c r="AC621" s="47">
        <f t="shared" si="1725"/>
        <v>13336</v>
      </c>
      <c r="AD621" s="47">
        <f t="shared" si="1725"/>
        <v>43</v>
      </c>
      <c r="AE621" s="47">
        <f t="shared" si="1725"/>
        <v>13379</v>
      </c>
      <c r="AF621" s="47">
        <f t="shared" si="1725"/>
        <v>17446</v>
      </c>
      <c r="AG621" s="47">
        <f t="shared" si="1725"/>
        <v>305</v>
      </c>
      <c r="AH621" s="47">
        <f t="shared" si="1725"/>
        <v>17751</v>
      </c>
      <c r="AI621" s="47">
        <f t="shared" si="1725"/>
        <v>31130</v>
      </c>
      <c r="AJ621" s="49">
        <f t="shared" si="1708"/>
        <v>193.1877688</v>
      </c>
      <c r="AK621" s="46">
        <f>SUM(AK615:AK620)</f>
        <v>37031</v>
      </c>
      <c r="AL621" s="50">
        <f t="shared" si="1709"/>
        <v>0.8406470255</v>
      </c>
      <c r="AM621" s="51">
        <v>1.5</v>
      </c>
      <c r="AN621" s="50">
        <f t="shared" si="1710"/>
        <v>0.6209578645</v>
      </c>
      <c r="AO621" s="52">
        <f t="shared" si="1711"/>
        <v>0.9314367968</v>
      </c>
      <c r="AP621" s="51">
        <f>SUM(AP615:AP620)</f>
        <v>1373.817821</v>
      </c>
      <c r="AQ621" s="51">
        <f>AP621/AA621</f>
        <v>7.941143477</v>
      </c>
      <c r="AR621" s="47">
        <f t="shared" si="1713"/>
        <v>179.9421965</v>
      </c>
    </row>
    <row r="622" ht="15.75" customHeight="1">
      <c r="A622" s="1" t="s">
        <v>45</v>
      </c>
      <c r="D622" s="2"/>
      <c r="X622" s="66" t="s">
        <v>1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6"/>
    </row>
    <row r="623" ht="15.75" customHeight="1">
      <c r="A623" s="7">
        <v>46289.0</v>
      </c>
      <c r="B623" s="8" t="s">
        <v>2</v>
      </c>
      <c r="C623" s="8" t="s">
        <v>3</v>
      </c>
      <c r="D623" s="8" t="s">
        <v>4</v>
      </c>
      <c r="E623" s="8" t="s">
        <v>5</v>
      </c>
      <c r="F623" s="9" t="s">
        <v>6</v>
      </c>
      <c r="G623" s="8" t="s">
        <v>7</v>
      </c>
      <c r="H623" s="8" t="s">
        <v>8</v>
      </c>
      <c r="I623" s="8" t="s">
        <v>9</v>
      </c>
      <c r="J623" s="8" t="s">
        <v>10</v>
      </c>
      <c r="K623" s="8" t="s">
        <v>11</v>
      </c>
      <c r="L623" s="8" t="s">
        <v>12</v>
      </c>
      <c r="M623" s="8" t="s">
        <v>13</v>
      </c>
      <c r="N623" s="9" t="s">
        <v>14</v>
      </c>
      <c r="O623" s="8" t="s">
        <v>15</v>
      </c>
      <c r="P623" s="8" t="s">
        <v>16</v>
      </c>
      <c r="Q623" s="8" t="s">
        <v>17</v>
      </c>
      <c r="R623" s="8" t="s">
        <v>18</v>
      </c>
      <c r="S623" s="11" t="s">
        <v>19</v>
      </c>
      <c r="T623" s="12" t="s">
        <v>20</v>
      </c>
      <c r="U623" s="12" t="s">
        <v>21</v>
      </c>
      <c r="V623" s="13" t="s">
        <v>22</v>
      </c>
      <c r="X623" s="14" t="s">
        <v>2</v>
      </c>
      <c r="Y623" s="14" t="s">
        <v>3</v>
      </c>
      <c r="Z623" s="14" t="s">
        <v>4</v>
      </c>
      <c r="AA623" s="14" t="s">
        <v>5</v>
      </c>
      <c r="AB623" s="15" t="s">
        <v>6</v>
      </c>
      <c r="AC623" s="14" t="s">
        <v>7</v>
      </c>
      <c r="AD623" s="14" t="s">
        <v>8</v>
      </c>
      <c r="AE623" s="14" t="s">
        <v>9</v>
      </c>
      <c r="AF623" s="14" t="s">
        <v>10</v>
      </c>
      <c r="AG623" s="14" t="s">
        <v>11</v>
      </c>
      <c r="AH623" s="14" t="s">
        <v>12</v>
      </c>
      <c r="AI623" s="14" t="s">
        <v>13</v>
      </c>
      <c r="AJ623" s="15" t="s">
        <v>14</v>
      </c>
      <c r="AK623" s="14" t="s">
        <v>15</v>
      </c>
      <c r="AL623" s="14" t="s">
        <v>16</v>
      </c>
      <c r="AM623" s="16" t="s">
        <v>17</v>
      </c>
      <c r="AN623" s="17" t="s">
        <v>18</v>
      </c>
      <c r="AO623" s="18" t="s">
        <v>19</v>
      </c>
      <c r="AP623" s="19" t="s">
        <v>20</v>
      </c>
      <c r="AQ623" s="19" t="s">
        <v>21</v>
      </c>
      <c r="AR623" s="20" t="s">
        <v>22</v>
      </c>
    </row>
    <row r="624" ht="15.7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X624" s="22">
        <v>1.0</v>
      </c>
      <c r="Y624" s="22" t="s">
        <v>23</v>
      </c>
      <c r="Z624" s="22">
        <f t="shared" ref="Z624:AI624" si="1726">SUM(D632)</f>
        <v>35</v>
      </c>
      <c r="AA624" s="23">
        <f t="shared" si="1726"/>
        <v>34</v>
      </c>
      <c r="AB624" s="24">
        <f t="shared" si="1726"/>
        <v>6680.52</v>
      </c>
      <c r="AC624" s="23">
        <f t="shared" si="1726"/>
        <v>2083</v>
      </c>
      <c r="AD624" s="23">
        <f t="shared" si="1726"/>
        <v>0</v>
      </c>
      <c r="AE624" s="23">
        <f t="shared" si="1726"/>
        <v>2083</v>
      </c>
      <c r="AF624" s="23">
        <f t="shared" si="1726"/>
        <v>2916</v>
      </c>
      <c r="AG624" s="23">
        <f t="shared" si="1726"/>
        <v>0</v>
      </c>
      <c r="AH624" s="23">
        <f t="shared" si="1726"/>
        <v>2916</v>
      </c>
      <c r="AI624" s="23">
        <f t="shared" si="1726"/>
        <v>4999</v>
      </c>
      <c r="AJ624" s="25">
        <f t="shared" ref="AJ624:AJ626" si="1729">AB624/AA624</f>
        <v>196.4858824</v>
      </c>
      <c r="AK624" s="22">
        <f>SUM(O632)</f>
        <v>6853</v>
      </c>
      <c r="AL624" s="26">
        <f t="shared" ref="AL624:AL630" si="1730">AI624/AK624</f>
        <v>0.7294615497</v>
      </c>
      <c r="AM624" s="27">
        <f t="shared" ref="AM624:AM626" si="1731">SUM(Q632)</f>
        <v>1.5</v>
      </c>
      <c r="AN624" s="26">
        <f t="shared" ref="AN624:AN630" si="1732">AO624/AM624</f>
        <v>0.4988633619</v>
      </c>
      <c r="AO624" s="28">
        <f t="shared" ref="AO624:AO630" si="1733">AI624/AB624</f>
        <v>0.7482950429</v>
      </c>
      <c r="AP624" s="27">
        <f t="shared" ref="AP624:AQ624" si="1727">SUM(T632)</f>
        <v>198</v>
      </c>
      <c r="AQ624" s="27">
        <f t="shared" si="1727"/>
        <v>5.823529412</v>
      </c>
      <c r="AR624" s="23">
        <f t="shared" ref="AR624:AR630" si="1735">AI624/AA624</f>
        <v>147.0294118</v>
      </c>
    </row>
    <row r="625" ht="15.7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X625" s="22">
        <v>2.0</v>
      </c>
      <c r="Y625" s="22" t="s">
        <v>24</v>
      </c>
      <c r="Z625" s="22">
        <f t="shared" ref="Z625:AI625" si="1728">SUM(D633)</f>
        <v>44</v>
      </c>
      <c r="AA625" s="23">
        <f t="shared" si="1728"/>
        <v>44</v>
      </c>
      <c r="AB625" s="24">
        <f t="shared" si="1728"/>
        <v>8354.582</v>
      </c>
      <c r="AC625" s="23">
        <f t="shared" si="1728"/>
        <v>1454</v>
      </c>
      <c r="AD625" s="23">
        <f t="shared" si="1728"/>
        <v>0</v>
      </c>
      <c r="AE625" s="23">
        <f t="shared" si="1728"/>
        <v>1454</v>
      </c>
      <c r="AF625" s="23">
        <f t="shared" si="1728"/>
        <v>1288</v>
      </c>
      <c r="AG625" s="23">
        <f t="shared" si="1728"/>
        <v>28</v>
      </c>
      <c r="AH625" s="23">
        <f t="shared" si="1728"/>
        <v>1316</v>
      </c>
      <c r="AI625" s="23">
        <f t="shared" si="1728"/>
        <v>2770</v>
      </c>
      <c r="AJ625" s="25">
        <f t="shared" si="1729"/>
        <v>189.8768636</v>
      </c>
      <c r="AK625" s="22">
        <v>1580.0</v>
      </c>
      <c r="AL625" s="29">
        <f t="shared" si="1730"/>
        <v>1.753164557</v>
      </c>
      <c r="AM625" s="27">
        <f t="shared" si="1731"/>
        <v>1.5</v>
      </c>
      <c r="AN625" s="26">
        <f t="shared" si="1732"/>
        <v>0.2210363926</v>
      </c>
      <c r="AO625" s="28">
        <f t="shared" si="1733"/>
        <v>0.3315545888</v>
      </c>
      <c r="AP625" s="27">
        <f t="shared" ref="AP625:AQ625" si="1734">SUM(T633)</f>
        <v>311.6799851</v>
      </c>
      <c r="AQ625" s="27">
        <f t="shared" si="1734"/>
        <v>7.083636024</v>
      </c>
      <c r="AR625" s="23">
        <f t="shared" si="1735"/>
        <v>62.95454545</v>
      </c>
    </row>
    <row r="626" ht="15.75" customHeight="1">
      <c r="A626" s="21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X626" s="31">
        <v>3.0</v>
      </c>
      <c r="Y626" s="31" t="s">
        <v>25</v>
      </c>
      <c r="Z626" s="31">
        <f t="shared" ref="Z626:AI626" si="1736">SUM(D634)</f>
        <v>32</v>
      </c>
      <c r="AA626" s="32">
        <f t="shared" si="1736"/>
        <v>31</v>
      </c>
      <c r="AB626" s="33">
        <f t="shared" si="1736"/>
        <v>5925.124</v>
      </c>
      <c r="AC626" s="32">
        <f t="shared" si="1736"/>
        <v>2351</v>
      </c>
      <c r="AD626" s="32">
        <f t="shared" si="1736"/>
        <v>438</v>
      </c>
      <c r="AE626" s="32">
        <f t="shared" si="1736"/>
        <v>2789</v>
      </c>
      <c r="AF626" s="32">
        <f t="shared" si="1736"/>
        <v>3213</v>
      </c>
      <c r="AG626" s="32">
        <f t="shared" si="1736"/>
        <v>305</v>
      </c>
      <c r="AH626" s="32">
        <f t="shared" si="1736"/>
        <v>3518</v>
      </c>
      <c r="AI626" s="32">
        <f t="shared" si="1736"/>
        <v>6307</v>
      </c>
      <c r="AJ626" s="34">
        <f t="shared" si="1729"/>
        <v>191.1330323</v>
      </c>
      <c r="AK626" s="31">
        <f>SUM(O634)</f>
        <v>6622</v>
      </c>
      <c r="AL626" s="35">
        <f t="shared" si="1730"/>
        <v>0.9524312896</v>
      </c>
      <c r="AM626" s="36">
        <f t="shared" si="1731"/>
        <v>1.5</v>
      </c>
      <c r="AN626" s="35">
        <f t="shared" si="1732"/>
        <v>0.7096335312</v>
      </c>
      <c r="AO626" s="37">
        <f t="shared" si="1733"/>
        <v>1.064450297</v>
      </c>
      <c r="AP626" s="36">
        <f t="shared" ref="AP626:AQ626" si="1737">SUM(T634)</f>
        <v>248.5370805</v>
      </c>
      <c r="AQ626" s="36">
        <f t="shared" si="1737"/>
        <v>8.017325179</v>
      </c>
      <c r="AR626" s="32">
        <f t="shared" si="1735"/>
        <v>203.4516129</v>
      </c>
    </row>
    <row r="627" ht="15.75" customHeight="1">
      <c r="A627" s="21"/>
      <c r="B627" s="38">
        <v>1.0</v>
      </c>
      <c r="C627" s="38" t="s">
        <v>26</v>
      </c>
      <c r="D627" s="39">
        <v>20.0</v>
      </c>
      <c r="E627" s="40">
        <f>IFERROR(__xludf.DUMMYFUNCTION("COUNT(IMPORTRANGE(""https://docs.google.com/spreadsheets/d/1F0NpMx7WhcgPgxTWpryY3Z1CGg56FL6aiL4mHs43w4E/edit"",""2!d2:d21""))"),20.0)</f>
        <v>20</v>
      </c>
      <c r="F627" s="41">
        <f>IFERROR(__xludf.DUMMYFUNCTION("SUM(IMPORTRANGE(""https://docs.google.com/spreadsheets/d/1F0NpMx7WhcgPgxTWpryY3Z1CGg56FL6aiL4mHs43w4E/edit"",""2!Q2:Q21""))"),3560.964)</f>
        <v>3560.964</v>
      </c>
      <c r="G627" s="40">
        <f>IFERROR(__xludf.DUMMYFUNCTION("IMPORTRANGE(""https://docs.google.com/spreadsheets/d/1F0NpMx7WhcgPgxTWpryY3Z1CGg56FL6aiL4mHs43w4E/edit"",""2!e28"")"),1873.0)</f>
        <v>1873</v>
      </c>
      <c r="H627" s="40">
        <f>IFERROR(__xludf.DUMMYFUNCTION("IMPORTRANGE(""https://docs.google.com/spreadsheets/d/1F0NpMx7WhcgPgxTWpryY3Z1CGg56FL6aiL4mHs43w4E/edit"",""2!e29"")"),0.0)</f>
        <v>0</v>
      </c>
      <c r="I627" s="40">
        <f t="shared" ref="I627:I644" si="1740">SUM(G627:H627)</f>
        <v>1873</v>
      </c>
      <c r="J627" s="40">
        <f>IFERROR(__xludf.DUMMYFUNCTION("IMPORTRANGE(""https://docs.google.com/spreadsheets/d/1F0NpMx7WhcgPgxTWpryY3Z1CGg56FL6aiL4mHs43w4E/edit"",""2!e32"")"),3204.0)</f>
        <v>3204</v>
      </c>
      <c r="K627" s="40">
        <f>IFERROR(__xludf.DUMMYFUNCTION("IMPORTRANGE(""https://docs.google.com/spreadsheets/d/1F0NpMx7WhcgPgxTWpryY3Z1CGg56FL6aiL4mHs43w4E/edit"",""2!e33"")"),0.0)</f>
        <v>0</v>
      </c>
      <c r="L627" s="40">
        <f t="shared" ref="L627:L633" si="1741">SUM(J627:K627)</f>
        <v>3204</v>
      </c>
      <c r="M627" s="40">
        <f t="shared" ref="M627:M644" si="1742">SUM(I627+L627)</f>
        <v>5077</v>
      </c>
      <c r="N627" s="41">
        <f t="shared" ref="N627:N645" si="1743">F627/E627</f>
        <v>178.0482</v>
      </c>
      <c r="O627" s="38">
        <v>5161.0</v>
      </c>
      <c r="P627" s="42">
        <f t="shared" ref="P627:P645" si="1744">M627/O627</f>
        <v>0.9837240845</v>
      </c>
      <c r="Q627" s="43">
        <v>1.5</v>
      </c>
      <c r="R627" s="42">
        <f t="shared" ref="R627:R645" si="1745">S627/Q627</f>
        <v>0.9504916833</v>
      </c>
      <c r="S627" s="44">
        <f t="shared" ref="S627:S645" si="1746">M627/F627</f>
        <v>1.425737525</v>
      </c>
      <c r="T627" s="43">
        <f>F627/14.415</f>
        <v>247.0318418</v>
      </c>
      <c r="U627" s="43">
        <f t="shared" ref="U627:U645" si="1747">T627/E627</f>
        <v>12.35159209</v>
      </c>
      <c r="V627" s="40">
        <f t="shared" ref="V627:V645" si="1748">M627/E627</f>
        <v>253.85</v>
      </c>
      <c r="X627" s="22">
        <v>4.0</v>
      </c>
      <c r="Y627" s="22" t="s">
        <v>27</v>
      </c>
      <c r="Z627" s="22">
        <f t="shared" ref="Z627:AK627" si="1738">SUM(D640)</f>
        <v>30</v>
      </c>
      <c r="AA627" s="23">
        <f t="shared" si="1738"/>
        <v>28</v>
      </c>
      <c r="AB627" s="24">
        <f t="shared" si="1738"/>
        <v>5465.76</v>
      </c>
      <c r="AC627" s="23">
        <f t="shared" si="1738"/>
        <v>2368</v>
      </c>
      <c r="AD627" s="23">
        <f t="shared" si="1738"/>
        <v>140</v>
      </c>
      <c r="AE627" s="23">
        <f t="shared" si="1738"/>
        <v>2508</v>
      </c>
      <c r="AF627" s="23">
        <f t="shared" si="1738"/>
        <v>3355</v>
      </c>
      <c r="AG627" s="23">
        <f t="shared" si="1738"/>
        <v>107</v>
      </c>
      <c r="AH627" s="23">
        <f t="shared" si="1738"/>
        <v>3462</v>
      </c>
      <c r="AI627" s="23">
        <f t="shared" si="1738"/>
        <v>5970</v>
      </c>
      <c r="AJ627" s="25">
        <f t="shared" si="1738"/>
        <v>195.2057143</v>
      </c>
      <c r="AK627" s="22">
        <f t="shared" si="1738"/>
        <v>8101</v>
      </c>
      <c r="AL627" s="26">
        <f t="shared" si="1730"/>
        <v>0.736946056</v>
      </c>
      <c r="AM627" s="27">
        <f>SUM(Q640)</f>
        <v>1.5</v>
      </c>
      <c r="AN627" s="26">
        <f t="shared" si="1732"/>
        <v>0.7281695501</v>
      </c>
      <c r="AO627" s="28">
        <f t="shared" si="1733"/>
        <v>1.092254325</v>
      </c>
      <c r="AP627" s="27">
        <f t="shared" ref="AP627:AQ627" si="1739">SUM(T640)</f>
        <v>273.4931198</v>
      </c>
      <c r="AQ627" s="27">
        <f t="shared" si="1739"/>
        <v>9.767611423</v>
      </c>
      <c r="AR627" s="23">
        <f t="shared" si="1735"/>
        <v>213.2142857</v>
      </c>
    </row>
    <row r="628" ht="15.75" customHeight="1">
      <c r="A628" s="21"/>
      <c r="B628" s="38">
        <v>2.0</v>
      </c>
      <c r="C628" s="38" t="s">
        <v>28</v>
      </c>
      <c r="D628" s="39">
        <v>33.0</v>
      </c>
      <c r="E628" s="40">
        <f>IFERROR(__xludf.DUMMYFUNCTION("COUNT(IMPORTRANGE(""https://docs.google.com/spreadsheets/d/1H9vAqftAHb0OdeSGXHTnJFzoWUgpoH31sc0sHNN8y1o/edit"",""2!d2:d34""))"),33.0)</f>
        <v>33</v>
      </c>
      <c r="F628" s="41">
        <f>IFERROR(__xludf.DUMMYFUNCTION("SUM(IMPORTRANGE(""https://docs.google.com/spreadsheets/d/1H9vAqftAHb0OdeSGXHTnJFzoWUgpoH31sc0sHNN8y1o/edit"",""2!Q2:Q34""))"),6528.832999999999)</f>
        <v>6528.833</v>
      </c>
      <c r="G628" s="40">
        <f>IFERROR(__xludf.DUMMYFUNCTION("IMPORTRANGE(""https://docs.google.com/spreadsheets/d/1H9vAqftAHb0OdeSGXHTnJFzoWUgpoH31sc0sHNN8y1o/edit"",""2!e41"")"),2700.0)</f>
        <v>2700</v>
      </c>
      <c r="H628" s="40">
        <f>IFERROR(__xludf.DUMMYFUNCTION("IMPORTRANGE(""https://docs.google.com/spreadsheets/d/1H9vAqftAHb0OdeSGXHTnJFzoWUgpoH31sc0sHNN8y1o/edit"",""2!e42"")"),104.0)</f>
        <v>104</v>
      </c>
      <c r="I628" s="40">
        <f t="shared" si="1740"/>
        <v>2804</v>
      </c>
      <c r="J628" s="40">
        <f>IFERROR(__xludf.DUMMYFUNCTION("IMPORTRANGE(""https://docs.google.com/spreadsheets/d/1H9vAqftAHb0OdeSGXHTnJFzoWUgpoH31sc0sHNN8y1o/edit"",""2!e45"")"),3205.0)</f>
        <v>3205</v>
      </c>
      <c r="K628" s="40">
        <f>IFERROR(__xludf.DUMMYFUNCTION("IMPORTRANGE(""https://docs.google.com/spreadsheets/d/1H9vAqftAHb0OdeSGXHTnJFzoWUgpoH31sc0sHNN8y1o/edit"",""2!e46"")"),102.0)</f>
        <v>102</v>
      </c>
      <c r="L628" s="40">
        <f t="shared" si="1741"/>
        <v>3307</v>
      </c>
      <c r="M628" s="40">
        <f t="shared" si="1742"/>
        <v>6111</v>
      </c>
      <c r="N628" s="41">
        <f t="shared" si="1743"/>
        <v>197.8434242</v>
      </c>
      <c r="O628" s="38">
        <v>7315.0</v>
      </c>
      <c r="P628" s="42">
        <f t="shared" si="1744"/>
        <v>0.8354066986</v>
      </c>
      <c r="Q628" s="43">
        <v>1.5</v>
      </c>
      <c r="R628" s="42">
        <f t="shared" si="1745"/>
        <v>0.6240012572</v>
      </c>
      <c r="S628" s="44">
        <f t="shared" si="1746"/>
        <v>0.9360018858</v>
      </c>
      <c r="T628" s="43">
        <f>F628/30.897</f>
        <v>211.3096093</v>
      </c>
      <c r="U628" s="43">
        <f t="shared" si="1747"/>
        <v>6.403321495</v>
      </c>
      <c r="V628" s="40">
        <f t="shared" si="1748"/>
        <v>185.1818182</v>
      </c>
      <c r="X628" s="22">
        <v>5.0</v>
      </c>
      <c r="Y628" s="22" t="s">
        <v>29</v>
      </c>
      <c r="Z628" s="22">
        <f t="shared" ref="Z628:AI628" si="1749">SUM(D643)</f>
        <v>30</v>
      </c>
      <c r="AA628" s="23">
        <f t="shared" si="1749"/>
        <v>29</v>
      </c>
      <c r="AB628" s="24">
        <f t="shared" si="1749"/>
        <v>5775.038</v>
      </c>
      <c r="AC628" s="23">
        <f t="shared" si="1749"/>
        <v>2726</v>
      </c>
      <c r="AD628" s="23">
        <f t="shared" si="1749"/>
        <v>0</v>
      </c>
      <c r="AE628" s="23">
        <f t="shared" si="1749"/>
        <v>2726</v>
      </c>
      <c r="AF628" s="23">
        <f t="shared" si="1749"/>
        <v>4235</v>
      </c>
      <c r="AG628" s="23">
        <f t="shared" si="1749"/>
        <v>0</v>
      </c>
      <c r="AH628" s="23">
        <f t="shared" si="1749"/>
        <v>4235</v>
      </c>
      <c r="AI628" s="23">
        <f t="shared" si="1749"/>
        <v>6961</v>
      </c>
      <c r="AJ628" s="25">
        <f t="shared" ref="AJ628:AJ630" si="1752">AB628/AA628</f>
        <v>199.1392414</v>
      </c>
      <c r="AK628" s="22">
        <f t="shared" ref="AK628:AK629" si="1753">SUM(O643)</f>
        <v>9201</v>
      </c>
      <c r="AL628" s="26">
        <f t="shared" si="1730"/>
        <v>0.7565482013</v>
      </c>
      <c r="AM628" s="27">
        <f t="shared" ref="AM628:AM629" si="1754">SUM(Q643)</f>
        <v>1.5</v>
      </c>
      <c r="AN628" s="26">
        <f t="shared" si="1732"/>
        <v>0.803573356</v>
      </c>
      <c r="AO628" s="28">
        <f t="shared" si="1733"/>
        <v>1.205360034</v>
      </c>
      <c r="AP628" s="27">
        <f t="shared" ref="AP628:AQ628" si="1750">SUM(T643)</f>
        <v>218</v>
      </c>
      <c r="AQ628" s="27">
        <f t="shared" si="1750"/>
        <v>7.517241379</v>
      </c>
      <c r="AR628" s="23">
        <f t="shared" si="1735"/>
        <v>240.0344828</v>
      </c>
    </row>
    <row r="629" ht="15.75" customHeight="1">
      <c r="A629" s="21"/>
      <c r="B629" s="38">
        <v>3.0</v>
      </c>
      <c r="C629" s="38" t="s">
        <v>30</v>
      </c>
      <c r="D629" s="39">
        <v>60.0</v>
      </c>
      <c r="E629" s="40">
        <f>IFERROR(__xludf.DUMMYFUNCTION("COUNT(IMPORTRANGE(""https://docs.google.com/spreadsheets/d/1EWN6nfpuVxbUE_9opjYCWaI7MTm5xsF6ssjklSbMZnA/edit"",""2!d2:d61""))"),58.0)</f>
        <v>58</v>
      </c>
      <c r="F629" s="45">
        <f>IFERROR(__xludf.DUMMYFUNCTION("SUM(IMPORTRANGE(""https://docs.google.com/spreadsheets/d/1EWN6nfpuVxbUE_9opjYCWaI7MTm5xsF6ssjklSbMZnA/edit"",""2!Q2:Q61""))"),11253.344999999988)</f>
        <v>11253.345</v>
      </c>
      <c r="G629" s="40">
        <f>IFERROR(__xludf.DUMMYFUNCTION("IMPORTRANGE(""https://docs.google.com/spreadsheets/d/1EWN6nfpuVxbUE_9opjYCWaI7MTm5xsF6ssjklSbMZnA/edit"",""2!e68"")"),3757.0)</f>
        <v>3757</v>
      </c>
      <c r="H629" s="40">
        <f>IFERROR(__xludf.DUMMYFUNCTION("IMPORTRANGE(""https://docs.google.com/spreadsheets/d/1EWN6nfpuVxbUE_9opjYCWaI7MTm5xsF6ssjklSbMZnA/edit"",""2!e69"")"),0.0)</f>
        <v>0</v>
      </c>
      <c r="I629" s="40">
        <f t="shared" si="1740"/>
        <v>3757</v>
      </c>
      <c r="J629" s="40">
        <f>IFERROR(__xludf.DUMMYFUNCTION("IMPORTRANGE(""https://docs.google.com/spreadsheets/d/1EWN6nfpuVxbUE_9opjYCWaI7MTm5xsF6ssjklSbMZnA/edit"",""2!e72"")"),5596.0)</f>
        <v>5596</v>
      </c>
      <c r="K629" s="40">
        <f>IFERROR(__xludf.DUMMYFUNCTION("IMPORTRANGE(""https://docs.google.com/spreadsheets/d/1EWN6nfpuVxbUE_9opjYCWaI7MTm5xsF6ssjklSbMZnA/edit"",""2!e73"")"),0.0)</f>
        <v>0</v>
      </c>
      <c r="L629" s="40">
        <f t="shared" si="1741"/>
        <v>5596</v>
      </c>
      <c r="M629" s="40">
        <f t="shared" si="1742"/>
        <v>9353</v>
      </c>
      <c r="N629" s="41">
        <f t="shared" si="1743"/>
        <v>194.0231897</v>
      </c>
      <c r="O629" s="38">
        <v>11164.0</v>
      </c>
      <c r="P629" s="42">
        <f t="shared" si="1744"/>
        <v>0.8377821569</v>
      </c>
      <c r="Q629" s="43">
        <v>1.5</v>
      </c>
      <c r="R629" s="42">
        <f t="shared" si="1745"/>
        <v>0.5540871033</v>
      </c>
      <c r="S629" s="44">
        <f t="shared" si="1746"/>
        <v>0.8311306549</v>
      </c>
      <c r="T629" s="43">
        <f>F629/29.603</f>
        <v>380.1420464</v>
      </c>
      <c r="U629" s="43">
        <f t="shared" si="1747"/>
        <v>6.554173214</v>
      </c>
      <c r="V629" s="40">
        <f t="shared" si="1748"/>
        <v>161.2586207</v>
      </c>
      <c r="X629" s="22">
        <v>6.0</v>
      </c>
      <c r="Y629" s="22" t="s">
        <v>31</v>
      </c>
      <c r="Z629" s="22">
        <f t="shared" ref="Z629:AI629" si="1751">SUM(D644)</f>
        <v>15</v>
      </c>
      <c r="AA629" s="23">
        <f t="shared" si="1751"/>
        <v>13</v>
      </c>
      <c r="AB629" s="25">
        <f t="shared" si="1751"/>
        <v>2607.9</v>
      </c>
      <c r="AC629" s="23">
        <f t="shared" si="1751"/>
        <v>870</v>
      </c>
      <c r="AD629" s="23">
        <f t="shared" si="1751"/>
        <v>0</v>
      </c>
      <c r="AE629" s="23">
        <f t="shared" si="1751"/>
        <v>870</v>
      </c>
      <c r="AF629" s="23">
        <f t="shared" si="1751"/>
        <v>975</v>
      </c>
      <c r="AG629" s="23">
        <f t="shared" si="1751"/>
        <v>55</v>
      </c>
      <c r="AH629" s="23">
        <f t="shared" si="1751"/>
        <v>1030</v>
      </c>
      <c r="AI629" s="23">
        <f t="shared" si="1751"/>
        <v>1900</v>
      </c>
      <c r="AJ629" s="25">
        <f t="shared" si="1752"/>
        <v>200.6076923</v>
      </c>
      <c r="AK629" s="22">
        <f t="shared" si="1753"/>
        <v>2717</v>
      </c>
      <c r="AL629" s="26">
        <f t="shared" si="1730"/>
        <v>0.6993006993</v>
      </c>
      <c r="AM629" s="27">
        <f t="shared" si="1754"/>
        <v>1.5</v>
      </c>
      <c r="AN629" s="26">
        <f t="shared" si="1732"/>
        <v>0.4857036952</v>
      </c>
      <c r="AO629" s="28">
        <f t="shared" si="1733"/>
        <v>0.7285555428</v>
      </c>
      <c r="AP629" s="27">
        <f t="shared" ref="AP629:AQ629" si="1755">SUM(T644)</f>
        <v>60</v>
      </c>
      <c r="AQ629" s="27">
        <f t="shared" si="1755"/>
        <v>4.615384615</v>
      </c>
      <c r="AR629" s="23">
        <f t="shared" si="1735"/>
        <v>146.1538462</v>
      </c>
    </row>
    <row r="630" ht="15.75" customHeight="1">
      <c r="A630" s="21"/>
      <c r="B630" s="38">
        <v>4.0</v>
      </c>
      <c r="C630" s="38" t="s">
        <v>32</v>
      </c>
      <c r="D630" s="39">
        <v>42.0</v>
      </c>
      <c r="E630" s="40">
        <f>IFERROR(__xludf.DUMMYFUNCTION("COUNT(IMPORTRANGE(""https://docs.google.com/spreadsheets/d/1Rmar8QqWK4XOJ-eY6xMzkAfDSw0srEXcAw89ilArun8/edit"",""2!d2:d43""))"),42.0)</f>
        <v>42</v>
      </c>
      <c r="F630" s="45">
        <f>IFERROR(__xludf.DUMMYFUNCTION("SUM(IMPORTRANGE(""https://docs.google.com/spreadsheets/d/1Rmar8QqWK4XOJ-eY6xMzkAfDSw0srEXcAw89ilArun8/edit"",""2!Q2:Q43""))"),8179.01399999999)</f>
        <v>8179.014</v>
      </c>
      <c r="G630" s="38">
        <f>IFERROR(__xludf.DUMMYFUNCTION("IMPORTRANGE(""https://docs.google.com/spreadsheets/d/1Rmar8QqWK4XOJ-eY6xMzkAfDSw0srEXcAw89ilArun8/edit"",""2!e50"")"),4808.0)</f>
        <v>4808</v>
      </c>
      <c r="H630" s="38">
        <f>IFERROR(__xludf.DUMMYFUNCTION("IMPORTRANGE(""https://docs.google.com/spreadsheets/d/1Rmar8QqWK4XOJ-eY6xMzkAfDSw0srEXcAw89ilArun8/edit"",""2!e51"")"),0.0)</f>
        <v>0</v>
      </c>
      <c r="I630" s="40">
        <f t="shared" si="1740"/>
        <v>4808</v>
      </c>
      <c r="J630" s="38">
        <f>IFERROR(__xludf.DUMMYFUNCTION("IMPORTRANGE(""https://docs.google.com/spreadsheets/d/1Rmar8QqWK4XOJ-eY6xMzkAfDSw0srEXcAw89ilArun8/edit"",""2!e54"")"),5449.0)</f>
        <v>5449</v>
      </c>
      <c r="K630" s="38">
        <f>IFERROR(__xludf.DUMMYFUNCTION("IMPORTRANGE(""https://docs.google.com/spreadsheets/d/1Rmar8QqWK4XOJ-eY6xMzkAfDSw0srEXcAw89ilArun8/edit"",""2!e55"")"),190.0)</f>
        <v>190</v>
      </c>
      <c r="L630" s="40">
        <f t="shared" si="1741"/>
        <v>5639</v>
      </c>
      <c r="M630" s="40">
        <f t="shared" si="1742"/>
        <v>10447</v>
      </c>
      <c r="N630" s="41">
        <f t="shared" si="1743"/>
        <v>194.7384286</v>
      </c>
      <c r="O630" s="38">
        <v>13817.0</v>
      </c>
      <c r="P630" s="42">
        <f t="shared" si="1744"/>
        <v>0.756097561</v>
      </c>
      <c r="Q630" s="43">
        <v>1.5</v>
      </c>
      <c r="R630" s="42">
        <f t="shared" si="1745"/>
        <v>0.8515288844</v>
      </c>
      <c r="S630" s="44">
        <f t="shared" si="1746"/>
        <v>1.277293327</v>
      </c>
      <c r="T630" s="43">
        <f>F630/25.089</f>
        <v>326</v>
      </c>
      <c r="U630" s="43">
        <f t="shared" si="1747"/>
        <v>7.761904762</v>
      </c>
      <c r="V630" s="40">
        <f t="shared" si="1748"/>
        <v>248.7380952</v>
      </c>
      <c r="X630" s="46" t="s">
        <v>33</v>
      </c>
      <c r="Y630" s="46">
        <v>6.0</v>
      </c>
      <c r="Z630" s="46">
        <f t="shared" ref="Z630:AI630" si="1756">SUM(Z624:Z629)</f>
        <v>186</v>
      </c>
      <c r="AA630" s="47">
        <f t="shared" si="1756"/>
        <v>179</v>
      </c>
      <c r="AB630" s="48">
        <f t="shared" si="1756"/>
        <v>34808.924</v>
      </c>
      <c r="AC630" s="47">
        <f t="shared" si="1756"/>
        <v>11852</v>
      </c>
      <c r="AD630" s="47">
        <f t="shared" si="1756"/>
        <v>578</v>
      </c>
      <c r="AE630" s="47">
        <f t="shared" si="1756"/>
        <v>12430</v>
      </c>
      <c r="AF630" s="47">
        <f t="shared" si="1756"/>
        <v>15982</v>
      </c>
      <c r="AG630" s="47">
        <f t="shared" si="1756"/>
        <v>495</v>
      </c>
      <c r="AH630" s="47">
        <f t="shared" si="1756"/>
        <v>16477</v>
      </c>
      <c r="AI630" s="47">
        <f t="shared" si="1756"/>
        <v>28907</v>
      </c>
      <c r="AJ630" s="49">
        <f t="shared" si="1752"/>
        <v>194.4632626</v>
      </c>
      <c r="AK630" s="46">
        <f>SUM(AK624:AK629)</f>
        <v>35074</v>
      </c>
      <c r="AL630" s="50">
        <f t="shared" si="1730"/>
        <v>0.8241717512</v>
      </c>
      <c r="AM630" s="51">
        <v>1.5</v>
      </c>
      <c r="AN630" s="50">
        <f t="shared" si="1732"/>
        <v>0.5536319748</v>
      </c>
      <c r="AO630" s="52">
        <f t="shared" si="1733"/>
        <v>0.8304479621</v>
      </c>
      <c r="AP630" s="51">
        <f>SUM(AP624:AP629)</f>
        <v>1309.710185</v>
      </c>
      <c r="AQ630" s="51">
        <f>AP630/AA630</f>
        <v>7.316816679</v>
      </c>
      <c r="AR630" s="47">
        <f t="shared" si="1735"/>
        <v>161.4916201</v>
      </c>
    </row>
    <row r="631" ht="15.75" customHeight="1">
      <c r="A631" s="21"/>
      <c r="B631" s="38">
        <v>5.0</v>
      </c>
      <c r="C631" s="38" t="s">
        <v>34</v>
      </c>
      <c r="D631" s="39">
        <v>40.0</v>
      </c>
      <c r="E631" s="40">
        <f>IFERROR(__xludf.DUMMYFUNCTION("COUNT(IMPORTRANGE(""https://docs.google.com/spreadsheets/d/1u99JxAoytGQQ8GcjxXl38CGdyEWy5uIbuJJHnsotyvk/edit"",""2!d2:d41""))"),40.0)</f>
        <v>40</v>
      </c>
      <c r="F631" s="45">
        <f>IFERROR(__xludf.DUMMYFUNCTION("SUM(IMPORTRANGE(""https://docs.google.com/spreadsheets/d/1u99JxAoytGQQ8GcjxXl38CGdyEWy5uIbuJJHnsotyvk/edit"",""2!Q2:Q41""))"),7895.343000000003)</f>
        <v>7895.343</v>
      </c>
      <c r="G631" s="40">
        <f>IFERROR(__xludf.DUMMYFUNCTION("IMPORTRANGE(""https://docs.google.com/spreadsheets/d/1u99JxAoytGQQ8GcjxXl38CGdyEWy5uIbuJJHnsotyvk/edit"",""2!e48"")"),3069.0)</f>
        <v>3069</v>
      </c>
      <c r="H631" s="40">
        <f>IFERROR(__xludf.DUMMYFUNCTION("IMPORTRANGE(""https://docs.google.com/spreadsheets/d/1u99JxAoytGQQ8GcjxXl38CGdyEWy5uIbuJJHnsotyvk/edit"",""2!e49"")"),0.0)</f>
        <v>0</v>
      </c>
      <c r="I631" s="40">
        <f t="shared" si="1740"/>
        <v>3069</v>
      </c>
      <c r="J631" s="40">
        <f>IFERROR(__xludf.DUMMYFUNCTION("IMPORTRANGE(""https://docs.google.com/spreadsheets/d/1u99JxAoytGQQ8GcjxXl38CGdyEWy5uIbuJJHnsotyvk/edit"",""2!e52"")"),3126.0)</f>
        <v>3126</v>
      </c>
      <c r="K631" s="40">
        <f>IFERROR(__xludf.DUMMYFUNCTION("IMPORTRANGE(""https://docs.google.com/spreadsheets/d/1u99JxAoytGQQ8GcjxXl38CGdyEWy5uIbuJJHnsotyvk/edit"",""2!e53"")"),0.0)</f>
        <v>0</v>
      </c>
      <c r="L631" s="40">
        <f t="shared" si="1741"/>
        <v>3126</v>
      </c>
      <c r="M631" s="40">
        <f t="shared" si="1742"/>
        <v>6195</v>
      </c>
      <c r="N631" s="41">
        <f t="shared" si="1743"/>
        <v>197.383575</v>
      </c>
      <c r="O631" s="38">
        <v>9354.0</v>
      </c>
      <c r="P631" s="42">
        <f t="shared" si="1744"/>
        <v>0.6622835151</v>
      </c>
      <c r="Q631" s="43">
        <v>1.5</v>
      </c>
      <c r="R631" s="42">
        <f t="shared" si="1745"/>
        <v>0.5230931702</v>
      </c>
      <c r="S631" s="44">
        <f t="shared" si="1746"/>
        <v>0.7846397554</v>
      </c>
      <c r="T631" s="43">
        <f>F631/30.713</f>
        <v>257.0684401</v>
      </c>
      <c r="U631" s="43">
        <f t="shared" si="1747"/>
        <v>6.426711002</v>
      </c>
      <c r="V631" s="40">
        <f t="shared" si="1748"/>
        <v>154.875</v>
      </c>
      <c r="X631" s="53" t="s">
        <v>35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6"/>
    </row>
    <row r="632" ht="15.75" customHeight="1">
      <c r="A632" s="21"/>
      <c r="B632" s="38">
        <v>6.0</v>
      </c>
      <c r="C632" s="38" t="s">
        <v>23</v>
      </c>
      <c r="D632" s="39">
        <v>35.0</v>
      </c>
      <c r="E632" s="40">
        <f>IFERROR(__xludf.DUMMYFUNCTION("COUNT(IMPORTRANGE(""https://docs.google.com/spreadsheets/d/1uVc-vnTn57HE53lwrUYNZP4sGKTXisrqOoZ-6EyvLzY/edit"",""2!d2:d36""))"),34.0)</f>
        <v>34</v>
      </c>
      <c r="F632" s="45">
        <f>IFERROR(__xludf.DUMMYFUNCTION("SUM(IMPORTRANGE(""https://docs.google.com/spreadsheets/d/1uVc-vnTn57HE53lwrUYNZP4sGKTXisrqOoZ-6EyvLzY/edit"",""2!Q2:Q36""))"),6680.519999999996)</f>
        <v>6680.52</v>
      </c>
      <c r="G632" s="40">
        <f>IFERROR(__xludf.DUMMYFUNCTION("IMPORTRANGE(""https://docs.google.com/spreadsheets/d/1uVc-vnTn57HE53lwrUYNZP4sGKTXisrqOoZ-6EyvLzY/edit"",""2!e43"")"),2083.0)</f>
        <v>2083</v>
      </c>
      <c r="H632" s="40">
        <f>IFERROR(__xludf.DUMMYFUNCTION("IMPORTRANGE(""https://docs.google.com/spreadsheets/d/1uVc-vnTn57HE53lwrUYNZP4sGKTXisrqOoZ-6EyvLzY/edit"",""2!e44"")"),0.0)</f>
        <v>0</v>
      </c>
      <c r="I632" s="40">
        <f t="shared" si="1740"/>
        <v>2083</v>
      </c>
      <c r="J632" s="40">
        <f>IFERROR(__xludf.DUMMYFUNCTION("IMPORTRANGE(""https://docs.google.com/spreadsheets/d/1uVc-vnTn57HE53lwrUYNZP4sGKTXisrqOoZ-6EyvLzY/edit"",""2!e47"")"),2916.0)</f>
        <v>2916</v>
      </c>
      <c r="K632" s="40">
        <f>IFERROR(__xludf.DUMMYFUNCTION("IMPORTRANGE(""https://docs.google.com/spreadsheets/d/1uVc-vnTn57HE53lwrUYNZP4sGKTXisrqOoZ-6EyvLzY/edit"",""2!e48"")"),0.0)</f>
        <v>0</v>
      </c>
      <c r="L632" s="40">
        <f t="shared" si="1741"/>
        <v>2916</v>
      </c>
      <c r="M632" s="40">
        <f t="shared" si="1742"/>
        <v>4999</v>
      </c>
      <c r="N632" s="41">
        <f t="shared" si="1743"/>
        <v>196.4858824</v>
      </c>
      <c r="O632" s="38">
        <v>6853.0</v>
      </c>
      <c r="P632" s="42">
        <f t="shared" si="1744"/>
        <v>0.7294615497</v>
      </c>
      <c r="Q632" s="43">
        <v>1.5</v>
      </c>
      <c r="R632" s="42">
        <f t="shared" si="1745"/>
        <v>0.4988633619</v>
      </c>
      <c r="S632" s="44">
        <f t="shared" si="1746"/>
        <v>0.7482950429</v>
      </c>
      <c r="T632" s="43">
        <f>F632/33.74</f>
        <v>198</v>
      </c>
      <c r="U632" s="43">
        <f t="shared" si="1747"/>
        <v>5.823529412</v>
      </c>
      <c r="V632" s="40">
        <f t="shared" si="1748"/>
        <v>147.0294118</v>
      </c>
      <c r="X632" s="14" t="s">
        <v>2</v>
      </c>
      <c r="Y632" s="14" t="s">
        <v>3</v>
      </c>
      <c r="Z632" s="14" t="s">
        <v>4</v>
      </c>
      <c r="AA632" s="14" t="s">
        <v>5</v>
      </c>
      <c r="AB632" s="15" t="s">
        <v>6</v>
      </c>
      <c r="AC632" s="14" t="s">
        <v>7</v>
      </c>
      <c r="AD632" s="14" t="s">
        <v>8</v>
      </c>
      <c r="AE632" s="14" t="s">
        <v>9</v>
      </c>
      <c r="AF632" s="14" t="s">
        <v>10</v>
      </c>
      <c r="AG632" s="14" t="s">
        <v>11</v>
      </c>
      <c r="AH632" s="14" t="s">
        <v>12</v>
      </c>
      <c r="AI632" s="14" t="s">
        <v>13</v>
      </c>
      <c r="AJ632" s="15" t="s">
        <v>14</v>
      </c>
      <c r="AK632" s="14" t="s">
        <v>15</v>
      </c>
      <c r="AL632" s="14" t="s">
        <v>16</v>
      </c>
      <c r="AM632" s="16" t="s">
        <v>17</v>
      </c>
      <c r="AN632" s="17" t="s">
        <v>18</v>
      </c>
      <c r="AO632" s="18" t="s">
        <v>19</v>
      </c>
      <c r="AP632" s="19" t="s">
        <v>20</v>
      </c>
      <c r="AQ632" s="19" t="s">
        <v>21</v>
      </c>
      <c r="AR632" s="20" t="s">
        <v>22</v>
      </c>
    </row>
    <row r="633" ht="15.75" customHeight="1">
      <c r="A633" s="21"/>
      <c r="B633" s="38">
        <v>7.0</v>
      </c>
      <c r="C633" s="38" t="s">
        <v>24</v>
      </c>
      <c r="D633" s="39">
        <v>44.0</v>
      </c>
      <c r="E633" s="54">
        <f>IFERROR(__xludf.DUMMYFUNCTION("COUNT(IMPORTRANGE(""https://docs.google.com/spreadsheets/d/1iuPvivSypupo44l6GtmR-2qZ3za7cTk7KzsOVp_kv2c/edit"",""2!d2:d45""))"),44.0)</f>
        <v>44</v>
      </c>
      <c r="F633" s="55">
        <f>IFERROR(__xludf.DUMMYFUNCTION("SUM(IMPORTRANGE(""https://docs.google.com/spreadsheets/d/1iuPvivSypupo44l6GtmR-2qZ3za7cTk7KzsOVp_kv2c/edit"",""2!Q2:Q45""))"),8354.581999999995)</f>
        <v>8354.582</v>
      </c>
      <c r="G633" s="54">
        <f>IFERROR(__xludf.DUMMYFUNCTION("IMPORTRANGE(""https://docs.google.com/spreadsheets/d/1iuPvivSypupo44l6GtmR-2qZ3za7cTk7KzsOVp_kv2c/edit"",""2!e53"")"),1454.0)</f>
        <v>1454</v>
      </c>
      <c r="H633" s="54">
        <f>IFERROR(__xludf.DUMMYFUNCTION("IMPORTRANGE(""https://docs.google.com/spreadsheets/d/1iuPvivSypupo44l6GtmR-2qZ3za7cTk7KzsOVp_kv2c/edit"",""2!e54"")"),0.0)</f>
        <v>0</v>
      </c>
      <c r="I633" s="54">
        <f t="shared" si="1740"/>
        <v>1454</v>
      </c>
      <c r="J633" s="54">
        <f>IFERROR(__xludf.DUMMYFUNCTION("IMPORTRANGE(""https://docs.google.com/spreadsheets/d/1iuPvivSypupo44l6GtmR-2qZ3za7cTk7KzsOVp_kv2c/edit"",""2!e57"")"),1288.0)</f>
        <v>1288</v>
      </c>
      <c r="K633" s="54">
        <f>IFERROR(__xludf.DUMMYFUNCTION("IMPORTRANGE(""https://docs.google.com/spreadsheets/d/1iuPvivSypupo44l6GtmR-2qZ3za7cTk7KzsOVp_kv2c/edit"",""2!e58"")"),28.0)</f>
        <v>28</v>
      </c>
      <c r="L633" s="40">
        <f t="shared" si="1741"/>
        <v>1316</v>
      </c>
      <c r="M633" s="40">
        <f t="shared" si="1742"/>
        <v>2770</v>
      </c>
      <c r="N633" s="41">
        <f t="shared" si="1743"/>
        <v>189.8768636</v>
      </c>
      <c r="O633" s="38">
        <v>1580.0</v>
      </c>
      <c r="P633" s="56">
        <f t="shared" si="1744"/>
        <v>1.753164557</v>
      </c>
      <c r="Q633" s="43">
        <v>1.5</v>
      </c>
      <c r="R633" s="42">
        <f t="shared" si="1745"/>
        <v>0.2210363926</v>
      </c>
      <c r="S633" s="44">
        <f t="shared" si="1746"/>
        <v>0.3315545888</v>
      </c>
      <c r="T633" s="43">
        <f>F633/26.805</f>
        <v>311.6799851</v>
      </c>
      <c r="U633" s="43">
        <f t="shared" si="1747"/>
        <v>7.083636024</v>
      </c>
      <c r="V633" s="40">
        <f t="shared" si="1748"/>
        <v>62.95454545</v>
      </c>
      <c r="X633" s="22">
        <v>1.0</v>
      </c>
      <c r="Y633" s="22" t="s">
        <v>28</v>
      </c>
      <c r="Z633" s="22">
        <f t="shared" ref="Z633:AI633" si="1757">SUM(D628)</f>
        <v>33</v>
      </c>
      <c r="AA633" s="23">
        <f t="shared" si="1757"/>
        <v>33</v>
      </c>
      <c r="AB633" s="25">
        <f t="shared" si="1757"/>
        <v>6528.833</v>
      </c>
      <c r="AC633" s="23">
        <f t="shared" si="1757"/>
        <v>2700</v>
      </c>
      <c r="AD633" s="23">
        <f t="shared" si="1757"/>
        <v>104</v>
      </c>
      <c r="AE633" s="23">
        <f t="shared" si="1757"/>
        <v>2804</v>
      </c>
      <c r="AF633" s="23">
        <f t="shared" si="1757"/>
        <v>3205</v>
      </c>
      <c r="AG633" s="23">
        <f t="shared" si="1757"/>
        <v>102</v>
      </c>
      <c r="AH633" s="23">
        <f t="shared" si="1757"/>
        <v>3307</v>
      </c>
      <c r="AI633" s="23">
        <f t="shared" si="1757"/>
        <v>6111</v>
      </c>
      <c r="AJ633" s="25">
        <f t="shared" ref="AJ633:AJ639" si="1760">AB633/AA633</f>
        <v>197.8434242</v>
      </c>
      <c r="AK633" s="22">
        <f t="shared" ref="AK633:AK634" si="1761">SUM(O628)</f>
        <v>7315</v>
      </c>
      <c r="AL633" s="26">
        <f t="shared" ref="AL633:AL639" si="1762">AI633/AK633</f>
        <v>0.8354066986</v>
      </c>
      <c r="AM633" s="27">
        <f t="shared" ref="AM633:AM634" si="1763">SUM(Q628)</f>
        <v>1.5</v>
      </c>
      <c r="AN633" s="26">
        <f t="shared" ref="AN633:AN639" si="1764">AO633/AM633</f>
        <v>0.6240012572</v>
      </c>
      <c r="AO633" s="28">
        <f t="shared" ref="AO633:AO639" si="1765">AI633/AB633</f>
        <v>0.9360018858</v>
      </c>
      <c r="AP633" s="27">
        <f t="shared" ref="AP633:AQ633" si="1758">SUM(T628)</f>
        <v>211.3096093</v>
      </c>
      <c r="AQ633" s="27">
        <f t="shared" si="1758"/>
        <v>6.403321495</v>
      </c>
      <c r="AR633" s="23">
        <f t="shared" ref="AR633:AR639" si="1767">AI633/AA633</f>
        <v>185.1818182</v>
      </c>
    </row>
    <row r="634" ht="15.75" customHeight="1">
      <c r="A634" s="21"/>
      <c r="B634" s="38">
        <v>8.0</v>
      </c>
      <c r="C634" s="38" t="s">
        <v>25</v>
      </c>
      <c r="D634" s="57">
        <v>32.0</v>
      </c>
      <c r="E634" s="40">
        <f>IFERROR(__xludf.DUMMYFUNCTION("COUNT(IMPORTRANGE(""https://docs.google.com/spreadsheets/d/1sqWX7UerdR9KR_duBzDNfjwbPG-3hLgV1LiN2ZVZ6Js/edit"",""2!d2:D33""))"),31.0)</f>
        <v>31</v>
      </c>
      <c r="F634" s="45">
        <f>IFERROR(__xludf.DUMMYFUNCTION("SUM(IMPORTRANGE(""https://docs.google.com/spreadsheets/d/1sqWX7UerdR9KR_duBzDNfjwbPG-3hLgV1LiN2ZVZ6Js/edit"",""2!Q2:Q33""))"),5925.124000000001)</f>
        <v>5925.124</v>
      </c>
      <c r="G634" s="40">
        <f>IFERROR(__xludf.DUMMYFUNCTION("IMPORTRANGE(""https://docs.google.com/spreadsheets/d/1sqWX7UerdR9KR_duBzDNfjwbPG-3hLgV1LiN2ZVZ6Js/edit"",""2!e40"")"),2351.0)</f>
        <v>2351</v>
      </c>
      <c r="H634" s="40">
        <f>IFERROR(__xludf.DUMMYFUNCTION("IMPORTRANGE(""https://docs.google.com/spreadsheets/d/1sqWX7UerdR9KR_duBzDNfjwbPG-3hLgV1LiN2ZVZ6Js/edit"",""2!e41"")"),438.0)</f>
        <v>438</v>
      </c>
      <c r="I634" s="40">
        <f t="shared" si="1740"/>
        <v>2789</v>
      </c>
      <c r="J634" s="40">
        <f>IFERROR(__xludf.DUMMYFUNCTION("IMPORTRANGE(""https://docs.google.com/spreadsheets/d/1sqWX7UerdR9KR_duBzDNfjwbPG-3hLgV1LiN2ZVZ6Js/edit"",""2!e44"")"),3213.0)</f>
        <v>3213</v>
      </c>
      <c r="K634" s="40">
        <f>IFERROR(__xludf.DUMMYFUNCTION("IMPORTRANGE(""https://docs.google.com/spreadsheets/d/1sqWX7UerdR9KR_duBzDNfjwbPG-3hLgV1LiN2ZVZ6Js/edit"",""2!e45"")"),305.0)</f>
        <v>305</v>
      </c>
      <c r="L634" s="40">
        <f>J634+K634</f>
        <v>3518</v>
      </c>
      <c r="M634" s="40">
        <f t="shared" si="1742"/>
        <v>6307</v>
      </c>
      <c r="N634" s="41">
        <f t="shared" si="1743"/>
        <v>191.1330323</v>
      </c>
      <c r="O634" s="38">
        <v>6622.0</v>
      </c>
      <c r="P634" s="42">
        <f t="shared" si="1744"/>
        <v>0.9524312896</v>
      </c>
      <c r="Q634" s="43">
        <v>1.5</v>
      </c>
      <c r="R634" s="42">
        <f t="shared" si="1745"/>
        <v>0.7096335312</v>
      </c>
      <c r="S634" s="44">
        <f t="shared" si="1746"/>
        <v>1.064450297</v>
      </c>
      <c r="T634" s="43">
        <f>F634/23.84</f>
        <v>248.5370805</v>
      </c>
      <c r="U634" s="43">
        <f t="shared" si="1747"/>
        <v>8.017325179</v>
      </c>
      <c r="V634" s="40">
        <f t="shared" si="1748"/>
        <v>203.4516129</v>
      </c>
      <c r="X634" s="31">
        <v>2.0</v>
      </c>
      <c r="Y634" s="31" t="s">
        <v>30</v>
      </c>
      <c r="Z634" s="31">
        <f t="shared" ref="Z634:AI634" si="1759">SUM(D629)</f>
        <v>60</v>
      </c>
      <c r="AA634" s="32">
        <f t="shared" si="1759"/>
        <v>58</v>
      </c>
      <c r="AB634" s="33">
        <f t="shared" si="1759"/>
        <v>11253.345</v>
      </c>
      <c r="AC634" s="32">
        <f t="shared" si="1759"/>
        <v>3757</v>
      </c>
      <c r="AD634" s="32">
        <f t="shared" si="1759"/>
        <v>0</v>
      </c>
      <c r="AE634" s="32">
        <f t="shared" si="1759"/>
        <v>3757</v>
      </c>
      <c r="AF634" s="32">
        <f t="shared" si="1759"/>
        <v>5596</v>
      </c>
      <c r="AG634" s="32">
        <f t="shared" si="1759"/>
        <v>0</v>
      </c>
      <c r="AH634" s="32">
        <f t="shared" si="1759"/>
        <v>5596</v>
      </c>
      <c r="AI634" s="32">
        <f t="shared" si="1759"/>
        <v>9353</v>
      </c>
      <c r="AJ634" s="34">
        <f t="shared" si="1760"/>
        <v>194.0231897</v>
      </c>
      <c r="AK634" s="31">
        <f t="shared" si="1761"/>
        <v>11164</v>
      </c>
      <c r="AL634" s="35">
        <f t="shared" si="1762"/>
        <v>0.8377821569</v>
      </c>
      <c r="AM634" s="36">
        <f t="shared" si="1763"/>
        <v>1.5</v>
      </c>
      <c r="AN634" s="35">
        <f t="shared" si="1764"/>
        <v>0.5540871033</v>
      </c>
      <c r="AO634" s="37">
        <f t="shared" si="1765"/>
        <v>0.8311306549</v>
      </c>
      <c r="AP634" s="36">
        <f t="shared" ref="AP634:AQ634" si="1766">SUM(T629)</f>
        <v>380.1420464</v>
      </c>
      <c r="AQ634" s="36">
        <f t="shared" si="1766"/>
        <v>6.554173214</v>
      </c>
      <c r="AR634" s="32">
        <f t="shared" si="1767"/>
        <v>161.2586207</v>
      </c>
    </row>
    <row r="635" ht="15.75" customHeight="1">
      <c r="A635" s="21"/>
      <c r="B635" s="38">
        <v>9.0</v>
      </c>
      <c r="C635" s="38" t="s">
        <v>36</v>
      </c>
      <c r="D635" s="58">
        <v>30.0</v>
      </c>
      <c r="E635" s="40">
        <f>IFERROR(__xludf.DUMMYFUNCTION("COUNT(IMPORTRANGE(""https://docs.google.com/spreadsheets/d/1YNna43iTSqnwwbMJgTIPHSJEoDO8RGPRFg5pJCoQR_Y/edit"",""2!d2:d31""))"),29.0)</f>
        <v>29</v>
      </c>
      <c r="F635" s="45">
        <f>IFERROR(__xludf.DUMMYFUNCTION("SUM(IMPORTRANGE(""https://docs.google.com/spreadsheets/d/1YNna43iTSqnwwbMJgTIPHSJEoDO8RGPRFg5pJCoQR_Y/edit"",""2!Q2:Q31""))"),5604.12)</f>
        <v>5604.12</v>
      </c>
      <c r="G635" s="40">
        <f>IFERROR(__xludf.DUMMYFUNCTION("IMPORTRANGE(""https://docs.google.com/spreadsheets/d/1YNna43iTSqnwwbMJgTIPHSJEoDO8RGPRFg5pJCoQR_Y/edit"",""2!e38"")"),1533.0)</f>
        <v>1533</v>
      </c>
      <c r="H635" s="40">
        <f>IFERROR(__xludf.DUMMYFUNCTION("IMPORTRANGE(""https://docs.google.com/spreadsheets/d/1YNna43iTSqnwwbMJgTIPHSJEoDO8RGPRFg5pJCoQR_Y/edit"",""2!e39"")"),0.0)</f>
        <v>0</v>
      </c>
      <c r="I635" s="40">
        <f t="shared" si="1740"/>
        <v>1533</v>
      </c>
      <c r="J635" s="40">
        <f>IFERROR(__xludf.DUMMYFUNCTION("IMPORTRANGE(""https://docs.google.com/spreadsheets/d/1YNna43iTSqnwwbMJgTIPHSJEoDO8RGPRFg5pJCoQR_Y/edit"",""2!e42"")"),2301.0)</f>
        <v>2301</v>
      </c>
      <c r="K635" s="40">
        <f>IFERROR(__xludf.DUMMYFUNCTION("IMPORTRANGE(""https://docs.google.com/spreadsheets/d/1YNna43iTSqnwwbMJgTIPHSJEoDO8RGPRFg5pJCoQR_Y/edit"",""2!e43"")"),0.0)</f>
        <v>0</v>
      </c>
      <c r="L635" s="40">
        <f t="shared" ref="L635:L644" si="1770">SUM(J635:K635)</f>
        <v>2301</v>
      </c>
      <c r="M635" s="40">
        <f t="shared" si="1742"/>
        <v>3834</v>
      </c>
      <c r="N635" s="41">
        <f t="shared" si="1743"/>
        <v>193.2455172</v>
      </c>
      <c r="O635" s="38">
        <v>4796.0</v>
      </c>
      <c r="P635" s="42">
        <f t="shared" si="1744"/>
        <v>0.7994161802</v>
      </c>
      <c r="Q635" s="43">
        <v>1.5</v>
      </c>
      <c r="R635" s="42">
        <f t="shared" si="1745"/>
        <v>0.4560930173</v>
      </c>
      <c r="S635" s="44">
        <f t="shared" si="1746"/>
        <v>0.6841395259</v>
      </c>
      <c r="T635" s="43">
        <f>F635/37.414</f>
        <v>149.7867109</v>
      </c>
      <c r="U635" s="43">
        <f t="shared" si="1747"/>
        <v>5.165058995</v>
      </c>
      <c r="V635" s="40">
        <f t="shared" si="1748"/>
        <v>132.2068966</v>
      </c>
      <c r="X635" s="22">
        <v>3.0</v>
      </c>
      <c r="Y635" s="22" t="s">
        <v>34</v>
      </c>
      <c r="Z635" s="22">
        <f t="shared" ref="Z635:AI635" si="1768">SUM(D631)</f>
        <v>40</v>
      </c>
      <c r="AA635" s="23">
        <f t="shared" si="1768"/>
        <v>40</v>
      </c>
      <c r="AB635" s="24">
        <f t="shared" si="1768"/>
        <v>7895.343</v>
      </c>
      <c r="AC635" s="23">
        <f t="shared" si="1768"/>
        <v>3069</v>
      </c>
      <c r="AD635" s="23">
        <f t="shared" si="1768"/>
        <v>0</v>
      </c>
      <c r="AE635" s="23">
        <f t="shared" si="1768"/>
        <v>3069</v>
      </c>
      <c r="AF635" s="23">
        <f t="shared" si="1768"/>
        <v>3126</v>
      </c>
      <c r="AG635" s="23">
        <f t="shared" si="1768"/>
        <v>0</v>
      </c>
      <c r="AH635" s="23">
        <f t="shared" si="1768"/>
        <v>3126</v>
      </c>
      <c r="AI635" s="23">
        <f t="shared" si="1768"/>
        <v>6195</v>
      </c>
      <c r="AJ635" s="25">
        <f t="shared" si="1760"/>
        <v>197.383575</v>
      </c>
      <c r="AK635" s="22">
        <f>SUM(O631)</f>
        <v>9354</v>
      </c>
      <c r="AL635" s="26">
        <f t="shared" si="1762"/>
        <v>0.6622835151</v>
      </c>
      <c r="AM635" s="27">
        <f>SUM(Q631)</f>
        <v>1.5</v>
      </c>
      <c r="AN635" s="26">
        <f t="shared" si="1764"/>
        <v>0.5230931702</v>
      </c>
      <c r="AO635" s="28">
        <f t="shared" si="1765"/>
        <v>0.7846397554</v>
      </c>
      <c r="AP635" s="27">
        <f t="shared" ref="AP635:AQ635" si="1769">SUM(T631)</f>
        <v>257.0684401</v>
      </c>
      <c r="AQ635" s="27">
        <f t="shared" si="1769"/>
        <v>6.426711002</v>
      </c>
      <c r="AR635" s="23">
        <f t="shared" si="1767"/>
        <v>154.875</v>
      </c>
    </row>
    <row r="636" ht="15.75" customHeight="1">
      <c r="A636" s="21"/>
      <c r="B636" s="38">
        <v>10.0</v>
      </c>
      <c r="C636" s="38" t="s">
        <v>37</v>
      </c>
      <c r="D636" s="39">
        <v>30.0</v>
      </c>
      <c r="E636" s="40">
        <f>IFERROR(__xludf.DUMMYFUNCTION("COUNT(IMPORTRANGE(""https://docs.google.com/spreadsheets/d/1913Df5BsXS_b-nClL8LOK5w0engQYTl1mPOiyngRtO0/edit"",""2!d2:d31""))"),30.0)</f>
        <v>30</v>
      </c>
      <c r="F636" s="45">
        <f>IFERROR(__xludf.DUMMYFUNCTION("SUM(IMPORTRANGE(""https://docs.google.com/spreadsheets/d/1913Df5BsXS_b-nClL8LOK5w0engQYTl1mPOiyngRtO0/edit"",""2!Q2:Q31""))"),5812.188)</f>
        <v>5812.188</v>
      </c>
      <c r="G636" s="40">
        <f>IFERROR(__xludf.DUMMYFUNCTION("(IMPORTRANGE(""https://docs.google.com/spreadsheets/d/1913Df5BsXS_b-nClL8LOK5w0engQYTl1mPOiyngRtO0/edit"",""2!e38""))"),2138.0)</f>
        <v>2138</v>
      </c>
      <c r="H636" s="40">
        <f>IFERROR(__xludf.DUMMYFUNCTION("(IMPORTRANGE(""https://docs.google.com/spreadsheets/d/1913Df5BsXS_b-nClL8LOK5w0engQYTl1mPOiyngRtO0/edit"",""2!e39""))"),0.0)</f>
        <v>0</v>
      </c>
      <c r="I636" s="40">
        <f t="shared" si="1740"/>
        <v>2138</v>
      </c>
      <c r="J636" s="40">
        <f>IFERROR(__xludf.DUMMYFUNCTION("(IMPORTRANGE(""https://docs.google.com/spreadsheets/d/1913Df5BsXS_b-nClL8LOK5w0engQYTl1mPOiyngRtO0/edit"",""2!e42""))"),3071.0)</f>
        <v>3071</v>
      </c>
      <c r="K636" s="40">
        <f>IFERROR(__xludf.DUMMYFUNCTION("(IMPORTRANGE(""https://docs.google.com/spreadsheets/d/1913Df5BsXS_b-nClL8LOK5w0engQYTl1mPOiyngRtO0/edit"",""2!e43""))"),0.0)</f>
        <v>0</v>
      </c>
      <c r="L636" s="40">
        <f t="shared" si="1770"/>
        <v>3071</v>
      </c>
      <c r="M636" s="40">
        <f t="shared" si="1742"/>
        <v>5209</v>
      </c>
      <c r="N636" s="41">
        <f t="shared" si="1743"/>
        <v>193.7396</v>
      </c>
      <c r="O636" s="38">
        <v>5887.0</v>
      </c>
      <c r="P636" s="42">
        <f t="shared" si="1744"/>
        <v>0.8848309835</v>
      </c>
      <c r="Q636" s="43">
        <v>1.5</v>
      </c>
      <c r="R636" s="42">
        <f t="shared" si="1745"/>
        <v>0.5974800999</v>
      </c>
      <c r="S636" s="44">
        <f t="shared" si="1746"/>
        <v>0.8962201498</v>
      </c>
      <c r="T636" s="43">
        <f>F636/24.792</f>
        <v>234.4380445</v>
      </c>
      <c r="U636" s="43">
        <f t="shared" si="1747"/>
        <v>7.814601484</v>
      </c>
      <c r="V636" s="40">
        <f t="shared" si="1748"/>
        <v>173.6333333</v>
      </c>
      <c r="X636" s="31">
        <v>4.0</v>
      </c>
      <c r="Y636" s="31" t="s">
        <v>38</v>
      </c>
      <c r="Z636" s="31">
        <f t="shared" ref="Z636:AI636" si="1771">SUM(D639)</f>
        <v>30</v>
      </c>
      <c r="AA636" s="32">
        <f t="shared" si="1771"/>
        <v>30</v>
      </c>
      <c r="AB636" s="33">
        <f t="shared" si="1771"/>
        <v>6284.278</v>
      </c>
      <c r="AC636" s="32">
        <f t="shared" si="1771"/>
        <v>2309</v>
      </c>
      <c r="AD636" s="32">
        <f t="shared" si="1771"/>
        <v>0</v>
      </c>
      <c r="AE636" s="32">
        <f t="shared" si="1771"/>
        <v>2309</v>
      </c>
      <c r="AF636" s="32">
        <f t="shared" si="1771"/>
        <v>2749</v>
      </c>
      <c r="AG636" s="32">
        <f t="shared" si="1771"/>
        <v>159</v>
      </c>
      <c r="AH636" s="32">
        <f t="shared" si="1771"/>
        <v>2908</v>
      </c>
      <c r="AI636" s="32">
        <f t="shared" si="1771"/>
        <v>5217</v>
      </c>
      <c r="AJ636" s="34">
        <f t="shared" si="1760"/>
        <v>209.4759333</v>
      </c>
      <c r="AK636" s="31">
        <v>7324.0</v>
      </c>
      <c r="AL636" s="35">
        <f t="shared" si="1762"/>
        <v>0.7123156745</v>
      </c>
      <c r="AM636" s="36">
        <f>SUM(Q639)</f>
        <v>1.5</v>
      </c>
      <c r="AN636" s="35">
        <f t="shared" si="1764"/>
        <v>0.5534446439</v>
      </c>
      <c r="AO636" s="37">
        <f t="shared" si="1765"/>
        <v>0.8301669659</v>
      </c>
      <c r="AP636" s="36">
        <f t="shared" ref="AP636:AQ636" si="1772">SUM(T639)</f>
        <v>152.5125106</v>
      </c>
      <c r="AQ636" s="36">
        <f t="shared" si="1772"/>
        <v>5.083750354</v>
      </c>
      <c r="AR636" s="32">
        <f t="shared" si="1767"/>
        <v>173.9</v>
      </c>
    </row>
    <row r="637" ht="15.75" customHeight="1">
      <c r="A637" s="21"/>
      <c r="B637" s="38">
        <v>12.0</v>
      </c>
      <c r="C637" s="38" t="s">
        <v>39</v>
      </c>
      <c r="D637" s="39">
        <v>28.0</v>
      </c>
      <c r="E637" s="40">
        <f>IFERROR(__xludf.DUMMYFUNCTION("COUNT(IMPORTRANGE(""https://docs.google.com/spreadsheets/d/1wMeol_MpSIcocGxt3WZGl46mJ2tc80mANPvP_YzaP18/edit"",""2!d2:d29""))"),28.0)</f>
        <v>28</v>
      </c>
      <c r="F637" s="45">
        <f>IFERROR(__xludf.DUMMYFUNCTION("SUM(IMPORTRANGE(""https://docs.google.com/spreadsheets/d/1wMeol_MpSIcocGxt3WZGl46mJ2tc80mANPvP_YzaP18/edit"",""2!Q2:Q29""))"),5458.878)</f>
        <v>5458.878</v>
      </c>
      <c r="G637" s="40">
        <f>IFERROR(__xludf.DUMMYFUNCTION("IMPORTRANGE(""https://docs.google.com/spreadsheets/d/1wMeol_MpSIcocGxt3WZGl46mJ2tc80mANPvP_YzaP18/edit"",""2!e36"")"),1516.0)</f>
        <v>1516</v>
      </c>
      <c r="H637" s="40">
        <f>IFERROR(__xludf.DUMMYFUNCTION("(IMPORTRANGE(""https://docs.google.com/spreadsheets/d/1wMeol_MpSIcocGxt3WZGl46mJ2tc80mANPvP_YzaP18/edit"",""2!e37""))"),43.0)</f>
        <v>43</v>
      </c>
      <c r="I637" s="40">
        <f t="shared" si="1740"/>
        <v>1559</v>
      </c>
      <c r="J637" s="40">
        <f>IFERROR(__xludf.DUMMYFUNCTION("IMPORTRANGE(""https://docs.google.com/spreadsheets/d/1wMeol_MpSIcocGxt3WZGl46mJ2tc80mANPvP_YzaP18/edit"",""2!e40"")"),1765.0)</f>
        <v>1765</v>
      </c>
      <c r="K637" s="40">
        <f>IFERROR(__xludf.DUMMYFUNCTION("IMPORTRANGE(""https://docs.google.com/spreadsheets/d/1wMeol_MpSIcocGxt3WZGl46mJ2tc80mANPvP_YzaP18/edit"",""2!e41"")"),115.0)</f>
        <v>115</v>
      </c>
      <c r="L637" s="40">
        <f t="shared" si="1770"/>
        <v>1880</v>
      </c>
      <c r="M637" s="40">
        <f t="shared" si="1742"/>
        <v>3439</v>
      </c>
      <c r="N637" s="41">
        <f t="shared" si="1743"/>
        <v>194.9599286</v>
      </c>
      <c r="O637" s="38">
        <v>3569.0</v>
      </c>
      <c r="P637" s="42">
        <f t="shared" si="1744"/>
        <v>0.9635752312</v>
      </c>
      <c r="Q637" s="43">
        <v>1.5</v>
      </c>
      <c r="R637" s="42">
        <f t="shared" si="1745"/>
        <v>0.4199886253</v>
      </c>
      <c r="S637" s="44">
        <f t="shared" si="1746"/>
        <v>0.6299829379</v>
      </c>
      <c r="T637" s="43">
        <f>F637/21.463</f>
        <v>254.339002</v>
      </c>
      <c r="U637" s="43">
        <f t="shared" si="1747"/>
        <v>9.083535786</v>
      </c>
      <c r="V637" s="40">
        <f t="shared" si="1748"/>
        <v>122.8214286</v>
      </c>
      <c r="X637" s="31">
        <v>5.0</v>
      </c>
      <c r="Y637" s="31" t="s">
        <v>40</v>
      </c>
      <c r="Z637" s="31">
        <f t="shared" ref="Z637:AI637" si="1773">SUM(D641)</f>
        <v>30</v>
      </c>
      <c r="AA637" s="32">
        <f t="shared" si="1773"/>
        <v>30</v>
      </c>
      <c r="AB637" s="33">
        <f t="shared" si="1773"/>
        <v>5845.703</v>
      </c>
      <c r="AC637" s="32">
        <f t="shared" si="1773"/>
        <v>3323</v>
      </c>
      <c r="AD637" s="32">
        <f t="shared" si="1773"/>
        <v>39</v>
      </c>
      <c r="AE637" s="32">
        <f t="shared" si="1773"/>
        <v>3362</v>
      </c>
      <c r="AF637" s="32">
        <f t="shared" si="1773"/>
        <v>3928</v>
      </c>
      <c r="AG637" s="32">
        <f t="shared" si="1773"/>
        <v>73</v>
      </c>
      <c r="AH637" s="32">
        <f t="shared" si="1773"/>
        <v>4001</v>
      </c>
      <c r="AI637" s="32">
        <f t="shared" si="1773"/>
        <v>7363</v>
      </c>
      <c r="AJ637" s="34">
        <f t="shared" si="1760"/>
        <v>194.8567667</v>
      </c>
      <c r="AK637" s="31">
        <f t="shared" ref="AK637:AK638" si="1776">SUM(O641)</f>
        <v>8239</v>
      </c>
      <c r="AL637" s="35">
        <f t="shared" si="1762"/>
        <v>0.893676417</v>
      </c>
      <c r="AM637" s="36">
        <f t="shared" ref="AM637:AM638" si="1777">SUM(Q641)</f>
        <v>1.5</v>
      </c>
      <c r="AN637" s="35">
        <f t="shared" si="1764"/>
        <v>0.8397051076</v>
      </c>
      <c r="AO637" s="37">
        <f t="shared" si="1765"/>
        <v>1.259557661</v>
      </c>
      <c r="AP637" s="36">
        <f t="shared" ref="AP637:AQ637" si="1774">SUM(T641)</f>
        <v>205.5234328</v>
      </c>
      <c r="AQ637" s="36">
        <f t="shared" si="1774"/>
        <v>6.850781094</v>
      </c>
      <c r="AR637" s="32">
        <f t="shared" si="1767"/>
        <v>245.4333333</v>
      </c>
    </row>
    <row r="638" ht="15.75" customHeight="1">
      <c r="A638" s="21"/>
      <c r="B638" s="38">
        <v>12.0</v>
      </c>
      <c r="C638" s="38" t="s">
        <v>41</v>
      </c>
      <c r="D638" s="39">
        <v>24.0</v>
      </c>
      <c r="E638" s="40">
        <f>IFERROR(__xludf.DUMMYFUNCTION("COUNT(IMPORTRANGE(""https://docs.google.com/spreadsheets/d/1sHk6_yuc4kORC_xnhEeazoemV_hVUQVqRpfoNae-PLk/edit"",""2!d2:d25""))"),24.0)</f>
        <v>24</v>
      </c>
      <c r="F638" s="45">
        <f>IFERROR(__xludf.DUMMYFUNCTION("SUM(IMPORTRANGE(""https://docs.google.com/spreadsheets/d/1sHk6_yuc4kORC_xnhEeazoemV_hVUQVqRpfoNae-PLk/edit"",""2!Q2:Q25""))"),4806.3200000000015)</f>
        <v>4806.32</v>
      </c>
      <c r="G638" s="40">
        <f>IFERROR(__xludf.DUMMYFUNCTION("IMPORTRANGE(""https://docs.google.com/spreadsheets/d/1sHk6_yuc4kORC_xnhEeazoemV_hVUQVqRpfoNae-PLk/edit"",""2!e32"")"),1468.0)</f>
        <v>1468</v>
      </c>
      <c r="H638" s="40">
        <f>IFERROR(__xludf.DUMMYFUNCTION("IMPORTRANGE(""https://docs.google.com/spreadsheets/d/1sHk6_yuc4kORC_xnhEeazoemV_hVUQVqRpfoNae-PLk/edit"",""2!e33"")"),0.0)</f>
        <v>0</v>
      </c>
      <c r="I638" s="40">
        <f t="shared" si="1740"/>
        <v>1468</v>
      </c>
      <c r="J638" s="40">
        <f>IFERROR(__xludf.DUMMYFUNCTION("IMPORTRANGE(""https://docs.google.com/spreadsheets/d/1sHk6_yuc4kORC_xnhEeazoemV_hVUQVqRpfoNae-PLk/edit"",""2!e36"")"),1656.0)</f>
        <v>1656</v>
      </c>
      <c r="K638" s="40">
        <f>IFERROR(__xludf.DUMMYFUNCTION("IMPORTRANGE(""https://docs.google.com/spreadsheets/d/1sHk6_yuc4kORC_xnhEeazoemV_hVUQVqRpfoNae-PLk/edit"",""2!e37"")"),0.0)</f>
        <v>0</v>
      </c>
      <c r="L638" s="40">
        <f t="shared" si="1770"/>
        <v>1656</v>
      </c>
      <c r="M638" s="40">
        <f t="shared" si="1742"/>
        <v>3124</v>
      </c>
      <c r="N638" s="41">
        <f t="shared" si="1743"/>
        <v>200.2633333</v>
      </c>
      <c r="O638" s="38">
        <v>3801.0</v>
      </c>
      <c r="P638" s="42">
        <f t="shared" si="1744"/>
        <v>0.8218889766</v>
      </c>
      <c r="Q638" s="43">
        <v>1.5</v>
      </c>
      <c r="R638" s="42">
        <f t="shared" si="1745"/>
        <v>0.4333183531</v>
      </c>
      <c r="S638" s="44">
        <f t="shared" si="1746"/>
        <v>0.6499775296</v>
      </c>
      <c r="T638" s="43">
        <f>F638/29.628</f>
        <v>162.2222222</v>
      </c>
      <c r="U638" s="43">
        <f t="shared" si="1747"/>
        <v>6.759259259</v>
      </c>
      <c r="V638" s="40">
        <f t="shared" si="1748"/>
        <v>130.1666667</v>
      </c>
      <c r="X638" s="22">
        <v>6.0</v>
      </c>
      <c r="Y638" s="22" t="s">
        <v>42</v>
      </c>
      <c r="Z638" s="22">
        <f t="shared" ref="Z638:AI638" si="1775">SUM(D642)</f>
        <v>33</v>
      </c>
      <c r="AA638" s="23">
        <f t="shared" si="1775"/>
        <v>33</v>
      </c>
      <c r="AB638" s="24">
        <f t="shared" si="1775"/>
        <v>6380.282</v>
      </c>
      <c r="AC638" s="23">
        <f t="shared" si="1775"/>
        <v>3133</v>
      </c>
      <c r="AD638" s="23">
        <f t="shared" si="1775"/>
        <v>0</v>
      </c>
      <c r="AE638" s="23">
        <f t="shared" si="1775"/>
        <v>3133</v>
      </c>
      <c r="AF638" s="23">
        <f t="shared" si="1775"/>
        <v>4360</v>
      </c>
      <c r="AG638" s="23">
        <f t="shared" si="1775"/>
        <v>0</v>
      </c>
      <c r="AH638" s="23">
        <f t="shared" si="1775"/>
        <v>4360</v>
      </c>
      <c r="AI638" s="23">
        <f t="shared" si="1775"/>
        <v>7493</v>
      </c>
      <c r="AJ638" s="25">
        <f t="shared" si="1760"/>
        <v>193.3418788</v>
      </c>
      <c r="AK638" s="22">
        <f t="shared" si="1776"/>
        <v>9877</v>
      </c>
      <c r="AL638" s="26">
        <f t="shared" si="1762"/>
        <v>0.7586311633</v>
      </c>
      <c r="AM638" s="27">
        <f t="shared" si="1777"/>
        <v>1.5</v>
      </c>
      <c r="AN638" s="26">
        <f t="shared" si="1764"/>
        <v>0.782933001</v>
      </c>
      <c r="AO638" s="28">
        <f t="shared" si="1765"/>
        <v>1.174399501</v>
      </c>
      <c r="AP638" s="27">
        <f t="shared" ref="AP638:AQ638" si="1778">SUM(T642)</f>
        <v>243.9411967</v>
      </c>
      <c r="AQ638" s="27">
        <f t="shared" si="1778"/>
        <v>7.392157476</v>
      </c>
      <c r="AR638" s="23">
        <f t="shared" si="1767"/>
        <v>227.0606061</v>
      </c>
    </row>
    <row r="639" ht="15.75" customHeight="1">
      <c r="A639" s="21"/>
      <c r="B639" s="38">
        <v>13.0</v>
      </c>
      <c r="C639" s="38" t="s">
        <v>43</v>
      </c>
      <c r="D639" s="39">
        <v>30.0</v>
      </c>
      <c r="E639" s="40">
        <f>IFERROR(__xludf.DUMMYFUNCTION("COUNT(IMPORTRANGE(""https://docs.google.com/spreadsheets/d/1uGXvAN2jA6kmcEHUY4KqOHHewllZsujDdA6KVDfBCoA/edit"",""2!d2:d31""))"),30.0)</f>
        <v>30</v>
      </c>
      <c r="F639" s="45">
        <f>IFERROR(__xludf.DUMMYFUNCTION("SUM(IMPORTRANGE(""https://docs.google.com/spreadsheets/d/1uGXvAN2jA6kmcEHUY4KqOHHewllZsujDdA6KVDfBCoA/edit"",""2!Q2:Q31""))"),6284.277999999999)</f>
        <v>6284.278</v>
      </c>
      <c r="G639" s="40">
        <f>IFERROR(__xludf.DUMMYFUNCTION("IMPORTRANGE(""https://docs.google.com/spreadsheets/d/1uGXvAN2jA6kmcEHUY4KqOHHewllZsujDdA6KVDfBCoA/edit"",""2!e38"")"),2309.0)</f>
        <v>2309</v>
      </c>
      <c r="H639" s="40">
        <f>IFERROR(__xludf.DUMMYFUNCTION("IMPORTRANGE(""https://docs.google.com/spreadsheets/d/1uGXvAN2jA6kmcEHUY4KqOHHewllZsujDdA6KVDfBCoA/edit"",""2!e39"")"),0.0)</f>
        <v>0</v>
      </c>
      <c r="I639" s="40">
        <f t="shared" si="1740"/>
        <v>2309</v>
      </c>
      <c r="J639" s="40">
        <f>IFERROR(__xludf.DUMMYFUNCTION("IMPORTRANGE(""https://docs.google.com/spreadsheets/d/1uGXvAN2jA6kmcEHUY4KqOHHewllZsujDdA6KVDfBCoA/edit"",""2!e42"")"),2749.0)</f>
        <v>2749</v>
      </c>
      <c r="K639" s="40">
        <f>IFERROR(__xludf.DUMMYFUNCTION("IMPORTRANGE(""https://docs.google.com/spreadsheets/d/1uGXvAN2jA6kmcEHUY4KqOHHewllZsujDdA6KVDfBCoA/edit"",""2!e43"")"),159.0)</f>
        <v>159</v>
      </c>
      <c r="L639" s="40">
        <f t="shared" si="1770"/>
        <v>2908</v>
      </c>
      <c r="M639" s="40">
        <f t="shared" si="1742"/>
        <v>5217</v>
      </c>
      <c r="N639" s="41">
        <f t="shared" si="1743"/>
        <v>209.4759333</v>
      </c>
      <c r="O639" s="38">
        <v>8345.0</v>
      </c>
      <c r="P639" s="42">
        <f t="shared" si="1744"/>
        <v>0.6251647693</v>
      </c>
      <c r="Q639" s="43">
        <v>1.5</v>
      </c>
      <c r="R639" s="42">
        <f t="shared" si="1745"/>
        <v>0.5534446439</v>
      </c>
      <c r="S639" s="44">
        <f t="shared" si="1746"/>
        <v>0.8301669659</v>
      </c>
      <c r="T639" s="43">
        <f>F639/41.205</f>
        <v>152.5125106</v>
      </c>
      <c r="U639" s="43">
        <f t="shared" si="1747"/>
        <v>5.083750354</v>
      </c>
      <c r="V639" s="40">
        <f t="shared" si="1748"/>
        <v>173.9</v>
      </c>
      <c r="X639" s="46" t="s">
        <v>33</v>
      </c>
      <c r="Y639" s="46">
        <v>6.0</v>
      </c>
      <c r="Z639" s="46">
        <f t="shared" ref="Z639:AI639" si="1779">SUM(Z633:Z638)</f>
        <v>226</v>
      </c>
      <c r="AA639" s="47">
        <f t="shared" si="1779"/>
        <v>224</v>
      </c>
      <c r="AB639" s="49">
        <f t="shared" si="1779"/>
        <v>44187.784</v>
      </c>
      <c r="AC639" s="47">
        <f t="shared" si="1779"/>
        <v>18291</v>
      </c>
      <c r="AD639" s="47">
        <f t="shared" si="1779"/>
        <v>143</v>
      </c>
      <c r="AE639" s="47">
        <f t="shared" si="1779"/>
        <v>18434</v>
      </c>
      <c r="AF639" s="47">
        <f t="shared" si="1779"/>
        <v>22964</v>
      </c>
      <c r="AG639" s="47">
        <f t="shared" si="1779"/>
        <v>334</v>
      </c>
      <c r="AH639" s="47">
        <f t="shared" si="1779"/>
        <v>23298</v>
      </c>
      <c r="AI639" s="47">
        <f t="shared" si="1779"/>
        <v>41732</v>
      </c>
      <c r="AJ639" s="49">
        <f t="shared" si="1760"/>
        <v>197.2668929</v>
      </c>
      <c r="AK639" s="46">
        <f>SUM(AK633:AK638)</f>
        <v>53273</v>
      </c>
      <c r="AL639" s="50">
        <f t="shared" si="1762"/>
        <v>0.7833611773</v>
      </c>
      <c r="AM639" s="51">
        <v>1.5</v>
      </c>
      <c r="AN639" s="50">
        <f t="shared" si="1764"/>
        <v>0.6296159439</v>
      </c>
      <c r="AO639" s="52">
        <f t="shared" si="1765"/>
        <v>0.9444239159</v>
      </c>
      <c r="AP639" s="51">
        <f>SUM(AP633:AP638)</f>
        <v>1450.497236</v>
      </c>
      <c r="AQ639" s="51">
        <f>AP639/AA639</f>
        <v>6.475434089</v>
      </c>
      <c r="AR639" s="47">
        <f t="shared" si="1767"/>
        <v>186.3035714</v>
      </c>
    </row>
    <row r="640" ht="15.75" customHeight="1">
      <c r="A640" s="21"/>
      <c r="B640" s="38">
        <v>14.0</v>
      </c>
      <c r="C640" s="38" t="s">
        <v>27</v>
      </c>
      <c r="D640" s="39">
        <v>30.0</v>
      </c>
      <c r="E640" s="40">
        <f>IFERROR(__xludf.DUMMYFUNCTION("COUNT(IMPORTRANGE(""https://docs.google.com/spreadsheets/d/1iYtf3wkjJIgOL8ej0-L89wY8FLXKi6EiRbi9UqA1Bzw/edit"",""2!d2:d31""))"),28.0)</f>
        <v>28</v>
      </c>
      <c r="F640" s="45">
        <f>IFERROR(__xludf.DUMMYFUNCTION("SUM(IMPORTRANGE(""https://docs.google.com/spreadsheets/d/1iYtf3wkjJIgOL8ej0-L89wY8FLXKi6EiRbi9UqA1Bzw/edit"",""2!Q2:Q31""))"),5465.76)</f>
        <v>5465.76</v>
      </c>
      <c r="G640" s="40">
        <f>IFERROR(__xludf.DUMMYFUNCTION("IMPORTRANGE(""https://docs.google.com/spreadsheets/d/1iYtf3wkjJIgOL8ej0-L89wY8FLXKi6EiRbi9UqA1Bzw/edit"",""2!e38"")"),2368.0)</f>
        <v>2368</v>
      </c>
      <c r="H640" s="40">
        <f>IFERROR(__xludf.DUMMYFUNCTION("IMPORTRANGE(""https://docs.google.com/spreadsheets/d/1iYtf3wkjJIgOL8ej0-L89wY8FLXKi6EiRbi9UqA1Bzw/edit"",""2!e39"")"),140.0)</f>
        <v>140</v>
      </c>
      <c r="I640" s="40">
        <f t="shared" si="1740"/>
        <v>2508</v>
      </c>
      <c r="J640" s="40">
        <f>IFERROR(__xludf.DUMMYFUNCTION("IMPORTRANGE(""https://docs.google.com/spreadsheets/d/1iYtf3wkjJIgOL8ej0-L89wY8FLXKi6EiRbi9UqA1Bzw/edit"",""2!e42"")"),3355.0)</f>
        <v>3355</v>
      </c>
      <c r="K640" s="40">
        <f>IFERROR(__xludf.DUMMYFUNCTION("IMPORTRANGE(""https://docs.google.com/spreadsheets/d/1iYtf3wkjJIgOL8ej0-L89wY8FLXKi6EiRbi9UqA1Bzw/edit"",""2!e43"")"),107.0)</f>
        <v>107</v>
      </c>
      <c r="L640" s="40">
        <f t="shared" si="1770"/>
        <v>3462</v>
      </c>
      <c r="M640" s="40">
        <f t="shared" si="1742"/>
        <v>5970</v>
      </c>
      <c r="N640" s="41">
        <f t="shared" si="1743"/>
        <v>195.2057143</v>
      </c>
      <c r="O640" s="38">
        <v>8101.0</v>
      </c>
      <c r="P640" s="42">
        <f t="shared" si="1744"/>
        <v>0.736946056</v>
      </c>
      <c r="Q640" s="43">
        <v>1.5</v>
      </c>
      <c r="R640" s="42">
        <f t="shared" si="1745"/>
        <v>0.7281695501</v>
      </c>
      <c r="S640" s="44">
        <f t="shared" si="1746"/>
        <v>1.092254325</v>
      </c>
      <c r="T640" s="43">
        <f>F640/19.985</f>
        <v>273.4931198</v>
      </c>
      <c r="U640" s="43">
        <f t="shared" si="1747"/>
        <v>9.767611423</v>
      </c>
      <c r="V640" s="40">
        <f t="shared" si="1748"/>
        <v>213.2142857</v>
      </c>
      <c r="X640" s="59" t="s">
        <v>44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6"/>
    </row>
    <row r="641" ht="15.75" customHeight="1">
      <c r="A641" s="21"/>
      <c r="B641" s="38">
        <v>15.0</v>
      </c>
      <c r="C641" s="38" t="s">
        <v>40</v>
      </c>
      <c r="D641" s="39">
        <v>30.0</v>
      </c>
      <c r="E641" s="40">
        <f>IFERROR(__xludf.DUMMYFUNCTION("COUNT(IMPORTRANGE(""https://docs.google.com/spreadsheets/d/1Wdf8MsoDBzMSsrzOXwaGQzbVjVqOWfKSqYmbncevZgA/edit"",""2!d2:d31""))"),30.0)</f>
        <v>30</v>
      </c>
      <c r="F641" s="45">
        <f>IFERROR(__xludf.DUMMYFUNCTION("SUM(IMPORTRANGE(""https://docs.google.com/spreadsheets/d/1Wdf8MsoDBzMSsrzOXwaGQzbVjVqOWfKSqYmbncevZgA/edit"",""2!Q2:Q31""))"),5845.702999999999)</f>
        <v>5845.703</v>
      </c>
      <c r="G641" s="40">
        <f>IFERROR(__xludf.DUMMYFUNCTION("IMPORTRANGE(""https://docs.google.com/spreadsheets/d/1Wdf8MsoDBzMSsrzOXwaGQzbVjVqOWfKSqYmbncevZgA/edit"",""2!e38"")"),3323.0)</f>
        <v>3323</v>
      </c>
      <c r="H641" s="40">
        <f>IFERROR(__xludf.DUMMYFUNCTION("IMPORTRANGE(""https://docs.google.com/spreadsheets/d/1Wdf8MsoDBzMSsrzOXwaGQzbVjVqOWfKSqYmbncevZgA/edit"",""2!e39"")"),39.0)</f>
        <v>39</v>
      </c>
      <c r="I641" s="40">
        <f t="shared" si="1740"/>
        <v>3362</v>
      </c>
      <c r="J641" s="40">
        <f>IFERROR(__xludf.DUMMYFUNCTION("IMPORTRANGE(""https://docs.google.com/spreadsheets/d/1Wdf8MsoDBzMSsrzOXwaGQzbVjVqOWfKSqYmbncevZgA/edit"",""2!e42"")"),3928.0)</f>
        <v>3928</v>
      </c>
      <c r="K641" s="40">
        <f>IFERROR(__xludf.DUMMYFUNCTION("IMPORTRANGE(""https://docs.google.com/spreadsheets/d/1Wdf8MsoDBzMSsrzOXwaGQzbVjVqOWfKSqYmbncevZgA/edit"",""2!e43"")"),73.0)</f>
        <v>73</v>
      </c>
      <c r="L641" s="40">
        <f t="shared" si="1770"/>
        <v>4001</v>
      </c>
      <c r="M641" s="40">
        <f t="shared" si="1742"/>
        <v>7363</v>
      </c>
      <c r="N641" s="41">
        <f t="shared" si="1743"/>
        <v>194.8567667</v>
      </c>
      <c r="O641" s="38">
        <v>8239.0</v>
      </c>
      <c r="P641" s="42">
        <f t="shared" si="1744"/>
        <v>0.893676417</v>
      </c>
      <c r="Q641" s="43">
        <v>1.5</v>
      </c>
      <c r="R641" s="42">
        <f t="shared" si="1745"/>
        <v>0.8397051076</v>
      </c>
      <c r="S641" s="44">
        <f t="shared" si="1746"/>
        <v>1.259557661</v>
      </c>
      <c r="T641" s="43">
        <f>F641/28.443</f>
        <v>205.5234328</v>
      </c>
      <c r="U641" s="43">
        <f t="shared" si="1747"/>
        <v>6.850781094</v>
      </c>
      <c r="V641" s="40">
        <f t="shared" si="1748"/>
        <v>245.4333333</v>
      </c>
      <c r="X641" s="14" t="s">
        <v>2</v>
      </c>
      <c r="Y641" s="14" t="s">
        <v>3</v>
      </c>
      <c r="Z641" s="14" t="s">
        <v>4</v>
      </c>
      <c r="AA641" s="14" t="s">
        <v>5</v>
      </c>
      <c r="AB641" s="15" t="s">
        <v>6</v>
      </c>
      <c r="AC641" s="14" t="s">
        <v>7</v>
      </c>
      <c r="AD641" s="14" t="s">
        <v>8</v>
      </c>
      <c r="AE641" s="14" t="s">
        <v>9</v>
      </c>
      <c r="AF641" s="14" t="s">
        <v>10</v>
      </c>
      <c r="AG641" s="14" t="s">
        <v>11</v>
      </c>
      <c r="AH641" s="14" t="s">
        <v>12</v>
      </c>
      <c r="AI641" s="14" t="s">
        <v>13</v>
      </c>
      <c r="AJ641" s="15" t="s">
        <v>14</v>
      </c>
      <c r="AK641" s="14" t="s">
        <v>15</v>
      </c>
      <c r="AL641" s="14" t="s">
        <v>16</v>
      </c>
      <c r="AM641" s="16" t="s">
        <v>17</v>
      </c>
      <c r="AN641" s="17" t="s">
        <v>18</v>
      </c>
      <c r="AO641" s="18" t="s">
        <v>19</v>
      </c>
      <c r="AP641" s="19" t="s">
        <v>20</v>
      </c>
      <c r="AQ641" s="19" t="s">
        <v>21</v>
      </c>
      <c r="AR641" s="20" t="s">
        <v>22</v>
      </c>
    </row>
    <row r="642" ht="15.75" customHeight="1">
      <c r="A642" s="21"/>
      <c r="B642" s="38">
        <v>16.0</v>
      </c>
      <c r="C642" s="38" t="s">
        <v>42</v>
      </c>
      <c r="D642" s="39">
        <v>33.0</v>
      </c>
      <c r="E642" s="40">
        <f>IFERROR(__xludf.DUMMYFUNCTION("COUNT(IMPORTRANGE(""https://docs.google.com/spreadsheets/d/1Z5uB5HbeAKcHmG4EOw3rf2J8NpyvDiha6RReERAMvA0/edit"",""2!d2:d34""))"),33.0)</f>
        <v>33</v>
      </c>
      <c r="F642" s="45">
        <f>IFERROR(__xludf.DUMMYFUNCTION("SUM(IMPORTRANGE(""https://docs.google.com/spreadsheets/d/1Z5uB5HbeAKcHmG4EOw3rf2J8NpyvDiha6RReERAMvA0/edit"",""2!Q2:Q34""))"),6380.281999999998)</f>
        <v>6380.282</v>
      </c>
      <c r="G642" s="40">
        <f>IFERROR(__xludf.DUMMYFUNCTION("IMPORTRANGE(""https://docs.google.com/spreadsheets/d/1Z5uB5HbeAKcHmG4EOw3rf2J8NpyvDiha6RReERAMvA0/edit"",""2!e41"")"),3133.0)</f>
        <v>3133</v>
      </c>
      <c r="H642" s="40">
        <f>IFERROR(__xludf.DUMMYFUNCTION("IMPORTRANGE(""https://docs.google.com/spreadsheets/d/1Z5uB5HbeAKcHmG4EOw3rf2J8NpyvDiha6RReERAMvA0/edit"",""2!e42"")"),0.0)</f>
        <v>0</v>
      </c>
      <c r="I642" s="40">
        <f t="shared" si="1740"/>
        <v>3133</v>
      </c>
      <c r="J642" s="40">
        <f>IFERROR(__xludf.DUMMYFUNCTION("IMPORTRANGE(""https://docs.google.com/spreadsheets/d/1Z5uB5HbeAKcHmG4EOw3rf2J8NpyvDiha6RReERAMvA0/edit"",""2!e45"")"),4360.0)</f>
        <v>4360</v>
      </c>
      <c r="K642" s="40">
        <f>IFERROR(__xludf.DUMMYFUNCTION("IMPORTRANGE(""https://docs.google.com/spreadsheets/d/1Z5uB5HbeAKcHmG4EOw3rf2J8NpyvDiha6RReERAMvA0/edit"",""2!e46"")"),0.0)</f>
        <v>0</v>
      </c>
      <c r="L642" s="40">
        <f t="shared" si="1770"/>
        <v>4360</v>
      </c>
      <c r="M642" s="40">
        <f t="shared" si="1742"/>
        <v>7493</v>
      </c>
      <c r="N642" s="41">
        <f t="shared" si="1743"/>
        <v>193.3418788</v>
      </c>
      <c r="O642" s="38">
        <v>9877.0</v>
      </c>
      <c r="P642" s="42">
        <f t="shared" si="1744"/>
        <v>0.7586311633</v>
      </c>
      <c r="Q642" s="43">
        <v>1.5</v>
      </c>
      <c r="R642" s="42">
        <f t="shared" si="1745"/>
        <v>0.782933001</v>
      </c>
      <c r="S642" s="44">
        <f t="shared" si="1746"/>
        <v>1.174399501</v>
      </c>
      <c r="T642" s="43">
        <f>F642/26.155</f>
        <v>243.9411967</v>
      </c>
      <c r="U642" s="43">
        <f t="shared" si="1747"/>
        <v>7.392157476</v>
      </c>
      <c r="V642" s="40">
        <f t="shared" si="1748"/>
        <v>227.0606061</v>
      </c>
      <c r="X642" s="31">
        <v>1.0</v>
      </c>
      <c r="Y642" s="31" t="s">
        <v>26</v>
      </c>
      <c r="Z642" s="31">
        <f t="shared" ref="Z642:AI642" si="1780">SUM(D627)</f>
        <v>20</v>
      </c>
      <c r="AA642" s="32">
        <f t="shared" si="1780"/>
        <v>20</v>
      </c>
      <c r="AB642" s="34">
        <f t="shared" si="1780"/>
        <v>3560.964</v>
      </c>
      <c r="AC642" s="32">
        <f t="shared" si="1780"/>
        <v>1873</v>
      </c>
      <c r="AD642" s="32">
        <f t="shared" si="1780"/>
        <v>0</v>
      </c>
      <c r="AE642" s="32">
        <f t="shared" si="1780"/>
        <v>1873</v>
      </c>
      <c r="AF642" s="32">
        <f t="shared" si="1780"/>
        <v>3204</v>
      </c>
      <c r="AG642" s="32">
        <f t="shared" si="1780"/>
        <v>0</v>
      </c>
      <c r="AH642" s="32">
        <f t="shared" si="1780"/>
        <v>3204</v>
      </c>
      <c r="AI642" s="32">
        <f t="shared" si="1780"/>
        <v>5077</v>
      </c>
      <c r="AJ642" s="34">
        <f t="shared" ref="AJ642:AJ648" si="1783">AB642/AA642</f>
        <v>178.0482</v>
      </c>
      <c r="AK642" s="31">
        <f>SUM(O627)</f>
        <v>5161</v>
      </c>
      <c r="AL642" s="35">
        <f t="shared" ref="AL642:AL648" si="1784">AI642/AK642</f>
        <v>0.9837240845</v>
      </c>
      <c r="AM642" s="36">
        <f>SUM(Q627)</f>
        <v>1.5</v>
      </c>
      <c r="AN642" s="35">
        <f t="shared" ref="AN642:AN648" si="1785">AO642/AM642</f>
        <v>0.9504916833</v>
      </c>
      <c r="AO642" s="37">
        <f t="shared" ref="AO642:AO648" si="1786">AI642/AB642</f>
        <v>1.425737525</v>
      </c>
      <c r="AP642" s="36">
        <f t="shared" ref="AP642:AQ642" si="1781">SUM(T627)</f>
        <v>247.0318418</v>
      </c>
      <c r="AQ642" s="36">
        <f t="shared" si="1781"/>
        <v>12.35159209</v>
      </c>
      <c r="AR642" s="32">
        <f t="shared" ref="AR642:AR648" si="1788">AI642/AA642</f>
        <v>253.85</v>
      </c>
    </row>
    <row r="643" ht="15.75" customHeight="1">
      <c r="A643" s="21"/>
      <c r="B643" s="38">
        <v>17.0</v>
      </c>
      <c r="C643" s="38" t="s">
        <v>29</v>
      </c>
      <c r="D643" s="39">
        <v>30.0</v>
      </c>
      <c r="E643" s="40">
        <f>IFERROR(__xludf.DUMMYFUNCTION("COUNT(IMPORTRANGE(""https://docs.google.com/spreadsheets/d/1wfJqI0e9wVPqEQv3N6b8KgINjqI0OBECEyIFeY9j3i8/edit"",""2!d2:d31""))"),29.0)</f>
        <v>29</v>
      </c>
      <c r="F643" s="45">
        <f>IFERROR(__xludf.DUMMYFUNCTION("SUM(IMPORTRANGE(""https://docs.google.com/spreadsheets/d/1wfJqI0e9wVPqEQv3N6b8KgINjqI0OBECEyIFeY9j3i8/edit"",""2!Q2:Q31""))"),5775.037999999998)</f>
        <v>5775.038</v>
      </c>
      <c r="G643" s="40">
        <f>IFERROR(__xludf.DUMMYFUNCTION("IMPORTRANGE(""https://docs.google.com/spreadsheets/d/1wfJqI0e9wVPqEQv3N6b8KgINjqI0OBECEyIFeY9j3i8/edit"",""2!e38"")"),2726.0)</f>
        <v>2726</v>
      </c>
      <c r="H643" s="40">
        <f>IFERROR(__xludf.DUMMYFUNCTION("IMPORTRANGE(""https://docs.google.com/spreadsheets/d/1wfJqI0e9wVPqEQv3N6b8KgINjqI0OBECEyIFeY9j3i8/edit"",""2!e39"")"),0.0)</f>
        <v>0</v>
      </c>
      <c r="I643" s="40">
        <f t="shared" si="1740"/>
        <v>2726</v>
      </c>
      <c r="J643" s="40">
        <f>IFERROR(__xludf.DUMMYFUNCTION("IMPORTRANGE(""https://docs.google.com/spreadsheets/d/1wfJqI0e9wVPqEQv3N6b8KgINjqI0OBECEyIFeY9j3i8/edit"",""2!e42"")"),4235.0)</f>
        <v>4235</v>
      </c>
      <c r="K643" s="40">
        <f>IFERROR(__xludf.DUMMYFUNCTION("IMPORTRANGE(""https://docs.google.com/spreadsheets/d/1wfJqI0e9wVPqEQv3N6b8KgINjqI0OBECEyIFeY9j3i8/edit"",""2!e43"")"),0.0)</f>
        <v>0</v>
      </c>
      <c r="L643" s="40">
        <f t="shared" si="1770"/>
        <v>4235</v>
      </c>
      <c r="M643" s="40">
        <f t="shared" si="1742"/>
        <v>6961</v>
      </c>
      <c r="N643" s="41">
        <f t="shared" si="1743"/>
        <v>199.1392414</v>
      </c>
      <c r="O643" s="38">
        <v>9201.0</v>
      </c>
      <c r="P643" s="42">
        <f t="shared" si="1744"/>
        <v>0.7565482013</v>
      </c>
      <c r="Q643" s="43">
        <v>1.5</v>
      </c>
      <c r="R643" s="42">
        <f t="shared" si="1745"/>
        <v>0.803573356</v>
      </c>
      <c r="S643" s="44">
        <f t="shared" si="1746"/>
        <v>1.205360034</v>
      </c>
      <c r="T643" s="43">
        <f>F643/26.491</f>
        <v>218</v>
      </c>
      <c r="U643" s="43">
        <f t="shared" si="1747"/>
        <v>7.517241379</v>
      </c>
      <c r="V643" s="40">
        <f t="shared" si="1748"/>
        <v>240.0344828</v>
      </c>
      <c r="X643" s="31">
        <v>2.0</v>
      </c>
      <c r="Y643" s="31" t="s">
        <v>32</v>
      </c>
      <c r="Z643" s="31">
        <f t="shared" ref="Z643:AI643" si="1782">SUM(D630)</f>
        <v>42</v>
      </c>
      <c r="AA643" s="32">
        <f t="shared" si="1782"/>
        <v>42</v>
      </c>
      <c r="AB643" s="33">
        <f t="shared" si="1782"/>
        <v>8179.014</v>
      </c>
      <c r="AC643" s="31">
        <f t="shared" si="1782"/>
        <v>4808</v>
      </c>
      <c r="AD643" s="31">
        <f t="shared" si="1782"/>
        <v>0</v>
      </c>
      <c r="AE643" s="32">
        <f t="shared" si="1782"/>
        <v>4808</v>
      </c>
      <c r="AF643" s="31">
        <f t="shared" si="1782"/>
        <v>5449</v>
      </c>
      <c r="AG643" s="31">
        <f t="shared" si="1782"/>
        <v>190</v>
      </c>
      <c r="AH643" s="32">
        <f t="shared" si="1782"/>
        <v>5639</v>
      </c>
      <c r="AI643" s="32">
        <f t="shared" si="1782"/>
        <v>10447</v>
      </c>
      <c r="AJ643" s="34">
        <f t="shared" si="1783"/>
        <v>194.7384286</v>
      </c>
      <c r="AK643" s="31">
        <f>SUM(O630)</f>
        <v>13817</v>
      </c>
      <c r="AL643" s="35">
        <f t="shared" si="1784"/>
        <v>0.756097561</v>
      </c>
      <c r="AM643" s="36">
        <f>SUM(Q630)</f>
        <v>1.5</v>
      </c>
      <c r="AN643" s="35">
        <f t="shared" si="1785"/>
        <v>0.8515288844</v>
      </c>
      <c r="AO643" s="37">
        <f t="shared" si="1786"/>
        <v>1.277293327</v>
      </c>
      <c r="AP643" s="36">
        <f t="shared" ref="AP643:AQ643" si="1787">SUM(T630)</f>
        <v>326</v>
      </c>
      <c r="AQ643" s="36">
        <f t="shared" si="1787"/>
        <v>7.761904762</v>
      </c>
      <c r="AR643" s="32">
        <f t="shared" si="1788"/>
        <v>248.7380952</v>
      </c>
    </row>
    <row r="644" ht="15.75" customHeight="1">
      <c r="A644" s="21"/>
      <c r="B644" s="38">
        <v>18.0</v>
      </c>
      <c r="C644" s="38" t="s">
        <v>31</v>
      </c>
      <c r="D644" s="39">
        <v>15.0</v>
      </c>
      <c r="E644" s="40">
        <f>IFERROR(__xludf.DUMMYFUNCTION("COUNT(IMPORTRANGE(""https://docs.google.com/spreadsheets/d/1-y2KhTAo7d8kowgUuWUDfRQuRMUAFteRYEXorT3_wOs/edit"",""2!d2:d16""))"),13.0)</f>
        <v>13</v>
      </c>
      <c r="F644" s="41">
        <f>IFERROR(__xludf.DUMMYFUNCTION("SUM(IMPORTRANGE(""https://docs.google.com/spreadsheets/d/1-y2KhTAo7d8kowgUuWUDfRQuRMUAFteRYEXorT3_wOs/edit"",""2!Q2:Q16""))"),2607.9000000000005)</f>
        <v>2607.9</v>
      </c>
      <c r="G644" s="40">
        <f>IFERROR(__xludf.DUMMYFUNCTION("IMPORTRANGE(""https://docs.google.com/spreadsheets/d/1-y2KhTAo7d8kowgUuWUDfRQuRMUAFteRYEXorT3_wOs/edit"",""2!e23"")"),870.0)</f>
        <v>870</v>
      </c>
      <c r="H644" s="40">
        <f>IFERROR(__xludf.DUMMYFUNCTION("IMPORTRANGE(""https://docs.google.com/spreadsheets/d/1-y2KhTAo7d8kowgUuWUDfRQuRMUAFteRYEXorT3_wOs/edit"",""2!e24"")"),0.0)</f>
        <v>0</v>
      </c>
      <c r="I644" s="40">
        <f t="shared" si="1740"/>
        <v>870</v>
      </c>
      <c r="J644" s="40">
        <f>IFERROR(__xludf.DUMMYFUNCTION("IMPORTRANGE(""https://docs.google.com/spreadsheets/d/1-y2KhTAo7d8kowgUuWUDfRQuRMUAFteRYEXorT3_wOs/edit"",""2!e27"")"),975.0)</f>
        <v>975</v>
      </c>
      <c r="K644" s="40">
        <f>IFERROR(__xludf.DUMMYFUNCTION("IMPORTRANGE(""https://docs.google.com/spreadsheets/d/1-y2KhTAo7d8kowgUuWUDfRQuRMUAFteRYEXorT3_wOs/edit"",""2!e28"")"),55.0)</f>
        <v>55</v>
      </c>
      <c r="L644" s="40">
        <f t="shared" si="1770"/>
        <v>1030</v>
      </c>
      <c r="M644" s="40">
        <f t="shared" si="1742"/>
        <v>1900</v>
      </c>
      <c r="N644" s="41">
        <f t="shared" si="1743"/>
        <v>200.6076923</v>
      </c>
      <c r="O644" s="38">
        <v>2717.0</v>
      </c>
      <c r="P644" s="42">
        <f t="shared" si="1744"/>
        <v>0.6993006993</v>
      </c>
      <c r="Q644" s="43">
        <v>1.5</v>
      </c>
      <c r="R644" s="42">
        <f t="shared" si="1745"/>
        <v>0.4857036952</v>
      </c>
      <c r="S644" s="44">
        <f t="shared" si="1746"/>
        <v>0.7285555428</v>
      </c>
      <c r="T644" s="43">
        <f>F644/43.465</f>
        <v>60</v>
      </c>
      <c r="U644" s="43">
        <f t="shared" si="1747"/>
        <v>4.615384615</v>
      </c>
      <c r="V644" s="40">
        <f t="shared" si="1748"/>
        <v>146.1538462</v>
      </c>
      <c r="X644" s="31">
        <v>3.0</v>
      </c>
      <c r="Y644" s="31" t="s">
        <v>36</v>
      </c>
      <c r="Z644" s="31">
        <f t="shared" ref="Z644:AI644" si="1789">SUM(D635)</f>
        <v>30</v>
      </c>
      <c r="AA644" s="32">
        <f t="shared" si="1789"/>
        <v>29</v>
      </c>
      <c r="AB644" s="33">
        <f t="shared" si="1789"/>
        <v>5604.12</v>
      </c>
      <c r="AC644" s="32">
        <f t="shared" si="1789"/>
        <v>1533</v>
      </c>
      <c r="AD644" s="32">
        <f t="shared" si="1789"/>
        <v>0</v>
      </c>
      <c r="AE644" s="32">
        <f t="shared" si="1789"/>
        <v>1533</v>
      </c>
      <c r="AF644" s="32">
        <f t="shared" si="1789"/>
        <v>2301</v>
      </c>
      <c r="AG644" s="32">
        <f t="shared" si="1789"/>
        <v>0</v>
      </c>
      <c r="AH644" s="32">
        <f t="shared" si="1789"/>
        <v>2301</v>
      </c>
      <c r="AI644" s="32">
        <f t="shared" si="1789"/>
        <v>3834</v>
      </c>
      <c r="AJ644" s="34">
        <f t="shared" si="1783"/>
        <v>193.2455172</v>
      </c>
      <c r="AK644" s="31">
        <f t="shared" ref="AK644:AK647" si="1793">SUM(O635)</f>
        <v>4796</v>
      </c>
      <c r="AL644" s="35">
        <f t="shared" si="1784"/>
        <v>0.7994161802</v>
      </c>
      <c r="AM644" s="36">
        <f t="shared" ref="AM644:AM647" si="1794">SUM(Q635)</f>
        <v>1.5</v>
      </c>
      <c r="AN644" s="35">
        <f t="shared" si="1785"/>
        <v>0.4560930173</v>
      </c>
      <c r="AO644" s="37">
        <f t="shared" si="1786"/>
        <v>0.6841395259</v>
      </c>
      <c r="AP644" s="36">
        <f t="shared" ref="AP644:AQ644" si="1790">SUM(T635)</f>
        <v>149.7867109</v>
      </c>
      <c r="AQ644" s="36">
        <f t="shared" si="1790"/>
        <v>5.165058995</v>
      </c>
      <c r="AR644" s="32">
        <f t="shared" si="1788"/>
        <v>132.2068966</v>
      </c>
    </row>
    <row r="645" ht="15.75" customHeight="1">
      <c r="A645" s="21"/>
      <c r="B645" s="60" t="s">
        <v>33</v>
      </c>
      <c r="C645" s="60">
        <v>18.0</v>
      </c>
      <c r="D645" s="60">
        <f t="shared" ref="D645:M645" si="1791">SUM(D627:D644)</f>
        <v>586</v>
      </c>
      <c r="E645" s="61">
        <f t="shared" si="1791"/>
        <v>576</v>
      </c>
      <c r="F645" s="62">
        <f t="shared" si="1791"/>
        <v>112418.192</v>
      </c>
      <c r="G645" s="61">
        <f t="shared" si="1791"/>
        <v>43479</v>
      </c>
      <c r="H645" s="61">
        <f t="shared" si="1791"/>
        <v>764</v>
      </c>
      <c r="I645" s="61">
        <f t="shared" si="1791"/>
        <v>44243</v>
      </c>
      <c r="J645" s="61">
        <f t="shared" si="1791"/>
        <v>56392</v>
      </c>
      <c r="K645" s="61">
        <f t="shared" si="1791"/>
        <v>1134</v>
      </c>
      <c r="L645" s="61">
        <f t="shared" si="1791"/>
        <v>57526</v>
      </c>
      <c r="M645" s="61">
        <f t="shared" si="1791"/>
        <v>101769</v>
      </c>
      <c r="N645" s="62">
        <f t="shared" si="1743"/>
        <v>195.1704722</v>
      </c>
      <c r="O645" s="60">
        <f>SUM(O627:O644)</f>
        <v>126399</v>
      </c>
      <c r="P645" s="63">
        <f t="shared" si="1744"/>
        <v>0.8051408635</v>
      </c>
      <c r="Q645" s="64">
        <v>1.5</v>
      </c>
      <c r="R645" s="63">
        <f t="shared" si="1745"/>
        <v>0.6035144205</v>
      </c>
      <c r="S645" s="65">
        <f t="shared" si="1746"/>
        <v>0.9052716308</v>
      </c>
      <c r="T645" s="64">
        <f>SUM(T627:T644)</f>
        <v>4134.025243</v>
      </c>
      <c r="U645" s="64">
        <f t="shared" si="1747"/>
        <v>7.177127158</v>
      </c>
      <c r="V645" s="61">
        <f t="shared" si="1748"/>
        <v>176.6822917</v>
      </c>
      <c r="X645" s="31">
        <v>4.0</v>
      </c>
      <c r="Y645" s="31" t="s">
        <v>37</v>
      </c>
      <c r="Z645" s="31">
        <f t="shared" ref="Z645:AI645" si="1792">SUM(D636)</f>
        <v>30</v>
      </c>
      <c r="AA645" s="32">
        <f t="shared" si="1792"/>
        <v>30</v>
      </c>
      <c r="AB645" s="33">
        <f t="shared" si="1792"/>
        <v>5812.188</v>
      </c>
      <c r="AC645" s="32">
        <f t="shared" si="1792"/>
        <v>2138</v>
      </c>
      <c r="AD645" s="32">
        <f t="shared" si="1792"/>
        <v>0</v>
      </c>
      <c r="AE645" s="32">
        <f t="shared" si="1792"/>
        <v>2138</v>
      </c>
      <c r="AF645" s="32">
        <f t="shared" si="1792"/>
        <v>3071</v>
      </c>
      <c r="AG645" s="32">
        <f t="shared" si="1792"/>
        <v>0</v>
      </c>
      <c r="AH645" s="32">
        <f t="shared" si="1792"/>
        <v>3071</v>
      </c>
      <c r="AI645" s="32">
        <f t="shared" si="1792"/>
        <v>5209</v>
      </c>
      <c r="AJ645" s="34">
        <f t="shared" si="1783"/>
        <v>193.7396</v>
      </c>
      <c r="AK645" s="31">
        <f t="shared" si="1793"/>
        <v>5887</v>
      </c>
      <c r="AL645" s="35">
        <f t="shared" si="1784"/>
        <v>0.8848309835</v>
      </c>
      <c r="AM645" s="36">
        <f t="shared" si="1794"/>
        <v>1.5</v>
      </c>
      <c r="AN645" s="35">
        <f t="shared" si="1785"/>
        <v>0.5974800999</v>
      </c>
      <c r="AO645" s="37">
        <f t="shared" si="1786"/>
        <v>0.8962201498</v>
      </c>
      <c r="AP645" s="36">
        <f t="shared" ref="AP645:AQ645" si="1795">SUM(T636)</f>
        <v>234.4380445</v>
      </c>
      <c r="AQ645" s="36">
        <f t="shared" si="1795"/>
        <v>7.814601484</v>
      </c>
      <c r="AR645" s="32">
        <f t="shared" si="1788"/>
        <v>173.6333333</v>
      </c>
    </row>
    <row r="646" ht="15.7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X646" s="31">
        <v>5.0</v>
      </c>
      <c r="Y646" s="31" t="s">
        <v>39</v>
      </c>
      <c r="Z646" s="31">
        <f t="shared" ref="Z646:AI646" si="1796">SUM(D637)</f>
        <v>28</v>
      </c>
      <c r="AA646" s="32">
        <f t="shared" si="1796"/>
        <v>28</v>
      </c>
      <c r="AB646" s="33">
        <f t="shared" si="1796"/>
        <v>5458.878</v>
      </c>
      <c r="AC646" s="32">
        <f t="shared" si="1796"/>
        <v>1516</v>
      </c>
      <c r="AD646" s="32">
        <f t="shared" si="1796"/>
        <v>43</v>
      </c>
      <c r="AE646" s="32">
        <f t="shared" si="1796"/>
        <v>1559</v>
      </c>
      <c r="AF646" s="32">
        <f t="shared" si="1796"/>
        <v>1765</v>
      </c>
      <c r="AG646" s="32">
        <f t="shared" si="1796"/>
        <v>115</v>
      </c>
      <c r="AH646" s="32">
        <f t="shared" si="1796"/>
        <v>1880</v>
      </c>
      <c r="AI646" s="32">
        <f t="shared" si="1796"/>
        <v>3439</v>
      </c>
      <c r="AJ646" s="34">
        <f t="shared" si="1783"/>
        <v>194.9599286</v>
      </c>
      <c r="AK646" s="31">
        <f t="shared" si="1793"/>
        <v>3569</v>
      </c>
      <c r="AL646" s="35">
        <f t="shared" si="1784"/>
        <v>0.9635752312</v>
      </c>
      <c r="AM646" s="36">
        <f t="shared" si="1794"/>
        <v>1.5</v>
      </c>
      <c r="AN646" s="35">
        <f t="shared" si="1785"/>
        <v>0.4199886253</v>
      </c>
      <c r="AO646" s="37">
        <f t="shared" si="1786"/>
        <v>0.6299829379</v>
      </c>
      <c r="AP646" s="36">
        <f t="shared" ref="AP646:AQ646" si="1797">SUM(T637)</f>
        <v>254.339002</v>
      </c>
      <c r="AQ646" s="36">
        <f t="shared" si="1797"/>
        <v>9.083535786</v>
      </c>
      <c r="AR646" s="32">
        <f t="shared" si="1788"/>
        <v>122.8214286</v>
      </c>
    </row>
    <row r="647" ht="15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X647" s="31">
        <v>6.0</v>
      </c>
      <c r="Y647" s="31" t="s">
        <v>41</v>
      </c>
      <c r="Z647" s="31">
        <f t="shared" ref="Z647:AI647" si="1798">SUM(D638)</f>
        <v>24</v>
      </c>
      <c r="AA647" s="32">
        <f t="shared" si="1798"/>
        <v>24</v>
      </c>
      <c r="AB647" s="33">
        <f t="shared" si="1798"/>
        <v>4806.32</v>
      </c>
      <c r="AC647" s="32">
        <f t="shared" si="1798"/>
        <v>1468</v>
      </c>
      <c r="AD647" s="32">
        <f t="shared" si="1798"/>
        <v>0</v>
      </c>
      <c r="AE647" s="32">
        <f t="shared" si="1798"/>
        <v>1468</v>
      </c>
      <c r="AF647" s="32">
        <f t="shared" si="1798"/>
        <v>1656</v>
      </c>
      <c r="AG647" s="32">
        <f t="shared" si="1798"/>
        <v>0</v>
      </c>
      <c r="AH647" s="32">
        <f t="shared" si="1798"/>
        <v>1656</v>
      </c>
      <c r="AI647" s="32">
        <f t="shared" si="1798"/>
        <v>3124</v>
      </c>
      <c r="AJ647" s="34">
        <f t="shared" si="1783"/>
        <v>200.2633333</v>
      </c>
      <c r="AK647" s="31">
        <f t="shared" si="1793"/>
        <v>3801</v>
      </c>
      <c r="AL647" s="35">
        <f t="shared" si="1784"/>
        <v>0.8218889766</v>
      </c>
      <c r="AM647" s="36">
        <f t="shared" si="1794"/>
        <v>1.5</v>
      </c>
      <c r="AN647" s="35">
        <f t="shared" si="1785"/>
        <v>0.4333183531</v>
      </c>
      <c r="AO647" s="37">
        <f t="shared" si="1786"/>
        <v>0.6499775296</v>
      </c>
      <c r="AP647" s="36">
        <f t="shared" ref="AP647:AQ647" si="1799">SUM(T638)</f>
        <v>162.2222222</v>
      </c>
      <c r="AQ647" s="36">
        <f t="shared" si="1799"/>
        <v>6.759259259</v>
      </c>
      <c r="AR647" s="32">
        <f t="shared" si="1788"/>
        <v>130.1666667</v>
      </c>
    </row>
    <row r="648" ht="15.75" customHeight="1">
      <c r="A648" s="1" t="s">
        <v>45</v>
      </c>
      <c r="D648" s="2"/>
      <c r="X648" s="46" t="s">
        <v>33</v>
      </c>
      <c r="Y648" s="46">
        <v>6.0</v>
      </c>
      <c r="Z648" s="46">
        <f t="shared" ref="Z648:AI648" si="1800">SUM(Z642:Z647)</f>
        <v>174</v>
      </c>
      <c r="AA648" s="47">
        <f t="shared" si="1800"/>
        <v>173</v>
      </c>
      <c r="AB648" s="49">
        <f t="shared" si="1800"/>
        <v>33421.484</v>
      </c>
      <c r="AC648" s="47">
        <f t="shared" si="1800"/>
        <v>13336</v>
      </c>
      <c r="AD648" s="47">
        <f t="shared" si="1800"/>
        <v>43</v>
      </c>
      <c r="AE648" s="47">
        <f t="shared" si="1800"/>
        <v>13379</v>
      </c>
      <c r="AF648" s="47">
        <f t="shared" si="1800"/>
        <v>17446</v>
      </c>
      <c r="AG648" s="47">
        <f t="shared" si="1800"/>
        <v>305</v>
      </c>
      <c r="AH648" s="47">
        <f t="shared" si="1800"/>
        <v>17751</v>
      </c>
      <c r="AI648" s="47">
        <f t="shared" si="1800"/>
        <v>31130</v>
      </c>
      <c r="AJ648" s="49">
        <f t="shared" si="1783"/>
        <v>193.1877688</v>
      </c>
      <c r="AK648" s="46">
        <f>SUM(AK642:AK647)</f>
        <v>37031</v>
      </c>
      <c r="AL648" s="50">
        <f t="shared" si="1784"/>
        <v>0.8406470255</v>
      </c>
      <c r="AM648" s="51">
        <v>1.5</v>
      </c>
      <c r="AN648" s="50">
        <f t="shared" si="1785"/>
        <v>0.6209578645</v>
      </c>
      <c r="AO648" s="52">
        <f t="shared" si="1786"/>
        <v>0.9314367968</v>
      </c>
      <c r="AP648" s="51">
        <f>SUM(AP642:AP647)</f>
        <v>1373.817821</v>
      </c>
      <c r="AQ648" s="51">
        <f>AP648/AA648</f>
        <v>7.941143477</v>
      </c>
      <c r="AR648" s="47">
        <f t="shared" si="1788"/>
        <v>179.9421965</v>
      </c>
    </row>
    <row r="649" ht="15.75" customHeight="1">
      <c r="A649" s="1" t="s">
        <v>45</v>
      </c>
      <c r="D649" s="2"/>
      <c r="X649" s="66" t="s">
        <v>1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6"/>
    </row>
    <row r="650" ht="15.75" customHeight="1">
      <c r="A650" s="7">
        <v>46290.0</v>
      </c>
      <c r="B650" s="8" t="s">
        <v>2</v>
      </c>
      <c r="C650" s="8" t="s">
        <v>3</v>
      </c>
      <c r="D650" s="8" t="s">
        <v>4</v>
      </c>
      <c r="E650" s="8" t="s">
        <v>5</v>
      </c>
      <c r="F650" s="9" t="s">
        <v>6</v>
      </c>
      <c r="G650" s="8" t="s">
        <v>7</v>
      </c>
      <c r="H650" s="8" t="s">
        <v>8</v>
      </c>
      <c r="I650" s="8" t="s">
        <v>9</v>
      </c>
      <c r="J650" s="8" t="s">
        <v>10</v>
      </c>
      <c r="K650" s="8" t="s">
        <v>11</v>
      </c>
      <c r="L650" s="8" t="s">
        <v>12</v>
      </c>
      <c r="M650" s="8" t="s">
        <v>13</v>
      </c>
      <c r="N650" s="9" t="s">
        <v>14</v>
      </c>
      <c r="O650" s="8" t="s">
        <v>15</v>
      </c>
      <c r="P650" s="8" t="s">
        <v>16</v>
      </c>
      <c r="Q650" s="8" t="s">
        <v>17</v>
      </c>
      <c r="R650" s="8" t="s">
        <v>18</v>
      </c>
      <c r="S650" s="11" t="s">
        <v>19</v>
      </c>
      <c r="T650" s="12" t="s">
        <v>20</v>
      </c>
      <c r="U650" s="12" t="s">
        <v>21</v>
      </c>
      <c r="V650" s="13" t="s">
        <v>22</v>
      </c>
      <c r="X650" s="14" t="s">
        <v>2</v>
      </c>
      <c r="Y650" s="14" t="s">
        <v>3</v>
      </c>
      <c r="Z650" s="14" t="s">
        <v>4</v>
      </c>
      <c r="AA650" s="14" t="s">
        <v>5</v>
      </c>
      <c r="AB650" s="15" t="s">
        <v>6</v>
      </c>
      <c r="AC650" s="14" t="s">
        <v>7</v>
      </c>
      <c r="AD650" s="14" t="s">
        <v>8</v>
      </c>
      <c r="AE650" s="14" t="s">
        <v>9</v>
      </c>
      <c r="AF650" s="14" t="s">
        <v>10</v>
      </c>
      <c r="AG650" s="14" t="s">
        <v>11</v>
      </c>
      <c r="AH650" s="14" t="s">
        <v>12</v>
      </c>
      <c r="AI650" s="14" t="s">
        <v>13</v>
      </c>
      <c r="AJ650" s="15" t="s">
        <v>14</v>
      </c>
      <c r="AK650" s="14" t="s">
        <v>15</v>
      </c>
      <c r="AL650" s="14" t="s">
        <v>16</v>
      </c>
      <c r="AM650" s="16" t="s">
        <v>17</v>
      </c>
      <c r="AN650" s="17" t="s">
        <v>18</v>
      </c>
      <c r="AO650" s="18" t="s">
        <v>19</v>
      </c>
      <c r="AP650" s="19" t="s">
        <v>20</v>
      </c>
      <c r="AQ650" s="19" t="s">
        <v>21</v>
      </c>
      <c r="AR650" s="20" t="s">
        <v>22</v>
      </c>
    </row>
    <row r="651" ht="15.7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X651" s="22">
        <v>1.0</v>
      </c>
      <c r="Y651" s="22" t="s">
        <v>23</v>
      </c>
      <c r="Z651" s="22">
        <f t="shared" ref="Z651:AI651" si="1801">SUM(D659)</f>
        <v>35</v>
      </c>
      <c r="AA651" s="23">
        <f t="shared" si="1801"/>
        <v>34</v>
      </c>
      <c r="AB651" s="24">
        <f t="shared" si="1801"/>
        <v>6680.52</v>
      </c>
      <c r="AC651" s="23">
        <f t="shared" si="1801"/>
        <v>2083</v>
      </c>
      <c r="AD651" s="23">
        <f t="shared" si="1801"/>
        <v>0</v>
      </c>
      <c r="AE651" s="23">
        <f t="shared" si="1801"/>
        <v>2083</v>
      </c>
      <c r="AF651" s="23">
        <f t="shared" si="1801"/>
        <v>2916</v>
      </c>
      <c r="AG651" s="23">
        <f t="shared" si="1801"/>
        <v>0</v>
      </c>
      <c r="AH651" s="23">
        <f t="shared" si="1801"/>
        <v>2916</v>
      </c>
      <c r="AI651" s="23">
        <f t="shared" si="1801"/>
        <v>4999</v>
      </c>
      <c r="AJ651" s="25">
        <f t="shared" ref="AJ651:AJ653" si="1804">AB651/AA651</f>
        <v>196.4858824</v>
      </c>
      <c r="AK651" s="22">
        <f>SUM(O659)</f>
        <v>6853</v>
      </c>
      <c r="AL651" s="26">
        <f t="shared" ref="AL651:AL657" si="1805">AI651/AK651</f>
        <v>0.7294615497</v>
      </c>
      <c r="AM651" s="27">
        <f t="shared" ref="AM651:AM653" si="1806">SUM(Q659)</f>
        <v>1.5</v>
      </c>
      <c r="AN651" s="26">
        <f t="shared" ref="AN651:AN657" si="1807">AO651/AM651</f>
        <v>0.4988633619</v>
      </c>
      <c r="AO651" s="28">
        <f t="shared" ref="AO651:AO657" si="1808">AI651/AB651</f>
        <v>0.7482950429</v>
      </c>
      <c r="AP651" s="27">
        <f t="shared" ref="AP651:AQ651" si="1802">SUM(T659)</f>
        <v>198</v>
      </c>
      <c r="AQ651" s="27">
        <f t="shared" si="1802"/>
        <v>5.823529412</v>
      </c>
      <c r="AR651" s="23">
        <f t="shared" ref="AR651:AR657" si="1810">AI651/AA651</f>
        <v>147.0294118</v>
      </c>
    </row>
    <row r="652" ht="15.7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X652" s="22">
        <v>2.0</v>
      </c>
      <c r="Y652" s="22" t="s">
        <v>24</v>
      </c>
      <c r="Z652" s="22">
        <f t="shared" ref="Z652:AI652" si="1803">SUM(D660)</f>
        <v>44</v>
      </c>
      <c r="AA652" s="23">
        <f t="shared" si="1803"/>
        <v>44</v>
      </c>
      <c r="AB652" s="24">
        <f t="shared" si="1803"/>
        <v>8354.582</v>
      </c>
      <c r="AC652" s="23">
        <f t="shared" si="1803"/>
        <v>1454</v>
      </c>
      <c r="AD652" s="23">
        <f t="shared" si="1803"/>
        <v>0</v>
      </c>
      <c r="AE652" s="23">
        <f t="shared" si="1803"/>
        <v>1454</v>
      </c>
      <c r="AF652" s="23">
        <f t="shared" si="1803"/>
        <v>1288</v>
      </c>
      <c r="AG652" s="23">
        <f t="shared" si="1803"/>
        <v>28</v>
      </c>
      <c r="AH652" s="23">
        <f t="shared" si="1803"/>
        <v>1316</v>
      </c>
      <c r="AI652" s="23">
        <f t="shared" si="1803"/>
        <v>2770</v>
      </c>
      <c r="AJ652" s="25">
        <f t="shared" si="1804"/>
        <v>189.8768636</v>
      </c>
      <c r="AK652" s="22">
        <v>1580.0</v>
      </c>
      <c r="AL652" s="26">
        <f t="shared" si="1805"/>
        <v>1.753164557</v>
      </c>
      <c r="AM652" s="27">
        <f t="shared" si="1806"/>
        <v>1.5</v>
      </c>
      <c r="AN652" s="26">
        <f t="shared" si="1807"/>
        <v>0.2210363926</v>
      </c>
      <c r="AO652" s="28">
        <f t="shared" si="1808"/>
        <v>0.3315545888</v>
      </c>
      <c r="AP652" s="27">
        <f t="shared" ref="AP652:AQ652" si="1809">SUM(T660)</f>
        <v>311.6799851</v>
      </c>
      <c r="AQ652" s="27">
        <f t="shared" si="1809"/>
        <v>7.083636024</v>
      </c>
      <c r="AR652" s="23">
        <f t="shared" si="1810"/>
        <v>62.95454545</v>
      </c>
    </row>
    <row r="653" ht="15.75" customHeight="1">
      <c r="A653" s="21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X653" s="31">
        <v>3.0</v>
      </c>
      <c r="Y653" s="31" t="s">
        <v>25</v>
      </c>
      <c r="Z653" s="31">
        <f t="shared" ref="Z653:AI653" si="1811">SUM(D661)</f>
        <v>32</v>
      </c>
      <c r="AA653" s="32">
        <f t="shared" si="1811"/>
        <v>31</v>
      </c>
      <c r="AB653" s="33">
        <f t="shared" si="1811"/>
        <v>5925.124</v>
      </c>
      <c r="AC653" s="32">
        <f t="shared" si="1811"/>
        <v>2351</v>
      </c>
      <c r="AD653" s="32">
        <f t="shared" si="1811"/>
        <v>438</v>
      </c>
      <c r="AE653" s="32">
        <f t="shared" si="1811"/>
        <v>2789</v>
      </c>
      <c r="AF653" s="32">
        <f t="shared" si="1811"/>
        <v>3213</v>
      </c>
      <c r="AG653" s="32">
        <f t="shared" si="1811"/>
        <v>305</v>
      </c>
      <c r="AH653" s="32">
        <f t="shared" si="1811"/>
        <v>3518</v>
      </c>
      <c r="AI653" s="32">
        <f t="shared" si="1811"/>
        <v>6307</v>
      </c>
      <c r="AJ653" s="34">
        <f t="shared" si="1804"/>
        <v>191.1330323</v>
      </c>
      <c r="AK653" s="31">
        <f>SUM(O661)</f>
        <v>6622</v>
      </c>
      <c r="AL653" s="35">
        <f t="shared" si="1805"/>
        <v>0.9524312896</v>
      </c>
      <c r="AM653" s="36">
        <f t="shared" si="1806"/>
        <v>1.5</v>
      </c>
      <c r="AN653" s="35">
        <f t="shared" si="1807"/>
        <v>0.7096335312</v>
      </c>
      <c r="AO653" s="37">
        <f t="shared" si="1808"/>
        <v>1.064450297</v>
      </c>
      <c r="AP653" s="36">
        <f t="shared" ref="AP653:AQ653" si="1812">SUM(T661)</f>
        <v>248.5370805</v>
      </c>
      <c r="AQ653" s="36">
        <f t="shared" si="1812"/>
        <v>8.017325179</v>
      </c>
      <c r="AR653" s="32">
        <f t="shared" si="1810"/>
        <v>203.4516129</v>
      </c>
    </row>
    <row r="654" ht="15.75" customHeight="1">
      <c r="A654" s="21"/>
      <c r="B654" s="38">
        <v>1.0</v>
      </c>
      <c r="C654" s="38" t="s">
        <v>26</v>
      </c>
      <c r="D654" s="39">
        <v>20.0</v>
      </c>
      <c r="E654" s="40">
        <f>IFERROR(__xludf.DUMMYFUNCTION("COUNT(IMPORTRANGE(""https://docs.google.com/spreadsheets/d/1F0NpMx7WhcgPgxTWpryY3Z1CGg56FL6aiL4mHs43w4E/edit"",""2!d2:d21""))"),20.0)</f>
        <v>20</v>
      </c>
      <c r="F654" s="41">
        <f>IFERROR(__xludf.DUMMYFUNCTION("SUM(IMPORTRANGE(""https://docs.google.com/spreadsheets/d/1F0NpMx7WhcgPgxTWpryY3Z1CGg56FL6aiL4mHs43w4E/edit"",""2!Q2:Q21""))"),3560.964)</f>
        <v>3560.964</v>
      </c>
      <c r="G654" s="40">
        <f>IFERROR(__xludf.DUMMYFUNCTION("IMPORTRANGE(""https://docs.google.com/spreadsheets/d/1F0NpMx7WhcgPgxTWpryY3Z1CGg56FL6aiL4mHs43w4E/edit"",""2!e28"")"),1873.0)</f>
        <v>1873</v>
      </c>
      <c r="H654" s="40">
        <f>IFERROR(__xludf.DUMMYFUNCTION("IMPORTRANGE(""https://docs.google.com/spreadsheets/d/1F0NpMx7WhcgPgxTWpryY3Z1CGg56FL6aiL4mHs43w4E/edit"",""2!e29"")"),0.0)</f>
        <v>0</v>
      </c>
      <c r="I654" s="40">
        <f t="shared" ref="I654:I671" si="1815">SUM(G654:H654)</f>
        <v>1873</v>
      </c>
      <c r="J654" s="40">
        <f>IFERROR(__xludf.DUMMYFUNCTION("IMPORTRANGE(""https://docs.google.com/spreadsheets/d/1F0NpMx7WhcgPgxTWpryY3Z1CGg56FL6aiL4mHs43w4E/edit"",""2!e32"")"),3204.0)</f>
        <v>3204</v>
      </c>
      <c r="K654" s="40">
        <f>IFERROR(__xludf.DUMMYFUNCTION("IMPORTRANGE(""https://docs.google.com/spreadsheets/d/1F0NpMx7WhcgPgxTWpryY3Z1CGg56FL6aiL4mHs43w4E/edit"",""2!e33"")"),0.0)</f>
        <v>0</v>
      </c>
      <c r="L654" s="40">
        <f t="shared" ref="L654:L660" si="1816">SUM(J654:K654)</f>
        <v>3204</v>
      </c>
      <c r="M654" s="40">
        <f t="shared" ref="M654:M671" si="1817">SUM(I654+L654)</f>
        <v>5077</v>
      </c>
      <c r="N654" s="41">
        <f t="shared" ref="N654:N672" si="1818">F654/E654</f>
        <v>178.0482</v>
      </c>
      <c r="O654" s="38">
        <v>5161.0</v>
      </c>
      <c r="P654" s="42">
        <f t="shared" ref="P654:P672" si="1819">M654/O654</f>
        <v>0.9837240845</v>
      </c>
      <c r="Q654" s="43">
        <v>1.5</v>
      </c>
      <c r="R654" s="42">
        <f t="shared" ref="R654:R672" si="1820">S654/Q654</f>
        <v>0.9504916833</v>
      </c>
      <c r="S654" s="44">
        <f t="shared" ref="S654:S672" si="1821">M654/F654</f>
        <v>1.425737525</v>
      </c>
      <c r="T654" s="43">
        <f>F654/14.415</f>
        <v>247.0318418</v>
      </c>
      <c r="U654" s="43">
        <f t="shared" ref="U654:U672" si="1822">T654/E654</f>
        <v>12.35159209</v>
      </c>
      <c r="V654" s="40">
        <f t="shared" ref="V654:V672" si="1823">M654/E654</f>
        <v>253.85</v>
      </c>
      <c r="X654" s="22">
        <v>4.0</v>
      </c>
      <c r="Y654" s="22" t="s">
        <v>27</v>
      </c>
      <c r="Z654" s="22">
        <f t="shared" ref="Z654:AK654" si="1813">SUM(D667)</f>
        <v>30</v>
      </c>
      <c r="AA654" s="23">
        <f t="shared" si="1813"/>
        <v>28</v>
      </c>
      <c r="AB654" s="24">
        <f t="shared" si="1813"/>
        <v>5465.76</v>
      </c>
      <c r="AC654" s="23">
        <f t="shared" si="1813"/>
        <v>2368</v>
      </c>
      <c r="AD654" s="23">
        <f t="shared" si="1813"/>
        <v>140</v>
      </c>
      <c r="AE654" s="23">
        <f t="shared" si="1813"/>
        <v>2508</v>
      </c>
      <c r="AF654" s="23">
        <f t="shared" si="1813"/>
        <v>3355</v>
      </c>
      <c r="AG654" s="23">
        <f t="shared" si="1813"/>
        <v>107</v>
      </c>
      <c r="AH654" s="23">
        <f t="shared" si="1813"/>
        <v>3462</v>
      </c>
      <c r="AI654" s="23">
        <f t="shared" si="1813"/>
        <v>5970</v>
      </c>
      <c r="AJ654" s="25">
        <f t="shared" si="1813"/>
        <v>195.2057143</v>
      </c>
      <c r="AK654" s="22">
        <f t="shared" si="1813"/>
        <v>8101</v>
      </c>
      <c r="AL654" s="26">
        <f t="shared" si="1805"/>
        <v>0.736946056</v>
      </c>
      <c r="AM654" s="27">
        <f>SUM(Q667)</f>
        <v>1.5</v>
      </c>
      <c r="AN654" s="26">
        <f t="shared" si="1807"/>
        <v>0.7281695501</v>
      </c>
      <c r="AO654" s="28">
        <f t="shared" si="1808"/>
        <v>1.092254325</v>
      </c>
      <c r="AP654" s="27">
        <f t="shared" ref="AP654:AQ654" si="1814">SUM(T667)</f>
        <v>273.4931198</v>
      </c>
      <c r="AQ654" s="27">
        <f t="shared" si="1814"/>
        <v>9.767611423</v>
      </c>
      <c r="AR654" s="23">
        <f t="shared" si="1810"/>
        <v>213.2142857</v>
      </c>
    </row>
    <row r="655" ht="15.75" customHeight="1">
      <c r="A655" s="21"/>
      <c r="B655" s="38">
        <v>2.0</v>
      </c>
      <c r="C655" s="38" t="s">
        <v>28</v>
      </c>
      <c r="D655" s="39">
        <v>33.0</v>
      </c>
      <c r="E655" s="40">
        <f>IFERROR(__xludf.DUMMYFUNCTION("COUNT(IMPORTRANGE(""https://docs.google.com/spreadsheets/d/1H9vAqftAHb0OdeSGXHTnJFzoWUgpoH31sc0sHNN8y1o/edit"",""2!d2:d34""))"),33.0)</f>
        <v>33</v>
      </c>
      <c r="F655" s="41">
        <f>IFERROR(__xludf.DUMMYFUNCTION("SUM(IMPORTRANGE(""https://docs.google.com/spreadsheets/d/1H9vAqftAHb0OdeSGXHTnJFzoWUgpoH31sc0sHNN8y1o/edit"",""2!Q2:Q34""))"),6528.832999999999)</f>
        <v>6528.833</v>
      </c>
      <c r="G655" s="40">
        <f>IFERROR(__xludf.DUMMYFUNCTION("IMPORTRANGE(""https://docs.google.com/spreadsheets/d/1H9vAqftAHb0OdeSGXHTnJFzoWUgpoH31sc0sHNN8y1o/edit"",""2!e41"")"),2700.0)</f>
        <v>2700</v>
      </c>
      <c r="H655" s="40">
        <f>IFERROR(__xludf.DUMMYFUNCTION("IMPORTRANGE(""https://docs.google.com/spreadsheets/d/1H9vAqftAHb0OdeSGXHTnJFzoWUgpoH31sc0sHNN8y1o/edit"",""2!e42"")"),104.0)</f>
        <v>104</v>
      </c>
      <c r="I655" s="40">
        <f t="shared" si="1815"/>
        <v>2804</v>
      </c>
      <c r="J655" s="40">
        <f>IFERROR(__xludf.DUMMYFUNCTION("IMPORTRANGE(""https://docs.google.com/spreadsheets/d/1H9vAqftAHb0OdeSGXHTnJFzoWUgpoH31sc0sHNN8y1o/edit"",""2!e45"")"),3205.0)</f>
        <v>3205</v>
      </c>
      <c r="K655" s="40">
        <f>IFERROR(__xludf.DUMMYFUNCTION("IMPORTRANGE(""https://docs.google.com/spreadsheets/d/1H9vAqftAHb0OdeSGXHTnJFzoWUgpoH31sc0sHNN8y1o/edit"",""2!e46"")"),102.0)</f>
        <v>102</v>
      </c>
      <c r="L655" s="40">
        <f t="shared" si="1816"/>
        <v>3307</v>
      </c>
      <c r="M655" s="40">
        <f t="shared" si="1817"/>
        <v>6111</v>
      </c>
      <c r="N655" s="41">
        <f t="shared" si="1818"/>
        <v>197.8434242</v>
      </c>
      <c r="O655" s="38">
        <v>7315.0</v>
      </c>
      <c r="P655" s="42">
        <f t="shared" si="1819"/>
        <v>0.8354066986</v>
      </c>
      <c r="Q655" s="43">
        <v>1.5</v>
      </c>
      <c r="R655" s="42">
        <f t="shared" si="1820"/>
        <v>0.6240012572</v>
      </c>
      <c r="S655" s="44">
        <f t="shared" si="1821"/>
        <v>0.9360018858</v>
      </c>
      <c r="T655" s="43">
        <f>F655/30.897</f>
        <v>211.3096093</v>
      </c>
      <c r="U655" s="43">
        <f t="shared" si="1822"/>
        <v>6.403321495</v>
      </c>
      <c r="V655" s="40">
        <f t="shared" si="1823"/>
        <v>185.1818182</v>
      </c>
      <c r="X655" s="22">
        <v>5.0</v>
      </c>
      <c r="Y655" s="22" t="s">
        <v>29</v>
      </c>
      <c r="Z655" s="22">
        <f t="shared" ref="Z655:AI655" si="1824">SUM(D670)</f>
        <v>30</v>
      </c>
      <c r="AA655" s="23">
        <f t="shared" si="1824"/>
        <v>29</v>
      </c>
      <c r="AB655" s="24">
        <f t="shared" si="1824"/>
        <v>5775.038</v>
      </c>
      <c r="AC655" s="23">
        <f t="shared" si="1824"/>
        <v>2726</v>
      </c>
      <c r="AD655" s="23">
        <f t="shared" si="1824"/>
        <v>0</v>
      </c>
      <c r="AE655" s="23">
        <f t="shared" si="1824"/>
        <v>2726</v>
      </c>
      <c r="AF655" s="23">
        <f t="shared" si="1824"/>
        <v>4235</v>
      </c>
      <c r="AG655" s="23">
        <f t="shared" si="1824"/>
        <v>0</v>
      </c>
      <c r="AH655" s="23">
        <f t="shared" si="1824"/>
        <v>4235</v>
      </c>
      <c r="AI655" s="23">
        <f t="shared" si="1824"/>
        <v>6961</v>
      </c>
      <c r="AJ655" s="25">
        <f t="shared" ref="AJ655:AJ657" si="1827">AB655/AA655</f>
        <v>199.1392414</v>
      </c>
      <c r="AK655" s="22">
        <f t="shared" ref="AK655:AK656" si="1828">SUM(O670)</f>
        <v>9201</v>
      </c>
      <c r="AL655" s="26">
        <f t="shared" si="1805"/>
        <v>0.7565482013</v>
      </c>
      <c r="AM655" s="27">
        <f t="shared" ref="AM655:AM656" si="1829">SUM(Q670)</f>
        <v>1.5</v>
      </c>
      <c r="AN655" s="26">
        <f t="shared" si="1807"/>
        <v>0.803573356</v>
      </c>
      <c r="AO655" s="28">
        <f t="shared" si="1808"/>
        <v>1.205360034</v>
      </c>
      <c r="AP655" s="27">
        <f t="shared" ref="AP655:AQ655" si="1825">SUM(T670)</f>
        <v>218</v>
      </c>
      <c r="AQ655" s="27">
        <f t="shared" si="1825"/>
        <v>7.517241379</v>
      </c>
      <c r="AR655" s="23">
        <f t="shared" si="1810"/>
        <v>240.0344828</v>
      </c>
    </row>
    <row r="656" ht="15.75" customHeight="1">
      <c r="A656" s="21"/>
      <c r="B656" s="38">
        <v>3.0</v>
      </c>
      <c r="C656" s="38" t="s">
        <v>30</v>
      </c>
      <c r="D656" s="39">
        <v>60.0</v>
      </c>
      <c r="E656" s="40">
        <f>IFERROR(__xludf.DUMMYFUNCTION("COUNT(IMPORTRANGE(""https://docs.google.com/spreadsheets/d/1EWN6nfpuVxbUE_9opjYCWaI7MTm5xsF6ssjklSbMZnA/edit"",""2!d2:d61""))"),58.0)</f>
        <v>58</v>
      </c>
      <c r="F656" s="45">
        <f>IFERROR(__xludf.DUMMYFUNCTION("SUM(IMPORTRANGE(""https://docs.google.com/spreadsheets/d/1EWN6nfpuVxbUE_9opjYCWaI7MTm5xsF6ssjklSbMZnA/edit"",""2!Q2:Q61""))"),11253.344999999988)</f>
        <v>11253.345</v>
      </c>
      <c r="G656" s="40">
        <f>IFERROR(__xludf.DUMMYFUNCTION("IMPORTRANGE(""https://docs.google.com/spreadsheets/d/1EWN6nfpuVxbUE_9opjYCWaI7MTm5xsF6ssjklSbMZnA/edit"",""2!e68"")"),3757.0)</f>
        <v>3757</v>
      </c>
      <c r="H656" s="40">
        <f>IFERROR(__xludf.DUMMYFUNCTION("IMPORTRANGE(""https://docs.google.com/spreadsheets/d/1EWN6nfpuVxbUE_9opjYCWaI7MTm5xsF6ssjklSbMZnA/edit"",""2!e69"")"),0.0)</f>
        <v>0</v>
      </c>
      <c r="I656" s="40">
        <f t="shared" si="1815"/>
        <v>3757</v>
      </c>
      <c r="J656" s="40">
        <f>IFERROR(__xludf.DUMMYFUNCTION("IMPORTRANGE(""https://docs.google.com/spreadsheets/d/1EWN6nfpuVxbUE_9opjYCWaI7MTm5xsF6ssjklSbMZnA/edit"",""2!e72"")"),5596.0)</f>
        <v>5596</v>
      </c>
      <c r="K656" s="40">
        <f>IFERROR(__xludf.DUMMYFUNCTION("IMPORTRANGE(""https://docs.google.com/spreadsheets/d/1EWN6nfpuVxbUE_9opjYCWaI7MTm5xsF6ssjklSbMZnA/edit"",""2!e73"")"),0.0)</f>
        <v>0</v>
      </c>
      <c r="L656" s="40">
        <f t="shared" si="1816"/>
        <v>5596</v>
      </c>
      <c r="M656" s="40">
        <f t="shared" si="1817"/>
        <v>9353</v>
      </c>
      <c r="N656" s="41">
        <f t="shared" si="1818"/>
        <v>194.0231897</v>
      </c>
      <c r="O656" s="38">
        <v>11164.0</v>
      </c>
      <c r="P656" s="42">
        <f t="shared" si="1819"/>
        <v>0.8377821569</v>
      </c>
      <c r="Q656" s="43">
        <v>1.5</v>
      </c>
      <c r="R656" s="42">
        <f t="shared" si="1820"/>
        <v>0.5540871033</v>
      </c>
      <c r="S656" s="44">
        <f t="shared" si="1821"/>
        <v>0.8311306549</v>
      </c>
      <c r="T656" s="43">
        <f>F656/29.603</f>
        <v>380.1420464</v>
      </c>
      <c r="U656" s="43">
        <f t="shared" si="1822"/>
        <v>6.554173214</v>
      </c>
      <c r="V656" s="40">
        <f t="shared" si="1823"/>
        <v>161.2586207</v>
      </c>
      <c r="X656" s="22">
        <v>6.0</v>
      </c>
      <c r="Y656" s="22" t="s">
        <v>31</v>
      </c>
      <c r="Z656" s="22">
        <f t="shared" ref="Z656:AI656" si="1826">SUM(D671)</f>
        <v>15</v>
      </c>
      <c r="AA656" s="23">
        <f t="shared" si="1826"/>
        <v>13</v>
      </c>
      <c r="AB656" s="25">
        <f t="shared" si="1826"/>
        <v>2607.9</v>
      </c>
      <c r="AC656" s="23">
        <f t="shared" si="1826"/>
        <v>870</v>
      </c>
      <c r="AD656" s="23">
        <f t="shared" si="1826"/>
        <v>0</v>
      </c>
      <c r="AE656" s="23">
        <f t="shared" si="1826"/>
        <v>870</v>
      </c>
      <c r="AF656" s="23">
        <f t="shared" si="1826"/>
        <v>975</v>
      </c>
      <c r="AG656" s="23">
        <f t="shared" si="1826"/>
        <v>55</v>
      </c>
      <c r="AH656" s="23">
        <f t="shared" si="1826"/>
        <v>1030</v>
      </c>
      <c r="AI656" s="23">
        <f t="shared" si="1826"/>
        <v>1900</v>
      </c>
      <c r="AJ656" s="25">
        <f t="shared" si="1827"/>
        <v>200.6076923</v>
      </c>
      <c r="AK656" s="22">
        <f t="shared" si="1828"/>
        <v>2717</v>
      </c>
      <c r="AL656" s="26">
        <f t="shared" si="1805"/>
        <v>0.6993006993</v>
      </c>
      <c r="AM656" s="27">
        <f t="shared" si="1829"/>
        <v>1.5</v>
      </c>
      <c r="AN656" s="26">
        <f t="shared" si="1807"/>
        <v>0.4857036952</v>
      </c>
      <c r="AO656" s="28">
        <f t="shared" si="1808"/>
        <v>0.7285555428</v>
      </c>
      <c r="AP656" s="27">
        <f t="shared" ref="AP656:AQ656" si="1830">SUM(T671)</f>
        <v>60</v>
      </c>
      <c r="AQ656" s="27">
        <f t="shared" si="1830"/>
        <v>4.615384615</v>
      </c>
      <c r="AR656" s="23">
        <f t="shared" si="1810"/>
        <v>146.1538462</v>
      </c>
    </row>
    <row r="657" ht="15.75" customHeight="1">
      <c r="A657" s="21"/>
      <c r="B657" s="38">
        <v>4.0</v>
      </c>
      <c r="C657" s="38" t="s">
        <v>32</v>
      </c>
      <c r="D657" s="39">
        <v>42.0</v>
      </c>
      <c r="E657" s="40">
        <f>IFERROR(__xludf.DUMMYFUNCTION("COUNT(IMPORTRANGE(""https://docs.google.com/spreadsheets/d/1Rmar8QqWK4XOJ-eY6xMzkAfDSw0srEXcAw89ilArun8/edit"",""2!d2:d43""))"),42.0)</f>
        <v>42</v>
      </c>
      <c r="F657" s="45">
        <f>IFERROR(__xludf.DUMMYFUNCTION("SUM(IMPORTRANGE(""https://docs.google.com/spreadsheets/d/1Rmar8QqWK4XOJ-eY6xMzkAfDSw0srEXcAw89ilArun8/edit"",""2!Q2:Q43""))"),8179.01399999999)</f>
        <v>8179.014</v>
      </c>
      <c r="G657" s="38">
        <f>IFERROR(__xludf.DUMMYFUNCTION("IMPORTRANGE(""https://docs.google.com/spreadsheets/d/1Rmar8QqWK4XOJ-eY6xMzkAfDSw0srEXcAw89ilArun8/edit"",""2!e50"")"),4808.0)</f>
        <v>4808</v>
      </c>
      <c r="H657" s="38">
        <f>IFERROR(__xludf.DUMMYFUNCTION("IMPORTRANGE(""https://docs.google.com/spreadsheets/d/1Rmar8QqWK4XOJ-eY6xMzkAfDSw0srEXcAw89ilArun8/edit"",""2!e51"")"),0.0)</f>
        <v>0</v>
      </c>
      <c r="I657" s="40">
        <f t="shared" si="1815"/>
        <v>4808</v>
      </c>
      <c r="J657" s="38">
        <f>IFERROR(__xludf.DUMMYFUNCTION("IMPORTRANGE(""https://docs.google.com/spreadsheets/d/1Rmar8QqWK4XOJ-eY6xMzkAfDSw0srEXcAw89ilArun8/edit"",""2!e54"")"),5449.0)</f>
        <v>5449</v>
      </c>
      <c r="K657" s="38">
        <f>IFERROR(__xludf.DUMMYFUNCTION("IMPORTRANGE(""https://docs.google.com/spreadsheets/d/1Rmar8QqWK4XOJ-eY6xMzkAfDSw0srEXcAw89ilArun8/edit"",""2!e55"")"),190.0)</f>
        <v>190</v>
      </c>
      <c r="L657" s="40">
        <f t="shared" si="1816"/>
        <v>5639</v>
      </c>
      <c r="M657" s="40">
        <f t="shared" si="1817"/>
        <v>10447</v>
      </c>
      <c r="N657" s="41">
        <f t="shared" si="1818"/>
        <v>194.7384286</v>
      </c>
      <c r="O657" s="38">
        <v>13817.0</v>
      </c>
      <c r="P657" s="42">
        <f t="shared" si="1819"/>
        <v>0.756097561</v>
      </c>
      <c r="Q657" s="43">
        <v>1.5</v>
      </c>
      <c r="R657" s="42">
        <f t="shared" si="1820"/>
        <v>0.8515288844</v>
      </c>
      <c r="S657" s="44">
        <f t="shared" si="1821"/>
        <v>1.277293327</v>
      </c>
      <c r="T657" s="43">
        <f>F657/25.089</f>
        <v>326</v>
      </c>
      <c r="U657" s="43">
        <f t="shared" si="1822"/>
        <v>7.761904762</v>
      </c>
      <c r="V657" s="40">
        <f t="shared" si="1823"/>
        <v>248.7380952</v>
      </c>
      <c r="X657" s="46" t="s">
        <v>33</v>
      </c>
      <c r="Y657" s="46">
        <v>6.0</v>
      </c>
      <c r="Z657" s="46">
        <f t="shared" ref="Z657:AI657" si="1831">SUM(Z651:Z656)</f>
        <v>186</v>
      </c>
      <c r="AA657" s="47">
        <f t="shared" si="1831"/>
        <v>179</v>
      </c>
      <c r="AB657" s="48">
        <f t="shared" si="1831"/>
        <v>34808.924</v>
      </c>
      <c r="AC657" s="47">
        <f t="shared" si="1831"/>
        <v>11852</v>
      </c>
      <c r="AD657" s="47">
        <f t="shared" si="1831"/>
        <v>578</v>
      </c>
      <c r="AE657" s="47">
        <f t="shared" si="1831"/>
        <v>12430</v>
      </c>
      <c r="AF657" s="47">
        <f t="shared" si="1831"/>
        <v>15982</v>
      </c>
      <c r="AG657" s="47">
        <f t="shared" si="1831"/>
        <v>495</v>
      </c>
      <c r="AH657" s="47">
        <f t="shared" si="1831"/>
        <v>16477</v>
      </c>
      <c r="AI657" s="47">
        <f t="shared" si="1831"/>
        <v>28907</v>
      </c>
      <c r="AJ657" s="49">
        <f t="shared" si="1827"/>
        <v>194.4632626</v>
      </c>
      <c r="AK657" s="46">
        <f>SUM(AK651:AK656)</f>
        <v>35074</v>
      </c>
      <c r="AL657" s="50">
        <f t="shared" si="1805"/>
        <v>0.8241717512</v>
      </c>
      <c r="AM657" s="51">
        <v>1.5</v>
      </c>
      <c r="AN657" s="50">
        <f t="shared" si="1807"/>
        <v>0.5536319748</v>
      </c>
      <c r="AO657" s="52">
        <f t="shared" si="1808"/>
        <v>0.8304479621</v>
      </c>
      <c r="AP657" s="51">
        <f>SUM(AP651:AP656)</f>
        <v>1309.710185</v>
      </c>
      <c r="AQ657" s="51">
        <f>AP657/AA657</f>
        <v>7.316816679</v>
      </c>
      <c r="AR657" s="47">
        <f t="shared" si="1810"/>
        <v>161.4916201</v>
      </c>
    </row>
    <row r="658" ht="15.75" customHeight="1">
      <c r="A658" s="21"/>
      <c r="B658" s="38">
        <v>5.0</v>
      </c>
      <c r="C658" s="38" t="s">
        <v>34</v>
      </c>
      <c r="D658" s="39">
        <v>40.0</v>
      </c>
      <c r="E658" s="40">
        <f>IFERROR(__xludf.DUMMYFUNCTION("COUNT(IMPORTRANGE(""https://docs.google.com/spreadsheets/d/1u99JxAoytGQQ8GcjxXl38CGdyEWy5uIbuJJHnsotyvk/edit"",""2!d2:d41""))"),40.0)</f>
        <v>40</v>
      </c>
      <c r="F658" s="45">
        <f>IFERROR(__xludf.DUMMYFUNCTION("SUM(IMPORTRANGE(""https://docs.google.com/spreadsheets/d/1u99JxAoytGQQ8GcjxXl38CGdyEWy5uIbuJJHnsotyvk/edit"",""2!Q2:Q41""))"),7895.343000000003)</f>
        <v>7895.343</v>
      </c>
      <c r="G658" s="40">
        <f>IFERROR(__xludf.DUMMYFUNCTION("IMPORTRANGE(""https://docs.google.com/spreadsheets/d/1u99JxAoytGQQ8GcjxXl38CGdyEWy5uIbuJJHnsotyvk/edit"",""2!e48"")"),3069.0)</f>
        <v>3069</v>
      </c>
      <c r="H658" s="40">
        <f>IFERROR(__xludf.DUMMYFUNCTION("IMPORTRANGE(""https://docs.google.com/spreadsheets/d/1u99JxAoytGQQ8GcjxXl38CGdyEWy5uIbuJJHnsotyvk/edit"",""2!e49"")"),0.0)</f>
        <v>0</v>
      </c>
      <c r="I658" s="40">
        <f t="shared" si="1815"/>
        <v>3069</v>
      </c>
      <c r="J658" s="40">
        <f>IFERROR(__xludf.DUMMYFUNCTION("IMPORTRANGE(""https://docs.google.com/spreadsheets/d/1u99JxAoytGQQ8GcjxXl38CGdyEWy5uIbuJJHnsotyvk/edit"",""2!e52"")"),3126.0)</f>
        <v>3126</v>
      </c>
      <c r="K658" s="40">
        <f>IFERROR(__xludf.DUMMYFUNCTION("IMPORTRANGE(""https://docs.google.com/spreadsheets/d/1u99JxAoytGQQ8GcjxXl38CGdyEWy5uIbuJJHnsotyvk/edit"",""2!e53"")"),0.0)</f>
        <v>0</v>
      </c>
      <c r="L658" s="40">
        <f t="shared" si="1816"/>
        <v>3126</v>
      </c>
      <c r="M658" s="40">
        <f t="shared" si="1817"/>
        <v>6195</v>
      </c>
      <c r="N658" s="41">
        <f t="shared" si="1818"/>
        <v>197.383575</v>
      </c>
      <c r="O658" s="38">
        <v>9354.0</v>
      </c>
      <c r="P658" s="42">
        <f t="shared" si="1819"/>
        <v>0.6622835151</v>
      </c>
      <c r="Q658" s="43">
        <v>1.5</v>
      </c>
      <c r="R658" s="42">
        <f t="shared" si="1820"/>
        <v>0.5230931702</v>
      </c>
      <c r="S658" s="44">
        <f t="shared" si="1821"/>
        <v>0.7846397554</v>
      </c>
      <c r="T658" s="43">
        <f>F658/30.713</f>
        <v>257.0684401</v>
      </c>
      <c r="U658" s="43">
        <f t="shared" si="1822"/>
        <v>6.426711002</v>
      </c>
      <c r="V658" s="40">
        <f t="shared" si="1823"/>
        <v>154.875</v>
      </c>
      <c r="X658" s="53" t="s">
        <v>35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6"/>
    </row>
    <row r="659" ht="15.75" customHeight="1">
      <c r="A659" s="21"/>
      <c r="B659" s="38">
        <v>6.0</v>
      </c>
      <c r="C659" s="38" t="s">
        <v>23</v>
      </c>
      <c r="D659" s="39">
        <v>35.0</v>
      </c>
      <c r="E659" s="40">
        <f>IFERROR(__xludf.DUMMYFUNCTION("COUNT(IMPORTRANGE(""https://docs.google.com/spreadsheets/d/1uVc-vnTn57HE53lwrUYNZP4sGKTXisrqOoZ-6EyvLzY/edit"",""2!d2:d36""))"),34.0)</f>
        <v>34</v>
      </c>
      <c r="F659" s="45">
        <f>IFERROR(__xludf.DUMMYFUNCTION("SUM(IMPORTRANGE(""https://docs.google.com/spreadsheets/d/1uVc-vnTn57HE53lwrUYNZP4sGKTXisrqOoZ-6EyvLzY/edit"",""2!Q2:Q36""))"),6680.519999999996)</f>
        <v>6680.52</v>
      </c>
      <c r="G659" s="40">
        <f>IFERROR(__xludf.DUMMYFUNCTION("IMPORTRANGE(""https://docs.google.com/spreadsheets/d/1uVc-vnTn57HE53lwrUYNZP4sGKTXisrqOoZ-6EyvLzY/edit"",""2!e43"")"),2083.0)</f>
        <v>2083</v>
      </c>
      <c r="H659" s="40">
        <f>IFERROR(__xludf.DUMMYFUNCTION("IMPORTRANGE(""https://docs.google.com/spreadsheets/d/1uVc-vnTn57HE53lwrUYNZP4sGKTXisrqOoZ-6EyvLzY/edit"",""2!e44"")"),0.0)</f>
        <v>0</v>
      </c>
      <c r="I659" s="40">
        <f t="shared" si="1815"/>
        <v>2083</v>
      </c>
      <c r="J659" s="40">
        <f>IFERROR(__xludf.DUMMYFUNCTION("IMPORTRANGE(""https://docs.google.com/spreadsheets/d/1uVc-vnTn57HE53lwrUYNZP4sGKTXisrqOoZ-6EyvLzY/edit"",""2!e47"")"),2916.0)</f>
        <v>2916</v>
      </c>
      <c r="K659" s="40">
        <f>IFERROR(__xludf.DUMMYFUNCTION("IMPORTRANGE(""https://docs.google.com/spreadsheets/d/1uVc-vnTn57HE53lwrUYNZP4sGKTXisrqOoZ-6EyvLzY/edit"",""2!e48"")"),0.0)</f>
        <v>0</v>
      </c>
      <c r="L659" s="40">
        <f t="shared" si="1816"/>
        <v>2916</v>
      </c>
      <c r="M659" s="40">
        <f t="shared" si="1817"/>
        <v>4999</v>
      </c>
      <c r="N659" s="41">
        <f t="shared" si="1818"/>
        <v>196.4858824</v>
      </c>
      <c r="O659" s="38">
        <v>6853.0</v>
      </c>
      <c r="P659" s="42">
        <f t="shared" si="1819"/>
        <v>0.7294615497</v>
      </c>
      <c r="Q659" s="43">
        <v>1.5</v>
      </c>
      <c r="R659" s="42">
        <f t="shared" si="1820"/>
        <v>0.4988633619</v>
      </c>
      <c r="S659" s="44">
        <f t="shared" si="1821"/>
        <v>0.7482950429</v>
      </c>
      <c r="T659" s="43">
        <f>F659/33.74</f>
        <v>198</v>
      </c>
      <c r="U659" s="43">
        <f t="shared" si="1822"/>
        <v>5.823529412</v>
      </c>
      <c r="V659" s="40">
        <f t="shared" si="1823"/>
        <v>147.0294118</v>
      </c>
      <c r="X659" s="14" t="s">
        <v>2</v>
      </c>
      <c r="Y659" s="14" t="s">
        <v>3</v>
      </c>
      <c r="Z659" s="14" t="s">
        <v>4</v>
      </c>
      <c r="AA659" s="14" t="s">
        <v>5</v>
      </c>
      <c r="AB659" s="15" t="s">
        <v>6</v>
      </c>
      <c r="AC659" s="14" t="s">
        <v>7</v>
      </c>
      <c r="AD659" s="14" t="s">
        <v>8</v>
      </c>
      <c r="AE659" s="14" t="s">
        <v>9</v>
      </c>
      <c r="AF659" s="14" t="s">
        <v>10</v>
      </c>
      <c r="AG659" s="14" t="s">
        <v>11</v>
      </c>
      <c r="AH659" s="14" t="s">
        <v>12</v>
      </c>
      <c r="AI659" s="14" t="s">
        <v>13</v>
      </c>
      <c r="AJ659" s="15" t="s">
        <v>14</v>
      </c>
      <c r="AK659" s="14" t="s">
        <v>15</v>
      </c>
      <c r="AL659" s="14" t="s">
        <v>16</v>
      </c>
      <c r="AM659" s="16" t="s">
        <v>17</v>
      </c>
      <c r="AN659" s="17" t="s">
        <v>18</v>
      </c>
      <c r="AO659" s="18" t="s">
        <v>19</v>
      </c>
      <c r="AP659" s="19" t="s">
        <v>20</v>
      </c>
      <c r="AQ659" s="19" t="s">
        <v>21</v>
      </c>
      <c r="AR659" s="20" t="s">
        <v>22</v>
      </c>
    </row>
    <row r="660" ht="15.75" customHeight="1">
      <c r="A660" s="21"/>
      <c r="B660" s="38">
        <v>7.0</v>
      </c>
      <c r="C660" s="38" t="s">
        <v>24</v>
      </c>
      <c r="D660" s="39">
        <v>44.0</v>
      </c>
      <c r="E660" s="54">
        <f>IFERROR(__xludf.DUMMYFUNCTION("COUNT(IMPORTRANGE(""https://docs.google.com/spreadsheets/d/1iuPvivSypupo44l6GtmR-2qZ3za7cTk7KzsOVp_kv2c/edit"",""2!d2:d45""))"),44.0)</f>
        <v>44</v>
      </c>
      <c r="F660" s="55">
        <f>IFERROR(__xludf.DUMMYFUNCTION("SUM(IMPORTRANGE(""https://docs.google.com/spreadsheets/d/1iuPvivSypupo44l6GtmR-2qZ3za7cTk7KzsOVp_kv2c/edit"",""2!Q2:Q45""))"),8354.581999999995)</f>
        <v>8354.582</v>
      </c>
      <c r="G660" s="54">
        <f>IFERROR(__xludf.DUMMYFUNCTION("IMPORTRANGE(""https://docs.google.com/spreadsheets/d/1iuPvivSypupo44l6GtmR-2qZ3za7cTk7KzsOVp_kv2c/edit"",""2!e53"")"),1454.0)</f>
        <v>1454</v>
      </c>
      <c r="H660" s="54">
        <f>IFERROR(__xludf.DUMMYFUNCTION("IMPORTRANGE(""https://docs.google.com/spreadsheets/d/1iuPvivSypupo44l6GtmR-2qZ3za7cTk7KzsOVp_kv2c/edit"",""2!e54"")"),0.0)</f>
        <v>0</v>
      </c>
      <c r="I660" s="54">
        <f t="shared" si="1815"/>
        <v>1454</v>
      </c>
      <c r="J660" s="54">
        <f>IFERROR(__xludf.DUMMYFUNCTION("IMPORTRANGE(""https://docs.google.com/spreadsheets/d/1iuPvivSypupo44l6GtmR-2qZ3za7cTk7KzsOVp_kv2c/edit"",""2!e57"")"),1288.0)</f>
        <v>1288</v>
      </c>
      <c r="K660" s="54">
        <f>IFERROR(__xludf.DUMMYFUNCTION("IMPORTRANGE(""https://docs.google.com/spreadsheets/d/1iuPvivSypupo44l6GtmR-2qZ3za7cTk7KzsOVp_kv2c/edit"",""2!e58"")"),28.0)</f>
        <v>28</v>
      </c>
      <c r="L660" s="40">
        <f t="shared" si="1816"/>
        <v>1316</v>
      </c>
      <c r="M660" s="40">
        <f t="shared" si="1817"/>
        <v>2770</v>
      </c>
      <c r="N660" s="41">
        <f t="shared" si="1818"/>
        <v>189.8768636</v>
      </c>
      <c r="O660" s="38">
        <v>1580.0</v>
      </c>
      <c r="P660" s="42">
        <f t="shared" si="1819"/>
        <v>1.753164557</v>
      </c>
      <c r="Q660" s="43">
        <v>1.5</v>
      </c>
      <c r="R660" s="42">
        <f t="shared" si="1820"/>
        <v>0.2210363926</v>
      </c>
      <c r="S660" s="44">
        <f t="shared" si="1821"/>
        <v>0.3315545888</v>
      </c>
      <c r="T660" s="43">
        <f>F660/26.805</f>
        <v>311.6799851</v>
      </c>
      <c r="U660" s="43">
        <f t="shared" si="1822"/>
        <v>7.083636024</v>
      </c>
      <c r="V660" s="40">
        <f t="shared" si="1823"/>
        <v>62.95454545</v>
      </c>
      <c r="X660" s="22">
        <v>1.0</v>
      </c>
      <c r="Y660" s="22" t="s">
        <v>28</v>
      </c>
      <c r="Z660" s="22">
        <f t="shared" ref="Z660:AI660" si="1832">SUM(D655)</f>
        <v>33</v>
      </c>
      <c r="AA660" s="23">
        <f t="shared" si="1832"/>
        <v>33</v>
      </c>
      <c r="AB660" s="25">
        <f t="shared" si="1832"/>
        <v>6528.833</v>
      </c>
      <c r="AC660" s="23">
        <f t="shared" si="1832"/>
        <v>2700</v>
      </c>
      <c r="AD660" s="23">
        <f t="shared" si="1832"/>
        <v>104</v>
      </c>
      <c r="AE660" s="23">
        <f t="shared" si="1832"/>
        <v>2804</v>
      </c>
      <c r="AF660" s="23">
        <f t="shared" si="1832"/>
        <v>3205</v>
      </c>
      <c r="AG660" s="23">
        <f t="shared" si="1832"/>
        <v>102</v>
      </c>
      <c r="AH660" s="23">
        <f t="shared" si="1832"/>
        <v>3307</v>
      </c>
      <c r="AI660" s="23">
        <f t="shared" si="1832"/>
        <v>6111</v>
      </c>
      <c r="AJ660" s="25">
        <f t="shared" ref="AJ660:AJ666" si="1835">AB660/AA660</f>
        <v>197.8434242</v>
      </c>
      <c r="AK660" s="22">
        <f t="shared" ref="AK660:AK661" si="1836">SUM(O655)</f>
        <v>7315</v>
      </c>
      <c r="AL660" s="26">
        <f t="shared" ref="AL660:AL666" si="1837">AI660/AK660</f>
        <v>0.8354066986</v>
      </c>
      <c r="AM660" s="27">
        <f t="shared" ref="AM660:AM661" si="1838">SUM(Q655)</f>
        <v>1.5</v>
      </c>
      <c r="AN660" s="26">
        <f t="shared" ref="AN660:AN666" si="1839">AO660/AM660</f>
        <v>0.6240012572</v>
      </c>
      <c r="AO660" s="28">
        <f t="shared" ref="AO660:AO666" si="1840">AI660/AB660</f>
        <v>0.9360018858</v>
      </c>
      <c r="AP660" s="27">
        <f t="shared" ref="AP660:AQ660" si="1833">SUM(T655)</f>
        <v>211.3096093</v>
      </c>
      <c r="AQ660" s="27">
        <f t="shared" si="1833"/>
        <v>6.403321495</v>
      </c>
      <c r="AR660" s="23">
        <f t="shared" ref="AR660:AR666" si="1842">AI660/AA660</f>
        <v>185.1818182</v>
      </c>
    </row>
    <row r="661" ht="15.75" customHeight="1">
      <c r="A661" s="21"/>
      <c r="B661" s="38">
        <v>8.0</v>
      </c>
      <c r="C661" s="38" t="s">
        <v>25</v>
      </c>
      <c r="D661" s="57">
        <v>32.0</v>
      </c>
      <c r="E661" s="40">
        <f>IFERROR(__xludf.DUMMYFUNCTION("COUNT(IMPORTRANGE(""https://docs.google.com/spreadsheets/d/1sqWX7UerdR9KR_duBzDNfjwbPG-3hLgV1LiN2ZVZ6Js/edit"",""2!d2:D33""))"),31.0)</f>
        <v>31</v>
      </c>
      <c r="F661" s="45">
        <f>IFERROR(__xludf.DUMMYFUNCTION("SUM(IMPORTRANGE(""https://docs.google.com/spreadsheets/d/1sqWX7UerdR9KR_duBzDNfjwbPG-3hLgV1LiN2ZVZ6Js/edit"",""2!Q2:Q33""))"),5925.124000000001)</f>
        <v>5925.124</v>
      </c>
      <c r="G661" s="40">
        <f>IFERROR(__xludf.DUMMYFUNCTION("IMPORTRANGE(""https://docs.google.com/spreadsheets/d/1sqWX7UerdR9KR_duBzDNfjwbPG-3hLgV1LiN2ZVZ6Js/edit"",""2!e40"")"),2351.0)</f>
        <v>2351</v>
      </c>
      <c r="H661" s="40">
        <f>IFERROR(__xludf.DUMMYFUNCTION("IMPORTRANGE(""https://docs.google.com/spreadsheets/d/1sqWX7UerdR9KR_duBzDNfjwbPG-3hLgV1LiN2ZVZ6Js/edit"",""2!e41"")"),438.0)</f>
        <v>438</v>
      </c>
      <c r="I661" s="40">
        <f t="shared" si="1815"/>
        <v>2789</v>
      </c>
      <c r="J661" s="40">
        <f>IFERROR(__xludf.DUMMYFUNCTION("IMPORTRANGE(""https://docs.google.com/spreadsheets/d/1sqWX7UerdR9KR_duBzDNfjwbPG-3hLgV1LiN2ZVZ6Js/edit"",""2!e44"")"),3213.0)</f>
        <v>3213</v>
      </c>
      <c r="K661" s="40">
        <f>IFERROR(__xludf.DUMMYFUNCTION("IMPORTRANGE(""https://docs.google.com/spreadsheets/d/1sqWX7UerdR9KR_duBzDNfjwbPG-3hLgV1LiN2ZVZ6Js/edit"",""2!e45"")"),305.0)</f>
        <v>305</v>
      </c>
      <c r="L661" s="40">
        <f>J661+K661</f>
        <v>3518</v>
      </c>
      <c r="M661" s="40">
        <f t="shared" si="1817"/>
        <v>6307</v>
      </c>
      <c r="N661" s="41">
        <f t="shared" si="1818"/>
        <v>191.1330323</v>
      </c>
      <c r="O661" s="38">
        <v>6622.0</v>
      </c>
      <c r="P661" s="42">
        <f t="shared" si="1819"/>
        <v>0.9524312896</v>
      </c>
      <c r="Q661" s="43">
        <v>1.5</v>
      </c>
      <c r="R661" s="42">
        <f t="shared" si="1820"/>
        <v>0.7096335312</v>
      </c>
      <c r="S661" s="44">
        <f t="shared" si="1821"/>
        <v>1.064450297</v>
      </c>
      <c r="T661" s="43">
        <f>F661/23.84</f>
        <v>248.5370805</v>
      </c>
      <c r="U661" s="43">
        <f t="shared" si="1822"/>
        <v>8.017325179</v>
      </c>
      <c r="V661" s="40">
        <f t="shared" si="1823"/>
        <v>203.4516129</v>
      </c>
      <c r="X661" s="31">
        <v>2.0</v>
      </c>
      <c r="Y661" s="31" t="s">
        <v>30</v>
      </c>
      <c r="Z661" s="31">
        <f t="shared" ref="Z661:AI661" si="1834">SUM(D656)</f>
        <v>60</v>
      </c>
      <c r="AA661" s="32">
        <f t="shared" si="1834"/>
        <v>58</v>
      </c>
      <c r="AB661" s="33">
        <f t="shared" si="1834"/>
        <v>11253.345</v>
      </c>
      <c r="AC661" s="32">
        <f t="shared" si="1834"/>
        <v>3757</v>
      </c>
      <c r="AD661" s="32">
        <f t="shared" si="1834"/>
        <v>0</v>
      </c>
      <c r="AE661" s="32">
        <f t="shared" si="1834"/>
        <v>3757</v>
      </c>
      <c r="AF661" s="32">
        <f t="shared" si="1834"/>
        <v>5596</v>
      </c>
      <c r="AG661" s="32">
        <f t="shared" si="1834"/>
        <v>0</v>
      </c>
      <c r="AH661" s="32">
        <f t="shared" si="1834"/>
        <v>5596</v>
      </c>
      <c r="AI661" s="32">
        <f t="shared" si="1834"/>
        <v>9353</v>
      </c>
      <c r="AJ661" s="34">
        <f t="shared" si="1835"/>
        <v>194.0231897</v>
      </c>
      <c r="AK661" s="31">
        <f t="shared" si="1836"/>
        <v>11164</v>
      </c>
      <c r="AL661" s="35">
        <f t="shared" si="1837"/>
        <v>0.8377821569</v>
      </c>
      <c r="AM661" s="36">
        <f t="shared" si="1838"/>
        <v>1.5</v>
      </c>
      <c r="AN661" s="35">
        <f t="shared" si="1839"/>
        <v>0.5540871033</v>
      </c>
      <c r="AO661" s="37">
        <f t="shared" si="1840"/>
        <v>0.8311306549</v>
      </c>
      <c r="AP661" s="36">
        <f t="shared" ref="AP661:AQ661" si="1841">SUM(T656)</f>
        <v>380.1420464</v>
      </c>
      <c r="AQ661" s="36">
        <f t="shared" si="1841"/>
        <v>6.554173214</v>
      </c>
      <c r="AR661" s="32">
        <f t="shared" si="1842"/>
        <v>161.2586207</v>
      </c>
    </row>
    <row r="662" ht="15.75" customHeight="1">
      <c r="A662" s="21"/>
      <c r="B662" s="38">
        <v>9.0</v>
      </c>
      <c r="C662" s="38" t="s">
        <v>36</v>
      </c>
      <c r="D662" s="58">
        <v>30.0</v>
      </c>
      <c r="E662" s="40">
        <f>IFERROR(__xludf.DUMMYFUNCTION("COUNT(IMPORTRANGE(""https://docs.google.com/spreadsheets/d/1YNna43iTSqnwwbMJgTIPHSJEoDO8RGPRFg5pJCoQR_Y/edit"",""2!d2:d31""))"),29.0)</f>
        <v>29</v>
      </c>
      <c r="F662" s="45">
        <f>IFERROR(__xludf.DUMMYFUNCTION("SUM(IMPORTRANGE(""https://docs.google.com/spreadsheets/d/1YNna43iTSqnwwbMJgTIPHSJEoDO8RGPRFg5pJCoQR_Y/edit"",""2!Q2:Q31""))"),5604.12)</f>
        <v>5604.12</v>
      </c>
      <c r="G662" s="40">
        <f>IFERROR(__xludf.DUMMYFUNCTION("IMPORTRANGE(""https://docs.google.com/spreadsheets/d/1YNna43iTSqnwwbMJgTIPHSJEoDO8RGPRFg5pJCoQR_Y/edit"",""2!e38"")"),1533.0)</f>
        <v>1533</v>
      </c>
      <c r="H662" s="40">
        <f>IFERROR(__xludf.DUMMYFUNCTION("IMPORTRANGE(""https://docs.google.com/spreadsheets/d/1YNna43iTSqnwwbMJgTIPHSJEoDO8RGPRFg5pJCoQR_Y/edit"",""2!e39"")"),0.0)</f>
        <v>0</v>
      </c>
      <c r="I662" s="40">
        <f t="shared" si="1815"/>
        <v>1533</v>
      </c>
      <c r="J662" s="40">
        <f>IFERROR(__xludf.DUMMYFUNCTION("IMPORTRANGE(""https://docs.google.com/spreadsheets/d/1YNna43iTSqnwwbMJgTIPHSJEoDO8RGPRFg5pJCoQR_Y/edit"",""2!e42"")"),2301.0)</f>
        <v>2301</v>
      </c>
      <c r="K662" s="40">
        <f>IFERROR(__xludf.DUMMYFUNCTION("IMPORTRANGE(""https://docs.google.com/spreadsheets/d/1YNna43iTSqnwwbMJgTIPHSJEoDO8RGPRFg5pJCoQR_Y/edit"",""2!e43"")"),0.0)</f>
        <v>0</v>
      </c>
      <c r="L662" s="40">
        <f t="shared" ref="L662:L671" si="1845">SUM(J662:K662)</f>
        <v>2301</v>
      </c>
      <c r="M662" s="40">
        <f t="shared" si="1817"/>
        <v>3834</v>
      </c>
      <c r="N662" s="41">
        <f t="shared" si="1818"/>
        <v>193.2455172</v>
      </c>
      <c r="O662" s="38">
        <v>4796.0</v>
      </c>
      <c r="P662" s="42">
        <f t="shared" si="1819"/>
        <v>0.7994161802</v>
      </c>
      <c r="Q662" s="43">
        <v>1.5</v>
      </c>
      <c r="R662" s="42">
        <f t="shared" si="1820"/>
        <v>0.4560930173</v>
      </c>
      <c r="S662" s="44">
        <f t="shared" si="1821"/>
        <v>0.6841395259</v>
      </c>
      <c r="T662" s="43">
        <f>F662/37.414</f>
        <v>149.7867109</v>
      </c>
      <c r="U662" s="43">
        <f t="shared" si="1822"/>
        <v>5.165058995</v>
      </c>
      <c r="V662" s="40">
        <f t="shared" si="1823"/>
        <v>132.2068966</v>
      </c>
      <c r="X662" s="22">
        <v>3.0</v>
      </c>
      <c r="Y662" s="22" t="s">
        <v>34</v>
      </c>
      <c r="Z662" s="22">
        <f t="shared" ref="Z662:AI662" si="1843">SUM(D658)</f>
        <v>40</v>
      </c>
      <c r="AA662" s="23">
        <f t="shared" si="1843"/>
        <v>40</v>
      </c>
      <c r="AB662" s="24">
        <f t="shared" si="1843"/>
        <v>7895.343</v>
      </c>
      <c r="AC662" s="23">
        <f t="shared" si="1843"/>
        <v>3069</v>
      </c>
      <c r="AD662" s="23">
        <f t="shared" si="1843"/>
        <v>0</v>
      </c>
      <c r="AE662" s="23">
        <f t="shared" si="1843"/>
        <v>3069</v>
      </c>
      <c r="AF662" s="23">
        <f t="shared" si="1843"/>
        <v>3126</v>
      </c>
      <c r="AG662" s="23">
        <f t="shared" si="1843"/>
        <v>0</v>
      </c>
      <c r="AH662" s="23">
        <f t="shared" si="1843"/>
        <v>3126</v>
      </c>
      <c r="AI662" s="23">
        <f t="shared" si="1843"/>
        <v>6195</v>
      </c>
      <c r="AJ662" s="25">
        <f t="shared" si="1835"/>
        <v>197.383575</v>
      </c>
      <c r="AK662" s="22">
        <f>SUM(O658)</f>
        <v>9354</v>
      </c>
      <c r="AL662" s="26">
        <f t="shared" si="1837"/>
        <v>0.6622835151</v>
      </c>
      <c r="AM662" s="27">
        <f>SUM(Q658)</f>
        <v>1.5</v>
      </c>
      <c r="AN662" s="26">
        <f t="shared" si="1839"/>
        <v>0.5230931702</v>
      </c>
      <c r="AO662" s="28">
        <f t="shared" si="1840"/>
        <v>0.7846397554</v>
      </c>
      <c r="AP662" s="27">
        <f t="shared" ref="AP662:AQ662" si="1844">SUM(T658)</f>
        <v>257.0684401</v>
      </c>
      <c r="AQ662" s="27">
        <f t="shared" si="1844"/>
        <v>6.426711002</v>
      </c>
      <c r="AR662" s="23">
        <f t="shared" si="1842"/>
        <v>154.875</v>
      </c>
    </row>
    <row r="663" ht="15.75" customHeight="1">
      <c r="A663" s="21"/>
      <c r="B663" s="38">
        <v>10.0</v>
      </c>
      <c r="C663" s="38" t="s">
        <v>37</v>
      </c>
      <c r="D663" s="39">
        <v>30.0</v>
      </c>
      <c r="E663" s="40">
        <f>IFERROR(__xludf.DUMMYFUNCTION("COUNT(IMPORTRANGE(""https://docs.google.com/spreadsheets/d/1913Df5BsXS_b-nClL8LOK5w0engQYTl1mPOiyngRtO0/edit"",""2!d2:d31""))"),30.0)</f>
        <v>30</v>
      </c>
      <c r="F663" s="45">
        <f>IFERROR(__xludf.DUMMYFUNCTION("SUM(IMPORTRANGE(""https://docs.google.com/spreadsheets/d/1913Df5BsXS_b-nClL8LOK5w0engQYTl1mPOiyngRtO0/edit"",""2!Q2:Q31""))"),5812.188)</f>
        <v>5812.188</v>
      </c>
      <c r="G663" s="40">
        <f>IFERROR(__xludf.DUMMYFUNCTION("(IMPORTRANGE(""https://docs.google.com/spreadsheets/d/1913Df5BsXS_b-nClL8LOK5w0engQYTl1mPOiyngRtO0/edit"",""2!e38""))"),2138.0)</f>
        <v>2138</v>
      </c>
      <c r="H663" s="40">
        <f>IFERROR(__xludf.DUMMYFUNCTION("(IMPORTRANGE(""https://docs.google.com/spreadsheets/d/1913Df5BsXS_b-nClL8LOK5w0engQYTl1mPOiyngRtO0/edit"",""2!e39""))"),0.0)</f>
        <v>0</v>
      </c>
      <c r="I663" s="40">
        <f t="shared" si="1815"/>
        <v>2138</v>
      </c>
      <c r="J663" s="40">
        <f>IFERROR(__xludf.DUMMYFUNCTION("(IMPORTRANGE(""https://docs.google.com/spreadsheets/d/1913Df5BsXS_b-nClL8LOK5w0engQYTl1mPOiyngRtO0/edit"",""2!e42""))"),3071.0)</f>
        <v>3071</v>
      </c>
      <c r="K663" s="40">
        <f>IFERROR(__xludf.DUMMYFUNCTION("(IMPORTRANGE(""https://docs.google.com/spreadsheets/d/1913Df5BsXS_b-nClL8LOK5w0engQYTl1mPOiyngRtO0/edit"",""2!e43""))"),0.0)</f>
        <v>0</v>
      </c>
      <c r="L663" s="40">
        <f t="shared" si="1845"/>
        <v>3071</v>
      </c>
      <c r="M663" s="40">
        <f t="shared" si="1817"/>
        <v>5209</v>
      </c>
      <c r="N663" s="41">
        <f t="shared" si="1818"/>
        <v>193.7396</v>
      </c>
      <c r="O663" s="38">
        <v>5887.0</v>
      </c>
      <c r="P663" s="42">
        <f t="shared" si="1819"/>
        <v>0.8848309835</v>
      </c>
      <c r="Q663" s="43">
        <v>1.5</v>
      </c>
      <c r="R663" s="42">
        <f t="shared" si="1820"/>
        <v>0.5974800999</v>
      </c>
      <c r="S663" s="44">
        <f t="shared" si="1821"/>
        <v>0.8962201498</v>
      </c>
      <c r="T663" s="43">
        <f>F663/24.792</f>
        <v>234.4380445</v>
      </c>
      <c r="U663" s="43">
        <f t="shared" si="1822"/>
        <v>7.814601484</v>
      </c>
      <c r="V663" s="40">
        <f t="shared" si="1823"/>
        <v>173.6333333</v>
      </c>
      <c r="X663" s="31">
        <v>4.0</v>
      </c>
      <c r="Y663" s="31" t="s">
        <v>38</v>
      </c>
      <c r="Z663" s="31">
        <f t="shared" ref="Z663:AI663" si="1846">SUM(D666)</f>
        <v>30</v>
      </c>
      <c r="AA663" s="32">
        <f t="shared" si="1846"/>
        <v>30</v>
      </c>
      <c r="AB663" s="33">
        <f t="shared" si="1846"/>
        <v>6284.278</v>
      </c>
      <c r="AC663" s="32">
        <f t="shared" si="1846"/>
        <v>2309</v>
      </c>
      <c r="AD663" s="32">
        <f t="shared" si="1846"/>
        <v>0</v>
      </c>
      <c r="AE663" s="32">
        <f t="shared" si="1846"/>
        <v>2309</v>
      </c>
      <c r="AF663" s="32">
        <f t="shared" si="1846"/>
        <v>2749</v>
      </c>
      <c r="AG663" s="32">
        <f t="shared" si="1846"/>
        <v>159</v>
      </c>
      <c r="AH663" s="32">
        <f t="shared" si="1846"/>
        <v>2908</v>
      </c>
      <c r="AI663" s="32">
        <f t="shared" si="1846"/>
        <v>5217</v>
      </c>
      <c r="AJ663" s="34">
        <f t="shared" si="1835"/>
        <v>209.4759333</v>
      </c>
      <c r="AK663" s="31">
        <v>7324.0</v>
      </c>
      <c r="AL663" s="35">
        <f t="shared" si="1837"/>
        <v>0.7123156745</v>
      </c>
      <c r="AM663" s="36">
        <f>SUM(Q666)</f>
        <v>1.5</v>
      </c>
      <c r="AN663" s="35">
        <f t="shared" si="1839"/>
        <v>0.5534446439</v>
      </c>
      <c r="AO663" s="37">
        <f t="shared" si="1840"/>
        <v>0.8301669659</v>
      </c>
      <c r="AP663" s="36">
        <f t="shared" ref="AP663:AQ663" si="1847">SUM(T666)</f>
        <v>152.5125106</v>
      </c>
      <c r="AQ663" s="36">
        <f t="shared" si="1847"/>
        <v>5.083750354</v>
      </c>
      <c r="AR663" s="32">
        <f t="shared" si="1842"/>
        <v>173.9</v>
      </c>
    </row>
    <row r="664" ht="15.75" customHeight="1">
      <c r="A664" s="21"/>
      <c r="B664" s="38">
        <v>12.0</v>
      </c>
      <c r="C664" s="38" t="s">
        <v>39</v>
      </c>
      <c r="D664" s="39">
        <v>28.0</v>
      </c>
      <c r="E664" s="40">
        <f>IFERROR(__xludf.DUMMYFUNCTION("COUNT(IMPORTRANGE(""https://docs.google.com/spreadsheets/d/1wMeol_MpSIcocGxt3WZGl46mJ2tc80mANPvP_YzaP18/edit"",""2!d2:d29""))"),28.0)</f>
        <v>28</v>
      </c>
      <c r="F664" s="45">
        <f>IFERROR(__xludf.DUMMYFUNCTION("SUM(IMPORTRANGE(""https://docs.google.com/spreadsheets/d/1wMeol_MpSIcocGxt3WZGl46mJ2tc80mANPvP_YzaP18/edit"",""2!Q2:Q29""))"),5458.878)</f>
        <v>5458.878</v>
      </c>
      <c r="G664" s="40">
        <f>IFERROR(__xludf.DUMMYFUNCTION("IMPORTRANGE(""https://docs.google.com/spreadsheets/d/1wMeol_MpSIcocGxt3WZGl46mJ2tc80mANPvP_YzaP18/edit"",""2!e36"")"),1516.0)</f>
        <v>1516</v>
      </c>
      <c r="H664" s="40">
        <f>IFERROR(__xludf.DUMMYFUNCTION("(IMPORTRANGE(""https://docs.google.com/spreadsheets/d/1wMeol_MpSIcocGxt3WZGl46mJ2tc80mANPvP_YzaP18/edit"",""2!e37""))"),43.0)</f>
        <v>43</v>
      </c>
      <c r="I664" s="40">
        <f t="shared" si="1815"/>
        <v>1559</v>
      </c>
      <c r="J664" s="40">
        <f>IFERROR(__xludf.DUMMYFUNCTION("IMPORTRANGE(""https://docs.google.com/spreadsheets/d/1wMeol_MpSIcocGxt3WZGl46mJ2tc80mANPvP_YzaP18/edit"",""2!e40"")"),1765.0)</f>
        <v>1765</v>
      </c>
      <c r="K664" s="40">
        <f>IFERROR(__xludf.DUMMYFUNCTION("IMPORTRANGE(""https://docs.google.com/spreadsheets/d/1wMeol_MpSIcocGxt3WZGl46mJ2tc80mANPvP_YzaP18/edit"",""2!e41"")"),115.0)</f>
        <v>115</v>
      </c>
      <c r="L664" s="40">
        <f t="shared" si="1845"/>
        <v>1880</v>
      </c>
      <c r="M664" s="40">
        <f t="shared" si="1817"/>
        <v>3439</v>
      </c>
      <c r="N664" s="41">
        <f t="shared" si="1818"/>
        <v>194.9599286</v>
      </c>
      <c r="O664" s="38">
        <v>3569.0</v>
      </c>
      <c r="P664" s="42">
        <f t="shared" si="1819"/>
        <v>0.9635752312</v>
      </c>
      <c r="Q664" s="43">
        <v>1.5</v>
      </c>
      <c r="R664" s="42">
        <f t="shared" si="1820"/>
        <v>0.4199886253</v>
      </c>
      <c r="S664" s="44">
        <f t="shared" si="1821"/>
        <v>0.6299829379</v>
      </c>
      <c r="T664" s="43">
        <f>F664/21.463</f>
        <v>254.339002</v>
      </c>
      <c r="U664" s="43">
        <f t="shared" si="1822"/>
        <v>9.083535786</v>
      </c>
      <c r="V664" s="40">
        <f t="shared" si="1823"/>
        <v>122.8214286</v>
      </c>
      <c r="X664" s="31">
        <v>5.0</v>
      </c>
      <c r="Y664" s="31" t="s">
        <v>40</v>
      </c>
      <c r="Z664" s="31">
        <f t="shared" ref="Z664:AI664" si="1848">SUM(D668)</f>
        <v>30</v>
      </c>
      <c r="AA664" s="32">
        <f t="shared" si="1848"/>
        <v>30</v>
      </c>
      <c r="AB664" s="33">
        <f t="shared" si="1848"/>
        <v>5845.703</v>
      </c>
      <c r="AC664" s="32">
        <f t="shared" si="1848"/>
        <v>3323</v>
      </c>
      <c r="AD664" s="32">
        <f t="shared" si="1848"/>
        <v>39</v>
      </c>
      <c r="AE664" s="32">
        <f t="shared" si="1848"/>
        <v>3362</v>
      </c>
      <c r="AF664" s="32">
        <f t="shared" si="1848"/>
        <v>3928</v>
      </c>
      <c r="AG664" s="32">
        <f t="shared" si="1848"/>
        <v>73</v>
      </c>
      <c r="AH664" s="32">
        <f t="shared" si="1848"/>
        <v>4001</v>
      </c>
      <c r="AI664" s="32">
        <f t="shared" si="1848"/>
        <v>7363</v>
      </c>
      <c r="AJ664" s="34">
        <f t="shared" si="1835"/>
        <v>194.8567667</v>
      </c>
      <c r="AK664" s="31">
        <f t="shared" ref="AK664:AK665" si="1851">SUM(O668)</f>
        <v>8239</v>
      </c>
      <c r="AL664" s="35">
        <f t="shared" si="1837"/>
        <v>0.893676417</v>
      </c>
      <c r="AM664" s="36">
        <f t="shared" ref="AM664:AM665" si="1852">SUM(Q668)</f>
        <v>1.5</v>
      </c>
      <c r="AN664" s="35">
        <f t="shared" si="1839"/>
        <v>0.8397051076</v>
      </c>
      <c r="AO664" s="37">
        <f t="shared" si="1840"/>
        <v>1.259557661</v>
      </c>
      <c r="AP664" s="36">
        <f t="shared" ref="AP664:AQ664" si="1849">SUM(T668)</f>
        <v>205.5234328</v>
      </c>
      <c r="AQ664" s="36">
        <f t="shared" si="1849"/>
        <v>6.850781094</v>
      </c>
      <c r="AR664" s="32">
        <f t="shared" si="1842"/>
        <v>245.4333333</v>
      </c>
    </row>
    <row r="665" ht="15.75" customHeight="1">
      <c r="A665" s="21"/>
      <c r="B665" s="38">
        <v>12.0</v>
      </c>
      <c r="C665" s="38" t="s">
        <v>41</v>
      </c>
      <c r="D665" s="39">
        <v>24.0</v>
      </c>
      <c r="E665" s="40">
        <f>IFERROR(__xludf.DUMMYFUNCTION("COUNT(IMPORTRANGE(""https://docs.google.com/spreadsheets/d/1sHk6_yuc4kORC_xnhEeazoemV_hVUQVqRpfoNae-PLk/edit"",""2!d2:d25""))"),24.0)</f>
        <v>24</v>
      </c>
      <c r="F665" s="45">
        <f>IFERROR(__xludf.DUMMYFUNCTION("SUM(IMPORTRANGE(""https://docs.google.com/spreadsheets/d/1sHk6_yuc4kORC_xnhEeazoemV_hVUQVqRpfoNae-PLk/edit"",""2!Q2:Q25""))"),4806.3200000000015)</f>
        <v>4806.32</v>
      </c>
      <c r="G665" s="40">
        <f>IFERROR(__xludf.DUMMYFUNCTION("IMPORTRANGE(""https://docs.google.com/spreadsheets/d/1sHk6_yuc4kORC_xnhEeazoemV_hVUQVqRpfoNae-PLk/edit"",""2!e32"")"),1468.0)</f>
        <v>1468</v>
      </c>
      <c r="H665" s="40">
        <f>IFERROR(__xludf.DUMMYFUNCTION("IMPORTRANGE(""https://docs.google.com/spreadsheets/d/1sHk6_yuc4kORC_xnhEeazoemV_hVUQVqRpfoNae-PLk/edit"",""2!e33"")"),0.0)</f>
        <v>0</v>
      </c>
      <c r="I665" s="40">
        <f t="shared" si="1815"/>
        <v>1468</v>
      </c>
      <c r="J665" s="40">
        <f>IFERROR(__xludf.DUMMYFUNCTION("IMPORTRANGE(""https://docs.google.com/spreadsheets/d/1sHk6_yuc4kORC_xnhEeazoemV_hVUQVqRpfoNae-PLk/edit"",""2!e36"")"),1656.0)</f>
        <v>1656</v>
      </c>
      <c r="K665" s="40">
        <f>IFERROR(__xludf.DUMMYFUNCTION("IMPORTRANGE(""https://docs.google.com/spreadsheets/d/1sHk6_yuc4kORC_xnhEeazoemV_hVUQVqRpfoNae-PLk/edit"",""2!e37"")"),0.0)</f>
        <v>0</v>
      </c>
      <c r="L665" s="40">
        <f t="shared" si="1845"/>
        <v>1656</v>
      </c>
      <c r="M665" s="40">
        <f t="shared" si="1817"/>
        <v>3124</v>
      </c>
      <c r="N665" s="41">
        <f t="shared" si="1818"/>
        <v>200.2633333</v>
      </c>
      <c r="O665" s="38">
        <v>3801.0</v>
      </c>
      <c r="P665" s="42">
        <f t="shared" si="1819"/>
        <v>0.8218889766</v>
      </c>
      <c r="Q665" s="43">
        <v>1.5</v>
      </c>
      <c r="R665" s="42">
        <f t="shared" si="1820"/>
        <v>0.4333183531</v>
      </c>
      <c r="S665" s="44">
        <f t="shared" si="1821"/>
        <v>0.6499775296</v>
      </c>
      <c r="T665" s="43">
        <f>F665/29.628</f>
        <v>162.2222222</v>
      </c>
      <c r="U665" s="43">
        <f t="shared" si="1822"/>
        <v>6.759259259</v>
      </c>
      <c r="V665" s="40">
        <f t="shared" si="1823"/>
        <v>130.1666667</v>
      </c>
      <c r="X665" s="22">
        <v>6.0</v>
      </c>
      <c r="Y665" s="22" t="s">
        <v>42</v>
      </c>
      <c r="Z665" s="22">
        <f t="shared" ref="Z665:AI665" si="1850">SUM(D669)</f>
        <v>33</v>
      </c>
      <c r="AA665" s="23">
        <f t="shared" si="1850"/>
        <v>33</v>
      </c>
      <c r="AB665" s="24">
        <f t="shared" si="1850"/>
        <v>6380.282</v>
      </c>
      <c r="AC665" s="23">
        <f t="shared" si="1850"/>
        <v>3133</v>
      </c>
      <c r="AD665" s="23">
        <f t="shared" si="1850"/>
        <v>0</v>
      </c>
      <c r="AE665" s="23">
        <f t="shared" si="1850"/>
        <v>3133</v>
      </c>
      <c r="AF665" s="23">
        <f t="shared" si="1850"/>
        <v>4360</v>
      </c>
      <c r="AG665" s="23">
        <f t="shared" si="1850"/>
        <v>0</v>
      </c>
      <c r="AH665" s="23">
        <f t="shared" si="1850"/>
        <v>4360</v>
      </c>
      <c r="AI665" s="23">
        <f t="shared" si="1850"/>
        <v>7493</v>
      </c>
      <c r="AJ665" s="25">
        <f t="shared" si="1835"/>
        <v>193.3418788</v>
      </c>
      <c r="AK665" s="22">
        <f t="shared" si="1851"/>
        <v>9877</v>
      </c>
      <c r="AL665" s="26">
        <f t="shared" si="1837"/>
        <v>0.7586311633</v>
      </c>
      <c r="AM665" s="27">
        <f t="shared" si="1852"/>
        <v>1.5</v>
      </c>
      <c r="AN665" s="26">
        <f t="shared" si="1839"/>
        <v>0.782933001</v>
      </c>
      <c r="AO665" s="28">
        <f t="shared" si="1840"/>
        <v>1.174399501</v>
      </c>
      <c r="AP665" s="27">
        <f t="shared" ref="AP665:AQ665" si="1853">SUM(T669)</f>
        <v>243.9411967</v>
      </c>
      <c r="AQ665" s="27">
        <f t="shared" si="1853"/>
        <v>7.392157476</v>
      </c>
      <c r="AR665" s="23">
        <f t="shared" si="1842"/>
        <v>227.0606061</v>
      </c>
    </row>
    <row r="666" ht="15.75" customHeight="1">
      <c r="A666" s="21"/>
      <c r="B666" s="38">
        <v>13.0</v>
      </c>
      <c r="C666" s="38" t="s">
        <v>43</v>
      </c>
      <c r="D666" s="39">
        <v>30.0</v>
      </c>
      <c r="E666" s="40">
        <f>IFERROR(__xludf.DUMMYFUNCTION("COUNT(IMPORTRANGE(""https://docs.google.com/spreadsheets/d/1uGXvAN2jA6kmcEHUY4KqOHHewllZsujDdA6KVDfBCoA/edit"",""2!d2:d31""))"),30.0)</f>
        <v>30</v>
      </c>
      <c r="F666" s="45">
        <f>IFERROR(__xludf.DUMMYFUNCTION("SUM(IMPORTRANGE(""https://docs.google.com/spreadsheets/d/1uGXvAN2jA6kmcEHUY4KqOHHewllZsujDdA6KVDfBCoA/edit"",""2!Q2:Q31""))"),6284.277999999999)</f>
        <v>6284.278</v>
      </c>
      <c r="G666" s="40">
        <f>IFERROR(__xludf.DUMMYFUNCTION("IMPORTRANGE(""https://docs.google.com/spreadsheets/d/1uGXvAN2jA6kmcEHUY4KqOHHewllZsujDdA6KVDfBCoA/edit"",""2!e38"")"),2309.0)</f>
        <v>2309</v>
      </c>
      <c r="H666" s="40">
        <f>IFERROR(__xludf.DUMMYFUNCTION("IMPORTRANGE(""https://docs.google.com/spreadsheets/d/1uGXvAN2jA6kmcEHUY4KqOHHewllZsujDdA6KVDfBCoA/edit"",""2!e39"")"),0.0)</f>
        <v>0</v>
      </c>
      <c r="I666" s="40">
        <f t="shared" si="1815"/>
        <v>2309</v>
      </c>
      <c r="J666" s="40">
        <f>IFERROR(__xludf.DUMMYFUNCTION("IMPORTRANGE(""https://docs.google.com/spreadsheets/d/1uGXvAN2jA6kmcEHUY4KqOHHewllZsujDdA6KVDfBCoA/edit"",""2!e42"")"),2749.0)</f>
        <v>2749</v>
      </c>
      <c r="K666" s="40">
        <f>IFERROR(__xludf.DUMMYFUNCTION("IMPORTRANGE(""https://docs.google.com/spreadsheets/d/1uGXvAN2jA6kmcEHUY4KqOHHewllZsujDdA6KVDfBCoA/edit"",""2!e43"")"),159.0)</f>
        <v>159</v>
      </c>
      <c r="L666" s="40">
        <f t="shared" si="1845"/>
        <v>2908</v>
      </c>
      <c r="M666" s="40">
        <f t="shared" si="1817"/>
        <v>5217</v>
      </c>
      <c r="N666" s="41">
        <f t="shared" si="1818"/>
        <v>209.4759333</v>
      </c>
      <c r="O666" s="38">
        <v>8345.0</v>
      </c>
      <c r="P666" s="42">
        <f t="shared" si="1819"/>
        <v>0.6251647693</v>
      </c>
      <c r="Q666" s="43">
        <v>1.5</v>
      </c>
      <c r="R666" s="42">
        <f t="shared" si="1820"/>
        <v>0.5534446439</v>
      </c>
      <c r="S666" s="44">
        <f t="shared" si="1821"/>
        <v>0.8301669659</v>
      </c>
      <c r="T666" s="43">
        <f>F666/41.205</f>
        <v>152.5125106</v>
      </c>
      <c r="U666" s="43">
        <f t="shared" si="1822"/>
        <v>5.083750354</v>
      </c>
      <c r="V666" s="40">
        <f t="shared" si="1823"/>
        <v>173.9</v>
      </c>
      <c r="X666" s="46" t="s">
        <v>33</v>
      </c>
      <c r="Y666" s="46">
        <v>6.0</v>
      </c>
      <c r="Z666" s="46">
        <f t="shared" ref="Z666:AI666" si="1854">SUM(Z660:Z665)</f>
        <v>226</v>
      </c>
      <c r="AA666" s="47">
        <f t="shared" si="1854"/>
        <v>224</v>
      </c>
      <c r="AB666" s="49">
        <f t="shared" si="1854"/>
        <v>44187.784</v>
      </c>
      <c r="AC666" s="47">
        <f t="shared" si="1854"/>
        <v>18291</v>
      </c>
      <c r="AD666" s="47">
        <f t="shared" si="1854"/>
        <v>143</v>
      </c>
      <c r="AE666" s="47">
        <f t="shared" si="1854"/>
        <v>18434</v>
      </c>
      <c r="AF666" s="47">
        <f t="shared" si="1854"/>
        <v>22964</v>
      </c>
      <c r="AG666" s="47">
        <f t="shared" si="1854"/>
        <v>334</v>
      </c>
      <c r="AH666" s="47">
        <f t="shared" si="1854"/>
        <v>23298</v>
      </c>
      <c r="AI666" s="47">
        <f t="shared" si="1854"/>
        <v>41732</v>
      </c>
      <c r="AJ666" s="49">
        <f t="shared" si="1835"/>
        <v>197.2668929</v>
      </c>
      <c r="AK666" s="46">
        <f>SUM(AK660:AK665)</f>
        <v>53273</v>
      </c>
      <c r="AL666" s="50">
        <f t="shared" si="1837"/>
        <v>0.7833611773</v>
      </c>
      <c r="AM666" s="51">
        <v>1.5</v>
      </c>
      <c r="AN666" s="50">
        <f t="shared" si="1839"/>
        <v>0.6296159439</v>
      </c>
      <c r="AO666" s="52">
        <f t="shared" si="1840"/>
        <v>0.9444239159</v>
      </c>
      <c r="AP666" s="51">
        <f>SUM(AP660:AP665)</f>
        <v>1450.497236</v>
      </c>
      <c r="AQ666" s="51">
        <f>AP666/AA666</f>
        <v>6.475434089</v>
      </c>
      <c r="AR666" s="47">
        <f t="shared" si="1842"/>
        <v>186.3035714</v>
      </c>
    </row>
    <row r="667" ht="15.75" customHeight="1">
      <c r="A667" s="21"/>
      <c r="B667" s="38">
        <v>14.0</v>
      </c>
      <c r="C667" s="38" t="s">
        <v>27</v>
      </c>
      <c r="D667" s="39">
        <v>30.0</v>
      </c>
      <c r="E667" s="40">
        <f>IFERROR(__xludf.DUMMYFUNCTION("COUNT(IMPORTRANGE(""https://docs.google.com/spreadsheets/d/1iYtf3wkjJIgOL8ej0-L89wY8FLXKi6EiRbi9UqA1Bzw/edit"",""2!d2:d31""))"),28.0)</f>
        <v>28</v>
      </c>
      <c r="F667" s="45">
        <f>IFERROR(__xludf.DUMMYFUNCTION("SUM(IMPORTRANGE(""https://docs.google.com/spreadsheets/d/1iYtf3wkjJIgOL8ej0-L89wY8FLXKi6EiRbi9UqA1Bzw/edit"",""2!Q2:Q31""))"),5465.76)</f>
        <v>5465.76</v>
      </c>
      <c r="G667" s="40">
        <f>IFERROR(__xludf.DUMMYFUNCTION("IMPORTRANGE(""https://docs.google.com/spreadsheets/d/1iYtf3wkjJIgOL8ej0-L89wY8FLXKi6EiRbi9UqA1Bzw/edit"",""2!e38"")"),2368.0)</f>
        <v>2368</v>
      </c>
      <c r="H667" s="40">
        <f>IFERROR(__xludf.DUMMYFUNCTION("IMPORTRANGE(""https://docs.google.com/spreadsheets/d/1iYtf3wkjJIgOL8ej0-L89wY8FLXKi6EiRbi9UqA1Bzw/edit"",""2!e39"")"),140.0)</f>
        <v>140</v>
      </c>
      <c r="I667" s="40">
        <f t="shared" si="1815"/>
        <v>2508</v>
      </c>
      <c r="J667" s="40">
        <f>IFERROR(__xludf.DUMMYFUNCTION("IMPORTRANGE(""https://docs.google.com/spreadsheets/d/1iYtf3wkjJIgOL8ej0-L89wY8FLXKi6EiRbi9UqA1Bzw/edit"",""2!e42"")"),3355.0)</f>
        <v>3355</v>
      </c>
      <c r="K667" s="40">
        <f>IFERROR(__xludf.DUMMYFUNCTION("IMPORTRANGE(""https://docs.google.com/spreadsheets/d/1iYtf3wkjJIgOL8ej0-L89wY8FLXKi6EiRbi9UqA1Bzw/edit"",""2!e43"")"),107.0)</f>
        <v>107</v>
      </c>
      <c r="L667" s="40">
        <f t="shared" si="1845"/>
        <v>3462</v>
      </c>
      <c r="M667" s="40">
        <f t="shared" si="1817"/>
        <v>5970</v>
      </c>
      <c r="N667" s="41">
        <f t="shared" si="1818"/>
        <v>195.2057143</v>
      </c>
      <c r="O667" s="38">
        <v>8101.0</v>
      </c>
      <c r="P667" s="42">
        <f t="shared" si="1819"/>
        <v>0.736946056</v>
      </c>
      <c r="Q667" s="43">
        <v>1.5</v>
      </c>
      <c r="R667" s="42">
        <f t="shared" si="1820"/>
        <v>0.7281695501</v>
      </c>
      <c r="S667" s="44">
        <f t="shared" si="1821"/>
        <v>1.092254325</v>
      </c>
      <c r="T667" s="43">
        <f>F667/19.985</f>
        <v>273.4931198</v>
      </c>
      <c r="U667" s="43">
        <f t="shared" si="1822"/>
        <v>9.767611423</v>
      </c>
      <c r="V667" s="40">
        <f t="shared" si="1823"/>
        <v>213.2142857</v>
      </c>
      <c r="X667" s="59" t="s">
        <v>44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6"/>
    </row>
    <row r="668" ht="15.75" customHeight="1">
      <c r="A668" s="21"/>
      <c r="B668" s="38">
        <v>15.0</v>
      </c>
      <c r="C668" s="38" t="s">
        <v>40</v>
      </c>
      <c r="D668" s="39">
        <v>30.0</v>
      </c>
      <c r="E668" s="40">
        <f>IFERROR(__xludf.DUMMYFUNCTION("COUNT(IMPORTRANGE(""https://docs.google.com/spreadsheets/d/1Wdf8MsoDBzMSsrzOXwaGQzbVjVqOWfKSqYmbncevZgA/edit"",""2!d2:d31""))"),30.0)</f>
        <v>30</v>
      </c>
      <c r="F668" s="45">
        <f>IFERROR(__xludf.DUMMYFUNCTION("SUM(IMPORTRANGE(""https://docs.google.com/spreadsheets/d/1Wdf8MsoDBzMSsrzOXwaGQzbVjVqOWfKSqYmbncevZgA/edit"",""2!Q2:Q31""))"),5845.702999999999)</f>
        <v>5845.703</v>
      </c>
      <c r="G668" s="40">
        <f>IFERROR(__xludf.DUMMYFUNCTION("IMPORTRANGE(""https://docs.google.com/spreadsheets/d/1Wdf8MsoDBzMSsrzOXwaGQzbVjVqOWfKSqYmbncevZgA/edit"",""2!e38"")"),3323.0)</f>
        <v>3323</v>
      </c>
      <c r="H668" s="40">
        <f>IFERROR(__xludf.DUMMYFUNCTION("IMPORTRANGE(""https://docs.google.com/spreadsheets/d/1Wdf8MsoDBzMSsrzOXwaGQzbVjVqOWfKSqYmbncevZgA/edit"",""2!e39"")"),39.0)</f>
        <v>39</v>
      </c>
      <c r="I668" s="40">
        <f t="shared" si="1815"/>
        <v>3362</v>
      </c>
      <c r="J668" s="40">
        <f>IFERROR(__xludf.DUMMYFUNCTION("IMPORTRANGE(""https://docs.google.com/spreadsheets/d/1Wdf8MsoDBzMSsrzOXwaGQzbVjVqOWfKSqYmbncevZgA/edit"",""2!e42"")"),3928.0)</f>
        <v>3928</v>
      </c>
      <c r="K668" s="40">
        <f>IFERROR(__xludf.DUMMYFUNCTION("IMPORTRANGE(""https://docs.google.com/spreadsheets/d/1Wdf8MsoDBzMSsrzOXwaGQzbVjVqOWfKSqYmbncevZgA/edit"",""2!e43"")"),73.0)</f>
        <v>73</v>
      </c>
      <c r="L668" s="40">
        <f t="shared" si="1845"/>
        <v>4001</v>
      </c>
      <c r="M668" s="40">
        <f t="shared" si="1817"/>
        <v>7363</v>
      </c>
      <c r="N668" s="41">
        <f t="shared" si="1818"/>
        <v>194.8567667</v>
      </c>
      <c r="O668" s="38">
        <v>8239.0</v>
      </c>
      <c r="P668" s="42">
        <f t="shared" si="1819"/>
        <v>0.893676417</v>
      </c>
      <c r="Q668" s="43">
        <v>1.5</v>
      </c>
      <c r="R668" s="42">
        <f t="shared" si="1820"/>
        <v>0.8397051076</v>
      </c>
      <c r="S668" s="44">
        <f t="shared" si="1821"/>
        <v>1.259557661</v>
      </c>
      <c r="T668" s="43">
        <f>F668/28.443</f>
        <v>205.5234328</v>
      </c>
      <c r="U668" s="43">
        <f t="shared" si="1822"/>
        <v>6.850781094</v>
      </c>
      <c r="V668" s="40">
        <f t="shared" si="1823"/>
        <v>245.4333333</v>
      </c>
      <c r="X668" s="14" t="s">
        <v>2</v>
      </c>
      <c r="Y668" s="14" t="s">
        <v>3</v>
      </c>
      <c r="Z668" s="14" t="s">
        <v>4</v>
      </c>
      <c r="AA668" s="14" t="s">
        <v>5</v>
      </c>
      <c r="AB668" s="15" t="s">
        <v>6</v>
      </c>
      <c r="AC668" s="14" t="s">
        <v>7</v>
      </c>
      <c r="AD668" s="14" t="s">
        <v>8</v>
      </c>
      <c r="AE668" s="14" t="s">
        <v>9</v>
      </c>
      <c r="AF668" s="14" t="s">
        <v>10</v>
      </c>
      <c r="AG668" s="14" t="s">
        <v>11</v>
      </c>
      <c r="AH668" s="14" t="s">
        <v>12</v>
      </c>
      <c r="AI668" s="14" t="s">
        <v>13</v>
      </c>
      <c r="AJ668" s="15" t="s">
        <v>14</v>
      </c>
      <c r="AK668" s="14" t="s">
        <v>15</v>
      </c>
      <c r="AL668" s="14" t="s">
        <v>16</v>
      </c>
      <c r="AM668" s="16" t="s">
        <v>17</v>
      </c>
      <c r="AN668" s="17" t="s">
        <v>18</v>
      </c>
      <c r="AO668" s="18" t="s">
        <v>19</v>
      </c>
      <c r="AP668" s="19" t="s">
        <v>20</v>
      </c>
      <c r="AQ668" s="19" t="s">
        <v>21</v>
      </c>
      <c r="AR668" s="20" t="s">
        <v>22</v>
      </c>
    </row>
    <row r="669" ht="15.75" customHeight="1">
      <c r="A669" s="21"/>
      <c r="B669" s="38">
        <v>16.0</v>
      </c>
      <c r="C669" s="38" t="s">
        <v>42</v>
      </c>
      <c r="D669" s="39">
        <v>33.0</v>
      </c>
      <c r="E669" s="40">
        <f>IFERROR(__xludf.DUMMYFUNCTION("COUNT(IMPORTRANGE(""https://docs.google.com/spreadsheets/d/1Z5uB5HbeAKcHmG4EOw3rf2J8NpyvDiha6RReERAMvA0/edit"",""2!d2:d34""))"),33.0)</f>
        <v>33</v>
      </c>
      <c r="F669" s="45">
        <f>IFERROR(__xludf.DUMMYFUNCTION("SUM(IMPORTRANGE(""https://docs.google.com/spreadsheets/d/1Z5uB5HbeAKcHmG4EOw3rf2J8NpyvDiha6RReERAMvA0/edit"",""2!Q2:Q34""))"),6380.281999999998)</f>
        <v>6380.282</v>
      </c>
      <c r="G669" s="40">
        <f>IFERROR(__xludf.DUMMYFUNCTION("IMPORTRANGE(""https://docs.google.com/spreadsheets/d/1Z5uB5HbeAKcHmG4EOw3rf2J8NpyvDiha6RReERAMvA0/edit"",""2!e41"")"),3133.0)</f>
        <v>3133</v>
      </c>
      <c r="H669" s="40">
        <f>IFERROR(__xludf.DUMMYFUNCTION("IMPORTRANGE(""https://docs.google.com/spreadsheets/d/1Z5uB5HbeAKcHmG4EOw3rf2J8NpyvDiha6RReERAMvA0/edit"",""2!e42"")"),0.0)</f>
        <v>0</v>
      </c>
      <c r="I669" s="40">
        <f t="shared" si="1815"/>
        <v>3133</v>
      </c>
      <c r="J669" s="40">
        <f>IFERROR(__xludf.DUMMYFUNCTION("IMPORTRANGE(""https://docs.google.com/spreadsheets/d/1Z5uB5HbeAKcHmG4EOw3rf2J8NpyvDiha6RReERAMvA0/edit"",""2!e45"")"),4360.0)</f>
        <v>4360</v>
      </c>
      <c r="K669" s="40">
        <f>IFERROR(__xludf.DUMMYFUNCTION("IMPORTRANGE(""https://docs.google.com/spreadsheets/d/1Z5uB5HbeAKcHmG4EOw3rf2J8NpyvDiha6RReERAMvA0/edit"",""2!e46"")"),0.0)</f>
        <v>0</v>
      </c>
      <c r="L669" s="40">
        <f t="shared" si="1845"/>
        <v>4360</v>
      </c>
      <c r="M669" s="40">
        <f t="shared" si="1817"/>
        <v>7493</v>
      </c>
      <c r="N669" s="41">
        <f t="shared" si="1818"/>
        <v>193.3418788</v>
      </c>
      <c r="O669" s="38">
        <v>9877.0</v>
      </c>
      <c r="P669" s="42">
        <f t="shared" si="1819"/>
        <v>0.7586311633</v>
      </c>
      <c r="Q669" s="43">
        <v>1.5</v>
      </c>
      <c r="R669" s="42">
        <f t="shared" si="1820"/>
        <v>0.782933001</v>
      </c>
      <c r="S669" s="44">
        <f t="shared" si="1821"/>
        <v>1.174399501</v>
      </c>
      <c r="T669" s="43">
        <f>F669/26.155</f>
        <v>243.9411967</v>
      </c>
      <c r="U669" s="43">
        <f t="shared" si="1822"/>
        <v>7.392157476</v>
      </c>
      <c r="V669" s="40">
        <f t="shared" si="1823"/>
        <v>227.0606061</v>
      </c>
      <c r="X669" s="31">
        <v>1.0</v>
      </c>
      <c r="Y669" s="31" t="s">
        <v>26</v>
      </c>
      <c r="Z669" s="31">
        <f t="shared" ref="Z669:AI669" si="1855">SUM(D654)</f>
        <v>20</v>
      </c>
      <c r="AA669" s="32">
        <f t="shared" si="1855"/>
        <v>20</v>
      </c>
      <c r="AB669" s="34">
        <f t="shared" si="1855"/>
        <v>3560.964</v>
      </c>
      <c r="AC669" s="32">
        <f t="shared" si="1855"/>
        <v>1873</v>
      </c>
      <c r="AD669" s="32">
        <f t="shared" si="1855"/>
        <v>0</v>
      </c>
      <c r="AE669" s="32">
        <f t="shared" si="1855"/>
        <v>1873</v>
      </c>
      <c r="AF669" s="32">
        <f t="shared" si="1855"/>
        <v>3204</v>
      </c>
      <c r="AG669" s="32">
        <f t="shared" si="1855"/>
        <v>0</v>
      </c>
      <c r="AH669" s="32">
        <f t="shared" si="1855"/>
        <v>3204</v>
      </c>
      <c r="AI669" s="32">
        <f t="shared" si="1855"/>
        <v>5077</v>
      </c>
      <c r="AJ669" s="34">
        <f t="shared" ref="AJ669:AJ675" si="1858">AB669/AA669</f>
        <v>178.0482</v>
      </c>
      <c r="AK669" s="31">
        <f>SUM(O654)</f>
        <v>5161</v>
      </c>
      <c r="AL669" s="35">
        <f t="shared" ref="AL669:AL675" si="1859">AI669/AK669</f>
        <v>0.9837240845</v>
      </c>
      <c r="AM669" s="36">
        <f>SUM(Q654)</f>
        <v>1.5</v>
      </c>
      <c r="AN669" s="35">
        <f t="shared" ref="AN669:AN675" si="1860">AO669/AM669</f>
        <v>0.9504916833</v>
      </c>
      <c r="AO669" s="37">
        <f t="shared" ref="AO669:AO675" si="1861">AI669/AB669</f>
        <v>1.425737525</v>
      </c>
      <c r="AP669" s="36">
        <f t="shared" ref="AP669:AQ669" si="1856">SUM(T654)</f>
        <v>247.0318418</v>
      </c>
      <c r="AQ669" s="36">
        <f t="shared" si="1856"/>
        <v>12.35159209</v>
      </c>
      <c r="AR669" s="32">
        <f t="shared" ref="AR669:AR675" si="1863">AI669/AA669</f>
        <v>253.85</v>
      </c>
    </row>
    <row r="670" ht="15.75" customHeight="1">
      <c r="A670" s="21"/>
      <c r="B670" s="38">
        <v>17.0</v>
      </c>
      <c r="C670" s="38" t="s">
        <v>29</v>
      </c>
      <c r="D670" s="39">
        <v>30.0</v>
      </c>
      <c r="E670" s="40">
        <f>IFERROR(__xludf.DUMMYFUNCTION("COUNT(IMPORTRANGE(""https://docs.google.com/spreadsheets/d/1wfJqI0e9wVPqEQv3N6b8KgINjqI0OBECEyIFeY9j3i8/edit"",""2!d2:d31""))"),29.0)</f>
        <v>29</v>
      </c>
      <c r="F670" s="45">
        <f>IFERROR(__xludf.DUMMYFUNCTION("SUM(IMPORTRANGE(""https://docs.google.com/spreadsheets/d/1wfJqI0e9wVPqEQv3N6b8KgINjqI0OBECEyIFeY9j3i8/edit"",""2!Q2:Q31""))"),5775.037999999998)</f>
        <v>5775.038</v>
      </c>
      <c r="G670" s="40">
        <f>IFERROR(__xludf.DUMMYFUNCTION("IMPORTRANGE(""https://docs.google.com/spreadsheets/d/1wfJqI0e9wVPqEQv3N6b8KgINjqI0OBECEyIFeY9j3i8/edit"",""2!e38"")"),2726.0)</f>
        <v>2726</v>
      </c>
      <c r="H670" s="40">
        <f>IFERROR(__xludf.DUMMYFUNCTION("IMPORTRANGE(""https://docs.google.com/spreadsheets/d/1wfJqI0e9wVPqEQv3N6b8KgINjqI0OBECEyIFeY9j3i8/edit"",""2!e39"")"),0.0)</f>
        <v>0</v>
      </c>
      <c r="I670" s="40">
        <f t="shared" si="1815"/>
        <v>2726</v>
      </c>
      <c r="J670" s="40">
        <f>IFERROR(__xludf.DUMMYFUNCTION("IMPORTRANGE(""https://docs.google.com/spreadsheets/d/1wfJqI0e9wVPqEQv3N6b8KgINjqI0OBECEyIFeY9j3i8/edit"",""2!e42"")"),4235.0)</f>
        <v>4235</v>
      </c>
      <c r="K670" s="40">
        <f>IFERROR(__xludf.DUMMYFUNCTION("IMPORTRANGE(""https://docs.google.com/spreadsheets/d/1wfJqI0e9wVPqEQv3N6b8KgINjqI0OBECEyIFeY9j3i8/edit"",""2!e43"")"),0.0)</f>
        <v>0</v>
      </c>
      <c r="L670" s="40">
        <f t="shared" si="1845"/>
        <v>4235</v>
      </c>
      <c r="M670" s="40">
        <f t="shared" si="1817"/>
        <v>6961</v>
      </c>
      <c r="N670" s="41">
        <f t="shared" si="1818"/>
        <v>199.1392414</v>
      </c>
      <c r="O670" s="38">
        <v>9201.0</v>
      </c>
      <c r="P670" s="42">
        <f t="shared" si="1819"/>
        <v>0.7565482013</v>
      </c>
      <c r="Q670" s="43">
        <v>1.5</v>
      </c>
      <c r="R670" s="42">
        <f t="shared" si="1820"/>
        <v>0.803573356</v>
      </c>
      <c r="S670" s="44">
        <f t="shared" si="1821"/>
        <v>1.205360034</v>
      </c>
      <c r="T670" s="43">
        <f>F670/26.491</f>
        <v>218</v>
      </c>
      <c r="U670" s="43">
        <f t="shared" si="1822"/>
        <v>7.517241379</v>
      </c>
      <c r="V670" s="40">
        <f t="shared" si="1823"/>
        <v>240.0344828</v>
      </c>
      <c r="X670" s="31">
        <v>2.0</v>
      </c>
      <c r="Y670" s="31" t="s">
        <v>32</v>
      </c>
      <c r="Z670" s="31">
        <f t="shared" ref="Z670:AI670" si="1857">SUM(D657)</f>
        <v>42</v>
      </c>
      <c r="AA670" s="32">
        <f t="shared" si="1857"/>
        <v>42</v>
      </c>
      <c r="AB670" s="33">
        <f t="shared" si="1857"/>
        <v>8179.014</v>
      </c>
      <c r="AC670" s="31">
        <f t="shared" si="1857"/>
        <v>4808</v>
      </c>
      <c r="AD670" s="31">
        <f t="shared" si="1857"/>
        <v>0</v>
      </c>
      <c r="AE670" s="32">
        <f t="shared" si="1857"/>
        <v>4808</v>
      </c>
      <c r="AF670" s="31">
        <f t="shared" si="1857"/>
        <v>5449</v>
      </c>
      <c r="AG670" s="31">
        <f t="shared" si="1857"/>
        <v>190</v>
      </c>
      <c r="AH670" s="32">
        <f t="shared" si="1857"/>
        <v>5639</v>
      </c>
      <c r="AI670" s="32">
        <f t="shared" si="1857"/>
        <v>10447</v>
      </c>
      <c r="AJ670" s="34">
        <f t="shared" si="1858"/>
        <v>194.7384286</v>
      </c>
      <c r="AK670" s="31">
        <f>SUM(O657)</f>
        <v>13817</v>
      </c>
      <c r="AL670" s="35">
        <f t="shared" si="1859"/>
        <v>0.756097561</v>
      </c>
      <c r="AM670" s="36">
        <f>SUM(Q657)</f>
        <v>1.5</v>
      </c>
      <c r="AN670" s="35">
        <f t="shared" si="1860"/>
        <v>0.8515288844</v>
      </c>
      <c r="AO670" s="37">
        <f t="shared" si="1861"/>
        <v>1.277293327</v>
      </c>
      <c r="AP670" s="36">
        <f t="shared" ref="AP670:AQ670" si="1862">SUM(T657)</f>
        <v>326</v>
      </c>
      <c r="AQ670" s="36">
        <f t="shared" si="1862"/>
        <v>7.761904762</v>
      </c>
      <c r="AR670" s="32">
        <f t="shared" si="1863"/>
        <v>248.7380952</v>
      </c>
    </row>
    <row r="671" ht="15.75" customHeight="1">
      <c r="A671" s="21"/>
      <c r="B671" s="38">
        <v>18.0</v>
      </c>
      <c r="C671" s="38" t="s">
        <v>31</v>
      </c>
      <c r="D671" s="39">
        <v>15.0</v>
      </c>
      <c r="E671" s="40">
        <f>IFERROR(__xludf.DUMMYFUNCTION("COUNT(IMPORTRANGE(""https://docs.google.com/spreadsheets/d/1-y2KhTAo7d8kowgUuWUDfRQuRMUAFteRYEXorT3_wOs/edit"",""2!d2:d16""))"),13.0)</f>
        <v>13</v>
      </c>
      <c r="F671" s="41">
        <f>IFERROR(__xludf.DUMMYFUNCTION("SUM(IMPORTRANGE(""https://docs.google.com/spreadsheets/d/1-y2KhTAo7d8kowgUuWUDfRQuRMUAFteRYEXorT3_wOs/edit"",""2!Q2:Q16""))"),2607.9000000000005)</f>
        <v>2607.9</v>
      </c>
      <c r="G671" s="40">
        <f>IFERROR(__xludf.DUMMYFUNCTION("IMPORTRANGE(""https://docs.google.com/spreadsheets/d/1-y2KhTAo7d8kowgUuWUDfRQuRMUAFteRYEXorT3_wOs/edit"",""2!e23"")"),870.0)</f>
        <v>870</v>
      </c>
      <c r="H671" s="40">
        <f>IFERROR(__xludf.DUMMYFUNCTION("IMPORTRANGE(""https://docs.google.com/spreadsheets/d/1-y2KhTAo7d8kowgUuWUDfRQuRMUAFteRYEXorT3_wOs/edit"",""2!e24"")"),0.0)</f>
        <v>0</v>
      </c>
      <c r="I671" s="40">
        <f t="shared" si="1815"/>
        <v>870</v>
      </c>
      <c r="J671" s="40">
        <f>IFERROR(__xludf.DUMMYFUNCTION("IMPORTRANGE(""https://docs.google.com/spreadsheets/d/1-y2KhTAo7d8kowgUuWUDfRQuRMUAFteRYEXorT3_wOs/edit"",""2!e27"")"),975.0)</f>
        <v>975</v>
      </c>
      <c r="K671" s="40">
        <f>IFERROR(__xludf.DUMMYFUNCTION("IMPORTRANGE(""https://docs.google.com/spreadsheets/d/1-y2KhTAo7d8kowgUuWUDfRQuRMUAFteRYEXorT3_wOs/edit"",""2!e28"")"),55.0)</f>
        <v>55</v>
      </c>
      <c r="L671" s="40">
        <f t="shared" si="1845"/>
        <v>1030</v>
      </c>
      <c r="M671" s="40">
        <f t="shared" si="1817"/>
        <v>1900</v>
      </c>
      <c r="N671" s="41">
        <f t="shared" si="1818"/>
        <v>200.6076923</v>
      </c>
      <c r="O671" s="38">
        <v>2717.0</v>
      </c>
      <c r="P671" s="42">
        <f t="shared" si="1819"/>
        <v>0.6993006993</v>
      </c>
      <c r="Q671" s="43">
        <v>1.5</v>
      </c>
      <c r="R671" s="42">
        <f t="shared" si="1820"/>
        <v>0.4857036952</v>
      </c>
      <c r="S671" s="44">
        <f t="shared" si="1821"/>
        <v>0.7285555428</v>
      </c>
      <c r="T671" s="43">
        <f>F671/43.465</f>
        <v>60</v>
      </c>
      <c r="U671" s="43">
        <f t="shared" si="1822"/>
        <v>4.615384615</v>
      </c>
      <c r="V671" s="40">
        <f t="shared" si="1823"/>
        <v>146.1538462</v>
      </c>
      <c r="X671" s="31">
        <v>3.0</v>
      </c>
      <c r="Y671" s="31" t="s">
        <v>36</v>
      </c>
      <c r="Z671" s="31">
        <f t="shared" ref="Z671:AI671" si="1864">SUM(D662)</f>
        <v>30</v>
      </c>
      <c r="AA671" s="32">
        <f t="shared" si="1864"/>
        <v>29</v>
      </c>
      <c r="AB671" s="33">
        <f t="shared" si="1864"/>
        <v>5604.12</v>
      </c>
      <c r="AC671" s="32">
        <f t="shared" si="1864"/>
        <v>1533</v>
      </c>
      <c r="AD671" s="32">
        <f t="shared" si="1864"/>
        <v>0</v>
      </c>
      <c r="AE671" s="32">
        <f t="shared" si="1864"/>
        <v>1533</v>
      </c>
      <c r="AF671" s="32">
        <f t="shared" si="1864"/>
        <v>2301</v>
      </c>
      <c r="AG671" s="32">
        <f t="shared" si="1864"/>
        <v>0</v>
      </c>
      <c r="AH671" s="32">
        <f t="shared" si="1864"/>
        <v>2301</v>
      </c>
      <c r="AI671" s="32">
        <f t="shared" si="1864"/>
        <v>3834</v>
      </c>
      <c r="AJ671" s="34">
        <f t="shared" si="1858"/>
        <v>193.2455172</v>
      </c>
      <c r="AK671" s="31">
        <f t="shared" ref="AK671:AK674" si="1868">SUM(O662)</f>
        <v>4796</v>
      </c>
      <c r="AL671" s="35">
        <f t="shared" si="1859"/>
        <v>0.7994161802</v>
      </c>
      <c r="AM671" s="36">
        <f t="shared" ref="AM671:AM674" si="1869">SUM(Q662)</f>
        <v>1.5</v>
      </c>
      <c r="AN671" s="35">
        <f t="shared" si="1860"/>
        <v>0.4560930173</v>
      </c>
      <c r="AO671" s="37">
        <f t="shared" si="1861"/>
        <v>0.6841395259</v>
      </c>
      <c r="AP671" s="36">
        <f t="shared" ref="AP671:AQ671" si="1865">SUM(T662)</f>
        <v>149.7867109</v>
      </c>
      <c r="AQ671" s="36">
        <f t="shared" si="1865"/>
        <v>5.165058995</v>
      </c>
      <c r="AR671" s="32">
        <f t="shared" si="1863"/>
        <v>132.2068966</v>
      </c>
    </row>
    <row r="672" ht="15.75" customHeight="1">
      <c r="A672" s="21"/>
      <c r="B672" s="60" t="s">
        <v>33</v>
      </c>
      <c r="C672" s="60">
        <v>18.0</v>
      </c>
      <c r="D672" s="60">
        <f t="shared" ref="D672:M672" si="1866">SUM(D654:D671)</f>
        <v>586</v>
      </c>
      <c r="E672" s="61">
        <f t="shared" si="1866"/>
        <v>576</v>
      </c>
      <c r="F672" s="62">
        <f t="shared" si="1866"/>
        <v>112418.192</v>
      </c>
      <c r="G672" s="61">
        <f t="shared" si="1866"/>
        <v>43479</v>
      </c>
      <c r="H672" s="61">
        <f t="shared" si="1866"/>
        <v>764</v>
      </c>
      <c r="I672" s="61">
        <f t="shared" si="1866"/>
        <v>44243</v>
      </c>
      <c r="J672" s="61">
        <f t="shared" si="1866"/>
        <v>56392</v>
      </c>
      <c r="K672" s="61">
        <f t="shared" si="1866"/>
        <v>1134</v>
      </c>
      <c r="L672" s="61">
        <f t="shared" si="1866"/>
        <v>57526</v>
      </c>
      <c r="M672" s="61">
        <f t="shared" si="1866"/>
        <v>101769</v>
      </c>
      <c r="N672" s="62">
        <f t="shared" si="1818"/>
        <v>195.1704722</v>
      </c>
      <c r="O672" s="60">
        <f>SUM(O654:O671)</f>
        <v>126399</v>
      </c>
      <c r="P672" s="63">
        <f t="shared" si="1819"/>
        <v>0.8051408635</v>
      </c>
      <c r="Q672" s="64">
        <v>1.5</v>
      </c>
      <c r="R672" s="63">
        <f t="shared" si="1820"/>
        <v>0.6035144205</v>
      </c>
      <c r="S672" s="65">
        <f t="shared" si="1821"/>
        <v>0.9052716308</v>
      </c>
      <c r="T672" s="64">
        <f>SUM(T654:T671)</f>
        <v>4134.025243</v>
      </c>
      <c r="U672" s="64">
        <f t="shared" si="1822"/>
        <v>7.177127158</v>
      </c>
      <c r="V672" s="61">
        <f t="shared" si="1823"/>
        <v>176.6822917</v>
      </c>
      <c r="X672" s="31">
        <v>4.0</v>
      </c>
      <c r="Y672" s="31" t="s">
        <v>37</v>
      </c>
      <c r="Z672" s="31">
        <f t="shared" ref="Z672:AI672" si="1867">SUM(D663)</f>
        <v>30</v>
      </c>
      <c r="AA672" s="32">
        <f t="shared" si="1867"/>
        <v>30</v>
      </c>
      <c r="AB672" s="33">
        <f t="shared" si="1867"/>
        <v>5812.188</v>
      </c>
      <c r="AC672" s="32">
        <f t="shared" si="1867"/>
        <v>2138</v>
      </c>
      <c r="AD672" s="32">
        <f t="shared" si="1867"/>
        <v>0</v>
      </c>
      <c r="AE672" s="32">
        <f t="shared" si="1867"/>
        <v>2138</v>
      </c>
      <c r="AF672" s="32">
        <f t="shared" si="1867"/>
        <v>3071</v>
      </c>
      <c r="AG672" s="32">
        <f t="shared" si="1867"/>
        <v>0</v>
      </c>
      <c r="AH672" s="32">
        <f t="shared" si="1867"/>
        <v>3071</v>
      </c>
      <c r="AI672" s="32">
        <f t="shared" si="1867"/>
        <v>5209</v>
      </c>
      <c r="AJ672" s="34">
        <f t="shared" si="1858"/>
        <v>193.7396</v>
      </c>
      <c r="AK672" s="31">
        <f t="shared" si="1868"/>
        <v>5887</v>
      </c>
      <c r="AL672" s="35">
        <f t="shared" si="1859"/>
        <v>0.8848309835</v>
      </c>
      <c r="AM672" s="36">
        <f t="shared" si="1869"/>
        <v>1.5</v>
      </c>
      <c r="AN672" s="35">
        <f t="shared" si="1860"/>
        <v>0.5974800999</v>
      </c>
      <c r="AO672" s="37">
        <f t="shared" si="1861"/>
        <v>0.8962201498</v>
      </c>
      <c r="AP672" s="36">
        <f t="shared" ref="AP672:AQ672" si="1870">SUM(T663)</f>
        <v>234.4380445</v>
      </c>
      <c r="AQ672" s="36">
        <f t="shared" si="1870"/>
        <v>7.814601484</v>
      </c>
      <c r="AR672" s="32">
        <f t="shared" si="1863"/>
        <v>173.6333333</v>
      </c>
    </row>
    <row r="673" ht="15.7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X673" s="31">
        <v>5.0</v>
      </c>
      <c r="Y673" s="31" t="s">
        <v>39</v>
      </c>
      <c r="Z673" s="31">
        <f t="shared" ref="Z673:AI673" si="1871">SUM(D664)</f>
        <v>28</v>
      </c>
      <c r="AA673" s="32">
        <f t="shared" si="1871"/>
        <v>28</v>
      </c>
      <c r="AB673" s="33">
        <f t="shared" si="1871"/>
        <v>5458.878</v>
      </c>
      <c r="AC673" s="32">
        <f t="shared" si="1871"/>
        <v>1516</v>
      </c>
      <c r="AD673" s="32">
        <f t="shared" si="1871"/>
        <v>43</v>
      </c>
      <c r="AE673" s="32">
        <f t="shared" si="1871"/>
        <v>1559</v>
      </c>
      <c r="AF673" s="32">
        <f t="shared" si="1871"/>
        <v>1765</v>
      </c>
      <c r="AG673" s="32">
        <f t="shared" si="1871"/>
        <v>115</v>
      </c>
      <c r="AH673" s="32">
        <f t="shared" si="1871"/>
        <v>1880</v>
      </c>
      <c r="AI673" s="32">
        <f t="shared" si="1871"/>
        <v>3439</v>
      </c>
      <c r="AJ673" s="34">
        <f t="shared" si="1858"/>
        <v>194.9599286</v>
      </c>
      <c r="AK673" s="31">
        <f t="shared" si="1868"/>
        <v>3569</v>
      </c>
      <c r="AL673" s="35">
        <f t="shared" si="1859"/>
        <v>0.9635752312</v>
      </c>
      <c r="AM673" s="36">
        <f t="shared" si="1869"/>
        <v>1.5</v>
      </c>
      <c r="AN673" s="35">
        <f t="shared" si="1860"/>
        <v>0.4199886253</v>
      </c>
      <c r="AO673" s="37">
        <f t="shared" si="1861"/>
        <v>0.6299829379</v>
      </c>
      <c r="AP673" s="36">
        <f t="shared" ref="AP673:AQ673" si="1872">SUM(T664)</f>
        <v>254.339002</v>
      </c>
      <c r="AQ673" s="36">
        <f t="shared" si="1872"/>
        <v>9.083535786</v>
      </c>
      <c r="AR673" s="32">
        <f t="shared" si="1863"/>
        <v>122.8214286</v>
      </c>
    </row>
    <row r="674" ht="15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X674" s="31">
        <v>6.0</v>
      </c>
      <c r="Y674" s="31" t="s">
        <v>41</v>
      </c>
      <c r="Z674" s="31">
        <f t="shared" ref="Z674:AI674" si="1873">SUM(D665)</f>
        <v>24</v>
      </c>
      <c r="AA674" s="32">
        <f t="shared" si="1873"/>
        <v>24</v>
      </c>
      <c r="AB674" s="33">
        <f t="shared" si="1873"/>
        <v>4806.32</v>
      </c>
      <c r="AC674" s="32">
        <f t="shared" si="1873"/>
        <v>1468</v>
      </c>
      <c r="AD674" s="32">
        <f t="shared" si="1873"/>
        <v>0</v>
      </c>
      <c r="AE674" s="32">
        <f t="shared" si="1873"/>
        <v>1468</v>
      </c>
      <c r="AF674" s="32">
        <f t="shared" si="1873"/>
        <v>1656</v>
      </c>
      <c r="AG674" s="32">
        <f t="shared" si="1873"/>
        <v>0</v>
      </c>
      <c r="AH674" s="32">
        <f t="shared" si="1873"/>
        <v>1656</v>
      </c>
      <c r="AI674" s="32">
        <f t="shared" si="1873"/>
        <v>3124</v>
      </c>
      <c r="AJ674" s="34">
        <f t="shared" si="1858"/>
        <v>200.2633333</v>
      </c>
      <c r="AK674" s="31">
        <f t="shared" si="1868"/>
        <v>3801</v>
      </c>
      <c r="AL674" s="35">
        <f t="shared" si="1859"/>
        <v>0.8218889766</v>
      </c>
      <c r="AM674" s="36">
        <f t="shared" si="1869"/>
        <v>1.5</v>
      </c>
      <c r="AN674" s="35">
        <f t="shared" si="1860"/>
        <v>0.4333183531</v>
      </c>
      <c r="AO674" s="37">
        <f t="shared" si="1861"/>
        <v>0.6499775296</v>
      </c>
      <c r="AP674" s="36">
        <f t="shared" ref="AP674:AQ674" si="1874">SUM(T665)</f>
        <v>162.2222222</v>
      </c>
      <c r="AQ674" s="36">
        <f t="shared" si="1874"/>
        <v>6.759259259</v>
      </c>
      <c r="AR674" s="32">
        <f t="shared" si="1863"/>
        <v>130.1666667</v>
      </c>
    </row>
    <row r="675" ht="15.75" customHeight="1">
      <c r="A675" s="1" t="s">
        <v>45</v>
      </c>
      <c r="D675" s="2"/>
      <c r="X675" s="46" t="s">
        <v>33</v>
      </c>
      <c r="Y675" s="46">
        <v>6.0</v>
      </c>
      <c r="Z675" s="46">
        <f t="shared" ref="Z675:AI675" si="1875">SUM(Z669:Z674)</f>
        <v>174</v>
      </c>
      <c r="AA675" s="47">
        <f t="shared" si="1875"/>
        <v>173</v>
      </c>
      <c r="AB675" s="49">
        <f t="shared" si="1875"/>
        <v>33421.484</v>
      </c>
      <c r="AC675" s="47">
        <f t="shared" si="1875"/>
        <v>13336</v>
      </c>
      <c r="AD675" s="47">
        <f t="shared" si="1875"/>
        <v>43</v>
      </c>
      <c r="AE675" s="47">
        <f t="shared" si="1875"/>
        <v>13379</v>
      </c>
      <c r="AF675" s="47">
        <f t="shared" si="1875"/>
        <v>17446</v>
      </c>
      <c r="AG675" s="47">
        <f t="shared" si="1875"/>
        <v>305</v>
      </c>
      <c r="AH675" s="47">
        <f t="shared" si="1875"/>
        <v>17751</v>
      </c>
      <c r="AI675" s="47">
        <f t="shared" si="1875"/>
        <v>31130</v>
      </c>
      <c r="AJ675" s="49">
        <f t="shared" si="1858"/>
        <v>193.1877688</v>
      </c>
      <c r="AK675" s="46">
        <f>SUM(AK669:AK674)</f>
        <v>37031</v>
      </c>
      <c r="AL675" s="50">
        <f t="shared" si="1859"/>
        <v>0.8406470255</v>
      </c>
      <c r="AM675" s="51">
        <v>1.5</v>
      </c>
      <c r="AN675" s="50">
        <f t="shared" si="1860"/>
        <v>0.6209578645</v>
      </c>
      <c r="AO675" s="52">
        <f t="shared" si="1861"/>
        <v>0.9314367968</v>
      </c>
      <c r="AP675" s="51">
        <f>SUM(AP669:AP674)</f>
        <v>1373.817821</v>
      </c>
      <c r="AQ675" s="51">
        <f>AP675/AA675</f>
        <v>7.941143477</v>
      </c>
      <c r="AR675" s="47">
        <f t="shared" si="1863"/>
        <v>179.9421965</v>
      </c>
    </row>
    <row r="676" ht="15.75" customHeight="1">
      <c r="A676" s="1" t="s">
        <v>45</v>
      </c>
      <c r="D676" s="2"/>
      <c r="X676" s="66" t="s">
        <v>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6"/>
    </row>
    <row r="677" ht="15.75" customHeight="1">
      <c r="A677" s="10">
        <v>46291.0</v>
      </c>
      <c r="B677" s="8" t="s">
        <v>2</v>
      </c>
      <c r="C677" s="8" t="s">
        <v>3</v>
      </c>
      <c r="D677" s="8" t="s">
        <v>4</v>
      </c>
      <c r="E677" s="8" t="s">
        <v>5</v>
      </c>
      <c r="F677" s="9" t="s">
        <v>6</v>
      </c>
      <c r="G677" s="8" t="s">
        <v>7</v>
      </c>
      <c r="H677" s="8" t="s">
        <v>8</v>
      </c>
      <c r="I677" s="8" t="s">
        <v>9</v>
      </c>
      <c r="J677" s="8" t="s">
        <v>10</v>
      </c>
      <c r="K677" s="8" t="s">
        <v>11</v>
      </c>
      <c r="L677" s="8" t="s">
        <v>12</v>
      </c>
      <c r="M677" s="8" t="s">
        <v>13</v>
      </c>
      <c r="N677" s="9" t="s">
        <v>14</v>
      </c>
      <c r="O677" s="8" t="s">
        <v>15</v>
      </c>
      <c r="P677" s="8" t="s">
        <v>16</v>
      </c>
      <c r="Q677" s="8" t="s">
        <v>17</v>
      </c>
      <c r="R677" s="8" t="s">
        <v>18</v>
      </c>
      <c r="S677" s="11" t="s">
        <v>19</v>
      </c>
      <c r="T677" s="12" t="s">
        <v>20</v>
      </c>
      <c r="U677" s="12" t="s">
        <v>21</v>
      </c>
      <c r="V677" s="13" t="s">
        <v>22</v>
      </c>
      <c r="X677" s="14" t="s">
        <v>2</v>
      </c>
      <c r="Y677" s="14" t="s">
        <v>3</v>
      </c>
      <c r="Z677" s="14" t="s">
        <v>4</v>
      </c>
      <c r="AA677" s="14" t="s">
        <v>5</v>
      </c>
      <c r="AB677" s="15" t="s">
        <v>6</v>
      </c>
      <c r="AC677" s="14" t="s">
        <v>7</v>
      </c>
      <c r="AD677" s="14" t="s">
        <v>8</v>
      </c>
      <c r="AE677" s="14" t="s">
        <v>9</v>
      </c>
      <c r="AF677" s="14" t="s">
        <v>10</v>
      </c>
      <c r="AG677" s="14" t="s">
        <v>11</v>
      </c>
      <c r="AH677" s="14" t="s">
        <v>12</v>
      </c>
      <c r="AI677" s="14" t="s">
        <v>13</v>
      </c>
      <c r="AJ677" s="15" t="s">
        <v>14</v>
      </c>
      <c r="AK677" s="14" t="s">
        <v>15</v>
      </c>
      <c r="AL677" s="14" t="s">
        <v>16</v>
      </c>
      <c r="AM677" s="16" t="s">
        <v>17</v>
      </c>
      <c r="AN677" s="17" t="s">
        <v>18</v>
      </c>
      <c r="AO677" s="18" t="s">
        <v>19</v>
      </c>
      <c r="AP677" s="19" t="s">
        <v>20</v>
      </c>
      <c r="AQ677" s="19" t="s">
        <v>21</v>
      </c>
      <c r="AR677" s="20" t="s">
        <v>22</v>
      </c>
    </row>
    <row r="678" ht="15.7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X678" s="22">
        <v>1.0</v>
      </c>
      <c r="Y678" s="22" t="s">
        <v>23</v>
      </c>
      <c r="Z678" s="22">
        <f t="shared" ref="Z678:AI678" si="1876">SUM(D686)</f>
        <v>28</v>
      </c>
      <c r="AA678" s="23">
        <f t="shared" si="1876"/>
        <v>34</v>
      </c>
      <c r="AB678" s="24">
        <f t="shared" si="1876"/>
        <v>6680.52</v>
      </c>
      <c r="AC678" s="23">
        <f t="shared" si="1876"/>
        <v>2083</v>
      </c>
      <c r="AD678" s="23">
        <f t="shared" si="1876"/>
        <v>0</v>
      </c>
      <c r="AE678" s="23">
        <f t="shared" si="1876"/>
        <v>2083</v>
      </c>
      <c r="AF678" s="23">
        <f t="shared" si="1876"/>
        <v>2916</v>
      </c>
      <c r="AG678" s="23">
        <f t="shared" si="1876"/>
        <v>0</v>
      </c>
      <c r="AH678" s="23">
        <f t="shared" si="1876"/>
        <v>2916</v>
      </c>
      <c r="AI678" s="23">
        <f t="shared" si="1876"/>
        <v>4999</v>
      </c>
      <c r="AJ678" s="25">
        <f t="shared" ref="AJ678:AJ680" si="1879">AB678/AA678</f>
        <v>196.4858824</v>
      </c>
      <c r="AK678" s="22">
        <f>SUM(O686)</f>
        <v>6853</v>
      </c>
      <c r="AL678" s="26">
        <f t="shared" ref="AL678:AL684" si="1880">AI678/AK678</f>
        <v>0.7294615497</v>
      </c>
      <c r="AM678" s="27">
        <f t="shared" ref="AM678:AM680" si="1881">SUM(Q686)</f>
        <v>1.5</v>
      </c>
      <c r="AN678" s="26">
        <f t="shared" ref="AN678:AN684" si="1882">AO678/AM678</f>
        <v>0.4988633619</v>
      </c>
      <c r="AO678" s="28">
        <f t="shared" ref="AO678:AO684" si="1883">AI678/AB678</f>
        <v>0.7482950429</v>
      </c>
      <c r="AP678" s="27">
        <f t="shared" ref="AP678:AQ678" si="1877">SUM(T686)</f>
        <v>198</v>
      </c>
      <c r="AQ678" s="27">
        <f t="shared" si="1877"/>
        <v>5.823529412</v>
      </c>
      <c r="AR678" s="23">
        <f t="shared" ref="AR678:AR684" si="1885">AI678/AA678</f>
        <v>147.0294118</v>
      </c>
    </row>
    <row r="679" ht="15.7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X679" s="22">
        <v>2.0</v>
      </c>
      <c r="Y679" s="22" t="s">
        <v>24</v>
      </c>
      <c r="Z679" s="22">
        <f t="shared" ref="Z679:AI679" si="1878">SUM(D687)</f>
        <v>37</v>
      </c>
      <c r="AA679" s="23">
        <f t="shared" si="1878"/>
        <v>44</v>
      </c>
      <c r="AB679" s="24">
        <f t="shared" si="1878"/>
        <v>8354.582</v>
      </c>
      <c r="AC679" s="23">
        <f t="shared" si="1878"/>
        <v>1454</v>
      </c>
      <c r="AD679" s="23">
        <f t="shared" si="1878"/>
        <v>0</v>
      </c>
      <c r="AE679" s="23">
        <f t="shared" si="1878"/>
        <v>1454</v>
      </c>
      <c r="AF679" s="23">
        <f t="shared" si="1878"/>
        <v>1288</v>
      </c>
      <c r="AG679" s="23">
        <f t="shared" si="1878"/>
        <v>28</v>
      </c>
      <c r="AH679" s="23">
        <f t="shared" si="1878"/>
        <v>1316</v>
      </c>
      <c r="AI679" s="23">
        <f t="shared" si="1878"/>
        <v>2770</v>
      </c>
      <c r="AJ679" s="25">
        <f t="shared" si="1879"/>
        <v>189.8768636</v>
      </c>
      <c r="AK679" s="22">
        <v>1580.0</v>
      </c>
      <c r="AL679" s="29">
        <f t="shared" si="1880"/>
        <v>1.753164557</v>
      </c>
      <c r="AM679" s="27">
        <f t="shared" si="1881"/>
        <v>1.5</v>
      </c>
      <c r="AN679" s="26">
        <f t="shared" si="1882"/>
        <v>0.2210363926</v>
      </c>
      <c r="AO679" s="28">
        <f t="shared" si="1883"/>
        <v>0.3315545888</v>
      </c>
      <c r="AP679" s="27">
        <f t="shared" ref="AP679:AQ679" si="1884">SUM(T687)</f>
        <v>311.6799851</v>
      </c>
      <c r="AQ679" s="27">
        <f t="shared" si="1884"/>
        <v>7.083636024</v>
      </c>
      <c r="AR679" s="23">
        <f t="shared" si="1885"/>
        <v>62.95454545</v>
      </c>
    </row>
    <row r="680" ht="15.75" customHeight="1">
      <c r="A680" s="21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X680" s="31">
        <v>3.0</v>
      </c>
      <c r="Y680" s="31" t="s">
        <v>25</v>
      </c>
      <c r="Z680" s="31">
        <f t="shared" ref="Z680:AI680" si="1886">SUM(D688)</f>
        <v>27</v>
      </c>
      <c r="AA680" s="32">
        <f t="shared" si="1886"/>
        <v>31</v>
      </c>
      <c r="AB680" s="33">
        <f t="shared" si="1886"/>
        <v>5925.124</v>
      </c>
      <c r="AC680" s="32">
        <f t="shared" si="1886"/>
        <v>2351</v>
      </c>
      <c r="AD680" s="32">
        <f t="shared" si="1886"/>
        <v>438</v>
      </c>
      <c r="AE680" s="32">
        <f t="shared" si="1886"/>
        <v>2789</v>
      </c>
      <c r="AF680" s="32">
        <f t="shared" si="1886"/>
        <v>3213</v>
      </c>
      <c r="AG680" s="32">
        <f t="shared" si="1886"/>
        <v>305</v>
      </c>
      <c r="AH680" s="32">
        <f t="shared" si="1886"/>
        <v>3518</v>
      </c>
      <c r="AI680" s="32">
        <f t="shared" si="1886"/>
        <v>6307</v>
      </c>
      <c r="AJ680" s="34">
        <f t="shared" si="1879"/>
        <v>191.1330323</v>
      </c>
      <c r="AK680" s="31">
        <f>SUM(O688)</f>
        <v>6622</v>
      </c>
      <c r="AL680" s="67">
        <f t="shared" si="1880"/>
        <v>0.9524312896</v>
      </c>
      <c r="AM680" s="36">
        <f t="shared" si="1881"/>
        <v>1.5</v>
      </c>
      <c r="AN680" s="35">
        <f t="shared" si="1882"/>
        <v>0.7096335312</v>
      </c>
      <c r="AO680" s="37">
        <f t="shared" si="1883"/>
        <v>1.064450297</v>
      </c>
      <c r="AP680" s="36">
        <f t="shared" ref="AP680:AQ680" si="1887">SUM(T688)</f>
        <v>248.5370805</v>
      </c>
      <c r="AQ680" s="36">
        <f t="shared" si="1887"/>
        <v>8.017325179</v>
      </c>
      <c r="AR680" s="32">
        <f t="shared" si="1885"/>
        <v>203.4516129</v>
      </c>
    </row>
    <row r="681" ht="15.75" customHeight="1">
      <c r="A681" s="21"/>
      <c r="B681" s="38">
        <v>1.0</v>
      </c>
      <c r="C681" s="38" t="s">
        <v>26</v>
      </c>
      <c r="D681" s="39">
        <v>16.0</v>
      </c>
      <c r="E681" s="40">
        <f>IFERROR(__xludf.DUMMYFUNCTION("COUNT(IMPORTRANGE(""https://docs.google.com/spreadsheets/d/1F0NpMx7WhcgPgxTWpryY3Z1CGg56FL6aiL4mHs43w4E/edit"",""2!d2:d21""))"),20.0)</f>
        <v>20</v>
      </c>
      <c r="F681" s="41">
        <f>IFERROR(__xludf.DUMMYFUNCTION("SUM(IMPORTRANGE(""https://docs.google.com/spreadsheets/d/1F0NpMx7WhcgPgxTWpryY3Z1CGg56FL6aiL4mHs43w4E/edit"",""2!Q2:Q21""))"),3560.964)</f>
        <v>3560.964</v>
      </c>
      <c r="G681" s="40">
        <f>IFERROR(__xludf.DUMMYFUNCTION("IMPORTRANGE(""https://docs.google.com/spreadsheets/d/1F0NpMx7WhcgPgxTWpryY3Z1CGg56FL6aiL4mHs43w4E/edit"",""2!e28"")"),1873.0)</f>
        <v>1873</v>
      </c>
      <c r="H681" s="40">
        <f>IFERROR(__xludf.DUMMYFUNCTION("IMPORTRANGE(""https://docs.google.com/spreadsheets/d/1F0NpMx7WhcgPgxTWpryY3Z1CGg56FL6aiL4mHs43w4E/edit"",""2!e29"")"),0.0)</f>
        <v>0</v>
      </c>
      <c r="I681" s="40">
        <f t="shared" ref="I681:I698" si="1890">SUM(G681:H681)</f>
        <v>1873</v>
      </c>
      <c r="J681" s="40">
        <f>IFERROR(__xludf.DUMMYFUNCTION("IMPORTRANGE(""https://docs.google.com/spreadsheets/d/1F0NpMx7WhcgPgxTWpryY3Z1CGg56FL6aiL4mHs43w4E/edit"",""2!e32"")"),3204.0)</f>
        <v>3204</v>
      </c>
      <c r="K681" s="40">
        <f>IFERROR(__xludf.DUMMYFUNCTION("IMPORTRANGE(""https://docs.google.com/spreadsheets/d/1F0NpMx7WhcgPgxTWpryY3Z1CGg56FL6aiL4mHs43w4E/edit"",""2!e33"")"),0.0)</f>
        <v>0</v>
      </c>
      <c r="L681" s="40">
        <f t="shared" ref="L681:L687" si="1891">SUM(J681:K681)</f>
        <v>3204</v>
      </c>
      <c r="M681" s="40">
        <f t="shared" ref="M681:M698" si="1892">SUM(I681+L681)</f>
        <v>5077</v>
      </c>
      <c r="N681" s="41">
        <f t="shared" ref="N681:N699" si="1893">F681/E681</f>
        <v>178.0482</v>
      </c>
      <c r="O681" s="38">
        <v>5161.0</v>
      </c>
      <c r="P681" s="56">
        <f t="shared" ref="P681:P699" si="1894">M681/O681</f>
        <v>0.9837240845</v>
      </c>
      <c r="Q681" s="43">
        <v>1.5</v>
      </c>
      <c r="R681" s="56">
        <f t="shared" ref="R681:R699" si="1895">S681/Q681</f>
        <v>0.9504916833</v>
      </c>
      <c r="S681" s="44">
        <f t="shared" ref="S681:S699" si="1896">M681/F681</f>
        <v>1.425737525</v>
      </c>
      <c r="T681" s="43">
        <f>F681/14.415</f>
        <v>247.0318418</v>
      </c>
      <c r="U681" s="43">
        <f t="shared" ref="U681:U699" si="1897">T681/E681</f>
        <v>12.35159209</v>
      </c>
      <c r="V681" s="40">
        <f t="shared" ref="V681:V699" si="1898">M681/E681</f>
        <v>253.85</v>
      </c>
      <c r="X681" s="22">
        <v>4.0</v>
      </c>
      <c r="Y681" s="22" t="s">
        <v>27</v>
      </c>
      <c r="Z681" s="22">
        <f t="shared" ref="Z681:AK681" si="1888">SUM(D694)</f>
        <v>24</v>
      </c>
      <c r="AA681" s="23">
        <f t="shared" si="1888"/>
        <v>28</v>
      </c>
      <c r="AB681" s="24">
        <f t="shared" si="1888"/>
        <v>5465.76</v>
      </c>
      <c r="AC681" s="23">
        <f t="shared" si="1888"/>
        <v>2368</v>
      </c>
      <c r="AD681" s="23">
        <f t="shared" si="1888"/>
        <v>140</v>
      </c>
      <c r="AE681" s="23">
        <f t="shared" si="1888"/>
        <v>2508</v>
      </c>
      <c r="AF681" s="23">
        <f t="shared" si="1888"/>
        <v>3355</v>
      </c>
      <c r="AG681" s="23">
        <f t="shared" si="1888"/>
        <v>107</v>
      </c>
      <c r="AH681" s="23">
        <f t="shared" si="1888"/>
        <v>3462</v>
      </c>
      <c r="AI681" s="23">
        <f t="shared" si="1888"/>
        <v>5970</v>
      </c>
      <c r="AJ681" s="25">
        <f t="shared" si="1888"/>
        <v>195.2057143</v>
      </c>
      <c r="AK681" s="22">
        <f t="shared" si="1888"/>
        <v>8101</v>
      </c>
      <c r="AL681" s="26">
        <f t="shared" si="1880"/>
        <v>0.736946056</v>
      </c>
      <c r="AM681" s="27">
        <f>SUM(Q694)</f>
        <v>1.5</v>
      </c>
      <c r="AN681" s="26">
        <f t="shared" si="1882"/>
        <v>0.7281695501</v>
      </c>
      <c r="AO681" s="28">
        <f t="shared" si="1883"/>
        <v>1.092254325</v>
      </c>
      <c r="AP681" s="27">
        <f t="shared" ref="AP681:AQ681" si="1889">SUM(T694)</f>
        <v>273.4931198</v>
      </c>
      <c r="AQ681" s="27">
        <f t="shared" si="1889"/>
        <v>9.767611423</v>
      </c>
      <c r="AR681" s="23">
        <f t="shared" si="1885"/>
        <v>213.2142857</v>
      </c>
    </row>
    <row r="682" ht="15.75" customHeight="1">
      <c r="A682" s="21"/>
      <c r="B682" s="38">
        <v>2.0</v>
      </c>
      <c r="C682" s="38" t="s">
        <v>28</v>
      </c>
      <c r="D682" s="39">
        <v>26.0</v>
      </c>
      <c r="E682" s="40">
        <f>IFERROR(__xludf.DUMMYFUNCTION("COUNT(IMPORTRANGE(""https://docs.google.com/spreadsheets/d/1H9vAqftAHb0OdeSGXHTnJFzoWUgpoH31sc0sHNN8y1o/edit"",""2!d2:d34""))"),33.0)</f>
        <v>33</v>
      </c>
      <c r="F682" s="41">
        <f>IFERROR(__xludf.DUMMYFUNCTION("SUM(IMPORTRANGE(""https://docs.google.com/spreadsheets/d/1H9vAqftAHb0OdeSGXHTnJFzoWUgpoH31sc0sHNN8y1o/edit"",""2!Q2:Q34""))"),6528.832999999999)</f>
        <v>6528.833</v>
      </c>
      <c r="G682" s="40">
        <f>IFERROR(__xludf.DUMMYFUNCTION("IMPORTRANGE(""https://docs.google.com/spreadsheets/d/1H9vAqftAHb0OdeSGXHTnJFzoWUgpoH31sc0sHNN8y1o/edit"",""2!e41"")"),2700.0)</f>
        <v>2700</v>
      </c>
      <c r="H682" s="40">
        <f>IFERROR(__xludf.DUMMYFUNCTION("IMPORTRANGE(""https://docs.google.com/spreadsheets/d/1H9vAqftAHb0OdeSGXHTnJFzoWUgpoH31sc0sHNN8y1o/edit"",""2!e42"")"),104.0)</f>
        <v>104</v>
      </c>
      <c r="I682" s="40">
        <f t="shared" si="1890"/>
        <v>2804</v>
      </c>
      <c r="J682" s="40">
        <f>IFERROR(__xludf.DUMMYFUNCTION("IMPORTRANGE(""https://docs.google.com/spreadsheets/d/1H9vAqftAHb0OdeSGXHTnJFzoWUgpoH31sc0sHNN8y1o/edit"",""2!e45"")"),3205.0)</f>
        <v>3205</v>
      </c>
      <c r="K682" s="40">
        <f>IFERROR(__xludf.DUMMYFUNCTION("IMPORTRANGE(""https://docs.google.com/spreadsheets/d/1H9vAqftAHb0OdeSGXHTnJFzoWUgpoH31sc0sHNN8y1o/edit"",""2!e46"")"),102.0)</f>
        <v>102</v>
      </c>
      <c r="L682" s="40">
        <f t="shared" si="1891"/>
        <v>3307</v>
      </c>
      <c r="M682" s="40">
        <f t="shared" si="1892"/>
        <v>6111</v>
      </c>
      <c r="N682" s="41">
        <f t="shared" si="1893"/>
        <v>197.8434242</v>
      </c>
      <c r="O682" s="38">
        <v>7315.0</v>
      </c>
      <c r="P682" s="42">
        <f t="shared" si="1894"/>
        <v>0.8354066986</v>
      </c>
      <c r="Q682" s="43">
        <v>1.5</v>
      </c>
      <c r="R682" s="42">
        <f t="shared" si="1895"/>
        <v>0.6240012572</v>
      </c>
      <c r="S682" s="44">
        <f t="shared" si="1896"/>
        <v>0.9360018858</v>
      </c>
      <c r="T682" s="43">
        <f>F682/30.897</f>
        <v>211.3096093</v>
      </c>
      <c r="U682" s="43">
        <f t="shared" si="1897"/>
        <v>6.403321495</v>
      </c>
      <c r="V682" s="40">
        <f t="shared" si="1898"/>
        <v>185.1818182</v>
      </c>
      <c r="X682" s="22">
        <v>5.0</v>
      </c>
      <c r="Y682" s="22" t="s">
        <v>29</v>
      </c>
      <c r="Z682" s="22">
        <f t="shared" ref="Z682:AI682" si="1899">SUM(D697)</f>
        <v>24</v>
      </c>
      <c r="AA682" s="23">
        <f t="shared" si="1899"/>
        <v>29</v>
      </c>
      <c r="AB682" s="24">
        <f t="shared" si="1899"/>
        <v>5775.038</v>
      </c>
      <c r="AC682" s="23">
        <f t="shared" si="1899"/>
        <v>2726</v>
      </c>
      <c r="AD682" s="23">
        <f t="shared" si="1899"/>
        <v>0</v>
      </c>
      <c r="AE682" s="23">
        <f t="shared" si="1899"/>
        <v>2726</v>
      </c>
      <c r="AF682" s="23">
        <f t="shared" si="1899"/>
        <v>4235</v>
      </c>
      <c r="AG682" s="23">
        <f t="shared" si="1899"/>
        <v>0</v>
      </c>
      <c r="AH682" s="23">
        <f t="shared" si="1899"/>
        <v>4235</v>
      </c>
      <c r="AI682" s="23">
        <f t="shared" si="1899"/>
        <v>6961</v>
      </c>
      <c r="AJ682" s="25">
        <f t="shared" ref="AJ682:AJ684" si="1902">AB682/AA682</f>
        <v>199.1392414</v>
      </c>
      <c r="AK682" s="22">
        <f t="shared" ref="AK682:AK683" si="1903">SUM(O697)</f>
        <v>9201</v>
      </c>
      <c r="AL682" s="26">
        <f t="shared" si="1880"/>
        <v>0.7565482013</v>
      </c>
      <c r="AM682" s="27">
        <f t="shared" ref="AM682:AM683" si="1904">SUM(Q697)</f>
        <v>1.5</v>
      </c>
      <c r="AN682" s="26">
        <f t="shared" si="1882"/>
        <v>0.803573356</v>
      </c>
      <c r="AO682" s="28">
        <f t="shared" si="1883"/>
        <v>1.205360034</v>
      </c>
      <c r="AP682" s="27">
        <f t="shared" ref="AP682:AQ682" si="1900">SUM(T697)</f>
        <v>218</v>
      </c>
      <c r="AQ682" s="27">
        <f t="shared" si="1900"/>
        <v>7.517241379</v>
      </c>
      <c r="AR682" s="23">
        <f t="shared" si="1885"/>
        <v>240.0344828</v>
      </c>
    </row>
    <row r="683" ht="15.75" customHeight="1">
      <c r="A683" s="21"/>
      <c r="B683" s="38">
        <v>3.0</v>
      </c>
      <c r="C683" s="38" t="s">
        <v>30</v>
      </c>
      <c r="D683" s="39">
        <v>48.0</v>
      </c>
      <c r="E683" s="40">
        <f>IFERROR(__xludf.DUMMYFUNCTION("COUNT(IMPORTRANGE(""https://docs.google.com/spreadsheets/d/1EWN6nfpuVxbUE_9opjYCWaI7MTm5xsF6ssjklSbMZnA/edit"",""2!d2:d61""))"),58.0)</f>
        <v>58</v>
      </c>
      <c r="F683" s="45">
        <f>IFERROR(__xludf.DUMMYFUNCTION("SUM(IMPORTRANGE(""https://docs.google.com/spreadsheets/d/1EWN6nfpuVxbUE_9opjYCWaI7MTm5xsF6ssjklSbMZnA/edit"",""2!Q2:Q61""))"),11253.344999999988)</f>
        <v>11253.345</v>
      </c>
      <c r="G683" s="40">
        <f>IFERROR(__xludf.DUMMYFUNCTION("IMPORTRANGE(""https://docs.google.com/spreadsheets/d/1EWN6nfpuVxbUE_9opjYCWaI7MTm5xsF6ssjklSbMZnA/edit"",""2!e68"")"),3757.0)</f>
        <v>3757</v>
      </c>
      <c r="H683" s="40">
        <f>IFERROR(__xludf.DUMMYFUNCTION("IMPORTRANGE(""https://docs.google.com/spreadsheets/d/1EWN6nfpuVxbUE_9opjYCWaI7MTm5xsF6ssjklSbMZnA/edit"",""2!e69"")"),0.0)</f>
        <v>0</v>
      </c>
      <c r="I683" s="40">
        <f t="shared" si="1890"/>
        <v>3757</v>
      </c>
      <c r="J683" s="40">
        <f>IFERROR(__xludf.DUMMYFUNCTION("IMPORTRANGE(""https://docs.google.com/spreadsheets/d/1EWN6nfpuVxbUE_9opjYCWaI7MTm5xsF6ssjklSbMZnA/edit"",""2!e72"")"),5596.0)</f>
        <v>5596</v>
      </c>
      <c r="K683" s="40">
        <f>IFERROR(__xludf.DUMMYFUNCTION("IMPORTRANGE(""https://docs.google.com/spreadsheets/d/1EWN6nfpuVxbUE_9opjYCWaI7MTm5xsF6ssjklSbMZnA/edit"",""2!e73"")"),0.0)</f>
        <v>0</v>
      </c>
      <c r="L683" s="40">
        <f t="shared" si="1891"/>
        <v>5596</v>
      </c>
      <c r="M683" s="40">
        <f t="shared" si="1892"/>
        <v>9353</v>
      </c>
      <c r="N683" s="41">
        <f t="shared" si="1893"/>
        <v>194.0231897</v>
      </c>
      <c r="O683" s="38">
        <v>11164.0</v>
      </c>
      <c r="P683" s="42">
        <f t="shared" si="1894"/>
        <v>0.8377821569</v>
      </c>
      <c r="Q683" s="43">
        <v>1.5</v>
      </c>
      <c r="R683" s="42">
        <f t="shared" si="1895"/>
        <v>0.5540871033</v>
      </c>
      <c r="S683" s="44">
        <f t="shared" si="1896"/>
        <v>0.8311306549</v>
      </c>
      <c r="T683" s="43">
        <f>F683/29.603</f>
        <v>380.1420464</v>
      </c>
      <c r="U683" s="43">
        <f t="shared" si="1897"/>
        <v>6.554173214</v>
      </c>
      <c r="V683" s="40">
        <f t="shared" si="1898"/>
        <v>161.2586207</v>
      </c>
      <c r="X683" s="22">
        <v>6.0</v>
      </c>
      <c r="Y683" s="22" t="s">
        <v>31</v>
      </c>
      <c r="Z683" s="22">
        <f t="shared" ref="Z683:AI683" si="1901">SUM(D698)</f>
        <v>12</v>
      </c>
      <c r="AA683" s="23">
        <f t="shared" si="1901"/>
        <v>13</v>
      </c>
      <c r="AB683" s="25">
        <f t="shared" si="1901"/>
        <v>2607.9</v>
      </c>
      <c r="AC683" s="23">
        <f t="shared" si="1901"/>
        <v>870</v>
      </c>
      <c r="AD683" s="23">
        <f t="shared" si="1901"/>
        <v>0</v>
      </c>
      <c r="AE683" s="23">
        <f t="shared" si="1901"/>
        <v>870</v>
      </c>
      <c r="AF683" s="23">
        <f t="shared" si="1901"/>
        <v>975</v>
      </c>
      <c r="AG683" s="23">
        <f t="shared" si="1901"/>
        <v>55</v>
      </c>
      <c r="AH683" s="23">
        <f t="shared" si="1901"/>
        <v>1030</v>
      </c>
      <c r="AI683" s="23">
        <f t="shared" si="1901"/>
        <v>1900</v>
      </c>
      <c r="AJ683" s="25">
        <f t="shared" si="1902"/>
        <v>200.6076923</v>
      </c>
      <c r="AK683" s="22">
        <f t="shared" si="1903"/>
        <v>2717</v>
      </c>
      <c r="AL683" s="26">
        <f t="shared" si="1880"/>
        <v>0.6993006993</v>
      </c>
      <c r="AM683" s="27">
        <f t="shared" si="1904"/>
        <v>1.5</v>
      </c>
      <c r="AN683" s="26">
        <f t="shared" si="1882"/>
        <v>0.4857036952</v>
      </c>
      <c r="AO683" s="28">
        <f t="shared" si="1883"/>
        <v>0.7285555428</v>
      </c>
      <c r="AP683" s="27">
        <f t="shared" ref="AP683:AQ683" si="1905">SUM(T698)</f>
        <v>60</v>
      </c>
      <c r="AQ683" s="27">
        <f t="shared" si="1905"/>
        <v>4.615384615</v>
      </c>
      <c r="AR683" s="23">
        <f t="shared" si="1885"/>
        <v>146.1538462</v>
      </c>
    </row>
    <row r="684" ht="15.75" customHeight="1">
      <c r="A684" s="21"/>
      <c r="B684" s="38">
        <v>4.0</v>
      </c>
      <c r="C684" s="38" t="s">
        <v>32</v>
      </c>
      <c r="D684" s="39">
        <v>33.0</v>
      </c>
      <c r="E684" s="40">
        <f>IFERROR(__xludf.DUMMYFUNCTION("COUNT(IMPORTRANGE(""https://docs.google.com/spreadsheets/d/1Rmar8QqWK4XOJ-eY6xMzkAfDSw0srEXcAw89ilArun8/edit"",""2!d2:d43""))"),42.0)</f>
        <v>42</v>
      </c>
      <c r="F684" s="45">
        <f>IFERROR(__xludf.DUMMYFUNCTION("SUM(IMPORTRANGE(""https://docs.google.com/spreadsheets/d/1Rmar8QqWK4XOJ-eY6xMzkAfDSw0srEXcAw89ilArun8/edit"",""2!Q2:Q43""))"),8179.01399999999)</f>
        <v>8179.014</v>
      </c>
      <c r="G684" s="38">
        <f>IFERROR(__xludf.DUMMYFUNCTION("IMPORTRANGE(""https://docs.google.com/spreadsheets/d/1Rmar8QqWK4XOJ-eY6xMzkAfDSw0srEXcAw89ilArun8/edit"",""2!e50"")"),4808.0)</f>
        <v>4808</v>
      </c>
      <c r="H684" s="38">
        <f>IFERROR(__xludf.DUMMYFUNCTION("IMPORTRANGE(""https://docs.google.com/spreadsheets/d/1Rmar8QqWK4XOJ-eY6xMzkAfDSw0srEXcAw89ilArun8/edit"",""2!e51"")"),0.0)</f>
        <v>0</v>
      </c>
      <c r="I684" s="40">
        <f t="shared" si="1890"/>
        <v>4808</v>
      </c>
      <c r="J684" s="38">
        <f>IFERROR(__xludf.DUMMYFUNCTION("IMPORTRANGE(""https://docs.google.com/spreadsheets/d/1Rmar8QqWK4XOJ-eY6xMzkAfDSw0srEXcAw89ilArun8/edit"",""2!e54"")"),5449.0)</f>
        <v>5449</v>
      </c>
      <c r="K684" s="38">
        <f>IFERROR(__xludf.DUMMYFUNCTION("IMPORTRANGE(""https://docs.google.com/spreadsheets/d/1Rmar8QqWK4XOJ-eY6xMzkAfDSw0srEXcAw89ilArun8/edit"",""2!e55"")"),190.0)</f>
        <v>190</v>
      </c>
      <c r="L684" s="40">
        <f t="shared" si="1891"/>
        <v>5639</v>
      </c>
      <c r="M684" s="40">
        <f t="shared" si="1892"/>
        <v>10447</v>
      </c>
      <c r="N684" s="41">
        <f t="shared" si="1893"/>
        <v>194.7384286</v>
      </c>
      <c r="O684" s="38">
        <v>13817.0</v>
      </c>
      <c r="P684" s="42">
        <f t="shared" si="1894"/>
        <v>0.756097561</v>
      </c>
      <c r="Q684" s="43">
        <v>1.5</v>
      </c>
      <c r="R684" s="42">
        <f t="shared" si="1895"/>
        <v>0.8515288844</v>
      </c>
      <c r="S684" s="44">
        <f t="shared" si="1896"/>
        <v>1.277293327</v>
      </c>
      <c r="T684" s="43">
        <f>F684/25.089</f>
        <v>326</v>
      </c>
      <c r="U684" s="43">
        <f t="shared" si="1897"/>
        <v>7.761904762</v>
      </c>
      <c r="V684" s="40">
        <f t="shared" si="1898"/>
        <v>248.7380952</v>
      </c>
      <c r="X684" s="46" t="s">
        <v>33</v>
      </c>
      <c r="Y684" s="46">
        <v>6.0</v>
      </c>
      <c r="Z684" s="46">
        <f t="shared" ref="Z684:AI684" si="1906">SUM(Z678:Z683)</f>
        <v>152</v>
      </c>
      <c r="AA684" s="47">
        <f t="shared" si="1906"/>
        <v>179</v>
      </c>
      <c r="AB684" s="48">
        <f t="shared" si="1906"/>
        <v>34808.924</v>
      </c>
      <c r="AC684" s="47">
        <f t="shared" si="1906"/>
        <v>11852</v>
      </c>
      <c r="AD684" s="47">
        <f t="shared" si="1906"/>
        <v>578</v>
      </c>
      <c r="AE684" s="47">
        <f t="shared" si="1906"/>
        <v>12430</v>
      </c>
      <c r="AF684" s="47">
        <f t="shared" si="1906"/>
        <v>15982</v>
      </c>
      <c r="AG684" s="47">
        <f t="shared" si="1906"/>
        <v>495</v>
      </c>
      <c r="AH684" s="47">
        <f t="shared" si="1906"/>
        <v>16477</v>
      </c>
      <c r="AI684" s="47">
        <f t="shared" si="1906"/>
        <v>28907</v>
      </c>
      <c r="AJ684" s="49">
        <f t="shared" si="1902"/>
        <v>194.4632626</v>
      </c>
      <c r="AK684" s="46">
        <f>SUM(AK678:AK683)</f>
        <v>35074</v>
      </c>
      <c r="AL684" s="50">
        <f t="shared" si="1880"/>
        <v>0.8241717512</v>
      </c>
      <c r="AM684" s="51">
        <v>1.5</v>
      </c>
      <c r="AN684" s="50">
        <f t="shared" si="1882"/>
        <v>0.5536319748</v>
      </c>
      <c r="AO684" s="52">
        <f t="shared" si="1883"/>
        <v>0.8304479621</v>
      </c>
      <c r="AP684" s="51">
        <f>SUM(AP678:AP683)</f>
        <v>1309.710185</v>
      </c>
      <c r="AQ684" s="51">
        <f>AP684/AA684</f>
        <v>7.316816679</v>
      </c>
      <c r="AR684" s="47">
        <f t="shared" si="1885"/>
        <v>161.4916201</v>
      </c>
    </row>
    <row r="685" ht="15.75" customHeight="1">
      <c r="A685" s="21"/>
      <c r="B685" s="38">
        <v>5.0</v>
      </c>
      <c r="C685" s="38" t="s">
        <v>34</v>
      </c>
      <c r="D685" s="39">
        <v>32.0</v>
      </c>
      <c r="E685" s="40">
        <f>IFERROR(__xludf.DUMMYFUNCTION("COUNT(IMPORTRANGE(""https://docs.google.com/spreadsheets/d/1u99JxAoytGQQ8GcjxXl38CGdyEWy5uIbuJJHnsotyvk/edit"",""2!d2:d41""))"),40.0)</f>
        <v>40</v>
      </c>
      <c r="F685" s="45">
        <f>IFERROR(__xludf.DUMMYFUNCTION("SUM(IMPORTRANGE(""https://docs.google.com/spreadsheets/d/1u99JxAoytGQQ8GcjxXl38CGdyEWy5uIbuJJHnsotyvk/edit"",""2!Q2:Q41""))"),7895.343000000003)</f>
        <v>7895.343</v>
      </c>
      <c r="G685" s="40">
        <f>IFERROR(__xludf.DUMMYFUNCTION("IMPORTRANGE(""https://docs.google.com/spreadsheets/d/1u99JxAoytGQQ8GcjxXl38CGdyEWy5uIbuJJHnsotyvk/edit"",""2!e48"")"),3069.0)</f>
        <v>3069</v>
      </c>
      <c r="H685" s="40">
        <f>IFERROR(__xludf.DUMMYFUNCTION("IMPORTRANGE(""https://docs.google.com/spreadsheets/d/1u99JxAoytGQQ8GcjxXl38CGdyEWy5uIbuJJHnsotyvk/edit"",""2!e49"")"),0.0)</f>
        <v>0</v>
      </c>
      <c r="I685" s="40">
        <f t="shared" si="1890"/>
        <v>3069</v>
      </c>
      <c r="J685" s="40">
        <f>IFERROR(__xludf.DUMMYFUNCTION("IMPORTRANGE(""https://docs.google.com/spreadsheets/d/1u99JxAoytGQQ8GcjxXl38CGdyEWy5uIbuJJHnsotyvk/edit"",""2!e52"")"),3126.0)</f>
        <v>3126</v>
      </c>
      <c r="K685" s="40">
        <f>IFERROR(__xludf.DUMMYFUNCTION("IMPORTRANGE(""https://docs.google.com/spreadsheets/d/1u99JxAoytGQQ8GcjxXl38CGdyEWy5uIbuJJHnsotyvk/edit"",""2!e53"")"),0.0)</f>
        <v>0</v>
      </c>
      <c r="L685" s="40">
        <f t="shared" si="1891"/>
        <v>3126</v>
      </c>
      <c r="M685" s="40">
        <f t="shared" si="1892"/>
        <v>6195</v>
      </c>
      <c r="N685" s="41">
        <f t="shared" si="1893"/>
        <v>197.383575</v>
      </c>
      <c r="O685" s="38">
        <v>9354.0</v>
      </c>
      <c r="P685" s="42">
        <f t="shared" si="1894"/>
        <v>0.6622835151</v>
      </c>
      <c r="Q685" s="43">
        <v>1.5</v>
      </c>
      <c r="R685" s="42">
        <f t="shared" si="1895"/>
        <v>0.5230931702</v>
      </c>
      <c r="S685" s="44">
        <f t="shared" si="1896"/>
        <v>0.7846397554</v>
      </c>
      <c r="T685" s="43">
        <f>F685/30.713</f>
        <v>257.0684401</v>
      </c>
      <c r="U685" s="43">
        <f t="shared" si="1897"/>
        <v>6.426711002</v>
      </c>
      <c r="V685" s="40">
        <f t="shared" si="1898"/>
        <v>154.875</v>
      </c>
      <c r="X685" s="53" t="s">
        <v>35</v>
      </c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6"/>
    </row>
    <row r="686" ht="15.75" customHeight="1">
      <c r="A686" s="21"/>
      <c r="B686" s="38">
        <v>6.0</v>
      </c>
      <c r="C686" s="38" t="s">
        <v>23</v>
      </c>
      <c r="D686" s="39">
        <v>28.0</v>
      </c>
      <c r="E686" s="40">
        <f>IFERROR(__xludf.DUMMYFUNCTION("COUNT(IMPORTRANGE(""https://docs.google.com/spreadsheets/d/1uVc-vnTn57HE53lwrUYNZP4sGKTXisrqOoZ-6EyvLzY/edit"",""2!d2:d36""))"),34.0)</f>
        <v>34</v>
      </c>
      <c r="F686" s="45">
        <f>IFERROR(__xludf.DUMMYFUNCTION("SUM(IMPORTRANGE(""https://docs.google.com/spreadsheets/d/1uVc-vnTn57HE53lwrUYNZP4sGKTXisrqOoZ-6EyvLzY/edit"",""2!Q2:Q36""))"),6680.519999999996)</f>
        <v>6680.52</v>
      </c>
      <c r="G686" s="40">
        <f>IFERROR(__xludf.DUMMYFUNCTION("IMPORTRANGE(""https://docs.google.com/spreadsheets/d/1uVc-vnTn57HE53lwrUYNZP4sGKTXisrqOoZ-6EyvLzY/edit"",""2!e43"")"),2083.0)</f>
        <v>2083</v>
      </c>
      <c r="H686" s="40">
        <f>IFERROR(__xludf.DUMMYFUNCTION("IMPORTRANGE(""https://docs.google.com/spreadsheets/d/1uVc-vnTn57HE53lwrUYNZP4sGKTXisrqOoZ-6EyvLzY/edit"",""2!e44"")"),0.0)</f>
        <v>0</v>
      </c>
      <c r="I686" s="40">
        <f t="shared" si="1890"/>
        <v>2083</v>
      </c>
      <c r="J686" s="40">
        <f>IFERROR(__xludf.DUMMYFUNCTION("IMPORTRANGE(""https://docs.google.com/spreadsheets/d/1uVc-vnTn57HE53lwrUYNZP4sGKTXisrqOoZ-6EyvLzY/edit"",""2!e47"")"),2916.0)</f>
        <v>2916</v>
      </c>
      <c r="K686" s="40">
        <f>IFERROR(__xludf.DUMMYFUNCTION("IMPORTRANGE(""https://docs.google.com/spreadsheets/d/1uVc-vnTn57HE53lwrUYNZP4sGKTXisrqOoZ-6EyvLzY/edit"",""2!e48"")"),0.0)</f>
        <v>0</v>
      </c>
      <c r="L686" s="40">
        <f t="shared" si="1891"/>
        <v>2916</v>
      </c>
      <c r="M686" s="40">
        <f t="shared" si="1892"/>
        <v>4999</v>
      </c>
      <c r="N686" s="41">
        <f t="shared" si="1893"/>
        <v>196.4858824</v>
      </c>
      <c r="O686" s="38">
        <v>6853.0</v>
      </c>
      <c r="P686" s="42">
        <f t="shared" si="1894"/>
        <v>0.7294615497</v>
      </c>
      <c r="Q686" s="43">
        <v>1.5</v>
      </c>
      <c r="R686" s="42">
        <f t="shared" si="1895"/>
        <v>0.4988633619</v>
      </c>
      <c r="S686" s="44">
        <f t="shared" si="1896"/>
        <v>0.7482950429</v>
      </c>
      <c r="T686" s="43">
        <f>F686/33.74</f>
        <v>198</v>
      </c>
      <c r="U686" s="43">
        <f t="shared" si="1897"/>
        <v>5.823529412</v>
      </c>
      <c r="V686" s="40">
        <f t="shared" si="1898"/>
        <v>147.0294118</v>
      </c>
      <c r="X686" s="14" t="s">
        <v>2</v>
      </c>
      <c r="Y686" s="14" t="s">
        <v>3</v>
      </c>
      <c r="Z686" s="14" t="s">
        <v>4</v>
      </c>
      <c r="AA686" s="14" t="s">
        <v>5</v>
      </c>
      <c r="AB686" s="15" t="s">
        <v>6</v>
      </c>
      <c r="AC686" s="14" t="s">
        <v>7</v>
      </c>
      <c r="AD686" s="14" t="s">
        <v>8</v>
      </c>
      <c r="AE686" s="14" t="s">
        <v>9</v>
      </c>
      <c r="AF686" s="14" t="s">
        <v>10</v>
      </c>
      <c r="AG686" s="14" t="s">
        <v>11</v>
      </c>
      <c r="AH686" s="14" t="s">
        <v>12</v>
      </c>
      <c r="AI686" s="14" t="s">
        <v>13</v>
      </c>
      <c r="AJ686" s="15" t="s">
        <v>14</v>
      </c>
      <c r="AK686" s="14" t="s">
        <v>15</v>
      </c>
      <c r="AL686" s="14" t="s">
        <v>16</v>
      </c>
      <c r="AM686" s="16" t="s">
        <v>17</v>
      </c>
      <c r="AN686" s="17" t="s">
        <v>18</v>
      </c>
      <c r="AO686" s="18" t="s">
        <v>19</v>
      </c>
      <c r="AP686" s="19" t="s">
        <v>20</v>
      </c>
      <c r="AQ686" s="19" t="s">
        <v>21</v>
      </c>
      <c r="AR686" s="20" t="s">
        <v>22</v>
      </c>
    </row>
    <row r="687" ht="15.75" customHeight="1">
      <c r="A687" s="21"/>
      <c r="B687" s="38">
        <v>7.0</v>
      </c>
      <c r="C687" s="38" t="s">
        <v>24</v>
      </c>
      <c r="D687" s="39">
        <v>37.0</v>
      </c>
      <c r="E687" s="54">
        <f>IFERROR(__xludf.DUMMYFUNCTION("COUNT(IMPORTRANGE(""https://docs.google.com/spreadsheets/d/1iuPvivSypupo44l6GtmR-2qZ3za7cTk7KzsOVp_kv2c/edit"",""2!d2:d45""))"),44.0)</f>
        <v>44</v>
      </c>
      <c r="F687" s="55">
        <f>IFERROR(__xludf.DUMMYFUNCTION("SUM(IMPORTRANGE(""https://docs.google.com/spreadsheets/d/1iuPvivSypupo44l6GtmR-2qZ3za7cTk7KzsOVp_kv2c/edit"",""2!Q2:Q45""))"),8354.581999999995)</f>
        <v>8354.582</v>
      </c>
      <c r="G687" s="54">
        <f>IFERROR(__xludf.DUMMYFUNCTION("IMPORTRANGE(""https://docs.google.com/spreadsheets/d/1iuPvivSypupo44l6GtmR-2qZ3za7cTk7KzsOVp_kv2c/edit"",""2!e53"")"),1454.0)</f>
        <v>1454</v>
      </c>
      <c r="H687" s="54">
        <f>IFERROR(__xludf.DUMMYFUNCTION("IMPORTRANGE(""https://docs.google.com/spreadsheets/d/1iuPvivSypupo44l6GtmR-2qZ3za7cTk7KzsOVp_kv2c/edit"",""2!e54"")"),0.0)</f>
        <v>0</v>
      </c>
      <c r="I687" s="54">
        <f t="shared" si="1890"/>
        <v>1454</v>
      </c>
      <c r="J687" s="54">
        <f>IFERROR(__xludf.DUMMYFUNCTION("IMPORTRANGE(""https://docs.google.com/spreadsheets/d/1iuPvivSypupo44l6GtmR-2qZ3za7cTk7KzsOVp_kv2c/edit"",""2!e57"")"),1288.0)</f>
        <v>1288</v>
      </c>
      <c r="K687" s="54">
        <f>IFERROR(__xludf.DUMMYFUNCTION("IMPORTRANGE(""https://docs.google.com/spreadsheets/d/1iuPvivSypupo44l6GtmR-2qZ3za7cTk7KzsOVp_kv2c/edit"",""2!e58"")"),28.0)</f>
        <v>28</v>
      </c>
      <c r="L687" s="40">
        <f t="shared" si="1891"/>
        <v>1316</v>
      </c>
      <c r="M687" s="40">
        <f t="shared" si="1892"/>
        <v>2770</v>
      </c>
      <c r="N687" s="41">
        <f t="shared" si="1893"/>
        <v>189.8768636</v>
      </c>
      <c r="O687" s="38">
        <v>1580.0</v>
      </c>
      <c r="P687" s="56">
        <f t="shared" si="1894"/>
        <v>1.753164557</v>
      </c>
      <c r="Q687" s="43">
        <v>1.5</v>
      </c>
      <c r="R687" s="42">
        <f t="shared" si="1895"/>
        <v>0.2210363926</v>
      </c>
      <c r="S687" s="44">
        <f t="shared" si="1896"/>
        <v>0.3315545888</v>
      </c>
      <c r="T687" s="43">
        <f>F687/26.805</f>
        <v>311.6799851</v>
      </c>
      <c r="U687" s="43">
        <f t="shared" si="1897"/>
        <v>7.083636024</v>
      </c>
      <c r="V687" s="40">
        <f t="shared" si="1898"/>
        <v>62.95454545</v>
      </c>
      <c r="X687" s="22">
        <v>1.0</v>
      </c>
      <c r="Y687" s="22" t="s">
        <v>28</v>
      </c>
      <c r="Z687" s="22">
        <f t="shared" ref="Z687:AI687" si="1907">SUM(D682)</f>
        <v>26</v>
      </c>
      <c r="AA687" s="23">
        <f t="shared" si="1907"/>
        <v>33</v>
      </c>
      <c r="AB687" s="25">
        <f t="shared" si="1907"/>
        <v>6528.833</v>
      </c>
      <c r="AC687" s="23">
        <f t="shared" si="1907"/>
        <v>2700</v>
      </c>
      <c r="AD687" s="23">
        <f t="shared" si="1907"/>
        <v>104</v>
      </c>
      <c r="AE687" s="23">
        <f t="shared" si="1907"/>
        <v>2804</v>
      </c>
      <c r="AF687" s="23">
        <f t="shared" si="1907"/>
        <v>3205</v>
      </c>
      <c r="AG687" s="23">
        <f t="shared" si="1907"/>
        <v>102</v>
      </c>
      <c r="AH687" s="23">
        <f t="shared" si="1907"/>
        <v>3307</v>
      </c>
      <c r="AI687" s="23">
        <f t="shared" si="1907"/>
        <v>6111</v>
      </c>
      <c r="AJ687" s="25">
        <f t="shared" ref="AJ687:AJ693" si="1910">AB687/AA687</f>
        <v>197.8434242</v>
      </c>
      <c r="AK687" s="22">
        <f t="shared" ref="AK687:AK688" si="1911">SUM(O682)</f>
        <v>7315</v>
      </c>
      <c r="AL687" s="26">
        <f t="shared" ref="AL687:AL693" si="1912">AI687/AK687</f>
        <v>0.8354066986</v>
      </c>
      <c r="AM687" s="27">
        <f t="shared" ref="AM687:AM688" si="1913">SUM(Q682)</f>
        <v>1.5</v>
      </c>
      <c r="AN687" s="26">
        <f t="shared" ref="AN687:AN693" si="1914">AO687/AM687</f>
        <v>0.6240012572</v>
      </c>
      <c r="AO687" s="28">
        <f t="shared" ref="AO687:AO693" si="1915">AI687/AB687</f>
        <v>0.9360018858</v>
      </c>
      <c r="AP687" s="27">
        <f t="shared" ref="AP687:AQ687" si="1908">SUM(T682)</f>
        <v>211.3096093</v>
      </c>
      <c r="AQ687" s="27">
        <f t="shared" si="1908"/>
        <v>6.403321495</v>
      </c>
      <c r="AR687" s="23">
        <f t="shared" ref="AR687:AR693" si="1917">AI687/AA687</f>
        <v>185.1818182</v>
      </c>
    </row>
    <row r="688" ht="15.75" customHeight="1">
      <c r="A688" s="21"/>
      <c r="B688" s="38">
        <v>8.0</v>
      </c>
      <c r="C688" s="38" t="s">
        <v>25</v>
      </c>
      <c r="D688" s="57">
        <v>27.0</v>
      </c>
      <c r="E688" s="40">
        <f>IFERROR(__xludf.DUMMYFUNCTION("COUNT(IMPORTRANGE(""https://docs.google.com/spreadsheets/d/1sqWX7UerdR9KR_duBzDNfjwbPG-3hLgV1LiN2ZVZ6Js/edit"",""2!d2:D33""))"),31.0)</f>
        <v>31</v>
      </c>
      <c r="F688" s="45">
        <f>IFERROR(__xludf.DUMMYFUNCTION("SUM(IMPORTRANGE(""https://docs.google.com/spreadsheets/d/1sqWX7UerdR9KR_duBzDNfjwbPG-3hLgV1LiN2ZVZ6Js/edit"",""2!Q2:Q33""))"),5925.124000000001)</f>
        <v>5925.124</v>
      </c>
      <c r="G688" s="40">
        <f>IFERROR(__xludf.DUMMYFUNCTION("IMPORTRANGE(""https://docs.google.com/spreadsheets/d/1sqWX7UerdR9KR_duBzDNfjwbPG-3hLgV1LiN2ZVZ6Js/edit"",""2!e40"")"),2351.0)</f>
        <v>2351</v>
      </c>
      <c r="H688" s="40">
        <f>IFERROR(__xludf.DUMMYFUNCTION("IMPORTRANGE(""https://docs.google.com/spreadsheets/d/1sqWX7UerdR9KR_duBzDNfjwbPG-3hLgV1LiN2ZVZ6Js/edit"",""2!e41"")"),438.0)</f>
        <v>438</v>
      </c>
      <c r="I688" s="40">
        <f t="shared" si="1890"/>
        <v>2789</v>
      </c>
      <c r="J688" s="40">
        <f>IFERROR(__xludf.DUMMYFUNCTION("IMPORTRANGE(""https://docs.google.com/spreadsheets/d/1sqWX7UerdR9KR_duBzDNfjwbPG-3hLgV1LiN2ZVZ6Js/edit"",""2!e44"")"),3213.0)</f>
        <v>3213</v>
      </c>
      <c r="K688" s="40">
        <f>IFERROR(__xludf.DUMMYFUNCTION("IMPORTRANGE(""https://docs.google.com/spreadsheets/d/1sqWX7UerdR9KR_duBzDNfjwbPG-3hLgV1LiN2ZVZ6Js/edit"",""2!e45"")"),305.0)</f>
        <v>305</v>
      </c>
      <c r="L688" s="40">
        <f>J688+K688</f>
        <v>3518</v>
      </c>
      <c r="M688" s="40">
        <f t="shared" si="1892"/>
        <v>6307</v>
      </c>
      <c r="N688" s="41">
        <f t="shared" si="1893"/>
        <v>191.1330323</v>
      </c>
      <c r="O688" s="38">
        <v>6622.0</v>
      </c>
      <c r="P688" s="56">
        <f t="shared" si="1894"/>
        <v>0.9524312896</v>
      </c>
      <c r="Q688" s="43">
        <v>1.5</v>
      </c>
      <c r="R688" s="42">
        <f t="shared" si="1895"/>
        <v>0.7096335312</v>
      </c>
      <c r="S688" s="44">
        <f t="shared" si="1896"/>
        <v>1.064450297</v>
      </c>
      <c r="T688" s="43">
        <f>F688/23.84</f>
        <v>248.5370805</v>
      </c>
      <c r="U688" s="43">
        <f t="shared" si="1897"/>
        <v>8.017325179</v>
      </c>
      <c r="V688" s="40">
        <f t="shared" si="1898"/>
        <v>203.4516129</v>
      </c>
      <c r="X688" s="31">
        <v>2.0</v>
      </c>
      <c r="Y688" s="31" t="s">
        <v>30</v>
      </c>
      <c r="Z688" s="31">
        <f t="shared" ref="Z688:AI688" si="1909">SUM(D683)</f>
        <v>48</v>
      </c>
      <c r="AA688" s="32">
        <f t="shared" si="1909"/>
        <v>58</v>
      </c>
      <c r="AB688" s="33">
        <f t="shared" si="1909"/>
        <v>11253.345</v>
      </c>
      <c r="AC688" s="32">
        <f t="shared" si="1909"/>
        <v>3757</v>
      </c>
      <c r="AD688" s="32">
        <f t="shared" si="1909"/>
        <v>0</v>
      </c>
      <c r="AE688" s="32">
        <f t="shared" si="1909"/>
        <v>3757</v>
      </c>
      <c r="AF688" s="32">
        <f t="shared" si="1909"/>
        <v>5596</v>
      </c>
      <c r="AG688" s="32">
        <f t="shared" si="1909"/>
        <v>0</v>
      </c>
      <c r="AH688" s="32">
        <f t="shared" si="1909"/>
        <v>5596</v>
      </c>
      <c r="AI688" s="32">
        <f t="shared" si="1909"/>
        <v>9353</v>
      </c>
      <c r="AJ688" s="34">
        <f t="shared" si="1910"/>
        <v>194.0231897</v>
      </c>
      <c r="AK688" s="31">
        <f t="shared" si="1911"/>
        <v>11164</v>
      </c>
      <c r="AL688" s="35">
        <f t="shared" si="1912"/>
        <v>0.8377821569</v>
      </c>
      <c r="AM688" s="36">
        <f t="shared" si="1913"/>
        <v>1.5</v>
      </c>
      <c r="AN688" s="35">
        <f t="shared" si="1914"/>
        <v>0.5540871033</v>
      </c>
      <c r="AO688" s="37">
        <f t="shared" si="1915"/>
        <v>0.8311306549</v>
      </c>
      <c r="AP688" s="36">
        <f t="shared" ref="AP688:AQ688" si="1916">SUM(T683)</f>
        <v>380.1420464</v>
      </c>
      <c r="AQ688" s="36">
        <f t="shared" si="1916"/>
        <v>6.554173214</v>
      </c>
      <c r="AR688" s="32">
        <f t="shared" si="1917"/>
        <v>161.2586207</v>
      </c>
    </row>
    <row r="689" ht="15.75" customHeight="1">
      <c r="A689" s="21"/>
      <c r="B689" s="38">
        <v>9.0</v>
      </c>
      <c r="C689" s="38" t="s">
        <v>36</v>
      </c>
      <c r="D689" s="58">
        <v>24.0</v>
      </c>
      <c r="E689" s="40">
        <f>IFERROR(__xludf.DUMMYFUNCTION("COUNT(IMPORTRANGE(""https://docs.google.com/spreadsheets/d/1YNna43iTSqnwwbMJgTIPHSJEoDO8RGPRFg5pJCoQR_Y/edit"",""2!d2:d31""))"),29.0)</f>
        <v>29</v>
      </c>
      <c r="F689" s="45">
        <f>IFERROR(__xludf.DUMMYFUNCTION("SUM(IMPORTRANGE(""https://docs.google.com/spreadsheets/d/1YNna43iTSqnwwbMJgTIPHSJEoDO8RGPRFg5pJCoQR_Y/edit"",""2!Q2:Q31""))"),5604.12)</f>
        <v>5604.12</v>
      </c>
      <c r="G689" s="40">
        <f>IFERROR(__xludf.DUMMYFUNCTION("IMPORTRANGE(""https://docs.google.com/spreadsheets/d/1YNna43iTSqnwwbMJgTIPHSJEoDO8RGPRFg5pJCoQR_Y/edit"",""2!e38"")"),1533.0)</f>
        <v>1533</v>
      </c>
      <c r="H689" s="40">
        <f>IFERROR(__xludf.DUMMYFUNCTION("IMPORTRANGE(""https://docs.google.com/spreadsheets/d/1YNna43iTSqnwwbMJgTIPHSJEoDO8RGPRFg5pJCoQR_Y/edit"",""2!e39"")"),0.0)</f>
        <v>0</v>
      </c>
      <c r="I689" s="40">
        <f t="shared" si="1890"/>
        <v>1533</v>
      </c>
      <c r="J689" s="40">
        <f>IFERROR(__xludf.DUMMYFUNCTION("IMPORTRANGE(""https://docs.google.com/spreadsheets/d/1YNna43iTSqnwwbMJgTIPHSJEoDO8RGPRFg5pJCoQR_Y/edit"",""2!e42"")"),2301.0)</f>
        <v>2301</v>
      </c>
      <c r="K689" s="40">
        <f>IFERROR(__xludf.DUMMYFUNCTION("IMPORTRANGE(""https://docs.google.com/spreadsheets/d/1YNna43iTSqnwwbMJgTIPHSJEoDO8RGPRFg5pJCoQR_Y/edit"",""2!e43"")"),0.0)</f>
        <v>0</v>
      </c>
      <c r="L689" s="40">
        <f t="shared" ref="L689:L698" si="1920">SUM(J689:K689)</f>
        <v>2301</v>
      </c>
      <c r="M689" s="40">
        <f t="shared" si="1892"/>
        <v>3834</v>
      </c>
      <c r="N689" s="41">
        <f t="shared" si="1893"/>
        <v>193.2455172</v>
      </c>
      <c r="O689" s="38">
        <v>4796.0</v>
      </c>
      <c r="P689" s="42">
        <f t="shared" si="1894"/>
        <v>0.7994161802</v>
      </c>
      <c r="Q689" s="43">
        <v>1.5</v>
      </c>
      <c r="R689" s="42">
        <f t="shared" si="1895"/>
        <v>0.4560930173</v>
      </c>
      <c r="S689" s="44">
        <f t="shared" si="1896"/>
        <v>0.6841395259</v>
      </c>
      <c r="T689" s="43">
        <f>F689/37.414</f>
        <v>149.7867109</v>
      </c>
      <c r="U689" s="43">
        <f t="shared" si="1897"/>
        <v>5.165058995</v>
      </c>
      <c r="V689" s="40">
        <f t="shared" si="1898"/>
        <v>132.2068966</v>
      </c>
      <c r="X689" s="22">
        <v>3.0</v>
      </c>
      <c r="Y689" s="22" t="s">
        <v>34</v>
      </c>
      <c r="Z689" s="22">
        <f t="shared" ref="Z689:AI689" si="1918">SUM(D685)</f>
        <v>32</v>
      </c>
      <c r="AA689" s="23">
        <f t="shared" si="1918"/>
        <v>40</v>
      </c>
      <c r="AB689" s="24">
        <f t="shared" si="1918"/>
        <v>7895.343</v>
      </c>
      <c r="AC689" s="23">
        <f t="shared" si="1918"/>
        <v>3069</v>
      </c>
      <c r="AD689" s="23">
        <f t="shared" si="1918"/>
        <v>0</v>
      </c>
      <c r="AE689" s="23">
        <f t="shared" si="1918"/>
        <v>3069</v>
      </c>
      <c r="AF689" s="23">
        <f t="shared" si="1918"/>
        <v>3126</v>
      </c>
      <c r="AG689" s="23">
        <f t="shared" si="1918"/>
        <v>0</v>
      </c>
      <c r="AH689" s="23">
        <f t="shared" si="1918"/>
        <v>3126</v>
      </c>
      <c r="AI689" s="23">
        <f t="shared" si="1918"/>
        <v>6195</v>
      </c>
      <c r="AJ689" s="25">
        <f t="shared" si="1910"/>
        <v>197.383575</v>
      </c>
      <c r="AK689" s="22">
        <f>SUM(O685)</f>
        <v>9354</v>
      </c>
      <c r="AL689" s="26">
        <f t="shared" si="1912"/>
        <v>0.6622835151</v>
      </c>
      <c r="AM689" s="27">
        <f>SUM(Q685)</f>
        <v>1.5</v>
      </c>
      <c r="AN689" s="26">
        <f t="shared" si="1914"/>
        <v>0.5230931702</v>
      </c>
      <c r="AO689" s="28">
        <f t="shared" si="1915"/>
        <v>0.7846397554</v>
      </c>
      <c r="AP689" s="27">
        <f t="shared" ref="AP689:AQ689" si="1919">SUM(T685)</f>
        <v>257.0684401</v>
      </c>
      <c r="AQ689" s="27">
        <f t="shared" si="1919"/>
        <v>6.426711002</v>
      </c>
      <c r="AR689" s="23">
        <f t="shared" si="1917"/>
        <v>154.875</v>
      </c>
    </row>
    <row r="690" ht="15.75" customHeight="1">
      <c r="A690" s="21"/>
      <c r="B690" s="38">
        <v>10.0</v>
      </c>
      <c r="C690" s="38" t="s">
        <v>37</v>
      </c>
      <c r="D690" s="39">
        <v>24.0</v>
      </c>
      <c r="E690" s="40">
        <f>IFERROR(__xludf.DUMMYFUNCTION("COUNT(IMPORTRANGE(""https://docs.google.com/spreadsheets/d/1913Df5BsXS_b-nClL8LOK5w0engQYTl1mPOiyngRtO0/edit"",""2!d2:d31""))"),30.0)</f>
        <v>30</v>
      </c>
      <c r="F690" s="45">
        <f>IFERROR(__xludf.DUMMYFUNCTION("SUM(IMPORTRANGE(""https://docs.google.com/spreadsheets/d/1913Df5BsXS_b-nClL8LOK5w0engQYTl1mPOiyngRtO0/edit"",""2!Q2:Q31""))"),5812.188)</f>
        <v>5812.188</v>
      </c>
      <c r="G690" s="40">
        <f>IFERROR(__xludf.DUMMYFUNCTION("(IMPORTRANGE(""https://docs.google.com/spreadsheets/d/1913Df5BsXS_b-nClL8LOK5w0engQYTl1mPOiyngRtO0/edit"",""2!e38""))"),2138.0)</f>
        <v>2138</v>
      </c>
      <c r="H690" s="40">
        <f>IFERROR(__xludf.DUMMYFUNCTION("(IMPORTRANGE(""https://docs.google.com/spreadsheets/d/1913Df5BsXS_b-nClL8LOK5w0engQYTl1mPOiyngRtO0/edit"",""2!e39""))"),0.0)</f>
        <v>0</v>
      </c>
      <c r="I690" s="40">
        <f t="shared" si="1890"/>
        <v>2138</v>
      </c>
      <c r="J690" s="40">
        <f>IFERROR(__xludf.DUMMYFUNCTION("(IMPORTRANGE(""https://docs.google.com/spreadsheets/d/1913Df5BsXS_b-nClL8LOK5w0engQYTl1mPOiyngRtO0/edit"",""2!e42""))"),3071.0)</f>
        <v>3071</v>
      </c>
      <c r="K690" s="40">
        <f>IFERROR(__xludf.DUMMYFUNCTION("(IMPORTRANGE(""https://docs.google.com/spreadsheets/d/1913Df5BsXS_b-nClL8LOK5w0engQYTl1mPOiyngRtO0/edit"",""2!e43""))"),0.0)</f>
        <v>0</v>
      </c>
      <c r="L690" s="40">
        <f t="shared" si="1920"/>
        <v>3071</v>
      </c>
      <c r="M690" s="40">
        <f t="shared" si="1892"/>
        <v>5209</v>
      </c>
      <c r="N690" s="41">
        <f t="shared" si="1893"/>
        <v>193.7396</v>
      </c>
      <c r="O690" s="38">
        <v>5887.0</v>
      </c>
      <c r="P690" s="42">
        <f t="shared" si="1894"/>
        <v>0.8848309835</v>
      </c>
      <c r="Q690" s="43">
        <v>1.5</v>
      </c>
      <c r="R690" s="42">
        <f t="shared" si="1895"/>
        <v>0.5974800999</v>
      </c>
      <c r="S690" s="44">
        <f t="shared" si="1896"/>
        <v>0.8962201498</v>
      </c>
      <c r="T690" s="43">
        <f>F690/24.792</f>
        <v>234.4380445</v>
      </c>
      <c r="U690" s="43">
        <f t="shared" si="1897"/>
        <v>7.814601484</v>
      </c>
      <c r="V690" s="40">
        <f t="shared" si="1898"/>
        <v>173.6333333</v>
      </c>
      <c r="X690" s="31">
        <v>4.0</v>
      </c>
      <c r="Y690" s="31" t="s">
        <v>38</v>
      </c>
      <c r="Z690" s="31">
        <f t="shared" ref="Z690:AI690" si="1921">SUM(D693)</f>
        <v>24</v>
      </c>
      <c r="AA690" s="32">
        <f t="shared" si="1921"/>
        <v>30</v>
      </c>
      <c r="AB690" s="33">
        <f t="shared" si="1921"/>
        <v>6284.278</v>
      </c>
      <c r="AC690" s="32">
        <f t="shared" si="1921"/>
        <v>2309</v>
      </c>
      <c r="AD690" s="32">
        <f t="shared" si="1921"/>
        <v>0</v>
      </c>
      <c r="AE690" s="32">
        <f t="shared" si="1921"/>
        <v>2309</v>
      </c>
      <c r="AF690" s="32">
        <f t="shared" si="1921"/>
        <v>2749</v>
      </c>
      <c r="AG690" s="32">
        <f t="shared" si="1921"/>
        <v>159</v>
      </c>
      <c r="AH690" s="32">
        <f t="shared" si="1921"/>
        <v>2908</v>
      </c>
      <c r="AI690" s="32">
        <f t="shared" si="1921"/>
        <v>5217</v>
      </c>
      <c r="AJ690" s="34">
        <f t="shared" si="1910"/>
        <v>209.4759333</v>
      </c>
      <c r="AK690" s="31">
        <v>7324.0</v>
      </c>
      <c r="AL690" s="35">
        <f t="shared" si="1912"/>
        <v>0.7123156745</v>
      </c>
      <c r="AM690" s="36">
        <f>SUM(Q693)</f>
        <v>1.5</v>
      </c>
      <c r="AN690" s="35">
        <f t="shared" si="1914"/>
        <v>0.5534446439</v>
      </c>
      <c r="AO690" s="37">
        <f t="shared" si="1915"/>
        <v>0.8301669659</v>
      </c>
      <c r="AP690" s="36">
        <f t="shared" ref="AP690:AQ690" si="1922">SUM(T693)</f>
        <v>152.5125106</v>
      </c>
      <c r="AQ690" s="36">
        <f t="shared" si="1922"/>
        <v>5.083750354</v>
      </c>
      <c r="AR690" s="32">
        <f t="shared" si="1917"/>
        <v>173.9</v>
      </c>
    </row>
    <row r="691" ht="15.75" customHeight="1">
      <c r="A691" s="21"/>
      <c r="B691" s="38">
        <v>12.0</v>
      </c>
      <c r="C691" s="38" t="s">
        <v>39</v>
      </c>
      <c r="D691" s="39">
        <v>22.0</v>
      </c>
      <c r="E691" s="40">
        <f>IFERROR(__xludf.DUMMYFUNCTION("COUNT(IMPORTRANGE(""https://docs.google.com/spreadsheets/d/1wMeol_MpSIcocGxt3WZGl46mJ2tc80mANPvP_YzaP18/edit"",""2!d2:d29""))"),28.0)</f>
        <v>28</v>
      </c>
      <c r="F691" s="45">
        <f>IFERROR(__xludf.DUMMYFUNCTION("SUM(IMPORTRANGE(""https://docs.google.com/spreadsheets/d/1wMeol_MpSIcocGxt3WZGl46mJ2tc80mANPvP_YzaP18/edit"",""2!Q2:Q29""))"),5458.878)</f>
        <v>5458.878</v>
      </c>
      <c r="G691" s="40">
        <f>IFERROR(__xludf.DUMMYFUNCTION("IMPORTRANGE(""https://docs.google.com/spreadsheets/d/1wMeol_MpSIcocGxt3WZGl46mJ2tc80mANPvP_YzaP18/edit"",""2!e36"")"),1516.0)</f>
        <v>1516</v>
      </c>
      <c r="H691" s="40">
        <f>IFERROR(__xludf.DUMMYFUNCTION("(IMPORTRANGE(""https://docs.google.com/spreadsheets/d/1wMeol_MpSIcocGxt3WZGl46mJ2tc80mANPvP_YzaP18/edit"",""2!e37""))"),43.0)</f>
        <v>43</v>
      </c>
      <c r="I691" s="40">
        <f t="shared" si="1890"/>
        <v>1559</v>
      </c>
      <c r="J691" s="40">
        <f>IFERROR(__xludf.DUMMYFUNCTION("IMPORTRANGE(""https://docs.google.com/spreadsheets/d/1wMeol_MpSIcocGxt3WZGl46mJ2tc80mANPvP_YzaP18/edit"",""2!e40"")"),1765.0)</f>
        <v>1765</v>
      </c>
      <c r="K691" s="40">
        <f>IFERROR(__xludf.DUMMYFUNCTION("IMPORTRANGE(""https://docs.google.com/spreadsheets/d/1wMeol_MpSIcocGxt3WZGl46mJ2tc80mANPvP_YzaP18/edit"",""2!e41"")"),115.0)</f>
        <v>115</v>
      </c>
      <c r="L691" s="40">
        <f t="shared" si="1920"/>
        <v>1880</v>
      </c>
      <c r="M691" s="40">
        <f t="shared" si="1892"/>
        <v>3439</v>
      </c>
      <c r="N691" s="41">
        <f t="shared" si="1893"/>
        <v>194.9599286</v>
      </c>
      <c r="O691" s="38">
        <v>3569.0</v>
      </c>
      <c r="P691" s="42">
        <f t="shared" si="1894"/>
        <v>0.9635752312</v>
      </c>
      <c r="Q691" s="43">
        <v>1.5</v>
      </c>
      <c r="R691" s="42">
        <f t="shared" si="1895"/>
        <v>0.4199886253</v>
      </c>
      <c r="S691" s="44">
        <f t="shared" si="1896"/>
        <v>0.6299829379</v>
      </c>
      <c r="T691" s="43">
        <f>F691/21.463</f>
        <v>254.339002</v>
      </c>
      <c r="U691" s="43">
        <f t="shared" si="1897"/>
        <v>9.083535786</v>
      </c>
      <c r="V691" s="40">
        <f t="shared" si="1898"/>
        <v>122.8214286</v>
      </c>
      <c r="X691" s="31">
        <v>5.0</v>
      </c>
      <c r="Y691" s="31" t="s">
        <v>40</v>
      </c>
      <c r="Z691" s="31">
        <f t="shared" ref="Z691:AI691" si="1923">SUM(D695)</f>
        <v>24</v>
      </c>
      <c r="AA691" s="32">
        <f t="shared" si="1923"/>
        <v>30</v>
      </c>
      <c r="AB691" s="33">
        <f t="shared" si="1923"/>
        <v>5845.703</v>
      </c>
      <c r="AC691" s="32">
        <f t="shared" si="1923"/>
        <v>3323</v>
      </c>
      <c r="AD691" s="32">
        <f t="shared" si="1923"/>
        <v>39</v>
      </c>
      <c r="AE691" s="32">
        <f t="shared" si="1923"/>
        <v>3362</v>
      </c>
      <c r="AF691" s="32">
        <f t="shared" si="1923"/>
        <v>3928</v>
      </c>
      <c r="AG691" s="32">
        <f t="shared" si="1923"/>
        <v>73</v>
      </c>
      <c r="AH691" s="32">
        <f t="shared" si="1923"/>
        <v>4001</v>
      </c>
      <c r="AI691" s="32">
        <f t="shared" si="1923"/>
        <v>7363</v>
      </c>
      <c r="AJ691" s="34">
        <f t="shared" si="1910"/>
        <v>194.8567667</v>
      </c>
      <c r="AK691" s="31">
        <f t="shared" ref="AK691:AK692" si="1926">SUM(O695)</f>
        <v>8239</v>
      </c>
      <c r="AL691" s="35">
        <f t="shared" si="1912"/>
        <v>0.893676417</v>
      </c>
      <c r="AM691" s="36">
        <f t="shared" ref="AM691:AM692" si="1927">SUM(Q695)</f>
        <v>1.5</v>
      </c>
      <c r="AN691" s="35">
        <f t="shared" si="1914"/>
        <v>0.8397051076</v>
      </c>
      <c r="AO691" s="37">
        <f t="shared" si="1915"/>
        <v>1.259557661</v>
      </c>
      <c r="AP691" s="36">
        <f t="shared" ref="AP691:AQ691" si="1924">SUM(T695)</f>
        <v>205.5234328</v>
      </c>
      <c r="AQ691" s="36">
        <f t="shared" si="1924"/>
        <v>6.850781094</v>
      </c>
      <c r="AR691" s="32">
        <f t="shared" si="1917"/>
        <v>245.4333333</v>
      </c>
    </row>
    <row r="692" ht="15.75" customHeight="1">
      <c r="A692" s="21"/>
      <c r="B692" s="38">
        <v>12.0</v>
      </c>
      <c r="C692" s="38" t="s">
        <v>41</v>
      </c>
      <c r="D692" s="39">
        <v>20.0</v>
      </c>
      <c r="E692" s="40">
        <f>IFERROR(__xludf.DUMMYFUNCTION("COUNT(IMPORTRANGE(""https://docs.google.com/spreadsheets/d/1sHk6_yuc4kORC_xnhEeazoemV_hVUQVqRpfoNae-PLk/edit"",""2!d2:d25""))"),24.0)</f>
        <v>24</v>
      </c>
      <c r="F692" s="45">
        <f>IFERROR(__xludf.DUMMYFUNCTION("SUM(IMPORTRANGE(""https://docs.google.com/spreadsheets/d/1sHk6_yuc4kORC_xnhEeazoemV_hVUQVqRpfoNae-PLk/edit"",""2!Q2:Q25""))"),4806.3200000000015)</f>
        <v>4806.32</v>
      </c>
      <c r="G692" s="40">
        <f>IFERROR(__xludf.DUMMYFUNCTION("IMPORTRANGE(""https://docs.google.com/spreadsheets/d/1sHk6_yuc4kORC_xnhEeazoemV_hVUQVqRpfoNae-PLk/edit"",""2!e32"")"),1468.0)</f>
        <v>1468</v>
      </c>
      <c r="H692" s="40">
        <f>IFERROR(__xludf.DUMMYFUNCTION("IMPORTRANGE(""https://docs.google.com/spreadsheets/d/1sHk6_yuc4kORC_xnhEeazoemV_hVUQVqRpfoNae-PLk/edit"",""2!e33"")"),0.0)</f>
        <v>0</v>
      </c>
      <c r="I692" s="40">
        <f t="shared" si="1890"/>
        <v>1468</v>
      </c>
      <c r="J692" s="40">
        <f>IFERROR(__xludf.DUMMYFUNCTION("IMPORTRANGE(""https://docs.google.com/spreadsheets/d/1sHk6_yuc4kORC_xnhEeazoemV_hVUQVqRpfoNae-PLk/edit"",""2!e36"")"),1656.0)</f>
        <v>1656</v>
      </c>
      <c r="K692" s="40">
        <f>IFERROR(__xludf.DUMMYFUNCTION("IMPORTRANGE(""https://docs.google.com/spreadsheets/d/1sHk6_yuc4kORC_xnhEeazoemV_hVUQVqRpfoNae-PLk/edit"",""2!e37"")"),0.0)</f>
        <v>0</v>
      </c>
      <c r="L692" s="40">
        <f t="shared" si="1920"/>
        <v>1656</v>
      </c>
      <c r="M692" s="40">
        <f t="shared" si="1892"/>
        <v>3124</v>
      </c>
      <c r="N692" s="41">
        <f t="shared" si="1893"/>
        <v>200.2633333</v>
      </c>
      <c r="O692" s="38">
        <v>3801.0</v>
      </c>
      <c r="P692" s="42">
        <f t="shared" si="1894"/>
        <v>0.8218889766</v>
      </c>
      <c r="Q692" s="43">
        <v>1.5</v>
      </c>
      <c r="R692" s="42">
        <f t="shared" si="1895"/>
        <v>0.4333183531</v>
      </c>
      <c r="S692" s="44">
        <f t="shared" si="1896"/>
        <v>0.6499775296</v>
      </c>
      <c r="T692" s="43">
        <f>F692/29.628</f>
        <v>162.2222222</v>
      </c>
      <c r="U692" s="43">
        <f t="shared" si="1897"/>
        <v>6.759259259</v>
      </c>
      <c r="V692" s="40">
        <f t="shared" si="1898"/>
        <v>130.1666667</v>
      </c>
      <c r="X692" s="22">
        <v>6.0</v>
      </c>
      <c r="Y692" s="22" t="s">
        <v>42</v>
      </c>
      <c r="Z692" s="22">
        <f t="shared" ref="Z692:AI692" si="1925">SUM(D696)</f>
        <v>26</v>
      </c>
      <c r="AA692" s="23">
        <f t="shared" si="1925"/>
        <v>33</v>
      </c>
      <c r="AB692" s="24">
        <f t="shared" si="1925"/>
        <v>6380.282</v>
      </c>
      <c r="AC692" s="23">
        <f t="shared" si="1925"/>
        <v>3133</v>
      </c>
      <c r="AD692" s="23">
        <f t="shared" si="1925"/>
        <v>0</v>
      </c>
      <c r="AE692" s="23">
        <f t="shared" si="1925"/>
        <v>3133</v>
      </c>
      <c r="AF692" s="23">
        <f t="shared" si="1925"/>
        <v>4360</v>
      </c>
      <c r="AG692" s="23">
        <f t="shared" si="1925"/>
        <v>0</v>
      </c>
      <c r="AH692" s="23">
        <f t="shared" si="1925"/>
        <v>4360</v>
      </c>
      <c r="AI692" s="23">
        <f t="shared" si="1925"/>
        <v>7493</v>
      </c>
      <c r="AJ692" s="25">
        <f t="shared" si="1910"/>
        <v>193.3418788</v>
      </c>
      <c r="AK692" s="22">
        <f t="shared" si="1926"/>
        <v>9877</v>
      </c>
      <c r="AL692" s="26">
        <f t="shared" si="1912"/>
        <v>0.7586311633</v>
      </c>
      <c r="AM692" s="27">
        <f t="shared" si="1927"/>
        <v>1.5</v>
      </c>
      <c r="AN692" s="26">
        <f t="shared" si="1914"/>
        <v>0.782933001</v>
      </c>
      <c r="AO692" s="28">
        <f t="shared" si="1915"/>
        <v>1.174399501</v>
      </c>
      <c r="AP692" s="27">
        <f t="shared" ref="AP692:AQ692" si="1928">SUM(T696)</f>
        <v>243.9411967</v>
      </c>
      <c r="AQ692" s="27">
        <f t="shared" si="1928"/>
        <v>7.392157476</v>
      </c>
      <c r="AR692" s="23">
        <f t="shared" si="1917"/>
        <v>227.0606061</v>
      </c>
    </row>
    <row r="693" ht="15.75" customHeight="1">
      <c r="A693" s="21"/>
      <c r="B693" s="38">
        <v>13.0</v>
      </c>
      <c r="C693" s="38" t="s">
        <v>43</v>
      </c>
      <c r="D693" s="39">
        <v>24.0</v>
      </c>
      <c r="E693" s="40">
        <f>IFERROR(__xludf.DUMMYFUNCTION("COUNT(IMPORTRANGE(""https://docs.google.com/spreadsheets/d/1uGXvAN2jA6kmcEHUY4KqOHHewllZsujDdA6KVDfBCoA/edit"",""2!d2:d31""))"),30.0)</f>
        <v>30</v>
      </c>
      <c r="F693" s="45">
        <f>IFERROR(__xludf.DUMMYFUNCTION("SUM(IMPORTRANGE(""https://docs.google.com/spreadsheets/d/1uGXvAN2jA6kmcEHUY4KqOHHewllZsujDdA6KVDfBCoA/edit"",""2!Q2:Q31""))"),6284.277999999999)</f>
        <v>6284.278</v>
      </c>
      <c r="G693" s="40">
        <f>IFERROR(__xludf.DUMMYFUNCTION("IMPORTRANGE(""https://docs.google.com/spreadsheets/d/1uGXvAN2jA6kmcEHUY4KqOHHewllZsujDdA6KVDfBCoA/edit"",""2!e38"")"),2309.0)</f>
        <v>2309</v>
      </c>
      <c r="H693" s="40">
        <f>IFERROR(__xludf.DUMMYFUNCTION("IMPORTRANGE(""https://docs.google.com/spreadsheets/d/1uGXvAN2jA6kmcEHUY4KqOHHewllZsujDdA6KVDfBCoA/edit"",""2!e39"")"),0.0)</f>
        <v>0</v>
      </c>
      <c r="I693" s="40">
        <f t="shared" si="1890"/>
        <v>2309</v>
      </c>
      <c r="J693" s="40">
        <f>IFERROR(__xludf.DUMMYFUNCTION("IMPORTRANGE(""https://docs.google.com/spreadsheets/d/1uGXvAN2jA6kmcEHUY4KqOHHewllZsujDdA6KVDfBCoA/edit"",""2!e42"")"),2749.0)</f>
        <v>2749</v>
      </c>
      <c r="K693" s="40">
        <f>IFERROR(__xludf.DUMMYFUNCTION("IMPORTRANGE(""https://docs.google.com/spreadsheets/d/1uGXvAN2jA6kmcEHUY4KqOHHewllZsujDdA6KVDfBCoA/edit"",""2!e43"")"),159.0)</f>
        <v>159</v>
      </c>
      <c r="L693" s="40">
        <f t="shared" si="1920"/>
        <v>2908</v>
      </c>
      <c r="M693" s="40">
        <f t="shared" si="1892"/>
        <v>5217</v>
      </c>
      <c r="N693" s="41">
        <f t="shared" si="1893"/>
        <v>209.4759333</v>
      </c>
      <c r="O693" s="38">
        <v>8345.0</v>
      </c>
      <c r="P693" s="42">
        <f t="shared" si="1894"/>
        <v>0.6251647693</v>
      </c>
      <c r="Q693" s="43">
        <v>1.5</v>
      </c>
      <c r="R693" s="42">
        <f t="shared" si="1895"/>
        <v>0.5534446439</v>
      </c>
      <c r="S693" s="44">
        <f t="shared" si="1896"/>
        <v>0.8301669659</v>
      </c>
      <c r="T693" s="43">
        <f>F693/41.205</f>
        <v>152.5125106</v>
      </c>
      <c r="U693" s="43">
        <f t="shared" si="1897"/>
        <v>5.083750354</v>
      </c>
      <c r="V693" s="40">
        <f t="shared" si="1898"/>
        <v>173.9</v>
      </c>
      <c r="X693" s="46" t="s">
        <v>33</v>
      </c>
      <c r="Y693" s="46">
        <v>6.0</v>
      </c>
      <c r="Z693" s="46">
        <f t="shared" ref="Z693:AI693" si="1929">SUM(Z687:Z692)</f>
        <v>180</v>
      </c>
      <c r="AA693" s="47">
        <f t="shared" si="1929"/>
        <v>224</v>
      </c>
      <c r="AB693" s="49">
        <f t="shared" si="1929"/>
        <v>44187.784</v>
      </c>
      <c r="AC693" s="47">
        <f t="shared" si="1929"/>
        <v>18291</v>
      </c>
      <c r="AD693" s="47">
        <f t="shared" si="1929"/>
        <v>143</v>
      </c>
      <c r="AE693" s="47">
        <f t="shared" si="1929"/>
        <v>18434</v>
      </c>
      <c r="AF693" s="47">
        <f t="shared" si="1929"/>
        <v>22964</v>
      </c>
      <c r="AG693" s="47">
        <f t="shared" si="1929"/>
        <v>334</v>
      </c>
      <c r="AH693" s="47">
        <f t="shared" si="1929"/>
        <v>23298</v>
      </c>
      <c r="AI693" s="47">
        <f t="shared" si="1929"/>
        <v>41732</v>
      </c>
      <c r="AJ693" s="49">
        <f t="shared" si="1910"/>
        <v>197.2668929</v>
      </c>
      <c r="AK693" s="46">
        <f>SUM(AK687:AK692)</f>
        <v>53273</v>
      </c>
      <c r="AL693" s="50">
        <f t="shared" si="1912"/>
        <v>0.7833611773</v>
      </c>
      <c r="AM693" s="51">
        <v>1.5</v>
      </c>
      <c r="AN693" s="50">
        <f t="shared" si="1914"/>
        <v>0.6296159439</v>
      </c>
      <c r="AO693" s="52">
        <f t="shared" si="1915"/>
        <v>0.9444239159</v>
      </c>
      <c r="AP693" s="51">
        <f>SUM(AP687:AP692)</f>
        <v>1450.497236</v>
      </c>
      <c r="AQ693" s="51">
        <f>AP693/AA693</f>
        <v>6.475434089</v>
      </c>
      <c r="AR693" s="47">
        <f t="shared" si="1917"/>
        <v>186.3035714</v>
      </c>
    </row>
    <row r="694" ht="15.75" customHeight="1">
      <c r="A694" s="21"/>
      <c r="B694" s="38">
        <v>14.0</v>
      </c>
      <c r="C694" s="38" t="s">
        <v>27</v>
      </c>
      <c r="D694" s="39">
        <v>24.0</v>
      </c>
      <c r="E694" s="40">
        <f>IFERROR(__xludf.DUMMYFUNCTION("COUNT(IMPORTRANGE(""https://docs.google.com/spreadsheets/d/1iYtf3wkjJIgOL8ej0-L89wY8FLXKi6EiRbi9UqA1Bzw/edit"",""2!d2:d31""))"),28.0)</f>
        <v>28</v>
      </c>
      <c r="F694" s="45">
        <f>IFERROR(__xludf.DUMMYFUNCTION("SUM(IMPORTRANGE(""https://docs.google.com/spreadsheets/d/1iYtf3wkjJIgOL8ej0-L89wY8FLXKi6EiRbi9UqA1Bzw/edit"",""2!Q2:Q31""))"),5465.76)</f>
        <v>5465.76</v>
      </c>
      <c r="G694" s="40">
        <f>IFERROR(__xludf.DUMMYFUNCTION("IMPORTRANGE(""https://docs.google.com/spreadsheets/d/1iYtf3wkjJIgOL8ej0-L89wY8FLXKi6EiRbi9UqA1Bzw/edit"",""2!e38"")"),2368.0)</f>
        <v>2368</v>
      </c>
      <c r="H694" s="40">
        <f>IFERROR(__xludf.DUMMYFUNCTION("IMPORTRANGE(""https://docs.google.com/spreadsheets/d/1iYtf3wkjJIgOL8ej0-L89wY8FLXKi6EiRbi9UqA1Bzw/edit"",""2!e39"")"),140.0)</f>
        <v>140</v>
      </c>
      <c r="I694" s="40">
        <f t="shared" si="1890"/>
        <v>2508</v>
      </c>
      <c r="J694" s="40">
        <f>IFERROR(__xludf.DUMMYFUNCTION("IMPORTRANGE(""https://docs.google.com/spreadsheets/d/1iYtf3wkjJIgOL8ej0-L89wY8FLXKi6EiRbi9UqA1Bzw/edit"",""2!e42"")"),3355.0)</f>
        <v>3355</v>
      </c>
      <c r="K694" s="40">
        <f>IFERROR(__xludf.DUMMYFUNCTION("IMPORTRANGE(""https://docs.google.com/spreadsheets/d/1iYtf3wkjJIgOL8ej0-L89wY8FLXKi6EiRbi9UqA1Bzw/edit"",""2!e43"")"),107.0)</f>
        <v>107</v>
      </c>
      <c r="L694" s="40">
        <f t="shared" si="1920"/>
        <v>3462</v>
      </c>
      <c r="M694" s="40">
        <f t="shared" si="1892"/>
        <v>5970</v>
      </c>
      <c r="N694" s="41">
        <f t="shared" si="1893"/>
        <v>195.2057143</v>
      </c>
      <c r="O694" s="38">
        <v>8101.0</v>
      </c>
      <c r="P694" s="42">
        <f t="shared" si="1894"/>
        <v>0.736946056</v>
      </c>
      <c r="Q694" s="43">
        <v>1.5</v>
      </c>
      <c r="R694" s="42">
        <f t="shared" si="1895"/>
        <v>0.7281695501</v>
      </c>
      <c r="S694" s="44">
        <f t="shared" si="1896"/>
        <v>1.092254325</v>
      </c>
      <c r="T694" s="43">
        <f>F694/19.985</f>
        <v>273.4931198</v>
      </c>
      <c r="U694" s="43">
        <f t="shared" si="1897"/>
        <v>9.767611423</v>
      </c>
      <c r="V694" s="40">
        <f t="shared" si="1898"/>
        <v>213.2142857</v>
      </c>
      <c r="X694" s="59" t="s">
        <v>44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6"/>
    </row>
    <row r="695" ht="15.75" customHeight="1">
      <c r="A695" s="21"/>
      <c r="B695" s="38">
        <v>15.0</v>
      </c>
      <c r="C695" s="38" t="s">
        <v>40</v>
      </c>
      <c r="D695" s="39">
        <v>24.0</v>
      </c>
      <c r="E695" s="40">
        <f>IFERROR(__xludf.DUMMYFUNCTION("COUNT(IMPORTRANGE(""https://docs.google.com/spreadsheets/d/1Wdf8MsoDBzMSsrzOXwaGQzbVjVqOWfKSqYmbncevZgA/edit"",""2!d2:d31""))"),30.0)</f>
        <v>30</v>
      </c>
      <c r="F695" s="45">
        <f>IFERROR(__xludf.DUMMYFUNCTION("SUM(IMPORTRANGE(""https://docs.google.com/spreadsheets/d/1Wdf8MsoDBzMSsrzOXwaGQzbVjVqOWfKSqYmbncevZgA/edit"",""2!Q2:Q31""))"),5845.702999999999)</f>
        <v>5845.703</v>
      </c>
      <c r="G695" s="40">
        <f>IFERROR(__xludf.DUMMYFUNCTION("IMPORTRANGE(""https://docs.google.com/spreadsheets/d/1Wdf8MsoDBzMSsrzOXwaGQzbVjVqOWfKSqYmbncevZgA/edit"",""2!e38"")"),3323.0)</f>
        <v>3323</v>
      </c>
      <c r="H695" s="40">
        <f>IFERROR(__xludf.DUMMYFUNCTION("IMPORTRANGE(""https://docs.google.com/spreadsheets/d/1Wdf8MsoDBzMSsrzOXwaGQzbVjVqOWfKSqYmbncevZgA/edit"",""2!e39"")"),39.0)</f>
        <v>39</v>
      </c>
      <c r="I695" s="40">
        <f t="shared" si="1890"/>
        <v>3362</v>
      </c>
      <c r="J695" s="40">
        <f>IFERROR(__xludf.DUMMYFUNCTION("IMPORTRANGE(""https://docs.google.com/spreadsheets/d/1Wdf8MsoDBzMSsrzOXwaGQzbVjVqOWfKSqYmbncevZgA/edit"",""2!e42"")"),3928.0)</f>
        <v>3928</v>
      </c>
      <c r="K695" s="40">
        <f>IFERROR(__xludf.DUMMYFUNCTION("IMPORTRANGE(""https://docs.google.com/spreadsheets/d/1Wdf8MsoDBzMSsrzOXwaGQzbVjVqOWfKSqYmbncevZgA/edit"",""2!e43"")"),73.0)</f>
        <v>73</v>
      </c>
      <c r="L695" s="40">
        <f t="shared" si="1920"/>
        <v>4001</v>
      </c>
      <c r="M695" s="40">
        <f t="shared" si="1892"/>
        <v>7363</v>
      </c>
      <c r="N695" s="41">
        <f t="shared" si="1893"/>
        <v>194.8567667</v>
      </c>
      <c r="O695" s="38">
        <v>8239.0</v>
      </c>
      <c r="P695" s="42">
        <f t="shared" si="1894"/>
        <v>0.893676417</v>
      </c>
      <c r="Q695" s="43">
        <v>1.5</v>
      </c>
      <c r="R695" s="42">
        <f t="shared" si="1895"/>
        <v>0.8397051076</v>
      </c>
      <c r="S695" s="44">
        <f t="shared" si="1896"/>
        <v>1.259557661</v>
      </c>
      <c r="T695" s="43">
        <f>F695/28.443</f>
        <v>205.5234328</v>
      </c>
      <c r="U695" s="43">
        <f t="shared" si="1897"/>
        <v>6.850781094</v>
      </c>
      <c r="V695" s="40">
        <f t="shared" si="1898"/>
        <v>245.4333333</v>
      </c>
      <c r="X695" s="14" t="s">
        <v>2</v>
      </c>
      <c r="Y695" s="14" t="s">
        <v>3</v>
      </c>
      <c r="Z695" s="14" t="s">
        <v>4</v>
      </c>
      <c r="AA695" s="14" t="s">
        <v>5</v>
      </c>
      <c r="AB695" s="15" t="s">
        <v>6</v>
      </c>
      <c r="AC695" s="14" t="s">
        <v>7</v>
      </c>
      <c r="AD695" s="14" t="s">
        <v>8</v>
      </c>
      <c r="AE695" s="14" t="s">
        <v>9</v>
      </c>
      <c r="AF695" s="14" t="s">
        <v>10</v>
      </c>
      <c r="AG695" s="14" t="s">
        <v>11</v>
      </c>
      <c r="AH695" s="14" t="s">
        <v>12</v>
      </c>
      <c r="AI695" s="14" t="s">
        <v>13</v>
      </c>
      <c r="AJ695" s="15" t="s">
        <v>14</v>
      </c>
      <c r="AK695" s="14" t="s">
        <v>15</v>
      </c>
      <c r="AL695" s="14" t="s">
        <v>16</v>
      </c>
      <c r="AM695" s="16" t="s">
        <v>17</v>
      </c>
      <c r="AN695" s="17" t="s">
        <v>18</v>
      </c>
      <c r="AO695" s="18" t="s">
        <v>19</v>
      </c>
      <c r="AP695" s="19" t="s">
        <v>20</v>
      </c>
      <c r="AQ695" s="19" t="s">
        <v>21</v>
      </c>
      <c r="AR695" s="20" t="s">
        <v>22</v>
      </c>
    </row>
    <row r="696" ht="15.75" customHeight="1">
      <c r="A696" s="21"/>
      <c r="B696" s="38">
        <v>16.0</v>
      </c>
      <c r="C696" s="38" t="s">
        <v>42</v>
      </c>
      <c r="D696" s="39">
        <v>26.0</v>
      </c>
      <c r="E696" s="40">
        <f>IFERROR(__xludf.DUMMYFUNCTION("COUNT(IMPORTRANGE(""https://docs.google.com/spreadsheets/d/1Z5uB5HbeAKcHmG4EOw3rf2J8NpyvDiha6RReERAMvA0/edit"",""2!d2:d34""))"),33.0)</f>
        <v>33</v>
      </c>
      <c r="F696" s="45">
        <f>IFERROR(__xludf.DUMMYFUNCTION("SUM(IMPORTRANGE(""https://docs.google.com/spreadsheets/d/1Z5uB5HbeAKcHmG4EOw3rf2J8NpyvDiha6RReERAMvA0/edit"",""2!Q2:Q34""))"),6380.281999999998)</f>
        <v>6380.282</v>
      </c>
      <c r="G696" s="40">
        <f>IFERROR(__xludf.DUMMYFUNCTION("IMPORTRANGE(""https://docs.google.com/spreadsheets/d/1Z5uB5HbeAKcHmG4EOw3rf2J8NpyvDiha6RReERAMvA0/edit"",""2!e41"")"),3133.0)</f>
        <v>3133</v>
      </c>
      <c r="H696" s="40">
        <f>IFERROR(__xludf.DUMMYFUNCTION("IMPORTRANGE(""https://docs.google.com/spreadsheets/d/1Z5uB5HbeAKcHmG4EOw3rf2J8NpyvDiha6RReERAMvA0/edit"",""2!e42"")"),0.0)</f>
        <v>0</v>
      </c>
      <c r="I696" s="40">
        <f t="shared" si="1890"/>
        <v>3133</v>
      </c>
      <c r="J696" s="40">
        <f>IFERROR(__xludf.DUMMYFUNCTION("IMPORTRANGE(""https://docs.google.com/spreadsheets/d/1Z5uB5HbeAKcHmG4EOw3rf2J8NpyvDiha6RReERAMvA0/edit"",""2!e45"")"),4360.0)</f>
        <v>4360</v>
      </c>
      <c r="K696" s="40">
        <f>IFERROR(__xludf.DUMMYFUNCTION("IMPORTRANGE(""https://docs.google.com/spreadsheets/d/1Z5uB5HbeAKcHmG4EOw3rf2J8NpyvDiha6RReERAMvA0/edit"",""2!e46"")"),0.0)</f>
        <v>0</v>
      </c>
      <c r="L696" s="40">
        <f t="shared" si="1920"/>
        <v>4360</v>
      </c>
      <c r="M696" s="40">
        <f t="shared" si="1892"/>
        <v>7493</v>
      </c>
      <c r="N696" s="41">
        <f t="shared" si="1893"/>
        <v>193.3418788</v>
      </c>
      <c r="O696" s="38">
        <v>9877.0</v>
      </c>
      <c r="P696" s="42">
        <f t="shared" si="1894"/>
        <v>0.7586311633</v>
      </c>
      <c r="Q696" s="43">
        <v>1.5</v>
      </c>
      <c r="R696" s="42">
        <f t="shared" si="1895"/>
        <v>0.782933001</v>
      </c>
      <c r="S696" s="44">
        <f t="shared" si="1896"/>
        <v>1.174399501</v>
      </c>
      <c r="T696" s="43">
        <f>F696/26.155</f>
        <v>243.9411967</v>
      </c>
      <c r="U696" s="43">
        <f t="shared" si="1897"/>
        <v>7.392157476</v>
      </c>
      <c r="V696" s="40">
        <f t="shared" si="1898"/>
        <v>227.0606061</v>
      </c>
      <c r="X696" s="31">
        <v>1.0</v>
      </c>
      <c r="Y696" s="31" t="s">
        <v>26</v>
      </c>
      <c r="Z696" s="31">
        <f t="shared" ref="Z696:AI696" si="1930">SUM(D681)</f>
        <v>16</v>
      </c>
      <c r="AA696" s="32">
        <f t="shared" si="1930"/>
        <v>20</v>
      </c>
      <c r="AB696" s="34">
        <f t="shared" si="1930"/>
        <v>3560.964</v>
      </c>
      <c r="AC696" s="32">
        <f t="shared" si="1930"/>
        <v>1873</v>
      </c>
      <c r="AD696" s="32">
        <f t="shared" si="1930"/>
        <v>0</v>
      </c>
      <c r="AE696" s="32">
        <f t="shared" si="1930"/>
        <v>1873</v>
      </c>
      <c r="AF696" s="32">
        <f t="shared" si="1930"/>
        <v>3204</v>
      </c>
      <c r="AG696" s="32">
        <f t="shared" si="1930"/>
        <v>0</v>
      </c>
      <c r="AH696" s="32">
        <f t="shared" si="1930"/>
        <v>3204</v>
      </c>
      <c r="AI696" s="32">
        <f t="shared" si="1930"/>
        <v>5077</v>
      </c>
      <c r="AJ696" s="34">
        <f t="shared" ref="AJ696:AJ702" si="1933">AB696/AA696</f>
        <v>178.0482</v>
      </c>
      <c r="AK696" s="31">
        <f>SUM(O681)</f>
        <v>5161</v>
      </c>
      <c r="AL696" s="67">
        <f t="shared" ref="AL696:AL702" si="1934">AI696/AK696</f>
        <v>0.9837240845</v>
      </c>
      <c r="AM696" s="36">
        <f>SUM(Q681)</f>
        <v>1.5</v>
      </c>
      <c r="AN696" s="67">
        <f t="shared" ref="AN696:AN702" si="1935">AO696/AM696</f>
        <v>0.9504916833</v>
      </c>
      <c r="AO696" s="37">
        <f t="shared" ref="AO696:AO702" si="1936">AI696/AB696</f>
        <v>1.425737525</v>
      </c>
      <c r="AP696" s="36">
        <f t="shared" ref="AP696:AQ696" si="1931">SUM(T681)</f>
        <v>247.0318418</v>
      </c>
      <c r="AQ696" s="36">
        <f t="shared" si="1931"/>
        <v>12.35159209</v>
      </c>
      <c r="AR696" s="32">
        <f t="shared" ref="AR696:AR702" si="1938">AI696/AA696</f>
        <v>253.85</v>
      </c>
    </row>
    <row r="697" ht="15.75" customHeight="1">
      <c r="A697" s="21"/>
      <c r="B697" s="38">
        <v>17.0</v>
      </c>
      <c r="C697" s="38" t="s">
        <v>29</v>
      </c>
      <c r="D697" s="39">
        <v>24.0</v>
      </c>
      <c r="E697" s="40">
        <f>IFERROR(__xludf.DUMMYFUNCTION("COUNT(IMPORTRANGE(""https://docs.google.com/spreadsheets/d/1wfJqI0e9wVPqEQv3N6b8KgINjqI0OBECEyIFeY9j3i8/edit"",""2!d2:d31""))"),29.0)</f>
        <v>29</v>
      </c>
      <c r="F697" s="45">
        <f>IFERROR(__xludf.DUMMYFUNCTION("SUM(IMPORTRANGE(""https://docs.google.com/spreadsheets/d/1wfJqI0e9wVPqEQv3N6b8KgINjqI0OBECEyIFeY9j3i8/edit"",""2!Q2:Q31""))"),5775.037999999998)</f>
        <v>5775.038</v>
      </c>
      <c r="G697" s="40">
        <f>IFERROR(__xludf.DUMMYFUNCTION("IMPORTRANGE(""https://docs.google.com/spreadsheets/d/1wfJqI0e9wVPqEQv3N6b8KgINjqI0OBECEyIFeY9j3i8/edit"",""2!e38"")"),2726.0)</f>
        <v>2726</v>
      </c>
      <c r="H697" s="40">
        <f>IFERROR(__xludf.DUMMYFUNCTION("IMPORTRANGE(""https://docs.google.com/spreadsheets/d/1wfJqI0e9wVPqEQv3N6b8KgINjqI0OBECEyIFeY9j3i8/edit"",""2!e39"")"),0.0)</f>
        <v>0</v>
      </c>
      <c r="I697" s="40">
        <f t="shared" si="1890"/>
        <v>2726</v>
      </c>
      <c r="J697" s="40">
        <f>IFERROR(__xludf.DUMMYFUNCTION("IMPORTRANGE(""https://docs.google.com/spreadsheets/d/1wfJqI0e9wVPqEQv3N6b8KgINjqI0OBECEyIFeY9j3i8/edit"",""2!e42"")"),4235.0)</f>
        <v>4235</v>
      </c>
      <c r="K697" s="40">
        <f>IFERROR(__xludf.DUMMYFUNCTION("IMPORTRANGE(""https://docs.google.com/spreadsheets/d/1wfJqI0e9wVPqEQv3N6b8KgINjqI0OBECEyIFeY9j3i8/edit"",""2!e43"")"),0.0)</f>
        <v>0</v>
      </c>
      <c r="L697" s="40">
        <f t="shared" si="1920"/>
        <v>4235</v>
      </c>
      <c r="M697" s="40">
        <f t="shared" si="1892"/>
        <v>6961</v>
      </c>
      <c r="N697" s="41">
        <f t="shared" si="1893"/>
        <v>199.1392414</v>
      </c>
      <c r="O697" s="38">
        <v>9201.0</v>
      </c>
      <c r="P697" s="42">
        <f t="shared" si="1894"/>
        <v>0.7565482013</v>
      </c>
      <c r="Q697" s="43">
        <v>1.5</v>
      </c>
      <c r="R697" s="42">
        <f t="shared" si="1895"/>
        <v>0.803573356</v>
      </c>
      <c r="S697" s="44">
        <f t="shared" si="1896"/>
        <v>1.205360034</v>
      </c>
      <c r="T697" s="43">
        <f>F697/26.491</f>
        <v>218</v>
      </c>
      <c r="U697" s="43">
        <f t="shared" si="1897"/>
        <v>7.517241379</v>
      </c>
      <c r="V697" s="40">
        <f t="shared" si="1898"/>
        <v>240.0344828</v>
      </c>
      <c r="X697" s="31">
        <v>2.0</v>
      </c>
      <c r="Y697" s="31" t="s">
        <v>32</v>
      </c>
      <c r="Z697" s="31">
        <f t="shared" ref="Z697:AI697" si="1932">SUM(D684)</f>
        <v>33</v>
      </c>
      <c r="AA697" s="32">
        <f t="shared" si="1932"/>
        <v>42</v>
      </c>
      <c r="AB697" s="33">
        <f t="shared" si="1932"/>
        <v>8179.014</v>
      </c>
      <c r="AC697" s="31">
        <f t="shared" si="1932"/>
        <v>4808</v>
      </c>
      <c r="AD697" s="31">
        <f t="shared" si="1932"/>
        <v>0</v>
      </c>
      <c r="AE697" s="32">
        <f t="shared" si="1932"/>
        <v>4808</v>
      </c>
      <c r="AF697" s="31">
        <f t="shared" si="1932"/>
        <v>5449</v>
      </c>
      <c r="AG697" s="31">
        <f t="shared" si="1932"/>
        <v>190</v>
      </c>
      <c r="AH697" s="32">
        <f t="shared" si="1932"/>
        <v>5639</v>
      </c>
      <c r="AI697" s="32">
        <f t="shared" si="1932"/>
        <v>10447</v>
      </c>
      <c r="AJ697" s="34">
        <f t="shared" si="1933"/>
        <v>194.7384286</v>
      </c>
      <c r="AK697" s="31">
        <f>SUM(O684)</f>
        <v>13817</v>
      </c>
      <c r="AL697" s="35">
        <f t="shared" si="1934"/>
        <v>0.756097561</v>
      </c>
      <c r="AM697" s="36">
        <f>SUM(Q684)</f>
        <v>1.5</v>
      </c>
      <c r="AN697" s="35">
        <f t="shared" si="1935"/>
        <v>0.8515288844</v>
      </c>
      <c r="AO697" s="37">
        <f t="shared" si="1936"/>
        <v>1.277293327</v>
      </c>
      <c r="AP697" s="36">
        <f t="shared" ref="AP697:AQ697" si="1937">SUM(T684)</f>
        <v>326</v>
      </c>
      <c r="AQ697" s="36">
        <f t="shared" si="1937"/>
        <v>7.761904762</v>
      </c>
      <c r="AR697" s="32">
        <f t="shared" si="1938"/>
        <v>248.7380952</v>
      </c>
    </row>
    <row r="698" ht="15.75" customHeight="1">
      <c r="A698" s="21"/>
      <c r="B698" s="38">
        <v>18.0</v>
      </c>
      <c r="C698" s="38" t="s">
        <v>31</v>
      </c>
      <c r="D698" s="39">
        <v>12.0</v>
      </c>
      <c r="E698" s="40">
        <f>IFERROR(__xludf.DUMMYFUNCTION("COUNT(IMPORTRANGE(""https://docs.google.com/spreadsheets/d/1-y2KhTAo7d8kowgUuWUDfRQuRMUAFteRYEXorT3_wOs/edit"",""2!d2:d16""))"),13.0)</f>
        <v>13</v>
      </c>
      <c r="F698" s="41">
        <f>IFERROR(__xludf.DUMMYFUNCTION("SUM(IMPORTRANGE(""https://docs.google.com/spreadsheets/d/1-y2KhTAo7d8kowgUuWUDfRQuRMUAFteRYEXorT3_wOs/edit"",""2!Q2:Q16""))"),2607.9000000000005)</f>
        <v>2607.9</v>
      </c>
      <c r="G698" s="40">
        <f>IFERROR(__xludf.DUMMYFUNCTION("IMPORTRANGE(""https://docs.google.com/spreadsheets/d/1-y2KhTAo7d8kowgUuWUDfRQuRMUAFteRYEXorT3_wOs/edit"",""2!e23"")"),870.0)</f>
        <v>870</v>
      </c>
      <c r="H698" s="40">
        <f>IFERROR(__xludf.DUMMYFUNCTION("IMPORTRANGE(""https://docs.google.com/spreadsheets/d/1-y2KhTAo7d8kowgUuWUDfRQuRMUAFteRYEXorT3_wOs/edit"",""2!e24"")"),0.0)</f>
        <v>0</v>
      </c>
      <c r="I698" s="40">
        <f t="shared" si="1890"/>
        <v>870</v>
      </c>
      <c r="J698" s="40">
        <f>IFERROR(__xludf.DUMMYFUNCTION("IMPORTRANGE(""https://docs.google.com/spreadsheets/d/1-y2KhTAo7d8kowgUuWUDfRQuRMUAFteRYEXorT3_wOs/edit"",""2!e27"")"),975.0)</f>
        <v>975</v>
      </c>
      <c r="K698" s="40">
        <f>IFERROR(__xludf.DUMMYFUNCTION("IMPORTRANGE(""https://docs.google.com/spreadsheets/d/1-y2KhTAo7d8kowgUuWUDfRQuRMUAFteRYEXorT3_wOs/edit"",""2!e28"")"),55.0)</f>
        <v>55</v>
      </c>
      <c r="L698" s="40">
        <f t="shared" si="1920"/>
        <v>1030</v>
      </c>
      <c r="M698" s="40">
        <f t="shared" si="1892"/>
        <v>1900</v>
      </c>
      <c r="N698" s="41">
        <f t="shared" si="1893"/>
        <v>200.6076923</v>
      </c>
      <c r="O698" s="38">
        <v>2717.0</v>
      </c>
      <c r="P698" s="42">
        <f t="shared" si="1894"/>
        <v>0.6993006993</v>
      </c>
      <c r="Q698" s="43">
        <v>1.5</v>
      </c>
      <c r="R698" s="42">
        <f t="shared" si="1895"/>
        <v>0.4857036952</v>
      </c>
      <c r="S698" s="44">
        <f t="shared" si="1896"/>
        <v>0.7285555428</v>
      </c>
      <c r="T698" s="43">
        <f>F698/43.465</f>
        <v>60</v>
      </c>
      <c r="U698" s="43">
        <f t="shared" si="1897"/>
        <v>4.615384615</v>
      </c>
      <c r="V698" s="40">
        <f t="shared" si="1898"/>
        <v>146.1538462</v>
      </c>
      <c r="X698" s="31">
        <v>3.0</v>
      </c>
      <c r="Y698" s="31" t="s">
        <v>36</v>
      </c>
      <c r="Z698" s="31">
        <f t="shared" ref="Z698:AI698" si="1939">SUM(D689)</f>
        <v>24</v>
      </c>
      <c r="AA698" s="32">
        <f t="shared" si="1939"/>
        <v>29</v>
      </c>
      <c r="AB698" s="33">
        <f t="shared" si="1939"/>
        <v>5604.12</v>
      </c>
      <c r="AC698" s="32">
        <f t="shared" si="1939"/>
        <v>1533</v>
      </c>
      <c r="AD698" s="32">
        <f t="shared" si="1939"/>
        <v>0</v>
      </c>
      <c r="AE698" s="32">
        <f t="shared" si="1939"/>
        <v>1533</v>
      </c>
      <c r="AF698" s="32">
        <f t="shared" si="1939"/>
        <v>2301</v>
      </c>
      <c r="AG698" s="32">
        <f t="shared" si="1939"/>
        <v>0</v>
      </c>
      <c r="AH698" s="32">
        <f t="shared" si="1939"/>
        <v>2301</v>
      </c>
      <c r="AI698" s="32">
        <f t="shared" si="1939"/>
        <v>3834</v>
      </c>
      <c r="AJ698" s="34">
        <f t="shared" si="1933"/>
        <v>193.2455172</v>
      </c>
      <c r="AK698" s="31">
        <f t="shared" ref="AK698:AK701" si="1943">SUM(O689)</f>
        <v>4796</v>
      </c>
      <c r="AL698" s="35">
        <f t="shared" si="1934"/>
        <v>0.7994161802</v>
      </c>
      <c r="AM698" s="36">
        <f t="shared" ref="AM698:AM701" si="1944">SUM(Q689)</f>
        <v>1.5</v>
      </c>
      <c r="AN698" s="35">
        <f t="shared" si="1935"/>
        <v>0.4560930173</v>
      </c>
      <c r="AO698" s="37">
        <f t="shared" si="1936"/>
        <v>0.6841395259</v>
      </c>
      <c r="AP698" s="36">
        <f t="shared" ref="AP698:AQ698" si="1940">SUM(T689)</f>
        <v>149.7867109</v>
      </c>
      <c r="AQ698" s="36">
        <f t="shared" si="1940"/>
        <v>5.165058995</v>
      </c>
      <c r="AR698" s="32">
        <f t="shared" si="1938"/>
        <v>132.2068966</v>
      </c>
    </row>
    <row r="699" ht="15.75" customHeight="1">
      <c r="A699" s="21"/>
      <c r="B699" s="60" t="s">
        <v>33</v>
      </c>
      <c r="C699" s="60">
        <v>18.0</v>
      </c>
      <c r="D699" s="60">
        <f t="shared" ref="D699:M699" si="1941">SUM(D681:D698)</f>
        <v>471</v>
      </c>
      <c r="E699" s="61">
        <f t="shared" si="1941"/>
        <v>576</v>
      </c>
      <c r="F699" s="62">
        <f t="shared" si="1941"/>
        <v>112418.192</v>
      </c>
      <c r="G699" s="61">
        <f t="shared" si="1941"/>
        <v>43479</v>
      </c>
      <c r="H699" s="61">
        <f t="shared" si="1941"/>
        <v>764</v>
      </c>
      <c r="I699" s="61">
        <f t="shared" si="1941"/>
        <v>44243</v>
      </c>
      <c r="J699" s="61">
        <f t="shared" si="1941"/>
        <v>56392</v>
      </c>
      <c r="K699" s="61">
        <f t="shared" si="1941"/>
        <v>1134</v>
      </c>
      <c r="L699" s="61">
        <f t="shared" si="1941"/>
        <v>57526</v>
      </c>
      <c r="M699" s="61">
        <f t="shared" si="1941"/>
        <v>101769</v>
      </c>
      <c r="N699" s="62">
        <f t="shared" si="1893"/>
        <v>195.1704722</v>
      </c>
      <c r="O699" s="60">
        <f>SUM(O681:O698)</f>
        <v>126399</v>
      </c>
      <c r="P699" s="63">
        <f t="shared" si="1894"/>
        <v>0.8051408635</v>
      </c>
      <c r="Q699" s="64">
        <v>1.5</v>
      </c>
      <c r="R699" s="63">
        <f t="shared" si="1895"/>
        <v>0.6035144205</v>
      </c>
      <c r="S699" s="65">
        <f t="shared" si="1896"/>
        <v>0.9052716308</v>
      </c>
      <c r="T699" s="64">
        <f>SUM(T681:T698)</f>
        <v>4134.025243</v>
      </c>
      <c r="U699" s="64">
        <f t="shared" si="1897"/>
        <v>7.177127158</v>
      </c>
      <c r="V699" s="61">
        <f t="shared" si="1898"/>
        <v>176.6822917</v>
      </c>
      <c r="X699" s="31">
        <v>4.0</v>
      </c>
      <c r="Y699" s="31" t="s">
        <v>37</v>
      </c>
      <c r="Z699" s="31">
        <f t="shared" ref="Z699:AI699" si="1942">SUM(D690)</f>
        <v>24</v>
      </c>
      <c r="AA699" s="32">
        <f t="shared" si="1942"/>
        <v>30</v>
      </c>
      <c r="AB699" s="33">
        <f t="shared" si="1942"/>
        <v>5812.188</v>
      </c>
      <c r="AC699" s="32">
        <f t="shared" si="1942"/>
        <v>2138</v>
      </c>
      <c r="AD699" s="32">
        <f t="shared" si="1942"/>
        <v>0</v>
      </c>
      <c r="AE699" s="32">
        <f t="shared" si="1942"/>
        <v>2138</v>
      </c>
      <c r="AF699" s="32">
        <f t="shared" si="1942"/>
        <v>3071</v>
      </c>
      <c r="AG699" s="32">
        <f t="shared" si="1942"/>
        <v>0</v>
      </c>
      <c r="AH699" s="32">
        <f t="shared" si="1942"/>
        <v>3071</v>
      </c>
      <c r="AI699" s="32">
        <f t="shared" si="1942"/>
        <v>5209</v>
      </c>
      <c r="AJ699" s="34">
        <f t="shared" si="1933"/>
        <v>193.7396</v>
      </c>
      <c r="AK699" s="31">
        <f t="shared" si="1943"/>
        <v>5887</v>
      </c>
      <c r="AL699" s="35">
        <f t="shared" si="1934"/>
        <v>0.8848309835</v>
      </c>
      <c r="AM699" s="36">
        <f t="shared" si="1944"/>
        <v>1.5</v>
      </c>
      <c r="AN699" s="35">
        <f t="shared" si="1935"/>
        <v>0.5974800999</v>
      </c>
      <c r="AO699" s="37">
        <f t="shared" si="1936"/>
        <v>0.8962201498</v>
      </c>
      <c r="AP699" s="36">
        <f t="shared" ref="AP699:AQ699" si="1945">SUM(T690)</f>
        <v>234.4380445</v>
      </c>
      <c r="AQ699" s="36">
        <f t="shared" si="1945"/>
        <v>7.814601484</v>
      </c>
      <c r="AR699" s="32">
        <f t="shared" si="1938"/>
        <v>173.6333333</v>
      </c>
    </row>
    <row r="700" ht="15.7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X700" s="31">
        <v>5.0</v>
      </c>
      <c r="Y700" s="31" t="s">
        <v>39</v>
      </c>
      <c r="Z700" s="31">
        <f t="shared" ref="Z700:AI700" si="1946">SUM(D691)</f>
        <v>22</v>
      </c>
      <c r="AA700" s="32">
        <f t="shared" si="1946"/>
        <v>28</v>
      </c>
      <c r="AB700" s="33">
        <f t="shared" si="1946"/>
        <v>5458.878</v>
      </c>
      <c r="AC700" s="32">
        <f t="shared" si="1946"/>
        <v>1516</v>
      </c>
      <c r="AD700" s="32">
        <f t="shared" si="1946"/>
        <v>43</v>
      </c>
      <c r="AE700" s="32">
        <f t="shared" si="1946"/>
        <v>1559</v>
      </c>
      <c r="AF700" s="32">
        <f t="shared" si="1946"/>
        <v>1765</v>
      </c>
      <c r="AG700" s="32">
        <f t="shared" si="1946"/>
        <v>115</v>
      </c>
      <c r="AH700" s="32">
        <f t="shared" si="1946"/>
        <v>1880</v>
      </c>
      <c r="AI700" s="32">
        <f t="shared" si="1946"/>
        <v>3439</v>
      </c>
      <c r="AJ700" s="34">
        <f t="shared" si="1933"/>
        <v>194.9599286</v>
      </c>
      <c r="AK700" s="31">
        <f t="shared" si="1943"/>
        <v>3569</v>
      </c>
      <c r="AL700" s="35">
        <f t="shared" si="1934"/>
        <v>0.9635752312</v>
      </c>
      <c r="AM700" s="36">
        <f t="shared" si="1944"/>
        <v>1.5</v>
      </c>
      <c r="AN700" s="35">
        <f t="shared" si="1935"/>
        <v>0.4199886253</v>
      </c>
      <c r="AO700" s="37">
        <f t="shared" si="1936"/>
        <v>0.6299829379</v>
      </c>
      <c r="AP700" s="36">
        <f t="shared" ref="AP700:AQ700" si="1947">SUM(T691)</f>
        <v>254.339002</v>
      </c>
      <c r="AQ700" s="36">
        <f t="shared" si="1947"/>
        <v>9.083535786</v>
      </c>
      <c r="AR700" s="32">
        <f t="shared" si="1938"/>
        <v>122.8214286</v>
      </c>
    </row>
    <row r="701" ht="15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X701" s="31">
        <v>6.0</v>
      </c>
      <c r="Y701" s="31" t="s">
        <v>41</v>
      </c>
      <c r="Z701" s="31">
        <f t="shared" ref="Z701:AI701" si="1948">SUM(D692)</f>
        <v>20</v>
      </c>
      <c r="AA701" s="32">
        <f t="shared" si="1948"/>
        <v>24</v>
      </c>
      <c r="AB701" s="33">
        <f t="shared" si="1948"/>
        <v>4806.32</v>
      </c>
      <c r="AC701" s="32">
        <f t="shared" si="1948"/>
        <v>1468</v>
      </c>
      <c r="AD701" s="32">
        <f t="shared" si="1948"/>
        <v>0</v>
      </c>
      <c r="AE701" s="32">
        <f t="shared" si="1948"/>
        <v>1468</v>
      </c>
      <c r="AF701" s="32">
        <f t="shared" si="1948"/>
        <v>1656</v>
      </c>
      <c r="AG701" s="32">
        <f t="shared" si="1948"/>
        <v>0</v>
      </c>
      <c r="AH701" s="32">
        <f t="shared" si="1948"/>
        <v>1656</v>
      </c>
      <c r="AI701" s="32">
        <f t="shared" si="1948"/>
        <v>3124</v>
      </c>
      <c r="AJ701" s="34">
        <f t="shared" si="1933"/>
        <v>200.2633333</v>
      </c>
      <c r="AK701" s="31">
        <f t="shared" si="1943"/>
        <v>3801</v>
      </c>
      <c r="AL701" s="35">
        <f t="shared" si="1934"/>
        <v>0.8218889766</v>
      </c>
      <c r="AM701" s="36">
        <f t="shared" si="1944"/>
        <v>1.5</v>
      </c>
      <c r="AN701" s="35">
        <f t="shared" si="1935"/>
        <v>0.4333183531</v>
      </c>
      <c r="AO701" s="37">
        <f t="shared" si="1936"/>
        <v>0.6499775296</v>
      </c>
      <c r="AP701" s="36">
        <f t="shared" ref="AP701:AQ701" si="1949">SUM(T692)</f>
        <v>162.2222222</v>
      </c>
      <c r="AQ701" s="36">
        <f t="shared" si="1949"/>
        <v>6.759259259</v>
      </c>
      <c r="AR701" s="32">
        <f t="shared" si="1938"/>
        <v>130.1666667</v>
      </c>
    </row>
    <row r="702" ht="15.75" customHeight="1">
      <c r="A702" s="1" t="s">
        <v>45</v>
      </c>
      <c r="D702" s="2"/>
      <c r="X702" s="46" t="s">
        <v>33</v>
      </c>
      <c r="Y702" s="46">
        <v>6.0</v>
      </c>
      <c r="Z702" s="46">
        <f t="shared" ref="Z702:AI702" si="1950">SUM(Z696:Z701)</f>
        <v>139</v>
      </c>
      <c r="AA702" s="47">
        <f t="shared" si="1950"/>
        <v>173</v>
      </c>
      <c r="AB702" s="49">
        <f t="shared" si="1950"/>
        <v>33421.484</v>
      </c>
      <c r="AC702" s="47">
        <f t="shared" si="1950"/>
        <v>13336</v>
      </c>
      <c r="AD702" s="47">
        <f t="shared" si="1950"/>
        <v>43</v>
      </c>
      <c r="AE702" s="47">
        <f t="shared" si="1950"/>
        <v>13379</v>
      </c>
      <c r="AF702" s="47">
        <f t="shared" si="1950"/>
        <v>17446</v>
      </c>
      <c r="AG702" s="47">
        <f t="shared" si="1950"/>
        <v>305</v>
      </c>
      <c r="AH702" s="47">
        <f t="shared" si="1950"/>
        <v>17751</v>
      </c>
      <c r="AI702" s="47">
        <f t="shared" si="1950"/>
        <v>31130</v>
      </c>
      <c r="AJ702" s="49">
        <f t="shared" si="1933"/>
        <v>193.1877688</v>
      </c>
      <c r="AK702" s="46">
        <f>SUM(AK696:AK701)</f>
        <v>37031</v>
      </c>
      <c r="AL702" s="50">
        <f t="shared" si="1934"/>
        <v>0.8406470255</v>
      </c>
      <c r="AM702" s="51">
        <v>1.5</v>
      </c>
      <c r="AN702" s="50">
        <f t="shared" si="1935"/>
        <v>0.6209578645</v>
      </c>
      <c r="AO702" s="52">
        <f t="shared" si="1936"/>
        <v>0.9314367968</v>
      </c>
      <c r="AP702" s="51">
        <f>SUM(AP696:AP701)</f>
        <v>1373.817821</v>
      </c>
      <c r="AQ702" s="51">
        <f>AP702/AA702</f>
        <v>7.941143477</v>
      </c>
      <c r="AR702" s="47">
        <f t="shared" si="1938"/>
        <v>179.9421965</v>
      </c>
    </row>
    <row r="703" ht="15.75" customHeight="1">
      <c r="A703" s="1" t="s">
        <v>45</v>
      </c>
      <c r="D703" s="2"/>
      <c r="X703" s="66" t="s">
        <v>1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6"/>
    </row>
    <row r="704" ht="15.75" customHeight="1">
      <c r="A704" s="10">
        <v>46292.0</v>
      </c>
      <c r="B704" s="8" t="s">
        <v>2</v>
      </c>
      <c r="C704" s="8" t="s">
        <v>3</v>
      </c>
      <c r="D704" s="8" t="s">
        <v>4</v>
      </c>
      <c r="E704" s="8" t="s">
        <v>5</v>
      </c>
      <c r="F704" s="9" t="s">
        <v>6</v>
      </c>
      <c r="G704" s="8" t="s">
        <v>7</v>
      </c>
      <c r="H704" s="8" t="s">
        <v>8</v>
      </c>
      <c r="I704" s="8" t="s">
        <v>9</v>
      </c>
      <c r="J704" s="8" t="s">
        <v>10</v>
      </c>
      <c r="K704" s="8" t="s">
        <v>11</v>
      </c>
      <c r="L704" s="8" t="s">
        <v>12</v>
      </c>
      <c r="M704" s="8" t="s">
        <v>13</v>
      </c>
      <c r="N704" s="9" t="s">
        <v>14</v>
      </c>
      <c r="O704" s="8" t="s">
        <v>15</v>
      </c>
      <c r="P704" s="8" t="s">
        <v>16</v>
      </c>
      <c r="Q704" s="8" t="s">
        <v>17</v>
      </c>
      <c r="R704" s="8" t="s">
        <v>18</v>
      </c>
      <c r="S704" s="11" t="s">
        <v>19</v>
      </c>
      <c r="T704" s="12" t="s">
        <v>20</v>
      </c>
      <c r="U704" s="12" t="s">
        <v>21</v>
      </c>
      <c r="V704" s="13" t="s">
        <v>22</v>
      </c>
      <c r="X704" s="14" t="s">
        <v>2</v>
      </c>
      <c r="Y704" s="14" t="s">
        <v>3</v>
      </c>
      <c r="Z704" s="14" t="s">
        <v>4</v>
      </c>
      <c r="AA704" s="14" t="s">
        <v>5</v>
      </c>
      <c r="AB704" s="15" t="s">
        <v>6</v>
      </c>
      <c r="AC704" s="14" t="s">
        <v>7</v>
      </c>
      <c r="AD704" s="14" t="s">
        <v>8</v>
      </c>
      <c r="AE704" s="14" t="s">
        <v>9</v>
      </c>
      <c r="AF704" s="14" t="s">
        <v>10</v>
      </c>
      <c r="AG704" s="14" t="s">
        <v>11</v>
      </c>
      <c r="AH704" s="14" t="s">
        <v>12</v>
      </c>
      <c r="AI704" s="14" t="s">
        <v>13</v>
      </c>
      <c r="AJ704" s="15" t="s">
        <v>14</v>
      </c>
      <c r="AK704" s="14" t="s">
        <v>15</v>
      </c>
      <c r="AL704" s="14" t="s">
        <v>16</v>
      </c>
      <c r="AM704" s="16" t="s">
        <v>17</v>
      </c>
      <c r="AN704" s="17" t="s">
        <v>18</v>
      </c>
      <c r="AO704" s="18" t="s">
        <v>19</v>
      </c>
      <c r="AP704" s="19" t="s">
        <v>20</v>
      </c>
      <c r="AQ704" s="19" t="s">
        <v>21</v>
      </c>
      <c r="AR704" s="20" t="s">
        <v>22</v>
      </c>
    </row>
    <row r="705" ht="15.7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X705" s="22">
        <v>1.0</v>
      </c>
      <c r="Y705" s="22" t="s">
        <v>23</v>
      </c>
      <c r="Z705" s="22">
        <f t="shared" ref="Z705:AI705" si="1951">SUM(D713)</f>
        <v>26</v>
      </c>
      <c r="AA705" s="23">
        <f t="shared" si="1951"/>
        <v>34</v>
      </c>
      <c r="AB705" s="24">
        <f t="shared" si="1951"/>
        <v>6680.52</v>
      </c>
      <c r="AC705" s="23">
        <f t="shared" si="1951"/>
        <v>2083</v>
      </c>
      <c r="AD705" s="23">
        <f t="shared" si="1951"/>
        <v>0</v>
      </c>
      <c r="AE705" s="23">
        <f t="shared" si="1951"/>
        <v>2083</v>
      </c>
      <c r="AF705" s="23">
        <f t="shared" si="1951"/>
        <v>2916</v>
      </c>
      <c r="AG705" s="23">
        <f t="shared" si="1951"/>
        <v>0</v>
      </c>
      <c r="AH705" s="23">
        <f t="shared" si="1951"/>
        <v>2916</v>
      </c>
      <c r="AI705" s="23">
        <f t="shared" si="1951"/>
        <v>4999</v>
      </c>
      <c r="AJ705" s="25">
        <f t="shared" ref="AJ705:AJ707" si="1954">AB705/AA705</f>
        <v>196.4858824</v>
      </c>
      <c r="AK705" s="22">
        <f>SUM(O713)</f>
        <v>6853</v>
      </c>
      <c r="AL705" s="26">
        <f t="shared" ref="AL705:AL711" si="1955">AI705/AK705</f>
        <v>0.7294615497</v>
      </c>
      <c r="AM705" s="27">
        <f t="shared" ref="AM705:AM707" si="1956">SUM(Q713)</f>
        <v>1.5</v>
      </c>
      <c r="AN705" s="26">
        <f t="shared" ref="AN705:AN711" si="1957">AO705/AM705</f>
        <v>0.4988633619</v>
      </c>
      <c r="AO705" s="28">
        <f t="shared" ref="AO705:AO711" si="1958">AI705/AB705</f>
        <v>0.7482950429</v>
      </c>
      <c r="AP705" s="27">
        <f t="shared" ref="AP705:AQ705" si="1952">SUM(T713)</f>
        <v>198</v>
      </c>
      <c r="AQ705" s="27">
        <f t="shared" si="1952"/>
        <v>5.823529412</v>
      </c>
      <c r="AR705" s="23">
        <f t="shared" ref="AR705:AR711" si="1960">AI705/AA705</f>
        <v>147.0294118</v>
      </c>
    </row>
    <row r="706" ht="15.7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X706" s="22">
        <v>2.0</v>
      </c>
      <c r="Y706" s="22" t="s">
        <v>24</v>
      </c>
      <c r="Z706" s="22">
        <f t="shared" ref="Z706:AI706" si="1953">SUM(D714)</f>
        <v>35</v>
      </c>
      <c r="AA706" s="23">
        <f t="shared" si="1953"/>
        <v>44</v>
      </c>
      <c r="AB706" s="24">
        <f t="shared" si="1953"/>
        <v>8354.582</v>
      </c>
      <c r="AC706" s="23">
        <f t="shared" si="1953"/>
        <v>1454</v>
      </c>
      <c r="AD706" s="23">
        <f t="shared" si="1953"/>
        <v>0</v>
      </c>
      <c r="AE706" s="23">
        <f t="shared" si="1953"/>
        <v>1454</v>
      </c>
      <c r="AF706" s="23">
        <f t="shared" si="1953"/>
        <v>1288</v>
      </c>
      <c r="AG706" s="23">
        <f t="shared" si="1953"/>
        <v>28</v>
      </c>
      <c r="AH706" s="23">
        <f t="shared" si="1953"/>
        <v>1316</v>
      </c>
      <c r="AI706" s="23">
        <f t="shared" si="1953"/>
        <v>2770</v>
      </c>
      <c r="AJ706" s="25">
        <f t="shared" si="1954"/>
        <v>189.8768636</v>
      </c>
      <c r="AK706" s="22">
        <v>1580.0</v>
      </c>
      <c r="AL706" s="29">
        <f t="shared" si="1955"/>
        <v>1.753164557</v>
      </c>
      <c r="AM706" s="27">
        <f t="shared" si="1956"/>
        <v>1.5</v>
      </c>
      <c r="AN706" s="26">
        <f t="shared" si="1957"/>
        <v>0.2210363926</v>
      </c>
      <c r="AO706" s="28">
        <f t="shared" si="1958"/>
        <v>0.3315545888</v>
      </c>
      <c r="AP706" s="27">
        <f t="shared" ref="AP706:AQ706" si="1959">SUM(T714)</f>
        <v>311.6799851</v>
      </c>
      <c r="AQ706" s="27">
        <f t="shared" si="1959"/>
        <v>7.083636024</v>
      </c>
      <c r="AR706" s="23">
        <f t="shared" si="1960"/>
        <v>62.95454545</v>
      </c>
    </row>
    <row r="707" ht="15.75" customHeight="1">
      <c r="A707" s="21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X707" s="31">
        <v>3.0</v>
      </c>
      <c r="Y707" s="31" t="s">
        <v>25</v>
      </c>
      <c r="Z707" s="31">
        <f t="shared" ref="Z707:AI707" si="1961">SUM(D715)</f>
        <v>26</v>
      </c>
      <c r="AA707" s="32">
        <f t="shared" si="1961"/>
        <v>31</v>
      </c>
      <c r="AB707" s="33">
        <f t="shared" si="1961"/>
        <v>5925.124</v>
      </c>
      <c r="AC707" s="32">
        <f t="shared" si="1961"/>
        <v>2351</v>
      </c>
      <c r="AD707" s="32">
        <f t="shared" si="1961"/>
        <v>438</v>
      </c>
      <c r="AE707" s="32">
        <f t="shared" si="1961"/>
        <v>2789</v>
      </c>
      <c r="AF707" s="32">
        <f t="shared" si="1961"/>
        <v>3213</v>
      </c>
      <c r="AG707" s="32">
        <f t="shared" si="1961"/>
        <v>305</v>
      </c>
      <c r="AH707" s="32">
        <f t="shared" si="1961"/>
        <v>3518</v>
      </c>
      <c r="AI707" s="32">
        <f t="shared" si="1961"/>
        <v>6307</v>
      </c>
      <c r="AJ707" s="34">
        <f t="shared" si="1954"/>
        <v>191.1330323</v>
      </c>
      <c r="AK707" s="31">
        <f>SUM(O715)</f>
        <v>6622</v>
      </c>
      <c r="AL707" s="35">
        <f t="shared" si="1955"/>
        <v>0.9524312896</v>
      </c>
      <c r="AM707" s="36">
        <f t="shared" si="1956"/>
        <v>1.5</v>
      </c>
      <c r="AN707" s="35">
        <f t="shared" si="1957"/>
        <v>0.7096335312</v>
      </c>
      <c r="AO707" s="37">
        <f t="shared" si="1958"/>
        <v>1.064450297</v>
      </c>
      <c r="AP707" s="36">
        <f t="shared" ref="AP707:AQ707" si="1962">SUM(T715)</f>
        <v>248.5370805</v>
      </c>
      <c r="AQ707" s="36">
        <f t="shared" si="1962"/>
        <v>8.017325179</v>
      </c>
      <c r="AR707" s="32">
        <f t="shared" si="1960"/>
        <v>203.4516129</v>
      </c>
    </row>
    <row r="708" ht="15.75" customHeight="1">
      <c r="A708" s="21"/>
      <c r="B708" s="38">
        <v>1.0</v>
      </c>
      <c r="C708" s="38" t="s">
        <v>26</v>
      </c>
      <c r="D708" s="39">
        <v>15.0</v>
      </c>
      <c r="E708" s="40">
        <f>IFERROR(__xludf.DUMMYFUNCTION("COUNT(IMPORTRANGE(""https://docs.google.com/spreadsheets/d/1F0NpMx7WhcgPgxTWpryY3Z1CGg56FL6aiL4mHs43w4E/edit"",""2!d2:d21""))"),20.0)</f>
        <v>20</v>
      </c>
      <c r="F708" s="41">
        <f>IFERROR(__xludf.DUMMYFUNCTION("SUM(IMPORTRANGE(""https://docs.google.com/spreadsheets/d/1F0NpMx7WhcgPgxTWpryY3Z1CGg56FL6aiL4mHs43w4E/edit"",""2!Q2:Q21""))"),3560.964)</f>
        <v>3560.964</v>
      </c>
      <c r="G708" s="40">
        <f>IFERROR(__xludf.DUMMYFUNCTION("IMPORTRANGE(""https://docs.google.com/spreadsheets/d/1F0NpMx7WhcgPgxTWpryY3Z1CGg56FL6aiL4mHs43w4E/edit"",""2!e28"")"),1873.0)</f>
        <v>1873</v>
      </c>
      <c r="H708" s="40">
        <f>IFERROR(__xludf.DUMMYFUNCTION("IMPORTRANGE(""https://docs.google.com/spreadsheets/d/1F0NpMx7WhcgPgxTWpryY3Z1CGg56FL6aiL4mHs43w4E/edit"",""2!e29"")"),0.0)</f>
        <v>0</v>
      </c>
      <c r="I708" s="40">
        <f t="shared" ref="I708:I725" si="1965">SUM(G708:H708)</f>
        <v>1873</v>
      </c>
      <c r="J708" s="40">
        <f>IFERROR(__xludf.DUMMYFUNCTION("IMPORTRANGE(""https://docs.google.com/spreadsheets/d/1F0NpMx7WhcgPgxTWpryY3Z1CGg56FL6aiL4mHs43w4E/edit"",""2!e32"")"),3204.0)</f>
        <v>3204</v>
      </c>
      <c r="K708" s="40">
        <f>IFERROR(__xludf.DUMMYFUNCTION("IMPORTRANGE(""https://docs.google.com/spreadsheets/d/1F0NpMx7WhcgPgxTWpryY3Z1CGg56FL6aiL4mHs43w4E/edit"",""2!e33"")"),0.0)</f>
        <v>0</v>
      </c>
      <c r="L708" s="40">
        <f t="shared" ref="L708:L714" si="1966">SUM(J708:K708)</f>
        <v>3204</v>
      </c>
      <c r="M708" s="40">
        <f t="shared" ref="M708:M725" si="1967">SUM(I708+L708)</f>
        <v>5077</v>
      </c>
      <c r="N708" s="41">
        <f t="shared" ref="N708:N726" si="1968">F708/E708</f>
        <v>178.0482</v>
      </c>
      <c r="O708" s="38">
        <v>5161.0</v>
      </c>
      <c r="P708" s="42">
        <f t="shared" ref="P708:P726" si="1969">M708/O708</f>
        <v>0.9837240845</v>
      </c>
      <c r="Q708" s="43">
        <v>1.5</v>
      </c>
      <c r="R708" s="42">
        <f t="shared" ref="R708:R726" si="1970">S708/Q708</f>
        <v>0.9504916833</v>
      </c>
      <c r="S708" s="44">
        <f t="shared" ref="S708:S726" si="1971">M708/F708</f>
        <v>1.425737525</v>
      </c>
      <c r="T708" s="43">
        <f>F708/14.415</f>
        <v>247.0318418</v>
      </c>
      <c r="U708" s="43">
        <f t="shared" ref="U708:U726" si="1972">T708/E708</f>
        <v>12.35159209</v>
      </c>
      <c r="V708" s="40">
        <f t="shared" ref="V708:V726" si="1973">M708/E708</f>
        <v>253.85</v>
      </c>
      <c r="X708" s="22">
        <v>4.0</v>
      </c>
      <c r="Y708" s="22" t="s">
        <v>27</v>
      </c>
      <c r="Z708" s="22">
        <f t="shared" ref="Z708:AK708" si="1963">SUM(D721)</f>
        <v>23</v>
      </c>
      <c r="AA708" s="23">
        <f t="shared" si="1963"/>
        <v>28</v>
      </c>
      <c r="AB708" s="24">
        <f t="shared" si="1963"/>
        <v>5465.76</v>
      </c>
      <c r="AC708" s="23">
        <f t="shared" si="1963"/>
        <v>2368</v>
      </c>
      <c r="AD708" s="23">
        <f t="shared" si="1963"/>
        <v>140</v>
      </c>
      <c r="AE708" s="23">
        <f t="shared" si="1963"/>
        <v>2508</v>
      </c>
      <c r="AF708" s="23">
        <f t="shared" si="1963"/>
        <v>3355</v>
      </c>
      <c r="AG708" s="23">
        <f t="shared" si="1963"/>
        <v>107</v>
      </c>
      <c r="AH708" s="23">
        <f t="shared" si="1963"/>
        <v>3462</v>
      </c>
      <c r="AI708" s="23">
        <f t="shared" si="1963"/>
        <v>5970</v>
      </c>
      <c r="AJ708" s="25">
        <f t="shared" si="1963"/>
        <v>195.2057143</v>
      </c>
      <c r="AK708" s="22">
        <f t="shared" si="1963"/>
        <v>8101</v>
      </c>
      <c r="AL708" s="26">
        <f t="shared" si="1955"/>
        <v>0.736946056</v>
      </c>
      <c r="AM708" s="27">
        <f>SUM(Q721)</f>
        <v>1.5</v>
      </c>
      <c r="AN708" s="26">
        <f t="shared" si="1957"/>
        <v>0.7281695501</v>
      </c>
      <c r="AO708" s="28">
        <f t="shared" si="1958"/>
        <v>1.092254325</v>
      </c>
      <c r="AP708" s="27">
        <f t="shared" ref="AP708:AQ708" si="1964">SUM(T721)</f>
        <v>273.4931198</v>
      </c>
      <c r="AQ708" s="27">
        <f t="shared" si="1964"/>
        <v>9.767611423</v>
      </c>
      <c r="AR708" s="23">
        <f t="shared" si="1960"/>
        <v>213.2142857</v>
      </c>
    </row>
    <row r="709" ht="15.75" customHeight="1">
      <c r="A709" s="21"/>
      <c r="B709" s="38">
        <v>2.0</v>
      </c>
      <c r="C709" s="38" t="s">
        <v>28</v>
      </c>
      <c r="D709" s="39">
        <v>24.0</v>
      </c>
      <c r="E709" s="40">
        <f>IFERROR(__xludf.DUMMYFUNCTION("COUNT(IMPORTRANGE(""https://docs.google.com/spreadsheets/d/1H9vAqftAHb0OdeSGXHTnJFzoWUgpoH31sc0sHNN8y1o/edit"",""2!d2:d34""))"),33.0)</f>
        <v>33</v>
      </c>
      <c r="F709" s="41">
        <f>IFERROR(__xludf.DUMMYFUNCTION("SUM(IMPORTRANGE(""https://docs.google.com/spreadsheets/d/1H9vAqftAHb0OdeSGXHTnJFzoWUgpoH31sc0sHNN8y1o/edit"",""2!Q2:Q34""))"),6528.832999999999)</f>
        <v>6528.833</v>
      </c>
      <c r="G709" s="40">
        <f>IFERROR(__xludf.DUMMYFUNCTION("IMPORTRANGE(""https://docs.google.com/spreadsheets/d/1H9vAqftAHb0OdeSGXHTnJFzoWUgpoH31sc0sHNN8y1o/edit"",""2!e41"")"),2700.0)</f>
        <v>2700</v>
      </c>
      <c r="H709" s="40">
        <f>IFERROR(__xludf.DUMMYFUNCTION("IMPORTRANGE(""https://docs.google.com/spreadsheets/d/1H9vAqftAHb0OdeSGXHTnJFzoWUgpoH31sc0sHNN8y1o/edit"",""2!e42"")"),104.0)</f>
        <v>104</v>
      </c>
      <c r="I709" s="40">
        <f t="shared" si="1965"/>
        <v>2804</v>
      </c>
      <c r="J709" s="40">
        <f>IFERROR(__xludf.DUMMYFUNCTION("IMPORTRANGE(""https://docs.google.com/spreadsheets/d/1H9vAqftAHb0OdeSGXHTnJFzoWUgpoH31sc0sHNN8y1o/edit"",""2!e45"")"),3205.0)</f>
        <v>3205</v>
      </c>
      <c r="K709" s="40">
        <f>IFERROR(__xludf.DUMMYFUNCTION("IMPORTRANGE(""https://docs.google.com/spreadsheets/d/1H9vAqftAHb0OdeSGXHTnJFzoWUgpoH31sc0sHNN8y1o/edit"",""2!e46"")"),102.0)</f>
        <v>102</v>
      </c>
      <c r="L709" s="40">
        <f t="shared" si="1966"/>
        <v>3307</v>
      </c>
      <c r="M709" s="40">
        <f t="shared" si="1967"/>
        <v>6111</v>
      </c>
      <c r="N709" s="41">
        <f t="shared" si="1968"/>
        <v>197.8434242</v>
      </c>
      <c r="O709" s="38">
        <v>7315.0</v>
      </c>
      <c r="P709" s="42">
        <f t="shared" si="1969"/>
        <v>0.8354066986</v>
      </c>
      <c r="Q709" s="43">
        <v>1.5</v>
      </c>
      <c r="R709" s="42">
        <f t="shared" si="1970"/>
        <v>0.6240012572</v>
      </c>
      <c r="S709" s="44">
        <f t="shared" si="1971"/>
        <v>0.9360018858</v>
      </c>
      <c r="T709" s="43">
        <f>F709/30.897</f>
        <v>211.3096093</v>
      </c>
      <c r="U709" s="43">
        <f t="shared" si="1972"/>
        <v>6.403321495</v>
      </c>
      <c r="V709" s="40">
        <f t="shared" si="1973"/>
        <v>185.1818182</v>
      </c>
      <c r="X709" s="22">
        <v>5.0</v>
      </c>
      <c r="Y709" s="22" t="s">
        <v>29</v>
      </c>
      <c r="Z709" s="22">
        <f t="shared" ref="Z709:AI709" si="1974">SUM(D724)</f>
        <v>23</v>
      </c>
      <c r="AA709" s="23">
        <f t="shared" si="1974"/>
        <v>29</v>
      </c>
      <c r="AB709" s="24">
        <f t="shared" si="1974"/>
        <v>5775.038</v>
      </c>
      <c r="AC709" s="23">
        <f t="shared" si="1974"/>
        <v>2726</v>
      </c>
      <c r="AD709" s="23">
        <f t="shared" si="1974"/>
        <v>0</v>
      </c>
      <c r="AE709" s="23">
        <f t="shared" si="1974"/>
        <v>2726</v>
      </c>
      <c r="AF709" s="23">
        <f t="shared" si="1974"/>
        <v>4235</v>
      </c>
      <c r="AG709" s="23">
        <f t="shared" si="1974"/>
        <v>0</v>
      </c>
      <c r="AH709" s="23">
        <f t="shared" si="1974"/>
        <v>4235</v>
      </c>
      <c r="AI709" s="23">
        <f t="shared" si="1974"/>
        <v>6961</v>
      </c>
      <c r="AJ709" s="25">
        <f t="shared" ref="AJ709:AJ711" si="1977">AB709/AA709</f>
        <v>199.1392414</v>
      </c>
      <c r="AK709" s="22">
        <f t="shared" ref="AK709:AK710" si="1978">SUM(O724)</f>
        <v>9201</v>
      </c>
      <c r="AL709" s="26">
        <f t="shared" si="1955"/>
        <v>0.7565482013</v>
      </c>
      <c r="AM709" s="27">
        <f t="shared" ref="AM709:AM710" si="1979">SUM(Q724)</f>
        <v>1.5</v>
      </c>
      <c r="AN709" s="26">
        <f t="shared" si="1957"/>
        <v>0.803573356</v>
      </c>
      <c r="AO709" s="28">
        <f t="shared" si="1958"/>
        <v>1.205360034</v>
      </c>
      <c r="AP709" s="27">
        <f t="shared" ref="AP709:AQ709" si="1975">SUM(T724)</f>
        <v>218</v>
      </c>
      <c r="AQ709" s="27">
        <f t="shared" si="1975"/>
        <v>7.517241379</v>
      </c>
      <c r="AR709" s="23">
        <f t="shared" si="1960"/>
        <v>240.0344828</v>
      </c>
    </row>
    <row r="710" ht="15.75" customHeight="1">
      <c r="A710" s="21"/>
      <c r="B710" s="38">
        <v>3.0</v>
      </c>
      <c r="C710" s="38" t="s">
        <v>30</v>
      </c>
      <c r="D710" s="39">
        <v>45.0</v>
      </c>
      <c r="E710" s="40">
        <f>IFERROR(__xludf.DUMMYFUNCTION("COUNT(IMPORTRANGE(""https://docs.google.com/spreadsheets/d/1EWN6nfpuVxbUE_9opjYCWaI7MTm5xsF6ssjklSbMZnA/edit"",""2!d2:d61""))"),58.0)</f>
        <v>58</v>
      </c>
      <c r="F710" s="45">
        <f>IFERROR(__xludf.DUMMYFUNCTION("SUM(IMPORTRANGE(""https://docs.google.com/spreadsheets/d/1EWN6nfpuVxbUE_9opjYCWaI7MTm5xsF6ssjklSbMZnA/edit"",""2!Q2:Q61""))"),11253.344999999988)</f>
        <v>11253.345</v>
      </c>
      <c r="G710" s="40">
        <f>IFERROR(__xludf.DUMMYFUNCTION("IMPORTRANGE(""https://docs.google.com/spreadsheets/d/1EWN6nfpuVxbUE_9opjYCWaI7MTm5xsF6ssjklSbMZnA/edit"",""2!e68"")"),3757.0)</f>
        <v>3757</v>
      </c>
      <c r="H710" s="40">
        <f>IFERROR(__xludf.DUMMYFUNCTION("IMPORTRANGE(""https://docs.google.com/spreadsheets/d/1EWN6nfpuVxbUE_9opjYCWaI7MTm5xsF6ssjklSbMZnA/edit"",""2!e69"")"),0.0)</f>
        <v>0</v>
      </c>
      <c r="I710" s="40">
        <f t="shared" si="1965"/>
        <v>3757</v>
      </c>
      <c r="J710" s="40">
        <f>IFERROR(__xludf.DUMMYFUNCTION("IMPORTRANGE(""https://docs.google.com/spreadsheets/d/1EWN6nfpuVxbUE_9opjYCWaI7MTm5xsF6ssjklSbMZnA/edit"",""2!e72"")"),5596.0)</f>
        <v>5596</v>
      </c>
      <c r="K710" s="40">
        <f>IFERROR(__xludf.DUMMYFUNCTION("IMPORTRANGE(""https://docs.google.com/spreadsheets/d/1EWN6nfpuVxbUE_9opjYCWaI7MTm5xsF6ssjklSbMZnA/edit"",""2!e73"")"),0.0)</f>
        <v>0</v>
      </c>
      <c r="L710" s="40">
        <f t="shared" si="1966"/>
        <v>5596</v>
      </c>
      <c r="M710" s="40">
        <f t="shared" si="1967"/>
        <v>9353</v>
      </c>
      <c r="N710" s="41">
        <f t="shared" si="1968"/>
        <v>194.0231897</v>
      </c>
      <c r="O710" s="38">
        <v>11164.0</v>
      </c>
      <c r="P710" s="42">
        <f t="shared" si="1969"/>
        <v>0.8377821569</v>
      </c>
      <c r="Q710" s="43">
        <v>1.5</v>
      </c>
      <c r="R710" s="42">
        <f t="shared" si="1970"/>
        <v>0.5540871033</v>
      </c>
      <c r="S710" s="44">
        <f t="shared" si="1971"/>
        <v>0.8311306549</v>
      </c>
      <c r="T710" s="43">
        <f>F710/29.603</f>
        <v>380.1420464</v>
      </c>
      <c r="U710" s="43">
        <f t="shared" si="1972"/>
        <v>6.554173214</v>
      </c>
      <c r="V710" s="40">
        <f t="shared" si="1973"/>
        <v>161.2586207</v>
      </c>
      <c r="X710" s="22">
        <v>6.0</v>
      </c>
      <c r="Y710" s="22" t="s">
        <v>31</v>
      </c>
      <c r="Z710" s="22">
        <f t="shared" ref="Z710:AI710" si="1976">SUM(D725)</f>
        <v>11</v>
      </c>
      <c r="AA710" s="23">
        <f t="shared" si="1976"/>
        <v>13</v>
      </c>
      <c r="AB710" s="25">
        <f t="shared" si="1976"/>
        <v>2607.9</v>
      </c>
      <c r="AC710" s="23">
        <f t="shared" si="1976"/>
        <v>870</v>
      </c>
      <c r="AD710" s="23">
        <f t="shared" si="1976"/>
        <v>0</v>
      </c>
      <c r="AE710" s="23">
        <f t="shared" si="1976"/>
        <v>870</v>
      </c>
      <c r="AF710" s="23">
        <f t="shared" si="1976"/>
        <v>975</v>
      </c>
      <c r="AG710" s="23">
        <f t="shared" si="1976"/>
        <v>55</v>
      </c>
      <c r="AH710" s="23">
        <f t="shared" si="1976"/>
        <v>1030</v>
      </c>
      <c r="AI710" s="23">
        <f t="shared" si="1976"/>
        <v>1900</v>
      </c>
      <c r="AJ710" s="25">
        <f t="shared" si="1977"/>
        <v>200.6076923</v>
      </c>
      <c r="AK710" s="22">
        <f t="shared" si="1978"/>
        <v>2717</v>
      </c>
      <c r="AL710" s="26">
        <f t="shared" si="1955"/>
        <v>0.6993006993</v>
      </c>
      <c r="AM710" s="27">
        <f t="shared" si="1979"/>
        <v>1.5</v>
      </c>
      <c r="AN710" s="26">
        <f t="shared" si="1957"/>
        <v>0.4857036952</v>
      </c>
      <c r="AO710" s="28">
        <f t="shared" si="1958"/>
        <v>0.7285555428</v>
      </c>
      <c r="AP710" s="27">
        <f t="shared" ref="AP710:AQ710" si="1980">SUM(T725)</f>
        <v>60</v>
      </c>
      <c r="AQ710" s="27">
        <f t="shared" si="1980"/>
        <v>4.615384615</v>
      </c>
      <c r="AR710" s="23">
        <f t="shared" si="1960"/>
        <v>146.1538462</v>
      </c>
    </row>
    <row r="711" ht="15.75" customHeight="1">
      <c r="A711" s="21"/>
      <c r="B711" s="38">
        <v>4.0</v>
      </c>
      <c r="C711" s="38" t="s">
        <v>32</v>
      </c>
      <c r="D711" s="39">
        <v>32.0</v>
      </c>
      <c r="E711" s="40">
        <f>IFERROR(__xludf.DUMMYFUNCTION("COUNT(IMPORTRANGE(""https://docs.google.com/spreadsheets/d/1Rmar8QqWK4XOJ-eY6xMzkAfDSw0srEXcAw89ilArun8/edit"",""2!d2:d43""))"),42.0)</f>
        <v>42</v>
      </c>
      <c r="F711" s="45">
        <f>IFERROR(__xludf.DUMMYFUNCTION("SUM(IMPORTRANGE(""https://docs.google.com/spreadsheets/d/1Rmar8QqWK4XOJ-eY6xMzkAfDSw0srEXcAw89ilArun8/edit"",""2!Q2:Q43""))"),8179.01399999999)</f>
        <v>8179.014</v>
      </c>
      <c r="G711" s="38">
        <f>IFERROR(__xludf.DUMMYFUNCTION("IMPORTRANGE(""https://docs.google.com/spreadsheets/d/1Rmar8QqWK4XOJ-eY6xMzkAfDSw0srEXcAw89ilArun8/edit"",""2!e50"")"),4808.0)</f>
        <v>4808</v>
      </c>
      <c r="H711" s="38">
        <f>IFERROR(__xludf.DUMMYFUNCTION("IMPORTRANGE(""https://docs.google.com/spreadsheets/d/1Rmar8QqWK4XOJ-eY6xMzkAfDSw0srEXcAw89ilArun8/edit"",""2!e51"")"),0.0)</f>
        <v>0</v>
      </c>
      <c r="I711" s="40">
        <f t="shared" si="1965"/>
        <v>4808</v>
      </c>
      <c r="J711" s="38">
        <f>IFERROR(__xludf.DUMMYFUNCTION("IMPORTRANGE(""https://docs.google.com/spreadsheets/d/1Rmar8QqWK4XOJ-eY6xMzkAfDSw0srEXcAw89ilArun8/edit"",""2!e54"")"),5449.0)</f>
        <v>5449</v>
      </c>
      <c r="K711" s="38">
        <f>IFERROR(__xludf.DUMMYFUNCTION("IMPORTRANGE(""https://docs.google.com/spreadsheets/d/1Rmar8QqWK4XOJ-eY6xMzkAfDSw0srEXcAw89ilArun8/edit"",""2!e55"")"),190.0)</f>
        <v>190</v>
      </c>
      <c r="L711" s="40">
        <f t="shared" si="1966"/>
        <v>5639</v>
      </c>
      <c r="M711" s="40">
        <f t="shared" si="1967"/>
        <v>10447</v>
      </c>
      <c r="N711" s="41">
        <f t="shared" si="1968"/>
        <v>194.7384286</v>
      </c>
      <c r="O711" s="38">
        <v>13817.0</v>
      </c>
      <c r="P711" s="42">
        <f t="shared" si="1969"/>
        <v>0.756097561</v>
      </c>
      <c r="Q711" s="43">
        <v>1.5</v>
      </c>
      <c r="R711" s="42">
        <f t="shared" si="1970"/>
        <v>0.8515288844</v>
      </c>
      <c r="S711" s="44">
        <f t="shared" si="1971"/>
        <v>1.277293327</v>
      </c>
      <c r="T711" s="43">
        <f>F711/25.089</f>
        <v>326</v>
      </c>
      <c r="U711" s="43">
        <f t="shared" si="1972"/>
        <v>7.761904762</v>
      </c>
      <c r="V711" s="40">
        <f t="shared" si="1973"/>
        <v>248.7380952</v>
      </c>
      <c r="X711" s="46" t="s">
        <v>33</v>
      </c>
      <c r="Y711" s="46">
        <v>6.0</v>
      </c>
      <c r="Z711" s="46">
        <f t="shared" ref="Z711:AI711" si="1981">SUM(Z705:Z710)</f>
        <v>144</v>
      </c>
      <c r="AA711" s="47">
        <f t="shared" si="1981"/>
        <v>179</v>
      </c>
      <c r="AB711" s="48">
        <f t="shared" si="1981"/>
        <v>34808.924</v>
      </c>
      <c r="AC711" s="47">
        <f t="shared" si="1981"/>
        <v>11852</v>
      </c>
      <c r="AD711" s="47">
        <f t="shared" si="1981"/>
        <v>578</v>
      </c>
      <c r="AE711" s="47">
        <f t="shared" si="1981"/>
        <v>12430</v>
      </c>
      <c r="AF711" s="47">
        <f t="shared" si="1981"/>
        <v>15982</v>
      </c>
      <c r="AG711" s="47">
        <f t="shared" si="1981"/>
        <v>495</v>
      </c>
      <c r="AH711" s="47">
        <f t="shared" si="1981"/>
        <v>16477</v>
      </c>
      <c r="AI711" s="47">
        <f t="shared" si="1981"/>
        <v>28907</v>
      </c>
      <c r="AJ711" s="49">
        <f t="shared" si="1977"/>
        <v>194.4632626</v>
      </c>
      <c r="AK711" s="46">
        <f>SUM(AK705:AK710)</f>
        <v>35074</v>
      </c>
      <c r="AL711" s="50">
        <f t="shared" si="1955"/>
        <v>0.8241717512</v>
      </c>
      <c r="AM711" s="51">
        <v>1.5</v>
      </c>
      <c r="AN711" s="50">
        <f t="shared" si="1957"/>
        <v>0.5536319748</v>
      </c>
      <c r="AO711" s="52">
        <f t="shared" si="1958"/>
        <v>0.8304479621</v>
      </c>
      <c r="AP711" s="51">
        <f>SUM(AP705:AP710)</f>
        <v>1309.710185</v>
      </c>
      <c r="AQ711" s="51">
        <f>AP711/AA711</f>
        <v>7.316816679</v>
      </c>
      <c r="AR711" s="47">
        <f t="shared" si="1960"/>
        <v>161.4916201</v>
      </c>
    </row>
    <row r="712" ht="15.75" customHeight="1">
      <c r="A712" s="21"/>
      <c r="B712" s="38">
        <v>5.0</v>
      </c>
      <c r="C712" s="38" t="s">
        <v>34</v>
      </c>
      <c r="D712" s="39">
        <v>30.0</v>
      </c>
      <c r="E712" s="40">
        <f>IFERROR(__xludf.DUMMYFUNCTION("COUNT(IMPORTRANGE(""https://docs.google.com/spreadsheets/d/1u99JxAoytGQQ8GcjxXl38CGdyEWy5uIbuJJHnsotyvk/edit"",""2!d2:d41""))"),40.0)</f>
        <v>40</v>
      </c>
      <c r="F712" s="45">
        <f>IFERROR(__xludf.DUMMYFUNCTION("SUM(IMPORTRANGE(""https://docs.google.com/spreadsheets/d/1u99JxAoytGQQ8GcjxXl38CGdyEWy5uIbuJJHnsotyvk/edit"",""2!Q2:Q41""))"),7895.343000000003)</f>
        <v>7895.343</v>
      </c>
      <c r="G712" s="40">
        <f>IFERROR(__xludf.DUMMYFUNCTION("IMPORTRANGE(""https://docs.google.com/spreadsheets/d/1u99JxAoytGQQ8GcjxXl38CGdyEWy5uIbuJJHnsotyvk/edit"",""2!e48"")"),3069.0)</f>
        <v>3069</v>
      </c>
      <c r="H712" s="40">
        <f>IFERROR(__xludf.DUMMYFUNCTION("IMPORTRANGE(""https://docs.google.com/spreadsheets/d/1u99JxAoytGQQ8GcjxXl38CGdyEWy5uIbuJJHnsotyvk/edit"",""2!e49"")"),0.0)</f>
        <v>0</v>
      </c>
      <c r="I712" s="40">
        <f t="shared" si="1965"/>
        <v>3069</v>
      </c>
      <c r="J712" s="40">
        <f>IFERROR(__xludf.DUMMYFUNCTION("IMPORTRANGE(""https://docs.google.com/spreadsheets/d/1u99JxAoytGQQ8GcjxXl38CGdyEWy5uIbuJJHnsotyvk/edit"",""2!e52"")"),3126.0)</f>
        <v>3126</v>
      </c>
      <c r="K712" s="40">
        <f>IFERROR(__xludf.DUMMYFUNCTION("IMPORTRANGE(""https://docs.google.com/spreadsheets/d/1u99JxAoytGQQ8GcjxXl38CGdyEWy5uIbuJJHnsotyvk/edit"",""2!e53"")"),0.0)</f>
        <v>0</v>
      </c>
      <c r="L712" s="40">
        <f t="shared" si="1966"/>
        <v>3126</v>
      </c>
      <c r="M712" s="40">
        <f t="shared" si="1967"/>
        <v>6195</v>
      </c>
      <c r="N712" s="41">
        <f t="shared" si="1968"/>
        <v>197.383575</v>
      </c>
      <c r="O712" s="38">
        <v>9354.0</v>
      </c>
      <c r="P712" s="42">
        <f t="shared" si="1969"/>
        <v>0.6622835151</v>
      </c>
      <c r="Q712" s="43">
        <v>1.5</v>
      </c>
      <c r="R712" s="42">
        <f t="shared" si="1970"/>
        <v>0.5230931702</v>
      </c>
      <c r="S712" s="44">
        <f t="shared" si="1971"/>
        <v>0.7846397554</v>
      </c>
      <c r="T712" s="43">
        <f>F712/30.713</f>
        <v>257.0684401</v>
      </c>
      <c r="U712" s="43">
        <f t="shared" si="1972"/>
        <v>6.426711002</v>
      </c>
      <c r="V712" s="40">
        <f t="shared" si="1973"/>
        <v>154.875</v>
      </c>
      <c r="X712" s="53" t="s">
        <v>35</v>
      </c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6"/>
    </row>
    <row r="713" ht="15.75" customHeight="1">
      <c r="A713" s="21"/>
      <c r="B713" s="38">
        <v>6.0</v>
      </c>
      <c r="C713" s="38" t="s">
        <v>23</v>
      </c>
      <c r="D713" s="39">
        <v>26.0</v>
      </c>
      <c r="E713" s="40">
        <f>IFERROR(__xludf.DUMMYFUNCTION("COUNT(IMPORTRANGE(""https://docs.google.com/spreadsheets/d/1uVc-vnTn57HE53lwrUYNZP4sGKTXisrqOoZ-6EyvLzY/edit"",""2!d2:d36""))"),34.0)</f>
        <v>34</v>
      </c>
      <c r="F713" s="45">
        <f>IFERROR(__xludf.DUMMYFUNCTION("SUM(IMPORTRANGE(""https://docs.google.com/spreadsheets/d/1uVc-vnTn57HE53lwrUYNZP4sGKTXisrqOoZ-6EyvLzY/edit"",""2!Q2:Q36""))"),6680.519999999996)</f>
        <v>6680.52</v>
      </c>
      <c r="G713" s="40">
        <f>IFERROR(__xludf.DUMMYFUNCTION("IMPORTRANGE(""https://docs.google.com/spreadsheets/d/1uVc-vnTn57HE53lwrUYNZP4sGKTXisrqOoZ-6EyvLzY/edit"",""2!e43"")"),2083.0)</f>
        <v>2083</v>
      </c>
      <c r="H713" s="40">
        <f>IFERROR(__xludf.DUMMYFUNCTION("IMPORTRANGE(""https://docs.google.com/spreadsheets/d/1uVc-vnTn57HE53lwrUYNZP4sGKTXisrqOoZ-6EyvLzY/edit"",""2!e44"")"),0.0)</f>
        <v>0</v>
      </c>
      <c r="I713" s="40">
        <f t="shared" si="1965"/>
        <v>2083</v>
      </c>
      <c r="J713" s="40">
        <f>IFERROR(__xludf.DUMMYFUNCTION("IMPORTRANGE(""https://docs.google.com/spreadsheets/d/1uVc-vnTn57HE53lwrUYNZP4sGKTXisrqOoZ-6EyvLzY/edit"",""2!e47"")"),2916.0)</f>
        <v>2916</v>
      </c>
      <c r="K713" s="40">
        <f>IFERROR(__xludf.DUMMYFUNCTION("IMPORTRANGE(""https://docs.google.com/spreadsheets/d/1uVc-vnTn57HE53lwrUYNZP4sGKTXisrqOoZ-6EyvLzY/edit"",""2!e48"")"),0.0)</f>
        <v>0</v>
      </c>
      <c r="L713" s="40">
        <f t="shared" si="1966"/>
        <v>2916</v>
      </c>
      <c r="M713" s="40">
        <f t="shared" si="1967"/>
        <v>4999</v>
      </c>
      <c r="N713" s="41">
        <f t="shared" si="1968"/>
        <v>196.4858824</v>
      </c>
      <c r="O713" s="38">
        <v>6853.0</v>
      </c>
      <c r="P713" s="42">
        <f t="shared" si="1969"/>
        <v>0.7294615497</v>
      </c>
      <c r="Q713" s="43">
        <v>1.5</v>
      </c>
      <c r="R713" s="42">
        <f t="shared" si="1970"/>
        <v>0.4988633619</v>
      </c>
      <c r="S713" s="44">
        <f t="shared" si="1971"/>
        <v>0.7482950429</v>
      </c>
      <c r="T713" s="43">
        <f>F713/33.74</f>
        <v>198</v>
      </c>
      <c r="U713" s="43">
        <f t="shared" si="1972"/>
        <v>5.823529412</v>
      </c>
      <c r="V713" s="40">
        <f t="shared" si="1973"/>
        <v>147.0294118</v>
      </c>
      <c r="X713" s="14" t="s">
        <v>2</v>
      </c>
      <c r="Y713" s="14" t="s">
        <v>3</v>
      </c>
      <c r="Z713" s="14" t="s">
        <v>4</v>
      </c>
      <c r="AA713" s="14" t="s">
        <v>5</v>
      </c>
      <c r="AB713" s="15" t="s">
        <v>6</v>
      </c>
      <c r="AC713" s="14" t="s">
        <v>7</v>
      </c>
      <c r="AD713" s="14" t="s">
        <v>8</v>
      </c>
      <c r="AE713" s="14" t="s">
        <v>9</v>
      </c>
      <c r="AF713" s="14" t="s">
        <v>10</v>
      </c>
      <c r="AG713" s="14" t="s">
        <v>11</v>
      </c>
      <c r="AH713" s="14" t="s">
        <v>12</v>
      </c>
      <c r="AI713" s="14" t="s">
        <v>13</v>
      </c>
      <c r="AJ713" s="15" t="s">
        <v>14</v>
      </c>
      <c r="AK713" s="14" t="s">
        <v>15</v>
      </c>
      <c r="AL713" s="14" t="s">
        <v>16</v>
      </c>
      <c r="AM713" s="16" t="s">
        <v>17</v>
      </c>
      <c r="AN713" s="17" t="s">
        <v>18</v>
      </c>
      <c r="AO713" s="18" t="s">
        <v>19</v>
      </c>
      <c r="AP713" s="19" t="s">
        <v>20</v>
      </c>
      <c r="AQ713" s="19" t="s">
        <v>21</v>
      </c>
      <c r="AR713" s="20" t="s">
        <v>22</v>
      </c>
    </row>
    <row r="714" ht="15.75" customHeight="1">
      <c r="A714" s="21"/>
      <c r="B714" s="38">
        <v>7.0</v>
      </c>
      <c r="C714" s="38" t="s">
        <v>24</v>
      </c>
      <c r="D714" s="39">
        <v>35.0</v>
      </c>
      <c r="E714" s="54">
        <f>IFERROR(__xludf.DUMMYFUNCTION("COUNT(IMPORTRANGE(""https://docs.google.com/spreadsheets/d/1iuPvivSypupo44l6GtmR-2qZ3za7cTk7KzsOVp_kv2c/edit"",""2!d2:d45""))"),44.0)</f>
        <v>44</v>
      </c>
      <c r="F714" s="55">
        <f>IFERROR(__xludf.DUMMYFUNCTION("SUM(IMPORTRANGE(""https://docs.google.com/spreadsheets/d/1iuPvivSypupo44l6GtmR-2qZ3za7cTk7KzsOVp_kv2c/edit"",""2!Q2:Q45""))"),8354.581999999995)</f>
        <v>8354.582</v>
      </c>
      <c r="G714" s="54">
        <f>IFERROR(__xludf.DUMMYFUNCTION("IMPORTRANGE(""https://docs.google.com/spreadsheets/d/1iuPvivSypupo44l6GtmR-2qZ3za7cTk7KzsOVp_kv2c/edit"",""2!e53"")"),1454.0)</f>
        <v>1454</v>
      </c>
      <c r="H714" s="54">
        <f>IFERROR(__xludf.DUMMYFUNCTION("IMPORTRANGE(""https://docs.google.com/spreadsheets/d/1iuPvivSypupo44l6GtmR-2qZ3za7cTk7KzsOVp_kv2c/edit"",""2!e54"")"),0.0)</f>
        <v>0</v>
      </c>
      <c r="I714" s="54">
        <f t="shared" si="1965"/>
        <v>1454</v>
      </c>
      <c r="J714" s="54">
        <f>IFERROR(__xludf.DUMMYFUNCTION("IMPORTRANGE(""https://docs.google.com/spreadsheets/d/1iuPvivSypupo44l6GtmR-2qZ3za7cTk7KzsOVp_kv2c/edit"",""2!e57"")"),1288.0)</f>
        <v>1288</v>
      </c>
      <c r="K714" s="54">
        <f>IFERROR(__xludf.DUMMYFUNCTION("IMPORTRANGE(""https://docs.google.com/spreadsheets/d/1iuPvivSypupo44l6GtmR-2qZ3za7cTk7KzsOVp_kv2c/edit"",""2!e58"")"),28.0)</f>
        <v>28</v>
      </c>
      <c r="L714" s="40">
        <f t="shared" si="1966"/>
        <v>1316</v>
      </c>
      <c r="M714" s="40">
        <f t="shared" si="1967"/>
        <v>2770</v>
      </c>
      <c r="N714" s="41">
        <f t="shared" si="1968"/>
        <v>189.8768636</v>
      </c>
      <c r="O714" s="38">
        <v>1580.0</v>
      </c>
      <c r="P714" s="56">
        <f t="shared" si="1969"/>
        <v>1.753164557</v>
      </c>
      <c r="Q714" s="43">
        <v>1.5</v>
      </c>
      <c r="R714" s="42">
        <f t="shared" si="1970"/>
        <v>0.2210363926</v>
      </c>
      <c r="S714" s="44">
        <f t="shared" si="1971"/>
        <v>0.3315545888</v>
      </c>
      <c r="T714" s="43">
        <f>F714/26.805</f>
        <v>311.6799851</v>
      </c>
      <c r="U714" s="43">
        <f t="shared" si="1972"/>
        <v>7.083636024</v>
      </c>
      <c r="V714" s="40">
        <f t="shared" si="1973"/>
        <v>62.95454545</v>
      </c>
      <c r="X714" s="22">
        <v>1.0</v>
      </c>
      <c r="Y714" s="22" t="s">
        <v>28</v>
      </c>
      <c r="Z714" s="22">
        <f t="shared" ref="Z714:AI714" si="1982">SUM(D709)</f>
        <v>24</v>
      </c>
      <c r="AA714" s="23">
        <f t="shared" si="1982"/>
        <v>33</v>
      </c>
      <c r="AB714" s="25">
        <f t="shared" si="1982"/>
        <v>6528.833</v>
      </c>
      <c r="AC714" s="23">
        <f t="shared" si="1982"/>
        <v>2700</v>
      </c>
      <c r="AD714" s="23">
        <f t="shared" si="1982"/>
        <v>104</v>
      </c>
      <c r="AE714" s="23">
        <f t="shared" si="1982"/>
        <v>2804</v>
      </c>
      <c r="AF714" s="23">
        <f t="shared" si="1982"/>
        <v>3205</v>
      </c>
      <c r="AG714" s="23">
        <f t="shared" si="1982"/>
        <v>102</v>
      </c>
      <c r="AH714" s="23">
        <f t="shared" si="1982"/>
        <v>3307</v>
      </c>
      <c r="AI714" s="23">
        <f t="shared" si="1982"/>
        <v>6111</v>
      </c>
      <c r="AJ714" s="25">
        <f t="shared" ref="AJ714:AJ720" si="1985">AB714/AA714</f>
        <v>197.8434242</v>
      </c>
      <c r="AK714" s="22">
        <f t="shared" ref="AK714:AK715" si="1986">SUM(O709)</f>
        <v>7315</v>
      </c>
      <c r="AL714" s="26">
        <f t="shared" ref="AL714:AL720" si="1987">AI714/AK714</f>
        <v>0.8354066986</v>
      </c>
      <c r="AM714" s="27">
        <f t="shared" ref="AM714:AM715" si="1988">SUM(Q709)</f>
        <v>1.5</v>
      </c>
      <c r="AN714" s="26">
        <f t="shared" ref="AN714:AN720" si="1989">AO714/AM714</f>
        <v>0.6240012572</v>
      </c>
      <c r="AO714" s="28">
        <f t="shared" ref="AO714:AO720" si="1990">AI714/AB714</f>
        <v>0.9360018858</v>
      </c>
      <c r="AP714" s="27">
        <f t="shared" ref="AP714:AQ714" si="1983">SUM(T709)</f>
        <v>211.3096093</v>
      </c>
      <c r="AQ714" s="27">
        <f t="shared" si="1983"/>
        <v>6.403321495</v>
      </c>
      <c r="AR714" s="23">
        <f t="shared" ref="AR714:AR720" si="1992">AI714/AA714</f>
        <v>185.1818182</v>
      </c>
    </row>
    <row r="715" ht="15.75" customHeight="1">
      <c r="A715" s="21"/>
      <c r="B715" s="38">
        <v>8.0</v>
      </c>
      <c r="C715" s="38" t="s">
        <v>25</v>
      </c>
      <c r="D715" s="57">
        <v>26.0</v>
      </c>
      <c r="E715" s="40">
        <f>IFERROR(__xludf.DUMMYFUNCTION("COUNT(IMPORTRANGE(""https://docs.google.com/spreadsheets/d/1sqWX7UerdR9KR_duBzDNfjwbPG-3hLgV1LiN2ZVZ6Js/edit"",""2!d2:D33""))"),31.0)</f>
        <v>31</v>
      </c>
      <c r="F715" s="45">
        <f>IFERROR(__xludf.DUMMYFUNCTION("SUM(IMPORTRANGE(""https://docs.google.com/spreadsheets/d/1sqWX7UerdR9KR_duBzDNfjwbPG-3hLgV1LiN2ZVZ6Js/edit"",""2!Q2:Q33""))"),5925.124000000001)</f>
        <v>5925.124</v>
      </c>
      <c r="G715" s="40">
        <f>IFERROR(__xludf.DUMMYFUNCTION("IMPORTRANGE(""https://docs.google.com/spreadsheets/d/1sqWX7UerdR9KR_duBzDNfjwbPG-3hLgV1LiN2ZVZ6Js/edit"",""2!e40"")"),2351.0)</f>
        <v>2351</v>
      </c>
      <c r="H715" s="40">
        <f>IFERROR(__xludf.DUMMYFUNCTION("IMPORTRANGE(""https://docs.google.com/spreadsheets/d/1sqWX7UerdR9KR_duBzDNfjwbPG-3hLgV1LiN2ZVZ6Js/edit"",""2!e41"")"),438.0)</f>
        <v>438</v>
      </c>
      <c r="I715" s="40">
        <f t="shared" si="1965"/>
        <v>2789</v>
      </c>
      <c r="J715" s="40">
        <f>IFERROR(__xludf.DUMMYFUNCTION("IMPORTRANGE(""https://docs.google.com/spreadsheets/d/1sqWX7UerdR9KR_duBzDNfjwbPG-3hLgV1LiN2ZVZ6Js/edit"",""2!e44"")"),3213.0)</f>
        <v>3213</v>
      </c>
      <c r="K715" s="40">
        <f>IFERROR(__xludf.DUMMYFUNCTION("IMPORTRANGE(""https://docs.google.com/spreadsheets/d/1sqWX7UerdR9KR_duBzDNfjwbPG-3hLgV1LiN2ZVZ6Js/edit"",""2!e45"")"),305.0)</f>
        <v>305</v>
      </c>
      <c r="L715" s="40">
        <f>J715+K715</f>
        <v>3518</v>
      </c>
      <c r="M715" s="40">
        <f t="shared" si="1967"/>
        <v>6307</v>
      </c>
      <c r="N715" s="41">
        <f t="shared" si="1968"/>
        <v>191.1330323</v>
      </c>
      <c r="O715" s="38">
        <v>6622.0</v>
      </c>
      <c r="P715" s="42">
        <f t="shared" si="1969"/>
        <v>0.9524312896</v>
      </c>
      <c r="Q715" s="43">
        <v>1.5</v>
      </c>
      <c r="R715" s="42">
        <f t="shared" si="1970"/>
        <v>0.7096335312</v>
      </c>
      <c r="S715" s="44">
        <f t="shared" si="1971"/>
        <v>1.064450297</v>
      </c>
      <c r="T715" s="43">
        <f>F715/23.84</f>
        <v>248.5370805</v>
      </c>
      <c r="U715" s="43">
        <f t="shared" si="1972"/>
        <v>8.017325179</v>
      </c>
      <c r="V715" s="40">
        <f t="shared" si="1973"/>
        <v>203.4516129</v>
      </c>
      <c r="X715" s="31">
        <v>2.0</v>
      </c>
      <c r="Y715" s="31" t="s">
        <v>30</v>
      </c>
      <c r="Z715" s="31">
        <f t="shared" ref="Z715:AI715" si="1984">SUM(D710)</f>
        <v>45</v>
      </c>
      <c r="AA715" s="32">
        <f t="shared" si="1984"/>
        <v>58</v>
      </c>
      <c r="AB715" s="33">
        <f t="shared" si="1984"/>
        <v>11253.345</v>
      </c>
      <c r="AC715" s="32">
        <f t="shared" si="1984"/>
        <v>3757</v>
      </c>
      <c r="AD715" s="32">
        <f t="shared" si="1984"/>
        <v>0</v>
      </c>
      <c r="AE715" s="32">
        <f t="shared" si="1984"/>
        <v>3757</v>
      </c>
      <c r="AF715" s="32">
        <f t="shared" si="1984"/>
        <v>5596</v>
      </c>
      <c r="AG715" s="32">
        <f t="shared" si="1984"/>
        <v>0</v>
      </c>
      <c r="AH715" s="32">
        <f t="shared" si="1984"/>
        <v>5596</v>
      </c>
      <c r="AI715" s="32">
        <f t="shared" si="1984"/>
        <v>9353</v>
      </c>
      <c r="AJ715" s="34">
        <f t="shared" si="1985"/>
        <v>194.0231897</v>
      </c>
      <c r="AK715" s="31">
        <f t="shared" si="1986"/>
        <v>11164</v>
      </c>
      <c r="AL715" s="35">
        <f t="shared" si="1987"/>
        <v>0.8377821569</v>
      </c>
      <c r="AM715" s="36">
        <f t="shared" si="1988"/>
        <v>1.5</v>
      </c>
      <c r="AN715" s="35">
        <f t="shared" si="1989"/>
        <v>0.5540871033</v>
      </c>
      <c r="AO715" s="37">
        <f t="shared" si="1990"/>
        <v>0.8311306549</v>
      </c>
      <c r="AP715" s="36">
        <f t="shared" ref="AP715:AQ715" si="1991">SUM(T710)</f>
        <v>380.1420464</v>
      </c>
      <c r="AQ715" s="36">
        <f t="shared" si="1991"/>
        <v>6.554173214</v>
      </c>
      <c r="AR715" s="32">
        <f t="shared" si="1992"/>
        <v>161.2586207</v>
      </c>
    </row>
    <row r="716" ht="15.75" customHeight="1">
      <c r="A716" s="21"/>
      <c r="B716" s="38">
        <v>9.0</v>
      </c>
      <c r="C716" s="38" t="s">
        <v>36</v>
      </c>
      <c r="D716" s="58">
        <v>23.0</v>
      </c>
      <c r="E716" s="40">
        <f>IFERROR(__xludf.DUMMYFUNCTION("COUNT(IMPORTRANGE(""https://docs.google.com/spreadsheets/d/1YNna43iTSqnwwbMJgTIPHSJEoDO8RGPRFg5pJCoQR_Y/edit"",""2!d2:d31""))"),29.0)</f>
        <v>29</v>
      </c>
      <c r="F716" s="45">
        <f>IFERROR(__xludf.DUMMYFUNCTION("SUM(IMPORTRANGE(""https://docs.google.com/spreadsheets/d/1YNna43iTSqnwwbMJgTIPHSJEoDO8RGPRFg5pJCoQR_Y/edit"",""2!Q2:Q31""))"),5604.12)</f>
        <v>5604.12</v>
      </c>
      <c r="G716" s="40">
        <f>IFERROR(__xludf.DUMMYFUNCTION("IMPORTRANGE(""https://docs.google.com/spreadsheets/d/1YNna43iTSqnwwbMJgTIPHSJEoDO8RGPRFg5pJCoQR_Y/edit"",""2!e38"")"),1533.0)</f>
        <v>1533</v>
      </c>
      <c r="H716" s="40">
        <f>IFERROR(__xludf.DUMMYFUNCTION("IMPORTRANGE(""https://docs.google.com/spreadsheets/d/1YNna43iTSqnwwbMJgTIPHSJEoDO8RGPRFg5pJCoQR_Y/edit"",""2!e39"")"),0.0)</f>
        <v>0</v>
      </c>
      <c r="I716" s="40">
        <f t="shared" si="1965"/>
        <v>1533</v>
      </c>
      <c r="J716" s="40">
        <f>IFERROR(__xludf.DUMMYFUNCTION("IMPORTRANGE(""https://docs.google.com/spreadsheets/d/1YNna43iTSqnwwbMJgTIPHSJEoDO8RGPRFg5pJCoQR_Y/edit"",""2!e42"")"),2301.0)</f>
        <v>2301</v>
      </c>
      <c r="K716" s="40">
        <f>IFERROR(__xludf.DUMMYFUNCTION("IMPORTRANGE(""https://docs.google.com/spreadsheets/d/1YNna43iTSqnwwbMJgTIPHSJEoDO8RGPRFg5pJCoQR_Y/edit"",""2!e43"")"),0.0)</f>
        <v>0</v>
      </c>
      <c r="L716" s="40">
        <f t="shared" ref="L716:L725" si="1995">SUM(J716:K716)</f>
        <v>2301</v>
      </c>
      <c r="M716" s="40">
        <f t="shared" si="1967"/>
        <v>3834</v>
      </c>
      <c r="N716" s="41">
        <f t="shared" si="1968"/>
        <v>193.2455172</v>
      </c>
      <c r="O716" s="38">
        <v>4796.0</v>
      </c>
      <c r="P716" s="42">
        <f t="shared" si="1969"/>
        <v>0.7994161802</v>
      </c>
      <c r="Q716" s="43">
        <v>1.5</v>
      </c>
      <c r="R716" s="42">
        <f t="shared" si="1970"/>
        <v>0.4560930173</v>
      </c>
      <c r="S716" s="44">
        <f t="shared" si="1971"/>
        <v>0.6841395259</v>
      </c>
      <c r="T716" s="43">
        <f>F716/37.414</f>
        <v>149.7867109</v>
      </c>
      <c r="U716" s="43">
        <f t="shared" si="1972"/>
        <v>5.165058995</v>
      </c>
      <c r="V716" s="40">
        <f t="shared" si="1973"/>
        <v>132.2068966</v>
      </c>
      <c r="X716" s="22">
        <v>3.0</v>
      </c>
      <c r="Y716" s="22" t="s">
        <v>34</v>
      </c>
      <c r="Z716" s="22">
        <f t="shared" ref="Z716:AI716" si="1993">SUM(D712)</f>
        <v>30</v>
      </c>
      <c r="AA716" s="23">
        <f t="shared" si="1993"/>
        <v>40</v>
      </c>
      <c r="AB716" s="24">
        <f t="shared" si="1993"/>
        <v>7895.343</v>
      </c>
      <c r="AC716" s="23">
        <f t="shared" si="1993"/>
        <v>3069</v>
      </c>
      <c r="AD716" s="23">
        <f t="shared" si="1993"/>
        <v>0</v>
      </c>
      <c r="AE716" s="23">
        <f t="shared" si="1993"/>
        <v>3069</v>
      </c>
      <c r="AF716" s="23">
        <f t="shared" si="1993"/>
        <v>3126</v>
      </c>
      <c r="AG716" s="23">
        <f t="shared" si="1993"/>
        <v>0</v>
      </c>
      <c r="AH716" s="23">
        <f t="shared" si="1993"/>
        <v>3126</v>
      </c>
      <c r="AI716" s="23">
        <f t="shared" si="1993"/>
        <v>6195</v>
      </c>
      <c r="AJ716" s="25">
        <f t="shared" si="1985"/>
        <v>197.383575</v>
      </c>
      <c r="AK716" s="22">
        <f>SUM(O712)</f>
        <v>9354</v>
      </c>
      <c r="AL716" s="26">
        <f t="shared" si="1987"/>
        <v>0.6622835151</v>
      </c>
      <c r="AM716" s="27">
        <f>SUM(Q712)</f>
        <v>1.5</v>
      </c>
      <c r="AN716" s="26">
        <f t="shared" si="1989"/>
        <v>0.5230931702</v>
      </c>
      <c r="AO716" s="28">
        <f t="shared" si="1990"/>
        <v>0.7846397554</v>
      </c>
      <c r="AP716" s="27">
        <f t="shared" ref="AP716:AQ716" si="1994">SUM(T712)</f>
        <v>257.0684401</v>
      </c>
      <c r="AQ716" s="27">
        <f t="shared" si="1994"/>
        <v>6.426711002</v>
      </c>
      <c r="AR716" s="23">
        <f t="shared" si="1992"/>
        <v>154.875</v>
      </c>
    </row>
    <row r="717" ht="15.75" customHeight="1">
      <c r="A717" s="21"/>
      <c r="B717" s="38">
        <v>10.0</v>
      </c>
      <c r="C717" s="38" t="s">
        <v>37</v>
      </c>
      <c r="D717" s="39">
        <v>23.0</v>
      </c>
      <c r="E717" s="40">
        <f>IFERROR(__xludf.DUMMYFUNCTION("COUNT(IMPORTRANGE(""https://docs.google.com/spreadsheets/d/1913Df5BsXS_b-nClL8LOK5w0engQYTl1mPOiyngRtO0/edit"",""2!d2:d31""))"),30.0)</f>
        <v>30</v>
      </c>
      <c r="F717" s="45">
        <f>IFERROR(__xludf.DUMMYFUNCTION("SUM(IMPORTRANGE(""https://docs.google.com/spreadsheets/d/1913Df5BsXS_b-nClL8LOK5w0engQYTl1mPOiyngRtO0/edit"",""2!Q2:Q31""))"),5812.188)</f>
        <v>5812.188</v>
      </c>
      <c r="G717" s="40">
        <f>IFERROR(__xludf.DUMMYFUNCTION("(IMPORTRANGE(""https://docs.google.com/spreadsheets/d/1913Df5BsXS_b-nClL8LOK5w0engQYTl1mPOiyngRtO0/edit"",""2!e38""))"),2138.0)</f>
        <v>2138</v>
      </c>
      <c r="H717" s="40">
        <f>IFERROR(__xludf.DUMMYFUNCTION("(IMPORTRANGE(""https://docs.google.com/spreadsheets/d/1913Df5BsXS_b-nClL8LOK5w0engQYTl1mPOiyngRtO0/edit"",""2!e39""))"),0.0)</f>
        <v>0</v>
      </c>
      <c r="I717" s="40">
        <f t="shared" si="1965"/>
        <v>2138</v>
      </c>
      <c r="J717" s="40">
        <f>IFERROR(__xludf.DUMMYFUNCTION("(IMPORTRANGE(""https://docs.google.com/spreadsheets/d/1913Df5BsXS_b-nClL8LOK5w0engQYTl1mPOiyngRtO0/edit"",""2!e42""))"),3071.0)</f>
        <v>3071</v>
      </c>
      <c r="K717" s="40">
        <f>IFERROR(__xludf.DUMMYFUNCTION("(IMPORTRANGE(""https://docs.google.com/spreadsheets/d/1913Df5BsXS_b-nClL8LOK5w0engQYTl1mPOiyngRtO0/edit"",""2!e43""))"),0.0)</f>
        <v>0</v>
      </c>
      <c r="L717" s="40">
        <f t="shared" si="1995"/>
        <v>3071</v>
      </c>
      <c r="M717" s="40">
        <f t="shared" si="1967"/>
        <v>5209</v>
      </c>
      <c r="N717" s="41">
        <f t="shared" si="1968"/>
        <v>193.7396</v>
      </c>
      <c r="O717" s="38">
        <v>5887.0</v>
      </c>
      <c r="P717" s="42">
        <f t="shared" si="1969"/>
        <v>0.8848309835</v>
      </c>
      <c r="Q717" s="43">
        <v>1.5</v>
      </c>
      <c r="R717" s="42">
        <f t="shared" si="1970"/>
        <v>0.5974800999</v>
      </c>
      <c r="S717" s="44">
        <f t="shared" si="1971"/>
        <v>0.8962201498</v>
      </c>
      <c r="T717" s="43">
        <f>F717/24.792</f>
        <v>234.4380445</v>
      </c>
      <c r="U717" s="43">
        <f t="shared" si="1972"/>
        <v>7.814601484</v>
      </c>
      <c r="V717" s="40">
        <f t="shared" si="1973"/>
        <v>173.6333333</v>
      </c>
      <c r="X717" s="31">
        <v>4.0</v>
      </c>
      <c r="Y717" s="31" t="s">
        <v>38</v>
      </c>
      <c r="Z717" s="31">
        <f t="shared" ref="Z717:AI717" si="1996">SUM(D720)</f>
        <v>23</v>
      </c>
      <c r="AA717" s="32">
        <f t="shared" si="1996"/>
        <v>30</v>
      </c>
      <c r="AB717" s="33">
        <f t="shared" si="1996"/>
        <v>6284.278</v>
      </c>
      <c r="AC717" s="32">
        <f t="shared" si="1996"/>
        <v>2309</v>
      </c>
      <c r="AD717" s="32">
        <f t="shared" si="1996"/>
        <v>0</v>
      </c>
      <c r="AE717" s="32">
        <f t="shared" si="1996"/>
        <v>2309</v>
      </c>
      <c r="AF717" s="32">
        <f t="shared" si="1996"/>
        <v>2749</v>
      </c>
      <c r="AG717" s="32">
        <f t="shared" si="1996"/>
        <v>159</v>
      </c>
      <c r="AH717" s="32">
        <f t="shared" si="1996"/>
        <v>2908</v>
      </c>
      <c r="AI717" s="32">
        <f t="shared" si="1996"/>
        <v>5217</v>
      </c>
      <c r="AJ717" s="34">
        <f t="shared" si="1985"/>
        <v>209.4759333</v>
      </c>
      <c r="AK717" s="31">
        <v>7324.0</v>
      </c>
      <c r="AL717" s="35">
        <f t="shared" si="1987"/>
        <v>0.7123156745</v>
      </c>
      <c r="AM717" s="36">
        <f>SUM(Q720)</f>
        <v>1.5</v>
      </c>
      <c r="AN717" s="35">
        <f t="shared" si="1989"/>
        <v>0.5534446439</v>
      </c>
      <c r="AO717" s="37">
        <f t="shared" si="1990"/>
        <v>0.8301669659</v>
      </c>
      <c r="AP717" s="36">
        <f t="shared" ref="AP717:AQ717" si="1997">SUM(T720)</f>
        <v>152.5125106</v>
      </c>
      <c r="AQ717" s="36">
        <f t="shared" si="1997"/>
        <v>5.083750354</v>
      </c>
      <c r="AR717" s="32">
        <f t="shared" si="1992"/>
        <v>173.9</v>
      </c>
    </row>
    <row r="718" ht="15.75" customHeight="1">
      <c r="A718" s="21"/>
      <c r="B718" s="38">
        <v>12.0</v>
      </c>
      <c r="C718" s="38" t="s">
        <v>39</v>
      </c>
      <c r="D718" s="39">
        <v>21.0</v>
      </c>
      <c r="E718" s="40">
        <f>IFERROR(__xludf.DUMMYFUNCTION("COUNT(IMPORTRANGE(""https://docs.google.com/spreadsheets/d/1wMeol_MpSIcocGxt3WZGl46mJ2tc80mANPvP_YzaP18/edit"",""2!d2:d29""))"),28.0)</f>
        <v>28</v>
      </c>
      <c r="F718" s="45">
        <f>IFERROR(__xludf.DUMMYFUNCTION("SUM(IMPORTRANGE(""https://docs.google.com/spreadsheets/d/1wMeol_MpSIcocGxt3WZGl46mJ2tc80mANPvP_YzaP18/edit"",""2!Q2:Q29""))"),5458.878)</f>
        <v>5458.878</v>
      </c>
      <c r="G718" s="40">
        <f>IFERROR(__xludf.DUMMYFUNCTION("IMPORTRANGE(""https://docs.google.com/spreadsheets/d/1wMeol_MpSIcocGxt3WZGl46mJ2tc80mANPvP_YzaP18/edit"",""2!e36"")"),1516.0)</f>
        <v>1516</v>
      </c>
      <c r="H718" s="40">
        <f>IFERROR(__xludf.DUMMYFUNCTION("(IMPORTRANGE(""https://docs.google.com/spreadsheets/d/1wMeol_MpSIcocGxt3WZGl46mJ2tc80mANPvP_YzaP18/edit"",""2!e37""))"),43.0)</f>
        <v>43</v>
      </c>
      <c r="I718" s="40">
        <f t="shared" si="1965"/>
        <v>1559</v>
      </c>
      <c r="J718" s="40">
        <f>IFERROR(__xludf.DUMMYFUNCTION("IMPORTRANGE(""https://docs.google.com/spreadsheets/d/1wMeol_MpSIcocGxt3WZGl46mJ2tc80mANPvP_YzaP18/edit"",""2!e40"")"),1765.0)</f>
        <v>1765</v>
      </c>
      <c r="K718" s="40">
        <f>IFERROR(__xludf.DUMMYFUNCTION("IMPORTRANGE(""https://docs.google.com/spreadsheets/d/1wMeol_MpSIcocGxt3WZGl46mJ2tc80mANPvP_YzaP18/edit"",""2!e41"")"),115.0)</f>
        <v>115</v>
      </c>
      <c r="L718" s="40">
        <f t="shared" si="1995"/>
        <v>1880</v>
      </c>
      <c r="M718" s="40">
        <f t="shared" si="1967"/>
        <v>3439</v>
      </c>
      <c r="N718" s="41">
        <f t="shared" si="1968"/>
        <v>194.9599286</v>
      </c>
      <c r="O718" s="38">
        <v>3569.0</v>
      </c>
      <c r="P718" s="42">
        <f t="shared" si="1969"/>
        <v>0.9635752312</v>
      </c>
      <c r="Q718" s="43">
        <v>1.5</v>
      </c>
      <c r="R718" s="42">
        <f t="shared" si="1970"/>
        <v>0.4199886253</v>
      </c>
      <c r="S718" s="44">
        <f t="shared" si="1971"/>
        <v>0.6299829379</v>
      </c>
      <c r="T718" s="43">
        <f>F718/21.463</f>
        <v>254.339002</v>
      </c>
      <c r="U718" s="43">
        <f t="shared" si="1972"/>
        <v>9.083535786</v>
      </c>
      <c r="V718" s="40">
        <f t="shared" si="1973"/>
        <v>122.8214286</v>
      </c>
      <c r="X718" s="31">
        <v>5.0</v>
      </c>
      <c r="Y718" s="31" t="s">
        <v>40</v>
      </c>
      <c r="Z718" s="31">
        <f t="shared" ref="Z718:AI718" si="1998">SUM(D722)</f>
        <v>23</v>
      </c>
      <c r="AA718" s="32">
        <f t="shared" si="1998"/>
        <v>30</v>
      </c>
      <c r="AB718" s="33">
        <f t="shared" si="1998"/>
        <v>5845.703</v>
      </c>
      <c r="AC718" s="32">
        <f t="shared" si="1998"/>
        <v>3323</v>
      </c>
      <c r="AD718" s="32">
        <f t="shared" si="1998"/>
        <v>39</v>
      </c>
      <c r="AE718" s="32">
        <f t="shared" si="1998"/>
        <v>3362</v>
      </c>
      <c r="AF718" s="32">
        <f t="shared" si="1998"/>
        <v>3928</v>
      </c>
      <c r="AG718" s="32">
        <f t="shared" si="1998"/>
        <v>73</v>
      </c>
      <c r="AH718" s="32">
        <f t="shared" si="1998"/>
        <v>4001</v>
      </c>
      <c r="AI718" s="32">
        <f t="shared" si="1998"/>
        <v>7363</v>
      </c>
      <c r="AJ718" s="34">
        <f t="shared" si="1985"/>
        <v>194.8567667</v>
      </c>
      <c r="AK718" s="31">
        <f t="shared" ref="AK718:AK719" si="2001">SUM(O722)</f>
        <v>8239</v>
      </c>
      <c r="AL718" s="35">
        <f t="shared" si="1987"/>
        <v>0.893676417</v>
      </c>
      <c r="AM718" s="36">
        <f t="shared" ref="AM718:AM719" si="2002">SUM(Q722)</f>
        <v>1.5</v>
      </c>
      <c r="AN718" s="35">
        <f t="shared" si="1989"/>
        <v>0.8397051076</v>
      </c>
      <c r="AO718" s="37">
        <f t="shared" si="1990"/>
        <v>1.259557661</v>
      </c>
      <c r="AP718" s="36">
        <f t="shared" ref="AP718:AQ718" si="1999">SUM(T722)</f>
        <v>205.5234328</v>
      </c>
      <c r="AQ718" s="36">
        <f t="shared" si="1999"/>
        <v>6.850781094</v>
      </c>
      <c r="AR718" s="32">
        <f t="shared" si="1992"/>
        <v>245.4333333</v>
      </c>
    </row>
    <row r="719" ht="15.75" customHeight="1">
      <c r="A719" s="21"/>
      <c r="B719" s="38">
        <v>12.0</v>
      </c>
      <c r="C719" s="38" t="s">
        <v>41</v>
      </c>
      <c r="D719" s="39">
        <v>19.0</v>
      </c>
      <c r="E719" s="40">
        <f>IFERROR(__xludf.DUMMYFUNCTION("COUNT(IMPORTRANGE(""https://docs.google.com/spreadsheets/d/1sHk6_yuc4kORC_xnhEeazoemV_hVUQVqRpfoNae-PLk/edit"",""2!d2:d25""))"),24.0)</f>
        <v>24</v>
      </c>
      <c r="F719" s="45">
        <f>IFERROR(__xludf.DUMMYFUNCTION("SUM(IMPORTRANGE(""https://docs.google.com/spreadsheets/d/1sHk6_yuc4kORC_xnhEeazoemV_hVUQVqRpfoNae-PLk/edit"",""2!Q2:Q25""))"),4806.3200000000015)</f>
        <v>4806.32</v>
      </c>
      <c r="G719" s="40">
        <f>IFERROR(__xludf.DUMMYFUNCTION("IMPORTRANGE(""https://docs.google.com/spreadsheets/d/1sHk6_yuc4kORC_xnhEeazoemV_hVUQVqRpfoNae-PLk/edit"",""2!e32"")"),1468.0)</f>
        <v>1468</v>
      </c>
      <c r="H719" s="40">
        <f>IFERROR(__xludf.DUMMYFUNCTION("IMPORTRANGE(""https://docs.google.com/spreadsheets/d/1sHk6_yuc4kORC_xnhEeazoemV_hVUQVqRpfoNae-PLk/edit"",""2!e33"")"),0.0)</f>
        <v>0</v>
      </c>
      <c r="I719" s="40">
        <f t="shared" si="1965"/>
        <v>1468</v>
      </c>
      <c r="J719" s="40">
        <f>IFERROR(__xludf.DUMMYFUNCTION("IMPORTRANGE(""https://docs.google.com/spreadsheets/d/1sHk6_yuc4kORC_xnhEeazoemV_hVUQVqRpfoNae-PLk/edit"",""2!e36"")"),1656.0)</f>
        <v>1656</v>
      </c>
      <c r="K719" s="40">
        <f>IFERROR(__xludf.DUMMYFUNCTION("IMPORTRANGE(""https://docs.google.com/spreadsheets/d/1sHk6_yuc4kORC_xnhEeazoemV_hVUQVqRpfoNae-PLk/edit"",""2!e37"")"),0.0)</f>
        <v>0</v>
      </c>
      <c r="L719" s="40">
        <f t="shared" si="1995"/>
        <v>1656</v>
      </c>
      <c r="M719" s="40">
        <f t="shared" si="1967"/>
        <v>3124</v>
      </c>
      <c r="N719" s="41">
        <f t="shared" si="1968"/>
        <v>200.2633333</v>
      </c>
      <c r="O719" s="38">
        <v>3801.0</v>
      </c>
      <c r="P719" s="42">
        <f t="shared" si="1969"/>
        <v>0.8218889766</v>
      </c>
      <c r="Q719" s="43">
        <v>1.5</v>
      </c>
      <c r="R719" s="42">
        <f t="shared" si="1970"/>
        <v>0.4333183531</v>
      </c>
      <c r="S719" s="44">
        <f t="shared" si="1971"/>
        <v>0.6499775296</v>
      </c>
      <c r="T719" s="43">
        <f>F719/29.628</f>
        <v>162.2222222</v>
      </c>
      <c r="U719" s="43">
        <f t="shared" si="1972"/>
        <v>6.759259259</v>
      </c>
      <c r="V719" s="40">
        <f t="shared" si="1973"/>
        <v>130.1666667</v>
      </c>
      <c r="X719" s="22">
        <v>6.0</v>
      </c>
      <c r="Y719" s="22" t="s">
        <v>42</v>
      </c>
      <c r="Z719" s="22">
        <f t="shared" ref="Z719:AI719" si="2000">SUM(D723)</f>
        <v>24</v>
      </c>
      <c r="AA719" s="23">
        <f t="shared" si="2000"/>
        <v>33</v>
      </c>
      <c r="AB719" s="24">
        <f t="shared" si="2000"/>
        <v>6380.282</v>
      </c>
      <c r="AC719" s="23">
        <f t="shared" si="2000"/>
        <v>3133</v>
      </c>
      <c r="AD719" s="23">
        <f t="shared" si="2000"/>
        <v>0</v>
      </c>
      <c r="AE719" s="23">
        <f t="shared" si="2000"/>
        <v>3133</v>
      </c>
      <c r="AF719" s="23">
        <f t="shared" si="2000"/>
        <v>4360</v>
      </c>
      <c r="AG719" s="23">
        <f t="shared" si="2000"/>
        <v>0</v>
      </c>
      <c r="AH719" s="23">
        <f t="shared" si="2000"/>
        <v>4360</v>
      </c>
      <c r="AI719" s="23">
        <f t="shared" si="2000"/>
        <v>7493</v>
      </c>
      <c r="AJ719" s="25">
        <f t="shared" si="1985"/>
        <v>193.3418788</v>
      </c>
      <c r="AK719" s="22">
        <f t="shared" si="2001"/>
        <v>9877</v>
      </c>
      <c r="AL719" s="26">
        <f t="shared" si="1987"/>
        <v>0.7586311633</v>
      </c>
      <c r="AM719" s="27">
        <f t="shared" si="2002"/>
        <v>1.5</v>
      </c>
      <c r="AN719" s="26">
        <f t="shared" si="1989"/>
        <v>0.782933001</v>
      </c>
      <c r="AO719" s="28">
        <f t="shared" si="1990"/>
        <v>1.174399501</v>
      </c>
      <c r="AP719" s="27">
        <f t="shared" ref="AP719:AQ719" si="2003">SUM(T723)</f>
        <v>243.9411967</v>
      </c>
      <c r="AQ719" s="27">
        <f t="shared" si="2003"/>
        <v>7.392157476</v>
      </c>
      <c r="AR719" s="23">
        <f t="shared" si="1992"/>
        <v>227.0606061</v>
      </c>
    </row>
    <row r="720" ht="15.75" customHeight="1">
      <c r="A720" s="21"/>
      <c r="B720" s="38">
        <v>13.0</v>
      </c>
      <c r="C720" s="38" t="s">
        <v>43</v>
      </c>
      <c r="D720" s="39">
        <v>23.0</v>
      </c>
      <c r="E720" s="40">
        <f>IFERROR(__xludf.DUMMYFUNCTION("COUNT(IMPORTRANGE(""https://docs.google.com/spreadsheets/d/1uGXvAN2jA6kmcEHUY4KqOHHewllZsujDdA6KVDfBCoA/edit"",""2!d2:d31""))"),30.0)</f>
        <v>30</v>
      </c>
      <c r="F720" s="45">
        <f>IFERROR(__xludf.DUMMYFUNCTION("SUM(IMPORTRANGE(""https://docs.google.com/spreadsheets/d/1uGXvAN2jA6kmcEHUY4KqOHHewllZsujDdA6KVDfBCoA/edit"",""2!Q2:Q31""))"),6284.277999999999)</f>
        <v>6284.278</v>
      </c>
      <c r="G720" s="40">
        <f>IFERROR(__xludf.DUMMYFUNCTION("IMPORTRANGE(""https://docs.google.com/spreadsheets/d/1uGXvAN2jA6kmcEHUY4KqOHHewllZsujDdA6KVDfBCoA/edit"",""2!e38"")"),2309.0)</f>
        <v>2309</v>
      </c>
      <c r="H720" s="40">
        <f>IFERROR(__xludf.DUMMYFUNCTION("IMPORTRANGE(""https://docs.google.com/spreadsheets/d/1uGXvAN2jA6kmcEHUY4KqOHHewllZsujDdA6KVDfBCoA/edit"",""2!e39"")"),0.0)</f>
        <v>0</v>
      </c>
      <c r="I720" s="40">
        <f t="shared" si="1965"/>
        <v>2309</v>
      </c>
      <c r="J720" s="40">
        <f>IFERROR(__xludf.DUMMYFUNCTION("IMPORTRANGE(""https://docs.google.com/spreadsheets/d/1uGXvAN2jA6kmcEHUY4KqOHHewllZsujDdA6KVDfBCoA/edit"",""2!e42"")"),2749.0)</f>
        <v>2749</v>
      </c>
      <c r="K720" s="40">
        <f>IFERROR(__xludf.DUMMYFUNCTION("IMPORTRANGE(""https://docs.google.com/spreadsheets/d/1uGXvAN2jA6kmcEHUY4KqOHHewllZsujDdA6KVDfBCoA/edit"",""2!e43"")"),159.0)</f>
        <v>159</v>
      </c>
      <c r="L720" s="40">
        <f t="shared" si="1995"/>
        <v>2908</v>
      </c>
      <c r="M720" s="40">
        <f t="shared" si="1967"/>
        <v>5217</v>
      </c>
      <c r="N720" s="41">
        <f t="shared" si="1968"/>
        <v>209.4759333</v>
      </c>
      <c r="O720" s="38">
        <v>8345.0</v>
      </c>
      <c r="P720" s="42">
        <f t="shared" si="1969"/>
        <v>0.6251647693</v>
      </c>
      <c r="Q720" s="43">
        <v>1.5</v>
      </c>
      <c r="R720" s="42">
        <f t="shared" si="1970"/>
        <v>0.5534446439</v>
      </c>
      <c r="S720" s="44">
        <f t="shared" si="1971"/>
        <v>0.8301669659</v>
      </c>
      <c r="T720" s="43">
        <f>F720/41.205</f>
        <v>152.5125106</v>
      </c>
      <c r="U720" s="43">
        <f t="shared" si="1972"/>
        <v>5.083750354</v>
      </c>
      <c r="V720" s="40">
        <f t="shared" si="1973"/>
        <v>173.9</v>
      </c>
      <c r="X720" s="46" t="s">
        <v>33</v>
      </c>
      <c r="Y720" s="46">
        <v>6.0</v>
      </c>
      <c r="Z720" s="46">
        <f t="shared" ref="Z720:AI720" si="2004">SUM(Z714:Z719)</f>
        <v>169</v>
      </c>
      <c r="AA720" s="47">
        <f t="shared" si="2004"/>
        <v>224</v>
      </c>
      <c r="AB720" s="49">
        <f t="shared" si="2004"/>
        <v>44187.784</v>
      </c>
      <c r="AC720" s="47">
        <f t="shared" si="2004"/>
        <v>18291</v>
      </c>
      <c r="AD720" s="47">
        <f t="shared" si="2004"/>
        <v>143</v>
      </c>
      <c r="AE720" s="47">
        <f t="shared" si="2004"/>
        <v>18434</v>
      </c>
      <c r="AF720" s="47">
        <f t="shared" si="2004"/>
        <v>22964</v>
      </c>
      <c r="AG720" s="47">
        <f t="shared" si="2004"/>
        <v>334</v>
      </c>
      <c r="AH720" s="47">
        <f t="shared" si="2004"/>
        <v>23298</v>
      </c>
      <c r="AI720" s="47">
        <f t="shared" si="2004"/>
        <v>41732</v>
      </c>
      <c r="AJ720" s="49">
        <f t="shared" si="1985"/>
        <v>197.2668929</v>
      </c>
      <c r="AK720" s="46">
        <f>SUM(AK714:AK719)</f>
        <v>53273</v>
      </c>
      <c r="AL720" s="50">
        <f t="shared" si="1987"/>
        <v>0.7833611773</v>
      </c>
      <c r="AM720" s="51">
        <v>1.5</v>
      </c>
      <c r="AN720" s="50">
        <f t="shared" si="1989"/>
        <v>0.6296159439</v>
      </c>
      <c r="AO720" s="52">
        <f t="shared" si="1990"/>
        <v>0.9444239159</v>
      </c>
      <c r="AP720" s="51">
        <f>SUM(AP714:AP719)</f>
        <v>1450.497236</v>
      </c>
      <c r="AQ720" s="51">
        <f>AP720/AA720</f>
        <v>6.475434089</v>
      </c>
      <c r="AR720" s="47">
        <f t="shared" si="1992"/>
        <v>186.3035714</v>
      </c>
    </row>
    <row r="721" ht="15.75" customHeight="1">
      <c r="A721" s="21"/>
      <c r="B721" s="38">
        <v>14.0</v>
      </c>
      <c r="C721" s="38" t="s">
        <v>27</v>
      </c>
      <c r="D721" s="39">
        <v>23.0</v>
      </c>
      <c r="E721" s="40">
        <f>IFERROR(__xludf.DUMMYFUNCTION("COUNT(IMPORTRANGE(""https://docs.google.com/spreadsheets/d/1iYtf3wkjJIgOL8ej0-L89wY8FLXKi6EiRbi9UqA1Bzw/edit"",""2!d2:d31""))"),28.0)</f>
        <v>28</v>
      </c>
      <c r="F721" s="45">
        <f>IFERROR(__xludf.DUMMYFUNCTION("SUM(IMPORTRANGE(""https://docs.google.com/spreadsheets/d/1iYtf3wkjJIgOL8ej0-L89wY8FLXKi6EiRbi9UqA1Bzw/edit"",""2!Q2:Q31""))"),5465.76)</f>
        <v>5465.76</v>
      </c>
      <c r="G721" s="40">
        <f>IFERROR(__xludf.DUMMYFUNCTION("IMPORTRANGE(""https://docs.google.com/spreadsheets/d/1iYtf3wkjJIgOL8ej0-L89wY8FLXKi6EiRbi9UqA1Bzw/edit"",""2!e38"")"),2368.0)</f>
        <v>2368</v>
      </c>
      <c r="H721" s="40">
        <f>IFERROR(__xludf.DUMMYFUNCTION("IMPORTRANGE(""https://docs.google.com/spreadsheets/d/1iYtf3wkjJIgOL8ej0-L89wY8FLXKi6EiRbi9UqA1Bzw/edit"",""2!e39"")"),140.0)</f>
        <v>140</v>
      </c>
      <c r="I721" s="40">
        <f t="shared" si="1965"/>
        <v>2508</v>
      </c>
      <c r="J721" s="40">
        <f>IFERROR(__xludf.DUMMYFUNCTION("IMPORTRANGE(""https://docs.google.com/spreadsheets/d/1iYtf3wkjJIgOL8ej0-L89wY8FLXKi6EiRbi9UqA1Bzw/edit"",""2!e42"")"),3355.0)</f>
        <v>3355</v>
      </c>
      <c r="K721" s="40">
        <f>IFERROR(__xludf.DUMMYFUNCTION("IMPORTRANGE(""https://docs.google.com/spreadsheets/d/1iYtf3wkjJIgOL8ej0-L89wY8FLXKi6EiRbi9UqA1Bzw/edit"",""2!e43"")"),107.0)</f>
        <v>107</v>
      </c>
      <c r="L721" s="40">
        <f t="shared" si="1995"/>
        <v>3462</v>
      </c>
      <c r="M721" s="40">
        <f t="shared" si="1967"/>
        <v>5970</v>
      </c>
      <c r="N721" s="41">
        <f t="shared" si="1968"/>
        <v>195.2057143</v>
      </c>
      <c r="O721" s="38">
        <v>8101.0</v>
      </c>
      <c r="P721" s="42">
        <f t="shared" si="1969"/>
        <v>0.736946056</v>
      </c>
      <c r="Q721" s="43">
        <v>1.5</v>
      </c>
      <c r="R721" s="42">
        <f t="shared" si="1970"/>
        <v>0.7281695501</v>
      </c>
      <c r="S721" s="44">
        <f t="shared" si="1971"/>
        <v>1.092254325</v>
      </c>
      <c r="T721" s="43">
        <f>F721/19.985</f>
        <v>273.4931198</v>
      </c>
      <c r="U721" s="43">
        <f t="shared" si="1972"/>
        <v>9.767611423</v>
      </c>
      <c r="V721" s="40">
        <f t="shared" si="1973"/>
        <v>213.2142857</v>
      </c>
      <c r="X721" s="59" t="s">
        <v>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6"/>
    </row>
    <row r="722" ht="15.75" customHeight="1">
      <c r="A722" s="21"/>
      <c r="B722" s="38">
        <v>15.0</v>
      </c>
      <c r="C722" s="38" t="s">
        <v>40</v>
      </c>
      <c r="D722" s="39">
        <v>23.0</v>
      </c>
      <c r="E722" s="40">
        <f>IFERROR(__xludf.DUMMYFUNCTION("COUNT(IMPORTRANGE(""https://docs.google.com/spreadsheets/d/1Wdf8MsoDBzMSsrzOXwaGQzbVjVqOWfKSqYmbncevZgA/edit"",""2!d2:d31""))"),30.0)</f>
        <v>30</v>
      </c>
      <c r="F722" s="45">
        <f>IFERROR(__xludf.DUMMYFUNCTION("SUM(IMPORTRANGE(""https://docs.google.com/spreadsheets/d/1Wdf8MsoDBzMSsrzOXwaGQzbVjVqOWfKSqYmbncevZgA/edit"",""2!Q2:Q31""))"),5845.702999999999)</f>
        <v>5845.703</v>
      </c>
      <c r="G722" s="40">
        <f>IFERROR(__xludf.DUMMYFUNCTION("IMPORTRANGE(""https://docs.google.com/spreadsheets/d/1Wdf8MsoDBzMSsrzOXwaGQzbVjVqOWfKSqYmbncevZgA/edit"",""2!e38"")"),3323.0)</f>
        <v>3323</v>
      </c>
      <c r="H722" s="40">
        <f>IFERROR(__xludf.DUMMYFUNCTION("IMPORTRANGE(""https://docs.google.com/spreadsheets/d/1Wdf8MsoDBzMSsrzOXwaGQzbVjVqOWfKSqYmbncevZgA/edit"",""2!e39"")"),39.0)</f>
        <v>39</v>
      </c>
      <c r="I722" s="40">
        <f t="shared" si="1965"/>
        <v>3362</v>
      </c>
      <c r="J722" s="40">
        <f>IFERROR(__xludf.DUMMYFUNCTION("IMPORTRANGE(""https://docs.google.com/spreadsheets/d/1Wdf8MsoDBzMSsrzOXwaGQzbVjVqOWfKSqYmbncevZgA/edit"",""2!e42"")"),3928.0)</f>
        <v>3928</v>
      </c>
      <c r="K722" s="40">
        <f>IFERROR(__xludf.DUMMYFUNCTION("IMPORTRANGE(""https://docs.google.com/spreadsheets/d/1Wdf8MsoDBzMSsrzOXwaGQzbVjVqOWfKSqYmbncevZgA/edit"",""2!e43"")"),73.0)</f>
        <v>73</v>
      </c>
      <c r="L722" s="40">
        <f t="shared" si="1995"/>
        <v>4001</v>
      </c>
      <c r="M722" s="40">
        <f t="shared" si="1967"/>
        <v>7363</v>
      </c>
      <c r="N722" s="41">
        <f t="shared" si="1968"/>
        <v>194.8567667</v>
      </c>
      <c r="O722" s="38">
        <v>8239.0</v>
      </c>
      <c r="P722" s="42">
        <f t="shared" si="1969"/>
        <v>0.893676417</v>
      </c>
      <c r="Q722" s="43">
        <v>1.5</v>
      </c>
      <c r="R722" s="42">
        <f t="shared" si="1970"/>
        <v>0.8397051076</v>
      </c>
      <c r="S722" s="44">
        <f t="shared" si="1971"/>
        <v>1.259557661</v>
      </c>
      <c r="T722" s="43">
        <f>F722/28.443</f>
        <v>205.5234328</v>
      </c>
      <c r="U722" s="43">
        <f t="shared" si="1972"/>
        <v>6.850781094</v>
      </c>
      <c r="V722" s="40">
        <f t="shared" si="1973"/>
        <v>245.4333333</v>
      </c>
      <c r="X722" s="14" t="s">
        <v>2</v>
      </c>
      <c r="Y722" s="14" t="s">
        <v>3</v>
      </c>
      <c r="Z722" s="14" t="s">
        <v>4</v>
      </c>
      <c r="AA722" s="14" t="s">
        <v>5</v>
      </c>
      <c r="AB722" s="15" t="s">
        <v>6</v>
      </c>
      <c r="AC722" s="14" t="s">
        <v>7</v>
      </c>
      <c r="AD722" s="14" t="s">
        <v>8</v>
      </c>
      <c r="AE722" s="14" t="s">
        <v>9</v>
      </c>
      <c r="AF722" s="14" t="s">
        <v>10</v>
      </c>
      <c r="AG722" s="14" t="s">
        <v>11</v>
      </c>
      <c r="AH722" s="14" t="s">
        <v>12</v>
      </c>
      <c r="AI722" s="14" t="s">
        <v>13</v>
      </c>
      <c r="AJ722" s="15" t="s">
        <v>14</v>
      </c>
      <c r="AK722" s="14" t="s">
        <v>15</v>
      </c>
      <c r="AL722" s="14" t="s">
        <v>16</v>
      </c>
      <c r="AM722" s="16" t="s">
        <v>17</v>
      </c>
      <c r="AN722" s="17" t="s">
        <v>18</v>
      </c>
      <c r="AO722" s="18" t="s">
        <v>19</v>
      </c>
      <c r="AP722" s="19" t="s">
        <v>20</v>
      </c>
      <c r="AQ722" s="19" t="s">
        <v>21</v>
      </c>
      <c r="AR722" s="20" t="s">
        <v>22</v>
      </c>
    </row>
    <row r="723" ht="15.75" customHeight="1">
      <c r="A723" s="21"/>
      <c r="B723" s="38">
        <v>16.0</v>
      </c>
      <c r="C723" s="38" t="s">
        <v>42</v>
      </c>
      <c r="D723" s="39">
        <v>24.0</v>
      </c>
      <c r="E723" s="40">
        <f>IFERROR(__xludf.DUMMYFUNCTION("COUNT(IMPORTRANGE(""https://docs.google.com/spreadsheets/d/1Z5uB5HbeAKcHmG4EOw3rf2J8NpyvDiha6RReERAMvA0/edit"",""2!d2:d34""))"),33.0)</f>
        <v>33</v>
      </c>
      <c r="F723" s="45">
        <f>IFERROR(__xludf.DUMMYFUNCTION("SUM(IMPORTRANGE(""https://docs.google.com/spreadsheets/d/1Z5uB5HbeAKcHmG4EOw3rf2J8NpyvDiha6RReERAMvA0/edit"",""2!Q2:Q34""))"),6380.281999999998)</f>
        <v>6380.282</v>
      </c>
      <c r="G723" s="40">
        <f>IFERROR(__xludf.DUMMYFUNCTION("IMPORTRANGE(""https://docs.google.com/spreadsheets/d/1Z5uB5HbeAKcHmG4EOw3rf2J8NpyvDiha6RReERAMvA0/edit"",""2!e41"")"),3133.0)</f>
        <v>3133</v>
      </c>
      <c r="H723" s="40">
        <f>IFERROR(__xludf.DUMMYFUNCTION("IMPORTRANGE(""https://docs.google.com/spreadsheets/d/1Z5uB5HbeAKcHmG4EOw3rf2J8NpyvDiha6RReERAMvA0/edit"",""2!e42"")"),0.0)</f>
        <v>0</v>
      </c>
      <c r="I723" s="40">
        <f t="shared" si="1965"/>
        <v>3133</v>
      </c>
      <c r="J723" s="40">
        <f>IFERROR(__xludf.DUMMYFUNCTION("IMPORTRANGE(""https://docs.google.com/spreadsheets/d/1Z5uB5HbeAKcHmG4EOw3rf2J8NpyvDiha6RReERAMvA0/edit"",""2!e45"")"),4360.0)</f>
        <v>4360</v>
      </c>
      <c r="K723" s="40">
        <f>IFERROR(__xludf.DUMMYFUNCTION("IMPORTRANGE(""https://docs.google.com/spreadsheets/d/1Z5uB5HbeAKcHmG4EOw3rf2J8NpyvDiha6RReERAMvA0/edit"",""2!e46"")"),0.0)</f>
        <v>0</v>
      </c>
      <c r="L723" s="40">
        <f t="shared" si="1995"/>
        <v>4360</v>
      </c>
      <c r="M723" s="40">
        <f t="shared" si="1967"/>
        <v>7493</v>
      </c>
      <c r="N723" s="41">
        <f t="shared" si="1968"/>
        <v>193.3418788</v>
      </c>
      <c r="O723" s="38">
        <v>9877.0</v>
      </c>
      <c r="P723" s="42">
        <f t="shared" si="1969"/>
        <v>0.7586311633</v>
      </c>
      <c r="Q723" s="43">
        <v>1.5</v>
      </c>
      <c r="R723" s="42">
        <f t="shared" si="1970"/>
        <v>0.782933001</v>
      </c>
      <c r="S723" s="44">
        <f t="shared" si="1971"/>
        <v>1.174399501</v>
      </c>
      <c r="T723" s="43">
        <f>F723/26.155</f>
        <v>243.9411967</v>
      </c>
      <c r="U723" s="43">
        <f t="shared" si="1972"/>
        <v>7.392157476</v>
      </c>
      <c r="V723" s="40">
        <f t="shared" si="1973"/>
        <v>227.0606061</v>
      </c>
      <c r="X723" s="31">
        <v>1.0</v>
      </c>
      <c r="Y723" s="31" t="s">
        <v>26</v>
      </c>
      <c r="Z723" s="31">
        <f t="shared" ref="Z723:AI723" si="2005">SUM(D708)</f>
        <v>15</v>
      </c>
      <c r="AA723" s="32">
        <f t="shared" si="2005"/>
        <v>20</v>
      </c>
      <c r="AB723" s="34">
        <f t="shared" si="2005"/>
        <v>3560.964</v>
      </c>
      <c r="AC723" s="32">
        <f t="shared" si="2005"/>
        <v>1873</v>
      </c>
      <c r="AD723" s="32">
        <f t="shared" si="2005"/>
        <v>0</v>
      </c>
      <c r="AE723" s="32">
        <f t="shared" si="2005"/>
        <v>1873</v>
      </c>
      <c r="AF723" s="32">
        <f t="shared" si="2005"/>
        <v>3204</v>
      </c>
      <c r="AG723" s="32">
        <f t="shared" si="2005"/>
        <v>0</v>
      </c>
      <c r="AH723" s="32">
        <f t="shared" si="2005"/>
        <v>3204</v>
      </c>
      <c r="AI723" s="32">
        <f t="shared" si="2005"/>
        <v>5077</v>
      </c>
      <c r="AJ723" s="34">
        <f t="shared" ref="AJ723:AJ729" si="2008">AB723/AA723</f>
        <v>178.0482</v>
      </c>
      <c r="AK723" s="31">
        <f>SUM(O708)</f>
        <v>5161</v>
      </c>
      <c r="AL723" s="35">
        <f t="shared" ref="AL723:AL729" si="2009">AI723/AK723</f>
        <v>0.9837240845</v>
      </c>
      <c r="AM723" s="36">
        <f>SUM(Q708)</f>
        <v>1.5</v>
      </c>
      <c r="AN723" s="35">
        <f t="shared" ref="AN723:AN729" si="2010">AO723/AM723</f>
        <v>0.9504916833</v>
      </c>
      <c r="AO723" s="37">
        <f t="shared" ref="AO723:AO729" si="2011">AI723/AB723</f>
        <v>1.425737525</v>
      </c>
      <c r="AP723" s="36">
        <f t="shared" ref="AP723:AQ723" si="2006">SUM(T708)</f>
        <v>247.0318418</v>
      </c>
      <c r="AQ723" s="36">
        <f t="shared" si="2006"/>
        <v>12.35159209</v>
      </c>
      <c r="AR723" s="32">
        <f t="shared" ref="AR723:AR729" si="2013">AI723/AA723</f>
        <v>253.85</v>
      </c>
    </row>
    <row r="724" ht="15.75" customHeight="1">
      <c r="A724" s="21"/>
      <c r="B724" s="38">
        <v>17.0</v>
      </c>
      <c r="C724" s="38" t="s">
        <v>29</v>
      </c>
      <c r="D724" s="39">
        <v>23.0</v>
      </c>
      <c r="E724" s="40">
        <f>IFERROR(__xludf.DUMMYFUNCTION("COUNT(IMPORTRANGE(""https://docs.google.com/spreadsheets/d/1wfJqI0e9wVPqEQv3N6b8KgINjqI0OBECEyIFeY9j3i8/edit"",""2!d2:d31""))"),29.0)</f>
        <v>29</v>
      </c>
      <c r="F724" s="45">
        <f>IFERROR(__xludf.DUMMYFUNCTION("SUM(IMPORTRANGE(""https://docs.google.com/spreadsheets/d/1wfJqI0e9wVPqEQv3N6b8KgINjqI0OBECEyIFeY9j3i8/edit"",""2!Q2:Q31""))"),5775.037999999998)</f>
        <v>5775.038</v>
      </c>
      <c r="G724" s="40">
        <f>IFERROR(__xludf.DUMMYFUNCTION("IMPORTRANGE(""https://docs.google.com/spreadsheets/d/1wfJqI0e9wVPqEQv3N6b8KgINjqI0OBECEyIFeY9j3i8/edit"",""2!e38"")"),2726.0)</f>
        <v>2726</v>
      </c>
      <c r="H724" s="40">
        <f>IFERROR(__xludf.DUMMYFUNCTION("IMPORTRANGE(""https://docs.google.com/spreadsheets/d/1wfJqI0e9wVPqEQv3N6b8KgINjqI0OBECEyIFeY9j3i8/edit"",""2!e39"")"),0.0)</f>
        <v>0</v>
      </c>
      <c r="I724" s="40">
        <f t="shared" si="1965"/>
        <v>2726</v>
      </c>
      <c r="J724" s="40">
        <f>IFERROR(__xludf.DUMMYFUNCTION("IMPORTRANGE(""https://docs.google.com/spreadsheets/d/1wfJqI0e9wVPqEQv3N6b8KgINjqI0OBECEyIFeY9j3i8/edit"",""2!e42"")"),4235.0)</f>
        <v>4235</v>
      </c>
      <c r="K724" s="40">
        <f>IFERROR(__xludf.DUMMYFUNCTION("IMPORTRANGE(""https://docs.google.com/spreadsheets/d/1wfJqI0e9wVPqEQv3N6b8KgINjqI0OBECEyIFeY9j3i8/edit"",""2!e43"")"),0.0)</f>
        <v>0</v>
      </c>
      <c r="L724" s="40">
        <f t="shared" si="1995"/>
        <v>4235</v>
      </c>
      <c r="M724" s="40">
        <f t="shared" si="1967"/>
        <v>6961</v>
      </c>
      <c r="N724" s="41">
        <f t="shared" si="1968"/>
        <v>199.1392414</v>
      </c>
      <c r="O724" s="38">
        <v>9201.0</v>
      </c>
      <c r="P724" s="42">
        <f t="shared" si="1969"/>
        <v>0.7565482013</v>
      </c>
      <c r="Q724" s="43">
        <v>1.5</v>
      </c>
      <c r="R724" s="42">
        <f t="shared" si="1970"/>
        <v>0.803573356</v>
      </c>
      <c r="S724" s="44">
        <f t="shared" si="1971"/>
        <v>1.205360034</v>
      </c>
      <c r="T724" s="43">
        <f>F724/26.491</f>
        <v>218</v>
      </c>
      <c r="U724" s="43">
        <f t="shared" si="1972"/>
        <v>7.517241379</v>
      </c>
      <c r="V724" s="40">
        <f t="shared" si="1973"/>
        <v>240.0344828</v>
      </c>
      <c r="X724" s="31">
        <v>2.0</v>
      </c>
      <c r="Y724" s="31" t="s">
        <v>32</v>
      </c>
      <c r="Z724" s="31">
        <f t="shared" ref="Z724:AI724" si="2007">SUM(D711)</f>
        <v>32</v>
      </c>
      <c r="AA724" s="32">
        <f t="shared" si="2007"/>
        <v>42</v>
      </c>
      <c r="AB724" s="33">
        <f t="shared" si="2007"/>
        <v>8179.014</v>
      </c>
      <c r="AC724" s="31">
        <f t="shared" si="2007"/>
        <v>4808</v>
      </c>
      <c r="AD724" s="31">
        <f t="shared" si="2007"/>
        <v>0</v>
      </c>
      <c r="AE724" s="32">
        <f t="shared" si="2007"/>
        <v>4808</v>
      </c>
      <c r="AF724" s="31">
        <f t="shared" si="2007"/>
        <v>5449</v>
      </c>
      <c r="AG724" s="31">
        <f t="shared" si="2007"/>
        <v>190</v>
      </c>
      <c r="AH724" s="32">
        <f t="shared" si="2007"/>
        <v>5639</v>
      </c>
      <c r="AI724" s="32">
        <f t="shared" si="2007"/>
        <v>10447</v>
      </c>
      <c r="AJ724" s="34">
        <f t="shared" si="2008"/>
        <v>194.7384286</v>
      </c>
      <c r="AK724" s="31">
        <f>SUM(O711)</f>
        <v>13817</v>
      </c>
      <c r="AL724" s="35">
        <f t="shared" si="2009"/>
        <v>0.756097561</v>
      </c>
      <c r="AM724" s="36">
        <f>SUM(Q711)</f>
        <v>1.5</v>
      </c>
      <c r="AN724" s="35">
        <f t="shared" si="2010"/>
        <v>0.8515288844</v>
      </c>
      <c r="AO724" s="37">
        <f t="shared" si="2011"/>
        <v>1.277293327</v>
      </c>
      <c r="AP724" s="36">
        <f t="shared" ref="AP724:AQ724" si="2012">SUM(T711)</f>
        <v>326</v>
      </c>
      <c r="AQ724" s="36">
        <f t="shared" si="2012"/>
        <v>7.761904762</v>
      </c>
      <c r="AR724" s="32">
        <f t="shared" si="2013"/>
        <v>248.7380952</v>
      </c>
    </row>
    <row r="725" ht="15.75" customHeight="1">
      <c r="A725" s="21"/>
      <c r="B725" s="38">
        <v>18.0</v>
      </c>
      <c r="C725" s="38" t="s">
        <v>31</v>
      </c>
      <c r="D725" s="39">
        <v>11.0</v>
      </c>
      <c r="E725" s="40">
        <f>IFERROR(__xludf.DUMMYFUNCTION("COUNT(IMPORTRANGE(""https://docs.google.com/spreadsheets/d/1-y2KhTAo7d8kowgUuWUDfRQuRMUAFteRYEXorT3_wOs/edit"",""2!d2:d16""))"),13.0)</f>
        <v>13</v>
      </c>
      <c r="F725" s="41">
        <f>IFERROR(__xludf.DUMMYFUNCTION("SUM(IMPORTRANGE(""https://docs.google.com/spreadsheets/d/1-y2KhTAo7d8kowgUuWUDfRQuRMUAFteRYEXorT3_wOs/edit"",""2!Q2:Q16""))"),2607.9000000000005)</f>
        <v>2607.9</v>
      </c>
      <c r="G725" s="40">
        <f>IFERROR(__xludf.DUMMYFUNCTION("IMPORTRANGE(""https://docs.google.com/spreadsheets/d/1-y2KhTAo7d8kowgUuWUDfRQuRMUAFteRYEXorT3_wOs/edit"",""2!e23"")"),870.0)</f>
        <v>870</v>
      </c>
      <c r="H725" s="40">
        <f>IFERROR(__xludf.DUMMYFUNCTION("IMPORTRANGE(""https://docs.google.com/spreadsheets/d/1-y2KhTAo7d8kowgUuWUDfRQuRMUAFteRYEXorT3_wOs/edit"",""2!e24"")"),0.0)</f>
        <v>0</v>
      </c>
      <c r="I725" s="40">
        <f t="shared" si="1965"/>
        <v>870</v>
      </c>
      <c r="J725" s="40">
        <f>IFERROR(__xludf.DUMMYFUNCTION("IMPORTRANGE(""https://docs.google.com/spreadsheets/d/1-y2KhTAo7d8kowgUuWUDfRQuRMUAFteRYEXorT3_wOs/edit"",""2!e27"")"),975.0)</f>
        <v>975</v>
      </c>
      <c r="K725" s="40">
        <f>IFERROR(__xludf.DUMMYFUNCTION("IMPORTRANGE(""https://docs.google.com/spreadsheets/d/1-y2KhTAo7d8kowgUuWUDfRQuRMUAFteRYEXorT3_wOs/edit"",""2!e28"")"),55.0)</f>
        <v>55</v>
      </c>
      <c r="L725" s="40">
        <f t="shared" si="1995"/>
        <v>1030</v>
      </c>
      <c r="M725" s="40">
        <f t="shared" si="1967"/>
        <v>1900</v>
      </c>
      <c r="N725" s="41">
        <f t="shared" si="1968"/>
        <v>200.6076923</v>
      </c>
      <c r="O725" s="38">
        <v>2717.0</v>
      </c>
      <c r="P725" s="42">
        <f t="shared" si="1969"/>
        <v>0.6993006993</v>
      </c>
      <c r="Q725" s="43">
        <v>1.5</v>
      </c>
      <c r="R725" s="42">
        <f t="shared" si="1970"/>
        <v>0.4857036952</v>
      </c>
      <c r="S725" s="44">
        <f t="shared" si="1971"/>
        <v>0.7285555428</v>
      </c>
      <c r="T725" s="43">
        <f>F725/43.465</f>
        <v>60</v>
      </c>
      <c r="U725" s="43">
        <f t="shared" si="1972"/>
        <v>4.615384615</v>
      </c>
      <c r="V725" s="40">
        <f t="shared" si="1973"/>
        <v>146.1538462</v>
      </c>
      <c r="X725" s="31">
        <v>3.0</v>
      </c>
      <c r="Y725" s="31" t="s">
        <v>36</v>
      </c>
      <c r="Z725" s="31">
        <f t="shared" ref="Z725:AI725" si="2014">SUM(D716)</f>
        <v>23</v>
      </c>
      <c r="AA725" s="32">
        <f t="shared" si="2014"/>
        <v>29</v>
      </c>
      <c r="AB725" s="33">
        <f t="shared" si="2014"/>
        <v>5604.12</v>
      </c>
      <c r="AC725" s="32">
        <f t="shared" si="2014"/>
        <v>1533</v>
      </c>
      <c r="AD725" s="32">
        <f t="shared" si="2014"/>
        <v>0</v>
      </c>
      <c r="AE725" s="32">
        <f t="shared" si="2014"/>
        <v>1533</v>
      </c>
      <c r="AF725" s="32">
        <f t="shared" si="2014"/>
        <v>2301</v>
      </c>
      <c r="AG725" s="32">
        <f t="shared" si="2014"/>
        <v>0</v>
      </c>
      <c r="AH725" s="32">
        <f t="shared" si="2014"/>
        <v>2301</v>
      </c>
      <c r="AI725" s="32">
        <f t="shared" si="2014"/>
        <v>3834</v>
      </c>
      <c r="AJ725" s="34">
        <f t="shared" si="2008"/>
        <v>193.2455172</v>
      </c>
      <c r="AK725" s="31">
        <f t="shared" ref="AK725:AK728" si="2018">SUM(O716)</f>
        <v>4796</v>
      </c>
      <c r="AL725" s="35">
        <f t="shared" si="2009"/>
        <v>0.7994161802</v>
      </c>
      <c r="AM725" s="36">
        <f t="shared" ref="AM725:AM728" si="2019">SUM(Q716)</f>
        <v>1.5</v>
      </c>
      <c r="AN725" s="35">
        <f t="shared" si="2010"/>
        <v>0.4560930173</v>
      </c>
      <c r="AO725" s="37">
        <f t="shared" si="2011"/>
        <v>0.6841395259</v>
      </c>
      <c r="AP725" s="36">
        <f t="shared" ref="AP725:AQ725" si="2015">SUM(T716)</f>
        <v>149.7867109</v>
      </c>
      <c r="AQ725" s="36">
        <f t="shared" si="2015"/>
        <v>5.165058995</v>
      </c>
      <c r="AR725" s="32">
        <f t="shared" si="2013"/>
        <v>132.2068966</v>
      </c>
    </row>
    <row r="726" ht="15.75" customHeight="1">
      <c r="A726" s="21"/>
      <c r="B726" s="60" t="s">
        <v>33</v>
      </c>
      <c r="C726" s="60">
        <v>18.0</v>
      </c>
      <c r="D726" s="60">
        <f t="shared" ref="D726:M726" si="2016">SUM(D708:D725)</f>
        <v>446</v>
      </c>
      <c r="E726" s="61">
        <f t="shared" si="2016"/>
        <v>576</v>
      </c>
      <c r="F726" s="62">
        <f t="shared" si="2016"/>
        <v>112418.192</v>
      </c>
      <c r="G726" s="61">
        <f t="shared" si="2016"/>
        <v>43479</v>
      </c>
      <c r="H726" s="61">
        <f t="shared" si="2016"/>
        <v>764</v>
      </c>
      <c r="I726" s="61">
        <f t="shared" si="2016"/>
        <v>44243</v>
      </c>
      <c r="J726" s="61">
        <f t="shared" si="2016"/>
        <v>56392</v>
      </c>
      <c r="K726" s="61">
        <f t="shared" si="2016"/>
        <v>1134</v>
      </c>
      <c r="L726" s="61">
        <f t="shared" si="2016"/>
        <v>57526</v>
      </c>
      <c r="M726" s="61">
        <f t="shared" si="2016"/>
        <v>101769</v>
      </c>
      <c r="N726" s="62">
        <f t="shared" si="1968"/>
        <v>195.1704722</v>
      </c>
      <c r="O726" s="60">
        <f>SUM(O708:O725)</f>
        <v>126399</v>
      </c>
      <c r="P726" s="63">
        <f t="shared" si="1969"/>
        <v>0.8051408635</v>
      </c>
      <c r="Q726" s="64">
        <v>1.5</v>
      </c>
      <c r="R726" s="63">
        <f t="shared" si="1970"/>
        <v>0.6035144205</v>
      </c>
      <c r="S726" s="65">
        <f t="shared" si="1971"/>
        <v>0.9052716308</v>
      </c>
      <c r="T726" s="64">
        <f>SUM(T708:T725)</f>
        <v>4134.025243</v>
      </c>
      <c r="U726" s="64">
        <f t="shared" si="1972"/>
        <v>7.177127158</v>
      </c>
      <c r="V726" s="61">
        <f t="shared" si="1973"/>
        <v>176.6822917</v>
      </c>
      <c r="X726" s="31">
        <v>4.0</v>
      </c>
      <c r="Y726" s="31" t="s">
        <v>37</v>
      </c>
      <c r="Z726" s="31">
        <f t="shared" ref="Z726:AI726" si="2017">SUM(D717)</f>
        <v>23</v>
      </c>
      <c r="AA726" s="32">
        <f t="shared" si="2017"/>
        <v>30</v>
      </c>
      <c r="AB726" s="33">
        <f t="shared" si="2017"/>
        <v>5812.188</v>
      </c>
      <c r="AC726" s="32">
        <f t="shared" si="2017"/>
        <v>2138</v>
      </c>
      <c r="AD726" s="32">
        <f t="shared" si="2017"/>
        <v>0</v>
      </c>
      <c r="AE726" s="32">
        <f t="shared" si="2017"/>
        <v>2138</v>
      </c>
      <c r="AF726" s="32">
        <f t="shared" si="2017"/>
        <v>3071</v>
      </c>
      <c r="AG726" s="32">
        <f t="shared" si="2017"/>
        <v>0</v>
      </c>
      <c r="AH726" s="32">
        <f t="shared" si="2017"/>
        <v>3071</v>
      </c>
      <c r="AI726" s="32">
        <f t="shared" si="2017"/>
        <v>5209</v>
      </c>
      <c r="AJ726" s="34">
        <f t="shared" si="2008"/>
        <v>193.7396</v>
      </c>
      <c r="AK726" s="31">
        <f t="shared" si="2018"/>
        <v>5887</v>
      </c>
      <c r="AL726" s="35">
        <f t="shared" si="2009"/>
        <v>0.8848309835</v>
      </c>
      <c r="AM726" s="36">
        <f t="shared" si="2019"/>
        <v>1.5</v>
      </c>
      <c r="AN726" s="35">
        <f t="shared" si="2010"/>
        <v>0.5974800999</v>
      </c>
      <c r="AO726" s="37">
        <f t="shared" si="2011"/>
        <v>0.8962201498</v>
      </c>
      <c r="AP726" s="36">
        <f t="shared" ref="AP726:AQ726" si="2020">SUM(T717)</f>
        <v>234.4380445</v>
      </c>
      <c r="AQ726" s="36">
        <f t="shared" si="2020"/>
        <v>7.814601484</v>
      </c>
      <c r="AR726" s="32">
        <f t="shared" si="2013"/>
        <v>173.6333333</v>
      </c>
    </row>
    <row r="727" ht="15.7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X727" s="31">
        <v>5.0</v>
      </c>
      <c r="Y727" s="31" t="s">
        <v>39</v>
      </c>
      <c r="Z727" s="31">
        <f t="shared" ref="Z727:AI727" si="2021">SUM(D718)</f>
        <v>21</v>
      </c>
      <c r="AA727" s="32">
        <f t="shared" si="2021"/>
        <v>28</v>
      </c>
      <c r="AB727" s="33">
        <f t="shared" si="2021"/>
        <v>5458.878</v>
      </c>
      <c r="AC727" s="32">
        <f t="shared" si="2021"/>
        <v>1516</v>
      </c>
      <c r="AD727" s="32">
        <f t="shared" si="2021"/>
        <v>43</v>
      </c>
      <c r="AE727" s="32">
        <f t="shared" si="2021"/>
        <v>1559</v>
      </c>
      <c r="AF727" s="32">
        <f t="shared" si="2021"/>
        <v>1765</v>
      </c>
      <c r="AG727" s="32">
        <f t="shared" si="2021"/>
        <v>115</v>
      </c>
      <c r="AH727" s="32">
        <f t="shared" si="2021"/>
        <v>1880</v>
      </c>
      <c r="AI727" s="32">
        <f t="shared" si="2021"/>
        <v>3439</v>
      </c>
      <c r="AJ727" s="34">
        <f t="shared" si="2008"/>
        <v>194.9599286</v>
      </c>
      <c r="AK727" s="31">
        <f t="shared" si="2018"/>
        <v>3569</v>
      </c>
      <c r="AL727" s="35">
        <f t="shared" si="2009"/>
        <v>0.9635752312</v>
      </c>
      <c r="AM727" s="36">
        <f t="shared" si="2019"/>
        <v>1.5</v>
      </c>
      <c r="AN727" s="35">
        <f t="shared" si="2010"/>
        <v>0.4199886253</v>
      </c>
      <c r="AO727" s="37">
        <f t="shared" si="2011"/>
        <v>0.6299829379</v>
      </c>
      <c r="AP727" s="36">
        <f t="shared" ref="AP727:AQ727" si="2022">SUM(T718)</f>
        <v>254.339002</v>
      </c>
      <c r="AQ727" s="36">
        <f t="shared" si="2022"/>
        <v>9.083535786</v>
      </c>
      <c r="AR727" s="32">
        <f t="shared" si="2013"/>
        <v>122.8214286</v>
      </c>
    </row>
    <row r="728" ht="15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X728" s="31">
        <v>6.0</v>
      </c>
      <c r="Y728" s="31" t="s">
        <v>41</v>
      </c>
      <c r="Z728" s="31">
        <f t="shared" ref="Z728:AI728" si="2023">SUM(D719)</f>
        <v>19</v>
      </c>
      <c r="AA728" s="32">
        <f t="shared" si="2023"/>
        <v>24</v>
      </c>
      <c r="AB728" s="33">
        <f t="shared" si="2023"/>
        <v>4806.32</v>
      </c>
      <c r="AC728" s="32">
        <f t="shared" si="2023"/>
        <v>1468</v>
      </c>
      <c r="AD728" s="32">
        <f t="shared" si="2023"/>
        <v>0</v>
      </c>
      <c r="AE728" s="32">
        <f t="shared" si="2023"/>
        <v>1468</v>
      </c>
      <c r="AF728" s="32">
        <f t="shared" si="2023"/>
        <v>1656</v>
      </c>
      <c r="AG728" s="32">
        <f t="shared" si="2023"/>
        <v>0</v>
      </c>
      <c r="AH728" s="32">
        <f t="shared" si="2023"/>
        <v>1656</v>
      </c>
      <c r="AI728" s="32">
        <f t="shared" si="2023"/>
        <v>3124</v>
      </c>
      <c r="AJ728" s="34">
        <f t="shared" si="2008"/>
        <v>200.2633333</v>
      </c>
      <c r="AK728" s="31">
        <f t="shared" si="2018"/>
        <v>3801</v>
      </c>
      <c r="AL728" s="35">
        <f t="shared" si="2009"/>
        <v>0.8218889766</v>
      </c>
      <c r="AM728" s="36">
        <f t="shared" si="2019"/>
        <v>1.5</v>
      </c>
      <c r="AN728" s="35">
        <f t="shared" si="2010"/>
        <v>0.4333183531</v>
      </c>
      <c r="AO728" s="37">
        <f t="shared" si="2011"/>
        <v>0.6499775296</v>
      </c>
      <c r="AP728" s="36">
        <f t="shared" ref="AP728:AQ728" si="2024">SUM(T719)</f>
        <v>162.2222222</v>
      </c>
      <c r="AQ728" s="36">
        <f t="shared" si="2024"/>
        <v>6.759259259</v>
      </c>
      <c r="AR728" s="32">
        <f t="shared" si="2013"/>
        <v>130.1666667</v>
      </c>
    </row>
    <row r="729" ht="15.75" customHeight="1">
      <c r="A729" s="1" t="s">
        <v>45</v>
      </c>
      <c r="D729" s="2"/>
      <c r="X729" s="46" t="s">
        <v>33</v>
      </c>
      <c r="Y729" s="46">
        <v>6.0</v>
      </c>
      <c r="Z729" s="46">
        <f t="shared" ref="Z729:AI729" si="2025">SUM(Z723:Z728)</f>
        <v>133</v>
      </c>
      <c r="AA729" s="47">
        <f t="shared" si="2025"/>
        <v>173</v>
      </c>
      <c r="AB729" s="49">
        <f t="shared" si="2025"/>
        <v>33421.484</v>
      </c>
      <c r="AC729" s="47">
        <f t="shared" si="2025"/>
        <v>13336</v>
      </c>
      <c r="AD729" s="47">
        <f t="shared" si="2025"/>
        <v>43</v>
      </c>
      <c r="AE729" s="47">
        <f t="shared" si="2025"/>
        <v>13379</v>
      </c>
      <c r="AF729" s="47">
        <f t="shared" si="2025"/>
        <v>17446</v>
      </c>
      <c r="AG729" s="47">
        <f t="shared" si="2025"/>
        <v>305</v>
      </c>
      <c r="AH729" s="47">
        <f t="shared" si="2025"/>
        <v>17751</v>
      </c>
      <c r="AI729" s="47">
        <f t="shared" si="2025"/>
        <v>31130</v>
      </c>
      <c r="AJ729" s="49">
        <f t="shared" si="2008"/>
        <v>193.1877688</v>
      </c>
      <c r="AK729" s="46">
        <f>SUM(AK723:AK728)</f>
        <v>37031</v>
      </c>
      <c r="AL729" s="50">
        <f t="shared" si="2009"/>
        <v>0.8406470255</v>
      </c>
      <c r="AM729" s="51">
        <v>1.5</v>
      </c>
      <c r="AN729" s="50">
        <f t="shared" si="2010"/>
        <v>0.6209578645</v>
      </c>
      <c r="AO729" s="52">
        <f t="shared" si="2011"/>
        <v>0.9314367968</v>
      </c>
      <c r="AP729" s="51">
        <f>SUM(AP723:AP728)</f>
        <v>1373.817821</v>
      </c>
      <c r="AQ729" s="51">
        <f>AP729/AA729</f>
        <v>7.941143477</v>
      </c>
      <c r="AR729" s="47">
        <f t="shared" si="2013"/>
        <v>179.9421965</v>
      </c>
    </row>
    <row r="730" ht="15.75" customHeight="1">
      <c r="A730" s="1" t="s">
        <v>45</v>
      </c>
      <c r="D730" s="2"/>
      <c r="X730" s="66" t="s">
        <v>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6"/>
    </row>
    <row r="731" ht="15.75" customHeight="1">
      <c r="A731" s="7">
        <v>46293.0</v>
      </c>
      <c r="B731" s="8" t="s">
        <v>2</v>
      </c>
      <c r="C731" s="8" t="s">
        <v>3</v>
      </c>
      <c r="D731" s="8" t="s">
        <v>4</v>
      </c>
      <c r="E731" s="8" t="s">
        <v>5</v>
      </c>
      <c r="F731" s="9" t="s">
        <v>6</v>
      </c>
      <c r="G731" s="8" t="s">
        <v>7</v>
      </c>
      <c r="H731" s="8" t="s">
        <v>8</v>
      </c>
      <c r="I731" s="8" t="s">
        <v>9</v>
      </c>
      <c r="J731" s="8" t="s">
        <v>10</v>
      </c>
      <c r="K731" s="8" t="s">
        <v>11</v>
      </c>
      <c r="L731" s="8" t="s">
        <v>12</v>
      </c>
      <c r="M731" s="8" t="s">
        <v>13</v>
      </c>
      <c r="N731" s="9" t="s">
        <v>14</v>
      </c>
      <c r="O731" s="8" t="s">
        <v>15</v>
      </c>
      <c r="P731" s="8" t="s">
        <v>16</v>
      </c>
      <c r="Q731" s="8" t="s">
        <v>17</v>
      </c>
      <c r="R731" s="8" t="s">
        <v>18</v>
      </c>
      <c r="S731" s="11" t="s">
        <v>19</v>
      </c>
      <c r="T731" s="12" t="s">
        <v>20</v>
      </c>
      <c r="U731" s="12" t="s">
        <v>21</v>
      </c>
      <c r="V731" s="13" t="s">
        <v>22</v>
      </c>
      <c r="X731" s="14" t="s">
        <v>2</v>
      </c>
      <c r="Y731" s="14" t="s">
        <v>3</v>
      </c>
      <c r="Z731" s="14" t="s">
        <v>4</v>
      </c>
      <c r="AA731" s="14" t="s">
        <v>5</v>
      </c>
      <c r="AB731" s="15" t="s">
        <v>6</v>
      </c>
      <c r="AC731" s="14" t="s">
        <v>7</v>
      </c>
      <c r="AD731" s="14" t="s">
        <v>8</v>
      </c>
      <c r="AE731" s="14" t="s">
        <v>9</v>
      </c>
      <c r="AF731" s="14" t="s">
        <v>10</v>
      </c>
      <c r="AG731" s="14" t="s">
        <v>11</v>
      </c>
      <c r="AH731" s="14" t="s">
        <v>12</v>
      </c>
      <c r="AI731" s="14" t="s">
        <v>13</v>
      </c>
      <c r="AJ731" s="15" t="s">
        <v>14</v>
      </c>
      <c r="AK731" s="14" t="s">
        <v>15</v>
      </c>
      <c r="AL731" s="14" t="s">
        <v>16</v>
      </c>
      <c r="AM731" s="16" t="s">
        <v>17</v>
      </c>
      <c r="AN731" s="17" t="s">
        <v>18</v>
      </c>
      <c r="AO731" s="18" t="s">
        <v>19</v>
      </c>
      <c r="AP731" s="19" t="s">
        <v>20</v>
      </c>
      <c r="AQ731" s="19" t="s">
        <v>21</v>
      </c>
      <c r="AR731" s="20" t="s">
        <v>22</v>
      </c>
    </row>
    <row r="732" ht="15.7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X732" s="22">
        <v>1.0</v>
      </c>
      <c r="Y732" s="22" t="s">
        <v>23</v>
      </c>
      <c r="Z732" s="22">
        <f t="shared" ref="Z732:AI732" si="2026">SUM(D740)</f>
        <v>35</v>
      </c>
      <c r="AA732" s="23">
        <f t="shared" si="2026"/>
        <v>34</v>
      </c>
      <c r="AB732" s="24">
        <f t="shared" si="2026"/>
        <v>6680.52</v>
      </c>
      <c r="AC732" s="23">
        <f t="shared" si="2026"/>
        <v>2083</v>
      </c>
      <c r="AD732" s="23">
        <f t="shared" si="2026"/>
        <v>0</v>
      </c>
      <c r="AE732" s="23">
        <f t="shared" si="2026"/>
        <v>2083</v>
      </c>
      <c r="AF732" s="23">
        <f t="shared" si="2026"/>
        <v>2916</v>
      </c>
      <c r="AG732" s="23">
        <f t="shared" si="2026"/>
        <v>0</v>
      </c>
      <c r="AH732" s="23">
        <f t="shared" si="2026"/>
        <v>2916</v>
      </c>
      <c r="AI732" s="23">
        <f t="shared" si="2026"/>
        <v>4999</v>
      </c>
      <c r="AJ732" s="25">
        <f t="shared" ref="AJ732:AJ734" si="2029">AB732/AA732</f>
        <v>196.4858824</v>
      </c>
      <c r="AK732" s="22">
        <f>SUM(O740)</f>
        <v>6853</v>
      </c>
      <c r="AL732" s="26">
        <f t="shared" ref="AL732:AL738" si="2030">AI732/AK732</f>
        <v>0.7294615497</v>
      </c>
      <c r="AM732" s="27">
        <f t="shared" ref="AM732:AM734" si="2031">SUM(Q740)</f>
        <v>1.5</v>
      </c>
      <c r="AN732" s="26">
        <f t="shared" ref="AN732:AN738" si="2032">AO732/AM732</f>
        <v>0.4988633619</v>
      </c>
      <c r="AO732" s="28">
        <f t="shared" ref="AO732:AO738" si="2033">AI732/AB732</f>
        <v>0.7482950429</v>
      </c>
      <c r="AP732" s="27">
        <f t="shared" ref="AP732:AQ732" si="2027">SUM(T740)</f>
        <v>198</v>
      </c>
      <c r="AQ732" s="27">
        <f t="shared" si="2027"/>
        <v>5.823529412</v>
      </c>
      <c r="AR732" s="23">
        <f t="shared" ref="AR732:AR738" si="2035">AI732/AA732</f>
        <v>147.0294118</v>
      </c>
    </row>
    <row r="733" ht="15.7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X733" s="22">
        <v>2.0</v>
      </c>
      <c r="Y733" s="22" t="s">
        <v>24</v>
      </c>
      <c r="Z733" s="22">
        <f t="shared" ref="Z733:AI733" si="2028">SUM(D741)</f>
        <v>44</v>
      </c>
      <c r="AA733" s="23">
        <f t="shared" si="2028"/>
        <v>44</v>
      </c>
      <c r="AB733" s="24">
        <f t="shared" si="2028"/>
        <v>8354.582</v>
      </c>
      <c r="AC733" s="23">
        <f t="shared" si="2028"/>
        <v>1454</v>
      </c>
      <c r="AD733" s="23">
        <f t="shared" si="2028"/>
        <v>0</v>
      </c>
      <c r="AE733" s="23">
        <f t="shared" si="2028"/>
        <v>1454</v>
      </c>
      <c r="AF733" s="23">
        <f t="shared" si="2028"/>
        <v>1288</v>
      </c>
      <c r="AG733" s="23">
        <f t="shared" si="2028"/>
        <v>28</v>
      </c>
      <c r="AH733" s="23">
        <f t="shared" si="2028"/>
        <v>1316</v>
      </c>
      <c r="AI733" s="23">
        <f t="shared" si="2028"/>
        <v>2770</v>
      </c>
      <c r="AJ733" s="25">
        <f t="shared" si="2029"/>
        <v>189.8768636</v>
      </c>
      <c r="AK733" s="22">
        <v>1580.0</v>
      </c>
      <c r="AL733" s="29">
        <f t="shared" si="2030"/>
        <v>1.753164557</v>
      </c>
      <c r="AM733" s="27">
        <f t="shared" si="2031"/>
        <v>1.5</v>
      </c>
      <c r="AN733" s="26">
        <f t="shared" si="2032"/>
        <v>0.2210363926</v>
      </c>
      <c r="AO733" s="28">
        <f t="shared" si="2033"/>
        <v>0.3315545888</v>
      </c>
      <c r="AP733" s="27">
        <f t="shared" ref="AP733:AQ733" si="2034">SUM(T741)</f>
        <v>311.6799851</v>
      </c>
      <c r="AQ733" s="27">
        <f t="shared" si="2034"/>
        <v>7.083636024</v>
      </c>
      <c r="AR733" s="23">
        <f t="shared" si="2035"/>
        <v>62.95454545</v>
      </c>
    </row>
    <row r="734" ht="15.75" customHeight="1">
      <c r="A734" s="21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X734" s="31">
        <v>3.0</v>
      </c>
      <c r="Y734" s="31" t="s">
        <v>25</v>
      </c>
      <c r="Z734" s="31">
        <f t="shared" ref="Z734:AI734" si="2036">SUM(D742)</f>
        <v>32</v>
      </c>
      <c r="AA734" s="32">
        <f t="shared" si="2036"/>
        <v>31</v>
      </c>
      <c r="AB734" s="33">
        <f t="shared" si="2036"/>
        <v>5925.124</v>
      </c>
      <c r="AC734" s="32">
        <f t="shared" si="2036"/>
        <v>2351</v>
      </c>
      <c r="AD734" s="32">
        <f t="shared" si="2036"/>
        <v>438</v>
      </c>
      <c r="AE734" s="32">
        <f t="shared" si="2036"/>
        <v>2789</v>
      </c>
      <c r="AF734" s="32">
        <f t="shared" si="2036"/>
        <v>3213</v>
      </c>
      <c r="AG734" s="32">
        <f t="shared" si="2036"/>
        <v>305</v>
      </c>
      <c r="AH734" s="32">
        <f t="shared" si="2036"/>
        <v>3518</v>
      </c>
      <c r="AI734" s="32">
        <f t="shared" si="2036"/>
        <v>6307</v>
      </c>
      <c r="AJ734" s="34">
        <f t="shared" si="2029"/>
        <v>191.1330323</v>
      </c>
      <c r="AK734" s="31">
        <f>SUM(O742)</f>
        <v>6622</v>
      </c>
      <c r="AL734" s="35">
        <f t="shared" si="2030"/>
        <v>0.9524312896</v>
      </c>
      <c r="AM734" s="36">
        <f t="shared" si="2031"/>
        <v>1.5</v>
      </c>
      <c r="AN734" s="35">
        <f t="shared" si="2032"/>
        <v>0.7096335312</v>
      </c>
      <c r="AO734" s="37">
        <f t="shared" si="2033"/>
        <v>1.064450297</v>
      </c>
      <c r="AP734" s="36">
        <f t="shared" ref="AP734:AQ734" si="2037">SUM(T742)</f>
        <v>248.5370805</v>
      </c>
      <c r="AQ734" s="36">
        <f t="shared" si="2037"/>
        <v>8.017325179</v>
      </c>
      <c r="AR734" s="32">
        <f t="shared" si="2035"/>
        <v>203.4516129</v>
      </c>
    </row>
    <row r="735" ht="15.75" customHeight="1">
      <c r="A735" s="21"/>
      <c r="B735" s="38">
        <v>1.0</v>
      </c>
      <c r="C735" s="38" t="s">
        <v>26</v>
      </c>
      <c r="D735" s="39">
        <v>20.0</v>
      </c>
      <c r="E735" s="40">
        <f>IFERROR(__xludf.DUMMYFUNCTION("COUNT(IMPORTRANGE(""https://docs.google.com/spreadsheets/d/1F0NpMx7WhcgPgxTWpryY3Z1CGg56FL6aiL4mHs43w4E/edit"",""2!d2:d21""))"),20.0)</f>
        <v>20</v>
      </c>
      <c r="F735" s="41">
        <f>IFERROR(__xludf.DUMMYFUNCTION("SUM(IMPORTRANGE(""https://docs.google.com/spreadsheets/d/1F0NpMx7WhcgPgxTWpryY3Z1CGg56FL6aiL4mHs43w4E/edit"",""2!Q2:Q21""))"),3560.964)</f>
        <v>3560.964</v>
      </c>
      <c r="G735" s="40">
        <f>IFERROR(__xludf.DUMMYFUNCTION("IMPORTRANGE(""https://docs.google.com/spreadsheets/d/1F0NpMx7WhcgPgxTWpryY3Z1CGg56FL6aiL4mHs43w4E/edit"",""2!e28"")"),1873.0)</f>
        <v>1873</v>
      </c>
      <c r="H735" s="40">
        <f>IFERROR(__xludf.DUMMYFUNCTION("IMPORTRANGE(""https://docs.google.com/spreadsheets/d/1F0NpMx7WhcgPgxTWpryY3Z1CGg56FL6aiL4mHs43w4E/edit"",""2!e29"")"),0.0)</f>
        <v>0</v>
      </c>
      <c r="I735" s="40">
        <f t="shared" ref="I735:I752" si="2040">SUM(G735:H735)</f>
        <v>1873</v>
      </c>
      <c r="J735" s="40">
        <f>IFERROR(__xludf.DUMMYFUNCTION("IMPORTRANGE(""https://docs.google.com/spreadsheets/d/1F0NpMx7WhcgPgxTWpryY3Z1CGg56FL6aiL4mHs43w4E/edit"",""2!e32"")"),3204.0)</f>
        <v>3204</v>
      </c>
      <c r="K735" s="40">
        <f>IFERROR(__xludf.DUMMYFUNCTION("IMPORTRANGE(""https://docs.google.com/spreadsheets/d/1F0NpMx7WhcgPgxTWpryY3Z1CGg56FL6aiL4mHs43w4E/edit"",""2!e33"")"),0.0)</f>
        <v>0</v>
      </c>
      <c r="L735" s="40">
        <f t="shared" ref="L735:L741" si="2041">SUM(J735:K735)</f>
        <v>3204</v>
      </c>
      <c r="M735" s="40">
        <f t="shared" ref="M735:M752" si="2042">SUM(I735+L735)</f>
        <v>5077</v>
      </c>
      <c r="N735" s="41">
        <f t="shared" ref="N735:N753" si="2043">F735/E735</f>
        <v>178.0482</v>
      </c>
      <c r="O735" s="38">
        <v>5161.0</v>
      </c>
      <c r="P735" s="42">
        <f t="shared" ref="P735:P753" si="2044">M735/O735</f>
        <v>0.9837240845</v>
      </c>
      <c r="Q735" s="43">
        <v>1.5</v>
      </c>
      <c r="R735" s="42">
        <f t="shared" ref="R735:R753" si="2045">S735/Q735</f>
        <v>0.9504916833</v>
      </c>
      <c r="S735" s="44">
        <f t="shared" ref="S735:S753" si="2046">M735/F735</f>
        <v>1.425737525</v>
      </c>
      <c r="T735" s="43">
        <f>F735/14.415</f>
        <v>247.0318418</v>
      </c>
      <c r="U735" s="43">
        <f t="shared" ref="U735:U753" si="2047">T735/E735</f>
        <v>12.35159209</v>
      </c>
      <c r="V735" s="40">
        <f t="shared" ref="V735:V753" si="2048">M735/E735</f>
        <v>253.85</v>
      </c>
      <c r="X735" s="22">
        <v>4.0</v>
      </c>
      <c r="Y735" s="22" t="s">
        <v>27</v>
      </c>
      <c r="Z735" s="22">
        <f t="shared" ref="Z735:AK735" si="2038">SUM(D748)</f>
        <v>30</v>
      </c>
      <c r="AA735" s="23">
        <f t="shared" si="2038"/>
        <v>28</v>
      </c>
      <c r="AB735" s="24">
        <f t="shared" si="2038"/>
        <v>5465.76</v>
      </c>
      <c r="AC735" s="23">
        <f t="shared" si="2038"/>
        <v>2368</v>
      </c>
      <c r="AD735" s="23">
        <f t="shared" si="2038"/>
        <v>140</v>
      </c>
      <c r="AE735" s="23">
        <f t="shared" si="2038"/>
        <v>2508</v>
      </c>
      <c r="AF735" s="23">
        <f t="shared" si="2038"/>
        <v>3355</v>
      </c>
      <c r="AG735" s="23">
        <f t="shared" si="2038"/>
        <v>107</v>
      </c>
      <c r="AH735" s="23">
        <f t="shared" si="2038"/>
        <v>3462</v>
      </c>
      <c r="AI735" s="23">
        <f t="shared" si="2038"/>
        <v>5970</v>
      </c>
      <c r="AJ735" s="25">
        <f t="shared" si="2038"/>
        <v>195.2057143</v>
      </c>
      <c r="AK735" s="22">
        <f t="shared" si="2038"/>
        <v>8101</v>
      </c>
      <c r="AL735" s="26">
        <f t="shared" si="2030"/>
        <v>0.736946056</v>
      </c>
      <c r="AM735" s="27">
        <f>SUM(Q748)</f>
        <v>1.5</v>
      </c>
      <c r="AN735" s="26">
        <f t="shared" si="2032"/>
        <v>0.7281695501</v>
      </c>
      <c r="AO735" s="28">
        <f t="shared" si="2033"/>
        <v>1.092254325</v>
      </c>
      <c r="AP735" s="27">
        <f t="shared" ref="AP735:AQ735" si="2039">SUM(T748)</f>
        <v>273.4931198</v>
      </c>
      <c r="AQ735" s="27">
        <f t="shared" si="2039"/>
        <v>9.767611423</v>
      </c>
      <c r="AR735" s="23">
        <f t="shared" si="2035"/>
        <v>213.2142857</v>
      </c>
    </row>
    <row r="736" ht="15.75" customHeight="1">
      <c r="A736" s="21"/>
      <c r="B736" s="38">
        <v>2.0</v>
      </c>
      <c r="C736" s="38" t="s">
        <v>28</v>
      </c>
      <c r="D736" s="39">
        <v>33.0</v>
      </c>
      <c r="E736" s="40">
        <f>IFERROR(__xludf.DUMMYFUNCTION("COUNT(IMPORTRANGE(""https://docs.google.com/spreadsheets/d/1H9vAqftAHb0OdeSGXHTnJFzoWUgpoH31sc0sHNN8y1o/edit"",""2!d2:d34""))"),33.0)</f>
        <v>33</v>
      </c>
      <c r="F736" s="41">
        <f>IFERROR(__xludf.DUMMYFUNCTION("SUM(IMPORTRANGE(""https://docs.google.com/spreadsheets/d/1H9vAqftAHb0OdeSGXHTnJFzoWUgpoH31sc0sHNN8y1o/edit"",""2!Q2:Q34""))"),6528.832999999999)</f>
        <v>6528.833</v>
      </c>
      <c r="G736" s="40">
        <f>IFERROR(__xludf.DUMMYFUNCTION("IMPORTRANGE(""https://docs.google.com/spreadsheets/d/1H9vAqftAHb0OdeSGXHTnJFzoWUgpoH31sc0sHNN8y1o/edit"",""2!e41"")"),2700.0)</f>
        <v>2700</v>
      </c>
      <c r="H736" s="40">
        <f>IFERROR(__xludf.DUMMYFUNCTION("IMPORTRANGE(""https://docs.google.com/spreadsheets/d/1H9vAqftAHb0OdeSGXHTnJFzoWUgpoH31sc0sHNN8y1o/edit"",""2!e42"")"),104.0)</f>
        <v>104</v>
      </c>
      <c r="I736" s="40">
        <f t="shared" si="2040"/>
        <v>2804</v>
      </c>
      <c r="J736" s="40">
        <f>IFERROR(__xludf.DUMMYFUNCTION("IMPORTRANGE(""https://docs.google.com/spreadsheets/d/1H9vAqftAHb0OdeSGXHTnJFzoWUgpoH31sc0sHNN8y1o/edit"",""2!e45"")"),3205.0)</f>
        <v>3205</v>
      </c>
      <c r="K736" s="40">
        <f>IFERROR(__xludf.DUMMYFUNCTION("IMPORTRANGE(""https://docs.google.com/spreadsheets/d/1H9vAqftAHb0OdeSGXHTnJFzoWUgpoH31sc0sHNN8y1o/edit"",""2!e46"")"),102.0)</f>
        <v>102</v>
      </c>
      <c r="L736" s="40">
        <f t="shared" si="2041"/>
        <v>3307</v>
      </c>
      <c r="M736" s="40">
        <f t="shared" si="2042"/>
        <v>6111</v>
      </c>
      <c r="N736" s="41">
        <f t="shared" si="2043"/>
        <v>197.8434242</v>
      </c>
      <c r="O736" s="38">
        <v>7315.0</v>
      </c>
      <c r="P736" s="42">
        <f t="shared" si="2044"/>
        <v>0.8354066986</v>
      </c>
      <c r="Q736" s="43">
        <v>1.5</v>
      </c>
      <c r="R736" s="42">
        <f t="shared" si="2045"/>
        <v>0.6240012572</v>
      </c>
      <c r="S736" s="44">
        <f t="shared" si="2046"/>
        <v>0.9360018858</v>
      </c>
      <c r="T736" s="43">
        <f>F736/30.897</f>
        <v>211.3096093</v>
      </c>
      <c r="U736" s="43">
        <f t="shared" si="2047"/>
        <v>6.403321495</v>
      </c>
      <c r="V736" s="40">
        <f t="shared" si="2048"/>
        <v>185.1818182</v>
      </c>
      <c r="X736" s="22">
        <v>5.0</v>
      </c>
      <c r="Y736" s="22" t="s">
        <v>29</v>
      </c>
      <c r="Z736" s="22">
        <f t="shared" ref="Z736:AI736" si="2049">SUM(D751)</f>
        <v>30</v>
      </c>
      <c r="AA736" s="23">
        <f t="shared" si="2049"/>
        <v>29</v>
      </c>
      <c r="AB736" s="24">
        <f t="shared" si="2049"/>
        <v>5775.038</v>
      </c>
      <c r="AC736" s="23">
        <f t="shared" si="2049"/>
        <v>2726</v>
      </c>
      <c r="AD736" s="23">
        <f t="shared" si="2049"/>
        <v>0</v>
      </c>
      <c r="AE736" s="23">
        <f t="shared" si="2049"/>
        <v>2726</v>
      </c>
      <c r="AF736" s="23">
        <f t="shared" si="2049"/>
        <v>4235</v>
      </c>
      <c r="AG736" s="23">
        <f t="shared" si="2049"/>
        <v>0</v>
      </c>
      <c r="AH736" s="23">
        <f t="shared" si="2049"/>
        <v>4235</v>
      </c>
      <c r="AI736" s="23">
        <f t="shared" si="2049"/>
        <v>6961</v>
      </c>
      <c r="AJ736" s="25">
        <f t="shared" ref="AJ736:AJ738" si="2052">AB736/AA736</f>
        <v>199.1392414</v>
      </c>
      <c r="AK736" s="22">
        <f t="shared" ref="AK736:AK737" si="2053">SUM(O751)</f>
        <v>9201</v>
      </c>
      <c r="AL736" s="26">
        <f t="shared" si="2030"/>
        <v>0.7565482013</v>
      </c>
      <c r="AM736" s="27">
        <f t="shared" ref="AM736:AM737" si="2054">SUM(Q751)</f>
        <v>1.5</v>
      </c>
      <c r="AN736" s="26">
        <f t="shared" si="2032"/>
        <v>0.803573356</v>
      </c>
      <c r="AO736" s="28">
        <f t="shared" si="2033"/>
        <v>1.205360034</v>
      </c>
      <c r="AP736" s="27">
        <f t="shared" ref="AP736:AQ736" si="2050">SUM(T751)</f>
        <v>218</v>
      </c>
      <c r="AQ736" s="27">
        <f t="shared" si="2050"/>
        <v>7.517241379</v>
      </c>
      <c r="AR736" s="23">
        <f t="shared" si="2035"/>
        <v>240.0344828</v>
      </c>
    </row>
    <row r="737" ht="15.75" customHeight="1">
      <c r="A737" s="21"/>
      <c r="B737" s="38">
        <v>3.0</v>
      </c>
      <c r="C737" s="38" t="s">
        <v>30</v>
      </c>
      <c r="D737" s="39">
        <v>60.0</v>
      </c>
      <c r="E737" s="40">
        <f>IFERROR(__xludf.DUMMYFUNCTION("COUNT(IMPORTRANGE(""https://docs.google.com/spreadsheets/d/1EWN6nfpuVxbUE_9opjYCWaI7MTm5xsF6ssjklSbMZnA/edit"",""2!d2:d61""))"),58.0)</f>
        <v>58</v>
      </c>
      <c r="F737" s="45">
        <f>IFERROR(__xludf.DUMMYFUNCTION("SUM(IMPORTRANGE(""https://docs.google.com/spreadsheets/d/1EWN6nfpuVxbUE_9opjYCWaI7MTm5xsF6ssjklSbMZnA/edit"",""2!Q2:Q61""))"),11253.344999999988)</f>
        <v>11253.345</v>
      </c>
      <c r="G737" s="40">
        <f>IFERROR(__xludf.DUMMYFUNCTION("IMPORTRANGE(""https://docs.google.com/spreadsheets/d/1EWN6nfpuVxbUE_9opjYCWaI7MTm5xsF6ssjklSbMZnA/edit"",""2!e68"")"),3757.0)</f>
        <v>3757</v>
      </c>
      <c r="H737" s="40">
        <f>IFERROR(__xludf.DUMMYFUNCTION("IMPORTRANGE(""https://docs.google.com/spreadsheets/d/1EWN6nfpuVxbUE_9opjYCWaI7MTm5xsF6ssjklSbMZnA/edit"",""2!e69"")"),0.0)</f>
        <v>0</v>
      </c>
      <c r="I737" s="40">
        <f t="shared" si="2040"/>
        <v>3757</v>
      </c>
      <c r="J737" s="40">
        <f>IFERROR(__xludf.DUMMYFUNCTION("IMPORTRANGE(""https://docs.google.com/spreadsheets/d/1EWN6nfpuVxbUE_9opjYCWaI7MTm5xsF6ssjklSbMZnA/edit"",""2!e72"")"),5596.0)</f>
        <v>5596</v>
      </c>
      <c r="K737" s="40">
        <f>IFERROR(__xludf.DUMMYFUNCTION("IMPORTRANGE(""https://docs.google.com/spreadsheets/d/1EWN6nfpuVxbUE_9opjYCWaI7MTm5xsF6ssjklSbMZnA/edit"",""2!e73"")"),0.0)</f>
        <v>0</v>
      </c>
      <c r="L737" s="40">
        <f t="shared" si="2041"/>
        <v>5596</v>
      </c>
      <c r="M737" s="40">
        <f t="shared" si="2042"/>
        <v>9353</v>
      </c>
      <c r="N737" s="41">
        <f t="shared" si="2043"/>
        <v>194.0231897</v>
      </c>
      <c r="O737" s="38">
        <v>11164.0</v>
      </c>
      <c r="P737" s="42">
        <f t="shared" si="2044"/>
        <v>0.8377821569</v>
      </c>
      <c r="Q737" s="43">
        <v>1.5</v>
      </c>
      <c r="R737" s="42">
        <f t="shared" si="2045"/>
        <v>0.5540871033</v>
      </c>
      <c r="S737" s="44">
        <f t="shared" si="2046"/>
        <v>0.8311306549</v>
      </c>
      <c r="T737" s="43">
        <f>F737/29.603</f>
        <v>380.1420464</v>
      </c>
      <c r="U737" s="43">
        <f t="shared" si="2047"/>
        <v>6.554173214</v>
      </c>
      <c r="V737" s="40">
        <f t="shared" si="2048"/>
        <v>161.2586207</v>
      </c>
      <c r="X737" s="22">
        <v>6.0</v>
      </c>
      <c r="Y737" s="22" t="s">
        <v>31</v>
      </c>
      <c r="Z737" s="22">
        <f t="shared" ref="Z737:AI737" si="2051">SUM(D752)</f>
        <v>15</v>
      </c>
      <c r="AA737" s="23">
        <f t="shared" si="2051"/>
        <v>13</v>
      </c>
      <c r="AB737" s="25">
        <f t="shared" si="2051"/>
        <v>2607.9</v>
      </c>
      <c r="AC737" s="23">
        <f t="shared" si="2051"/>
        <v>870</v>
      </c>
      <c r="AD737" s="23">
        <f t="shared" si="2051"/>
        <v>0</v>
      </c>
      <c r="AE737" s="23">
        <f t="shared" si="2051"/>
        <v>870</v>
      </c>
      <c r="AF737" s="23">
        <f t="shared" si="2051"/>
        <v>975</v>
      </c>
      <c r="AG737" s="23">
        <f t="shared" si="2051"/>
        <v>55</v>
      </c>
      <c r="AH737" s="23">
        <f t="shared" si="2051"/>
        <v>1030</v>
      </c>
      <c r="AI737" s="23">
        <f t="shared" si="2051"/>
        <v>1900</v>
      </c>
      <c r="AJ737" s="25">
        <f t="shared" si="2052"/>
        <v>200.6076923</v>
      </c>
      <c r="AK737" s="22">
        <f t="shared" si="2053"/>
        <v>2717</v>
      </c>
      <c r="AL737" s="26">
        <f t="shared" si="2030"/>
        <v>0.6993006993</v>
      </c>
      <c r="AM737" s="27">
        <f t="shared" si="2054"/>
        <v>1.5</v>
      </c>
      <c r="AN737" s="26">
        <f t="shared" si="2032"/>
        <v>0.4857036952</v>
      </c>
      <c r="AO737" s="28">
        <f t="shared" si="2033"/>
        <v>0.7285555428</v>
      </c>
      <c r="AP737" s="27">
        <f t="shared" ref="AP737:AQ737" si="2055">SUM(T752)</f>
        <v>60</v>
      </c>
      <c r="AQ737" s="27">
        <f t="shared" si="2055"/>
        <v>4.615384615</v>
      </c>
      <c r="AR737" s="23">
        <f t="shared" si="2035"/>
        <v>146.1538462</v>
      </c>
    </row>
    <row r="738" ht="15.75" customHeight="1">
      <c r="A738" s="21"/>
      <c r="B738" s="38">
        <v>4.0</v>
      </c>
      <c r="C738" s="38" t="s">
        <v>32</v>
      </c>
      <c r="D738" s="39">
        <v>42.0</v>
      </c>
      <c r="E738" s="40">
        <f>IFERROR(__xludf.DUMMYFUNCTION("COUNT(IMPORTRANGE(""https://docs.google.com/spreadsheets/d/1Rmar8QqWK4XOJ-eY6xMzkAfDSw0srEXcAw89ilArun8/edit"",""2!d2:d43""))"),42.0)</f>
        <v>42</v>
      </c>
      <c r="F738" s="45">
        <f>IFERROR(__xludf.DUMMYFUNCTION("SUM(IMPORTRANGE(""https://docs.google.com/spreadsheets/d/1Rmar8QqWK4XOJ-eY6xMzkAfDSw0srEXcAw89ilArun8/edit"",""2!Q2:Q43""))"),8179.01399999999)</f>
        <v>8179.014</v>
      </c>
      <c r="G738" s="38">
        <f>IFERROR(__xludf.DUMMYFUNCTION("IMPORTRANGE(""https://docs.google.com/spreadsheets/d/1Rmar8QqWK4XOJ-eY6xMzkAfDSw0srEXcAw89ilArun8/edit"",""2!e50"")"),4808.0)</f>
        <v>4808</v>
      </c>
      <c r="H738" s="38">
        <f>IFERROR(__xludf.DUMMYFUNCTION("IMPORTRANGE(""https://docs.google.com/spreadsheets/d/1Rmar8QqWK4XOJ-eY6xMzkAfDSw0srEXcAw89ilArun8/edit"",""2!e51"")"),0.0)</f>
        <v>0</v>
      </c>
      <c r="I738" s="40">
        <f t="shared" si="2040"/>
        <v>4808</v>
      </c>
      <c r="J738" s="38">
        <f>IFERROR(__xludf.DUMMYFUNCTION("IMPORTRANGE(""https://docs.google.com/spreadsheets/d/1Rmar8QqWK4XOJ-eY6xMzkAfDSw0srEXcAw89ilArun8/edit"",""2!e54"")"),5449.0)</f>
        <v>5449</v>
      </c>
      <c r="K738" s="38">
        <f>IFERROR(__xludf.DUMMYFUNCTION("IMPORTRANGE(""https://docs.google.com/spreadsheets/d/1Rmar8QqWK4XOJ-eY6xMzkAfDSw0srEXcAw89ilArun8/edit"",""2!e55"")"),190.0)</f>
        <v>190</v>
      </c>
      <c r="L738" s="40">
        <f t="shared" si="2041"/>
        <v>5639</v>
      </c>
      <c r="M738" s="40">
        <f t="shared" si="2042"/>
        <v>10447</v>
      </c>
      <c r="N738" s="41">
        <f t="shared" si="2043"/>
        <v>194.7384286</v>
      </c>
      <c r="O738" s="38">
        <v>13817.0</v>
      </c>
      <c r="P738" s="42">
        <f t="shared" si="2044"/>
        <v>0.756097561</v>
      </c>
      <c r="Q738" s="43">
        <v>1.5</v>
      </c>
      <c r="R738" s="42">
        <f t="shared" si="2045"/>
        <v>0.8515288844</v>
      </c>
      <c r="S738" s="44">
        <f t="shared" si="2046"/>
        <v>1.277293327</v>
      </c>
      <c r="T738" s="43">
        <f>F738/25.089</f>
        <v>326</v>
      </c>
      <c r="U738" s="43">
        <f t="shared" si="2047"/>
        <v>7.761904762</v>
      </c>
      <c r="V738" s="40">
        <f t="shared" si="2048"/>
        <v>248.7380952</v>
      </c>
      <c r="X738" s="46" t="s">
        <v>33</v>
      </c>
      <c r="Y738" s="46">
        <v>6.0</v>
      </c>
      <c r="Z738" s="46">
        <f t="shared" ref="Z738:AI738" si="2056">SUM(Z732:Z737)</f>
        <v>186</v>
      </c>
      <c r="AA738" s="47">
        <f t="shared" si="2056"/>
        <v>179</v>
      </c>
      <c r="AB738" s="48">
        <f t="shared" si="2056"/>
        <v>34808.924</v>
      </c>
      <c r="AC738" s="47">
        <f t="shared" si="2056"/>
        <v>11852</v>
      </c>
      <c r="AD738" s="47">
        <f t="shared" si="2056"/>
        <v>578</v>
      </c>
      <c r="AE738" s="47">
        <f t="shared" si="2056"/>
        <v>12430</v>
      </c>
      <c r="AF738" s="47">
        <f t="shared" si="2056"/>
        <v>15982</v>
      </c>
      <c r="AG738" s="47">
        <f t="shared" si="2056"/>
        <v>495</v>
      </c>
      <c r="AH738" s="47">
        <f t="shared" si="2056"/>
        <v>16477</v>
      </c>
      <c r="AI738" s="47">
        <f t="shared" si="2056"/>
        <v>28907</v>
      </c>
      <c r="AJ738" s="49">
        <f t="shared" si="2052"/>
        <v>194.4632626</v>
      </c>
      <c r="AK738" s="46">
        <f>SUM(AK732:AK737)</f>
        <v>35074</v>
      </c>
      <c r="AL738" s="50">
        <f t="shared" si="2030"/>
        <v>0.8241717512</v>
      </c>
      <c r="AM738" s="51">
        <v>1.5</v>
      </c>
      <c r="AN738" s="50">
        <f t="shared" si="2032"/>
        <v>0.5536319748</v>
      </c>
      <c r="AO738" s="52">
        <f t="shared" si="2033"/>
        <v>0.8304479621</v>
      </c>
      <c r="AP738" s="51">
        <f>SUM(AP732:AP737)</f>
        <v>1309.710185</v>
      </c>
      <c r="AQ738" s="51">
        <f>AP738/AA738</f>
        <v>7.316816679</v>
      </c>
      <c r="AR738" s="47">
        <f t="shared" si="2035"/>
        <v>161.4916201</v>
      </c>
    </row>
    <row r="739" ht="15.75" customHeight="1">
      <c r="A739" s="21"/>
      <c r="B739" s="38">
        <v>5.0</v>
      </c>
      <c r="C739" s="38" t="s">
        <v>34</v>
      </c>
      <c r="D739" s="39">
        <v>40.0</v>
      </c>
      <c r="E739" s="40">
        <f>IFERROR(__xludf.DUMMYFUNCTION("COUNT(IMPORTRANGE(""https://docs.google.com/spreadsheets/d/1u99JxAoytGQQ8GcjxXl38CGdyEWy5uIbuJJHnsotyvk/edit"",""2!d2:d41""))"),40.0)</f>
        <v>40</v>
      </c>
      <c r="F739" s="45">
        <f>IFERROR(__xludf.DUMMYFUNCTION("SUM(IMPORTRANGE(""https://docs.google.com/spreadsheets/d/1u99JxAoytGQQ8GcjxXl38CGdyEWy5uIbuJJHnsotyvk/edit"",""2!Q2:Q41""))"),7895.343000000003)</f>
        <v>7895.343</v>
      </c>
      <c r="G739" s="40">
        <f>IFERROR(__xludf.DUMMYFUNCTION("IMPORTRANGE(""https://docs.google.com/spreadsheets/d/1u99JxAoytGQQ8GcjxXl38CGdyEWy5uIbuJJHnsotyvk/edit"",""2!e48"")"),3069.0)</f>
        <v>3069</v>
      </c>
      <c r="H739" s="40">
        <f>IFERROR(__xludf.DUMMYFUNCTION("IMPORTRANGE(""https://docs.google.com/spreadsheets/d/1u99JxAoytGQQ8GcjxXl38CGdyEWy5uIbuJJHnsotyvk/edit"",""2!e49"")"),0.0)</f>
        <v>0</v>
      </c>
      <c r="I739" s="40">
        <f t="shared" si="2040"/>
        <v>3069</v>
      </c>
      <c r="J739" s="40">
        <f>IFERROR(__xludf.DUMMYFUNCTION("IMPORTRANGE(""https://docs.google.com/spreadsheets/d/1u99JxAoytGQQ8GcjxXl38CGdyEWy5uIbuJJHnsotyvk/edit"",""2!e52"")"),3126.0)</f>
        <v>3126</v>
      </c>
      <c r="K739" s="40">
        <f>IFERROR(__xludf.DUMMYFUNCTION("IMPORTRANGE(""https://docs.google.com/spreadsheets/d/1u99JxAoytGQQ8GcjxXl38CGdyEWy5uIbuJJHnsotyvk/edit"",""2!e53"")"),0.0)</f>
        <v>0</v>
      </c>
      <c r="L739" s="40">
        <f t="shared" si="2041"/>
        <v>3126</v>
      </c>
      <c r="M739" s="40">
        <f t="shared" si="2042"/>
        <v>6195</v>
      </c>
      <c r="N739" s="41">
        <f t="shared" si="2043"/>
        <v>197.383575</v>
      </c>
      <c r="O739" s="38">
        <v>9354.0</v>
      </c>
      <c r="P739" s="42">
        <f t="shared" si="2044"/>
        <v>0.6622835151</v>
      </c>
      <c r="Q739" s="43">
        <v>1.5</v>
      </c>
      <c r="R739" s="42">
        <f t="shared" si="2045"/>
        <v>0.5230931702</v>
      </c>
      <c r="S739" s="44">
        <f t="shared" si="2046"/>
        <v>0.7846397554</v>
      </c>
      <c r="T739" s="43">
        <f>F739/30.713</f>
        <v>257.0684401</v>
      </c>
      <c r="U739" s="43">
        <f t="shared" si="2047"/>
        <v>6.426711002</v>
      </c>
      <c r="V739" s="40">
        <f t="shared" si="2048"/>
        <v>154.875</v>
      </c>
      <c r="X739" s="53" t="s">
        <v>35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6"/>
    </row>
    <row r="740" ht="15.75" customHeight="1">
      <c r="A740" s="21"/>
      <c r="B740" s="38">
        <v>6.0</v>
      </c>
      <c r="C740" s="38" t="s">
        <v>23</v>
      </c>
      <c r="D740" s="39">
        <v>35.0</v>
      </c>
      <c r="E740" s="40">
        <f>IFERROR(__xludf.DUMMYFUNCTION("COUNT(IMPORTRANGE(""https://docs.google.com/spreadsheets/d/1uVc-vnTn57HE53lwrUYNZP4sGKTXisrqOoZ-6EyvLzY/edit"",""2!d2:d36""))"),34.0)</f>
        <v>34</v>
      </c>
      <c r="F740" s="45">
        <f>IFERROR(__xludf.DUMMYFUNCTION("SUM(IMPORTRANGE(""https://docs.google.com/spreadsheets/d/1uVc-vnTn57HE53lwrUYNZP4sGKTXisrqOoZ-6EyvLzY/edit"",""2!Q2:Q36""))"),6680.519999999996)</f>
        <v>6680.52</v>
      </c>
      <c r="G740" s="40">
        <f>IFERROR(__xludf.DUMMYFUNCTION("IMPORTRANGE(""https://docs.google.com/spreadsheets/d/1uVc-vnTn57HE53lwrUYNZP4sGKTXisrqOoZ-6EyvLzY/edit"",""2!e43"")"),2083.0)</f>
        <v>2083</v>
      </c>
      <c r="H740" s="40">
        <f>IFERROR(__xludf.DUMMYFUNCTION("IMPORTRANGE(""https://docs.google.com/spreadsheets/d/1uVc-vnTn57HE53lwrUYNZP4sGKTXisrqOoZ-6EyvLzY/edit"",""2!e44"")"),0.0)</f>
        <v>0</v>
      </c>
      <c r="I740" s="40">
        <f t="shared" si="2040"/>
        <v>2083</v>
      </c>
      <c r="J740" s="40">
        <f>IFERROR(__xludf.DUMMYFUNCTION("IMPORTRANGE(""https://docs.google.com/spreadsheets/d/1uVc-vnTn57HE53lwrUYNZP4sGKTXisrqOoZ-6EyvLzY/edit"",""2!e47"")"),2916.0)</f>
        <v>2916</v>
      </c>
      <c r="K740" s="40">
        <f>IFERROR(__xludf.DUMMYFUNCTION("IMPORTRANGE(""https://docs.google.com/spreadsheets/d/1uVc-vnTn57HE53lwrUYNZP4sGKTXisrqOoZ-6EyvLzY/edit"",""2!e48"")"),0.0)</f>
        <v>0</v>
      </c>
      <c r="L740" s="40">
        <f t="shared" si="2041"/>
        <v>2916</v>
      </c>
      <c r="M740" s="40">
        <f t="shared" si="2042"/>
        <v>4999</v>
      </c>
      <c r="N740" s="41">
        <f t="shared" si="2043"/>
        <v>196.4858824</v>
      </c>
      <c r="O740" s="38">
        <v>6853.0</v>
      </c>
      <c r="P740" s="42">
        <f t="shared" si="2044"/>
        <v>0.7294615497</v>
      </c>
      <c r="Q740" s="43">
        <v>1.5</v>
      </c>
      <c r="R740" s="42">
        <f t="shared" si="2045"/>
        <v>0.4988633619</v>
      </c>
      <c r="S740" s="44">
        <f t="shared" si="2046"/>
        <v>0.7482950429</v>
      </c>
      <c r="T740" s="43">
        <f>F740/33.74</f>
        <v>198</v>
      </c>
      <c r="U740" s="43">
        <f t="shared" si="2047"/>
        <v>5.823529412</v>
      </c>
      <c r="V740" s="40">
        <f t="shared" si="2048"/>
        <v>147.0294118</v>
      </c>
      <c r="X740" s="14" t="s">
        <v>2</v>
      </c>
      <c r="Y740" s="14" t="s">
        <v>3</v>
      </c>
      <c r="Z740" s="14" t="s">
        <v>4</v>
      </c>
      <c r="AA740" s="14" t="s">
        <v>5</v>
      </c>
      <c r="AB740" s="15" t="s">
        <v>6</v>
      </c>
      <c r="AC740" s="14" t="s">
        <v>7</v>
      </c>
      <c r="AD740" s="14" t="s">
        <v>8</v>
      </c>
      <c r="AE740" s="14" t="s">
        <v>9</v>
      </c>
      <c r="AF740" s="14" t="s">
        <v>10</v>
      </c>
      <c r="AG740" s="14" t="s">
        <v>11</v>
      </c>
      <c r="AH740" s="14" t="s">
        <v>12</v>
      </c>
      <c r="AI740" s="14" t="s">
        <v>13</v>
      </c>
      <c r="AJ740" s="15" t="s">
        <v>14</v>
      </c>
      <c r="AK740" s="14" t="s">
        <v>15</v>
      </c>
      <c r="AL740" s="14" t="s">
        <v>16</v>
      </c>
      <c r="AM740" s="16" t="s">
        <v>17</v>
      </c>
      <c r="AN740" s="17" t="s">
        <v>18</v>
      </c>
      <c r="AO740" s="18" t="s">
        <v>19</v>
      </c>
      <c r="AP740" s="19" t="s">
        <v>20</v>
      </c>
      <c r="AQ740" s="19" t="s">
        <v>21</v>
      </c>
      <c r="AR740" s="20" t="s">
        <v>22</v>
      </c>
    </row>
    <row r="741" ht="15.75" customHeight="1">
      <c r="A741" s="21"/>
      <c r="B741" s="38">
        <v>7.0</v>
      </c>
      <c r="C741" s="38" t="s">
        <v>24</v>
      </c>
      <c r="D741" s="39">
        <v>44.0</v>
      </c>
      <c r="E741" s="54">
        <f>IFERROR(__xludf.DUMMYFUNCTION("COUNT(IMPORTRANGE(""https://docs.google.com/spreadsheets/d/1iuPvivSypupo44l6GtmR-2qZ3za7cTk7KzsOVp_kv2c/edit"",""2!d2:d45""))"),44.0)</f>
        <v>44</v>
      </c>
      <c r="F741" s="55">
        <f>IFERROR(__xludf.DUMMYFUNCTION("SUM(IMPORTRANGE(""https://docs.google.com/spreadsheets/d/1iuPvivSypupo44l6GtmR-2qZ3za7cTk7KzsOVp_kv2c/edit"",""2!Q2:Q45""))"),8354.581999999995)</f>
        <v>8354.582</v>
      </c>
      <c r="G741" s="54">
        <f>IFERROR(__xludf.DUMMYFUNCTION("IMPORTRANGE(""https://docs.google.com/spreadsheets/d/1iuPvivSypupo44l6GtmR-2qZ3za7cTk7KzsOVp_kv2c/edit"",""2!e53"")"),1454.0)</f>
        <v>1454</v>
      </c>
      <c r="H741" s="54">
        <f>IFERROR(__xludf.DUMMYFUNCTION("IMPORTRANGE(""https://docs.google.com/spreadsheets/d/1iuPvivSypupo44l6GtmR-2qZ3za7cTk7KzsOVp_kv2c/edit"",""2!e54"")"),0.0)</f>
        <v>0</v>
      </c>
      <c r="I741" s="54">
        <f t="shared" si="2040"/>
        <v>1454</v>
      </c>
      <c r="J741" s="54">
        <f>IFERROR(__xludf.DUMMYFUNCTION("IMPORTRANGE(""https://docs.google.com/spreadsheets/d/1iuPvivSypupo44l6GtmR-2qZ3za7cTk7KzsOVp_kv2c/edit"",""2!e57"")"),1288.0)</f>
        <v>1288</v>
      </c>
      <c r="K741" s="54">
        <f>IFERROR(__xludf.DUMMYFUNCTION("IMPORTRANGE(""https://docs.google.com/spreadsheets/d/1iuPvivSypupo44l6GtmR-2qZ3za7cTk7KzsOVp_kv2c/edit"",""2!e58"")"),28.0)</f>
        <v>28</v>
      </c>
      <c r="L741" s="40">
        <f t="shared" si="2041"/>
        <v>1316</v>
      </c>
      <c r="M741" s="40">
        <f t="shared" si="2042"/>
        <v>2770</v>
      </c>
      <c r="N741" s="41">
        <f t="shared" si="2043"/>
        <v>189.8768636</v>
      </c>
      <c r="O741" s="38">
        <v>1580.0</v>
      </c>
      <c r="P741" s="56">
        <f t="shared" si="2044"/>
        <v>1.753164557</v>
      </c>
      <c r="Q741" s="43">
        <v>1.5</v>
      </c>
      <c r="R741" s="42">
        <f t="shared" si="2045"/>
        <v>0.2210363926</v>
      </c>
      <c r="S741" s="44">
        <f t="shared" si="2046"/>
        <v>0.3315545888</v>
      </c>
      <c r="T741" s="43">
        <f>F741/26.805</f>
        <v>311.6799851</v>
      </c>
      <c r="U741" s="43">
        <f t="shared" si="2047"/>
        <v>7.083636024</v>
      </c>
      <c r="V741" s="40">
        <f t="shared" si="2048"/>
        <v>62.95454545</v>
      </c>
      <c r="X741" s="22">
        <v>1.0</v>
      </c>
      <c r="Y741" s="22" t="s">
        <v>28</v>
      </c>
      <c r="Z741" s="22">
        <f t="shared" ref="Z741:AI741" si="2057">SUM(D736)</f>
        <v>33</v>
      </c>
      <c r="AA741" s="23">
        <f t="shared" si="2057"/>
        <v>33</v>
      </c>
      <c r="AB741" s="25">
        <f t="shared" si="2057"/>
        <v>6528.833</v>
      </c>
      <c r="AC741" s="23">
        <f t="shared" si="2057"/>
        <v>2700</v>
      </c>
      <c r="AD741" s="23">
        <f t="shared" si="2057"/>
        <v>104</v>
      </c>
      <c r="AE741" s="23">
        <f t="shared" si="2057"/>
        <v>2804</v>
      </c>
      <c r="AF741" s="23">
        <f t="shared" si="2057"/>
        <v>3205</v>
      </c>
      <c r="AG741" s="23">
        <f t="shared" si="2057"/>
        <v>102</v>
      </c>
      <c r="AH741" s="23">
        <f t="shared" si="2057"/>
        <v>3307</v>
      </c>
      <c r="AI741" s="23">
        <f t="shared" si="2057"/>
        <v>6111</v>
      </c>
      <c r="AJ741" s="25">
        <f t="shared" ref="AJ741:AJ747" si="2060">AB741/AA741</f>
        <v>197.8434242</v>
      </c>
      <c r="AK741" s="22">
        <f t="shared" ref="AK741:AK742" si="2061">SUM(O736)</f>
        <v>7315</v>
      </c>
      <c r="AL741" s="26">
        <f t="shared" ref="AL741:AL747" si="2062">AI741/AK741</f>
        <v>0.8354066986</v>
      </c>
      <c r="AM741" s="27">
        <f t="shared" ref="AM741:AM742" si="2063">SUM(Q736)</f>
        <v>1.5</v>
      </c>
      <c r="AN741" s="26">
        <f t="shared" ref="AN741:AN747" si="2064">AO741/AM741</f>
        <v>0.6240012572</v>
      </c>
      <c r="AO741" s="28">
        <f t="shared" ref="AO741:AO747" si="2065">AI741/AB741</f>
        <v>0.9360018858</v>
      </c>
      <c r="AP741" s="27">
        <f t="shared" ref="AP741:AQ741" si="2058">SUM(T736)</f>
        <v>211.3096093</v>
      </c>
      <c r="AQ741" s="27">
        <f t="shared" si="2058"/>
        <v>6.403321495</v>
      </c>
      <c r="AR741" s="23">
        <f t="shared" ref="AR741:AR747" si="2067">AI741/AA741</f>
        <v>185.1818182</v>
      </c>
    </row>
    <row r="742" ht="15.75" customHeight="1">
      <c r="A742" s="21"/>
      <c r="B742" s="38">
        <v>8.0</v>
      </c>
      <c r="C742" s="38" t="s">
        <v>25</v>
      </c>
      <c r="D742" s="57">
        <v>32.0</v>
      </c>
      <c r="E742" s="40">
        <f>IFERROR(__xludf.DUMMYFUNCTION("COUNT(IMPORTRANGE(""https://docs.google.com/spreadsheets/d/1sqWX7UerdR9KR_duBzDNfjwbPG-3hLgV1LiN2ZVZ6Js/edit"",""2!d2:D33""))"),31.0)</f>
        <v>31</v>
      </c>
      <c r="F742" s="45">
        <f>IFERROR(__xludf.DUMMYFUNCTION("SUM(IMPORTRANGE(""https://docs.google.com/spreadsheets/d/1sqWX7UerdR9KR_duBzDNfjwbPG-3hLgV1LiN2ZVZ6Js/edit"",""2!Q2:Q33""))"),5925.124000000001)</f>
        <v>5925.124</v>
      </c>
      <c r="G742" s="40">
        <f>IFERROR(__xludf.DUMMYFUNCTION("IMPORTRANGE(""https://docs.google.com/spreadsheets/d/1sqWX7UerdR9KR_duBzDNfjwbPG-3hLgV1LiN2ZVZ6Js/edit"",""2!e40"")"),2351.0)</f>
        <v>2351</v>
      </c>
      <c r="H742" s="40">
        <f>IFERROR(__xludf.DUMMYFUNCTION("IMPORTRANGE(""https://docs.google.com/spreadsheets/d/1sqWX7UerdR9KR_duBzDNfjwbPG-3hLgV1LiN2ZVZ6Js/edit"",""2!e41"")"),438.0)</f>
        <v>438</v>
      </c>
      <c r="I742" s="40">
        <f t="shared" si="2040"/>
        <v>2789</v>
      </c>
      <c r="J742" s="40">
        <f>IFERROR(__xludf.DUMMYFUNCTION("IMPORTRANGE(""https://docs.google.com/spreadsheets/d/1sqWX7UerdR9KR_duBzDNfjwbPG-3hLgV1LiN2ZVZ6Js/edit"",""2!e44"")"),3213.0)</f>
        <v>3213</v>
      </c>
      <c r="K742" s="40">
        <f>IFERROR(__xludf.DUMMYFUNCTION("IMPORTRANGE(""https://docs.google.com/spreadsheets/d/1sqWX7UerdR9KR_duBzDNfjwbPG-3hLgV1LiN2ZVZ6Js/edit"",""2!e45"")"),305.0)</f>
        <v>305</v>
      </c>
      <c r="L742" s="40">
        <f>J742+K742</f>
        <v>3518</v>
      </c>
      <c r="M742" s="40">
        <f t="shared" si="2042"/>
        <v>6307</v>
      </c>
      <c r="N742" s="41">
        <f t="shared" si="2043"/>
        <v>191.1330323</v>
      </c>
      <c r="O742" s="38">
        <v>6622.0</v>
      </c>
      <c r="P742" s="42">
        <f t="shared" si="2044"/>
        <v>0.9524312896</v>
      </c>
      <c r="Q742" s="43">
        <v>1.5</v>
      </c>
      <c r="R742" s="42">
        <f t="shared" si="2045"/>
        <v>0.7096335312</v>
      </c>
      <c r="S742" s="44">
        <f t="shared" si="2046"/>
        <v>1.064450297</v>
      </c>
      <c r="T742" s="43">
        <f>F742/23.84</f>
        <v>248.5370805</v>
      </c>
      <c r="U742" s="43">
        <f t="shared" si="2047"/>
        <v>8.017325179</v>
      </c>
      <c r="V742" s="40">
        <f t="shared" si="2048"/>
        <v>203.4516129</v>
      </c>
      <c r="X742" s="31">
        <v>2.0</v>
      </c>
      <c r="Y742" s="31" t="s">
        <v>30</v>
      </c>
      <c r="Z742" s="31">
        <f t="shared" ref="Z742:AI742" si="2059">SUM(D737)</f>
        <v>60</v>
      </c>
      <c r="AA742" s="32">
        <f t="shared" si="2059"/>
        <v>58</v>
      </c>
      <c r="AB742" s="33">
        <f t="shared" si="2059"/>
        <v>11253.345</v>
      </c>
      <c r="AC742" s="32">
        <f t="shared" si="2059"/>
        <v>3757</v>
      </c>
      <c r="AD742" s="32">
        <f t="shared" si="2059"/>
        <v>0</v>
      </c>
      <c r="AE742" s="32">
        <f t="shared" si="2059"/>
        <v>3757</v>
      </c>
      <c r="AF742" s="32">
        <f t="shared" si="2059"/>
        <v>5596</v>
      </c>
      <c r="AG742" s="32">
        <f t="shared" si="2059"/>
        <v>0</v>
      </c>
      <c r="AH742" s="32">
        <f t="shared" si="2059"/>
        <v>5596</v>
      </c>
      <c r="AI742" s="32">
        <f t="shared" si="2059"/>
        <v>9353</v>
      </c>
      <c r="AJ742" s="34">
        <f t="shared" si="2060"/>
        <v>194.0231897</v>
      </c>
      <c r="AK742" s="31">
        <f t="shared" si="2061"/>
        <v>11164</v>
      </c>
      <c r="AL742" s="35">
        <f t="shared" si="2062"/>
        <v>0.8377821569</v>
      </c>
      <c r="AM742" s="36">
        <f t="shared" si="2063"/>
        <v>1.5</v>
      </c>
      <c r="AN742" s="35">
        <f t="shared" si="2064"/>
        <v>0.5540871033</v>
      </c>
      <c r="AO742" s="37">
        <f t="shared" si="2065"/>
        <v>0.8311306549</v>
      </c>
      <c r="AP742" s="36">
        <f t="shared" ref="AP742:AQ742" si="2066">SUM(T737)</f>
        <v>380.1420464</v>
      </c>
      <c r="AQ742" s="36">
        <f t="shared" si="2066"/>
        <v>6.554173214</v>
      </c>
      <c r="AR742" s="32">
        <f t="shared" si="2067"/>
        <v>161.2586207</v>
      </c>
    </row>
    <row r="743" ht="15.75" customHeight="1">
      <c r="A743" s="21"/>
      <c r="B743" s="38">
        <v>9.0</v>
      </c>
      <c r="C743" s="38" t="s">
        <v>36</v>
      </c>
      <c r="D743" s="58">
        <v>30.0</v>
      </c>
      <c r="E743" s="40">
        <f>IFERROR(__xludf.DUMMYFUNCTION("COUNT(IMPORTRANGE(""https://docs.google.com/spreadsheets/d/1YNna43iTSqnwwbMJgTIPHSJEoDO8RGPRFg5pJCoQR_Y/edit"",""2!d2:d31""))"),29.0)</f>
        <v>29</v>
      </c>
      <c r="F743" s="45">
        <f>IFERROR(__xludf.DUMMYFUNCTION("SUM(IMPORTRANGE(""https://docs.google.com/spreadsheets/d/1YNna43iTSqnwwbMJgTIPHSJEoDO8RGPRFg5pJCoQR_Y/edit"",""2!Q2:Q31""))"),5604.12)</f>
        <v>5604.12</v>
      </c>
      <c r="G743" s="40">
        <f>IFERROR(__xludf.DUMMYFUNCTION("IMPORTRANGE(""https://docs.google.com/spreadsheets/d/1YNna43iTSqnwwbMJgTIPHSJEoDO8RGPRFg5pJCoQR_Y/edit"",""2!e38"")"),1533.0)</f>
        <v>1533</v>
      </c>
      <c r="H743" s="40">
        <f>IFERROR(__xludf.DUMMYFUNCTION("IMPORTRANGE(""https://docs.google.com/spreadsheets/d/1YNna43iTSqnwwbMJgTIPHSJEoDO8RGPRFg5pJCoQR_Y/edit"",""2!e39"")"),0.0)</f>
        <v>0</v>
      </c>
      <c r="I743" s="40">
        <f t="shared" si="2040"/>
        <v>1533</v>
      </c>
      <c r="J743" s="40">
        <f>IFERROR(__xludf.DUMMYFUNCTION("IMPORTRANGE(""https://docs.google.com/spreadsheets/d/1YNna43iTSqnwwbMJgTIPHSJEoDO8RGPRFg5pJCoQR_Y/edit"",""2!e42"")"),2301.0)</f>
        <v>2301</v>
      </c>
      <c r="K743" s="40">
        <f>IFERROR(__xludf.DUMMYFUNCTION("IMPORTRANGE(""https://docs.google.com/spreadsheets/d/1YNna43iTSqnwwbMJgTIPHSJEoDO8RGPRFg5pJCoQR_Y/edit"",""2!e43"")"),0.0)</f>
        <v>0</v>
      </c>
      <c r="L743" s="40">
        <f t="shared" ref="L743:L752" si="2070">SUM(J743:K743)</f>
        <v>2301</v>
      </c>
      <c r="M743" s="40">
        <f t="shared" si="2042"/>
        <v>3834</v>
      </c>
      <c r="N743" s="41">
        <f t="shared" si="2043"/>
        <v>193.2455172</v>
      </c>
      <c r="O743" s="38">
        <v>4796.0</v>
      </c>
      <c r="P743" s="42">
        <f t="shared" si="2044"/>
        <v>0.7994161802</v>
      </c>
      <c r="Q743" s="43">
        <v>1.5</v>
      </c>
      <c r="R743" s="42">
        <f t="shared" si="2045"/>
        <v>0.4560930173</v>
      </c>
      <c r="S743" s="44">
        <f t="shared" si="2046"/>
        <v>0.6841395259</v>
      </c>
      <c r="T743" s="43">
        <f>F743/37.414</f>
        <v>149.7867109</v>
      </c>
      <c r="U743" s="43">
        <f t="shared" si="2047"/>
        <v>5.165058995</v>
      </c>
      <c r="V743" s="40">
        <f t="shared" si="2048"/>
        <v>132.2068966</v>
      </c>
      <c r="X743" s="22">
        <v>3.0</v>
      </c>
      <c r="Y743" s="22" t="s">
        <v>34</v>
      </c>
      <c r="Z743" s="22">
        <f t="shared" ref="Z743:AI743" si="2068">SUM(D739)</f>
        <v>40</v>
      </c>
      <c r="AA743" s="23">
        <f t="shared" si="2068"/>
        <v>40</v>
      </c>
      <c r="AB743" s="24">
        <f t="shared" si="2068"/>
        <v>7895.343</v>
      </c>
      <c r="AC743" s="23">
        <f t="shared" si="2068"/>
        <v>3069</v>
      </c>
      <c r="AD743" s="23">
        <f t="shared" si="2068"/>
        <v>0</v>
      </c>
      <c r="AE743" s="23">
        <f t="shared" si="2068"/>
        <v>3069</v>
      </c>
      <c r="AF743" s="23">
        <f t="shared" si="2068"/>
        <v>3126</v>
      </c>
      <c r="AG743" s="23">
        <f t="shared" si="2068"/>
        <v>0</v>
      </c>
      <c r="AH743" s="23">
        <f t="shared" si="2068"/>
        <v>3126</v>
      </c>
      <c r="AI743" s="23">
        <f t="shared" si="2068"/>
        <v>6195</v>
      </c>
      <c r="AJ743" s="25">
        <f t="shared" si="2060"/>
        <v>197.383575</v>
      </c>
      <c r="AK743" s="22">
        <f>SUM(O739)</f>
        <v>9354</v>
      </c>
      <c r="AL743" s="26">
        <f t="shared" si="2062"/>
        <v>0.6622835151</v>
      </c>
      <c r="AM743" s="27">
        <f>SUM(Q739)</f>
        <v>1.5</v>
      </c>
      <c r="AN743" s="26">
        <f t="shared" si="2064"/>
        <v>0.5230931702</v>
      </c>
      <c r="AO743" s="28">
        <f t="shared" si="2065"/>
        <v>0.7846397554</v>
      </c>
      <c r="AP743" s="27">
        <f t="shared" ref="AP743:AQ743" si="2069">SUM(T739)</f>
        <v>257.0684401</v>
      </c>
      <c r="AQ743" s="27">
        <f t="shared" si="2069"/>
        <v>6.426711002</v>
      </c>
      <c r="AR743" s="23">
        <f t="shared" si="2067"/>
        <v>154.875</v>
      </c>
    </row>
    <row r="744" ht="15.75" customHeight="1">
      <c r="A744" s="21"/>
      <c r="B744" s="38">
        <v>10.0</v>
      </c>
      <c r="C744" s="38" t="s">
        <v>37</v>
      </c>
      <c r="D744" s="39">
        <v>30.0</v>
      </c>
      <c r="E744" s="40">
        <f>IFERROR(__xludf.DUMMYFUNCTION("COUNT(IMPORTRANGE(""https://docs.google.com/spreadsheets/d/1913Df5BsXS_b-nClL8LOK5w0engQYTl1mPOiyngRtO0/edit"",""2!d2:d31""))"),30.0)</f>
        <v>30</v>
      </c>
      <c r="F744" s="45">
        <f>IFERROR(__xludf.DUMMYFUNCTION("SUM(IMPORTRANGE(""https://docs.google.com/spreadsheets/d/1913Df5BsXS_b-nClL8LOK5w0engQYTl1mPOiyngRtO0/edit"",""2!Q2:Q31""))"),5812.188)</f>
        <v>5812.188</v>
      </c>
      <c r="G744" s="40">
        <f>IFERROR(__xludf.DUMMYFUNCTION("(IMPORTRANGE(""https://docs.google.com/spreadsheets/d/1913Df5BsXS_b-nClL8LOK5w0engQYTl1mPOiyngRtO0/edit"",""2!e38""))"),2138.0)</f>
        <v>2138</v>
      </c>
      <c r="H744" s="40">
        <f>IFERROR(__xludf.DUMMYFUNCTION("(IMPORTRANGE(""https://docs.google.com/spreadsheets/d/1913Df5BsXS_b-nClL8LOK5w0engQYTl1mPOiyngRtO0/edit"",""2!e39""))"),0.0)</f>
        <v>0</v>
      </c>
      <c r="I744" s="40">
        <f t="shared" si="2040"/>
        <v>2138</v>
      </c>
      <c r="J744" s="40">
        <f>IFERROR(__xludf.DUMMYFUNCTION("(IMPORTRANGE(""https://docs.google.com/spreadsheets/d/1913Df5BsXS_b-nClL8LOK5w0engQYTl1mPOiyngRtO0/edit"",""2!e42""))"),3071.0)</f>
        <v>3071</v>
      </c>
      <c r="K744" s="40">
        <f>IFERROR(__xludf.DUMMYFUNCTION("(IMPORTRANGE(""https://docs.google.com/spreadsheets/d/1913Df5BsXS_b-nClL8LOK5w0engQYTl1mPOiyngRtO0/edit"",""2!e43""))"),0.0)</f>
        <v>0</v>
      </c>
      <c r="L744" s="40">
        <f t="shared" si="2070"/>
        <v>3071</v>
      </c>
      <c r="M744" s="40">
        <f t="shared" si="2042"/>
        <v>5209</v>
      </c>
      <c r="N744" s="41">
        <f t="shared" si="2043"/>
        <v>193.7396</v>
      </c>
      <c r="O744" s="38">
        <v>5887.0</v>
      </c>
      <c r="P744" s="42">
        <f t="shared" si="2044"/>
        <v>0.8848309835</v>
      </c>
      <c r="Q744" s="43">
        <v>1.5</v>
      </c>
      <c r="R744" s="42">
        <f t="shared" si="2045"/>
        <v>0.5974800999</v>
      </c>
      <c r="S744" s="44">
        <f t="shared" si="2046"/>
        <v>0.8962201498</v>
      </c>
      <c r="T744" s="43">
        <f>F744/24.792</f>
        <v>234.4380445</v>
      </c>
      <c r="U744" s="43">
        <f t="shared" si="2047"/>
        <v>7.814601484</v>
      </c>
      <c r="V744" s="40">
        <f t="shared" si="2048"/>
        <v>173.6333333</v>
      </c>
      <c r="X744" s="31">
        <v>4.0</v>
      </c>
      <c r="Y744" s="31" t="s">
        <v>38</v>
      </c>
      <c r="Z744" s="31">
        <f t="shared" ref="Z744:AI744" si="2071">SUM(D747)</f>
        <v>30</v>
      </c>
      <c r="AA744" s="32">
        <f t="shared" si="2071"/>
        <v>30</v>
      </c>
      <c r="AB744" s="33">
        <f t="shared" si="2071"/>
        <v>6284.278</v>
      </c>
      <c r="AC744" s="32">
        <f t="shared" si="2071"/>
        <v>2309</v>
      </c>
      <c r="AD744" s="32">
        <f t="shared" si="2071"/>
        <v>0</v>
      </c>
      <c r="AE744" s="32">
        <f t="shared" si="2071"/>
        <v>2309</v>
      </c>
      <c r="AF744" s="32">
        <f t="shared" si="2071"/>
        <v>2749</v>
      </c>
      <c r="AG744" s="32">
        <f t="shared" si="2071"/>
        <v>159</v>
      </c>
      <c r="AH744" s="32">
        <f t="shared" si="2071"/>
        <v>2908</v>
      </c>
      <c r="AI744" s="32">
        <f t="shared" si="2071"/>
        <v>5217</v>
      </c>
      <c r="AJ744" s="34">
        <f t="shared" si="2060"/>
        <v>209.4759333</v>
      </c>
      <c r="AK744" s="31">
        <v>7324.0</v>
      </c>
      <c r="AL744" s="35">
        <f t="shared" si="2062"/>
        <v>0.7123156745</v>
      </c>
      <c r="AM744" s="36">
        <f>SUM(Q747)</f>
        <v>1.5</v>
      </c>
      <c r="AN744" s="35">
        <f t="shared" si="2064"/>
        <v>0.5534446439</v>
      </c>
      <c r="AO744" s="37">
        <f t="shared" si="2065"/>
        <v>0.8301669659</v>
      </c>
      <c r="AP744" s="36">
        <f t="shared" ref="AP744:AQ744" si="2072">SUM(T747)</f>
        <v>152.5125106</v>
      </c>
      <c r="AQ744" s="36">
        <f t="shared" si="2072"/>
        <v>5.083750354</v>
      </c>
      <c r="AR744" s="32">
        <f t="shared" si="2067"/>
        <v>173.9</v>
      </c>
    </row>
    <row r="745" ht="15.75" customHeight="1">
      <c r="A745" s="21"/>
      <c r="B745" s="38">
        <v>12.0</v>
      </c>
      <c r="C745" s="38" t="s">
        <v>39</v>
      </c>
      <c r="D745" s="39">
        <v>28.0</v>
      </c>
      <c r="E745" s="40">
        <f>IFERROR(__xludf.DUMMYFUNCTION("COUNT(IMPORTRANGE(""https://docs.google.com/spreadsheets/d/1wMeol_MpSIcocGxt3WZGl46mJ2tc80mANPvP_YzaP18/edit"",""2!d2:d29""))"),28.0)</f>
        <v>28</v>
      </c>
      <c r="F745" s="45">
        <f>IFERROR(__xludf.DUMMYFUNCTION("SUM(IMPORTRANGE(""https://docs.google.com/spreadsheets/d/1wMeol_MpSIcocGxt3WZGl46mJ2tc80mANPvP_YzaP18/edit"",""2!Q2:Q29""))"),5458.878)</f>
        <v>5458.878</v>
      </c>
      <c r="G745" s="40">
        <f>IFERROR(__xludf.DUMMYFUNCTION("IMPORTRANGE(""https://docs.google.com/spreadsheets/d/1wMeol_MpSIcocGxt3WZGl46mJ2tc80mANPvP_YzaP18/edit"",""2!e36"")"),1516.0)</f>
        <v>1516</v>
      </c>
      <c r="H745" s="40">
        <f>IFERROR(__xludf.DUMMYFUNCTION("(IMPORTRANGE(""https://docs.google.com/spreadsheets/d/1wMeol_MpSIcocGxt3WZGl46mJ2tc80mANPvP_YzaP18/edit"",""2!e37""))"),43.0)</f>
        <v>43</v>
      </c>
      <c r="I745" s="40">
        <f t="shared" si="2040"/>
        <v>1559</v>
      </c>
      <c r="J745" s="40">
        <f>IFERROR(__xludf.DUMMYFUNCTION("IMPORTRANGE(""https://docs.google.com/spreadsheets/d/1wMeol_MpSIcocGxt3WZGl46mJ2tc80mANPvP_YzaP18/edit"",""2!e40"")"),1765.0)</f>
        <v>1765</v>
      </c>
      <c r="K745" s="40">
        <f>IFERROR(__xludf.DUMMYFUNCTION("IMPORTRANGE(""https://docs.google.com/spreadsheets/d/1wMeol_MpSIcocGxt3WZGl46mJ2tc80mANPvP_YzaP18/edit"",""2!e41"")"),115.0)</f>
        <v>115</v>
      </c>
      <c r="L745" s="40">
        <f t="shared" si="2070"/>
        <v>1880</v>
      </c>
      <c r="M745" s="40">
        <f t="shared" si="2042"/>
        <v>3439</v>
      </c>
      <c r="N745" s="41">
        <f t="shared" si="2043"/>
        <v>194.9599286</v>
      </c>
      <c r="O745" s="38">
        <v>3569.0</v>
      </c>
      <c r="P745" s="42">
        <f t="shared" si="2044"/>
        <v>0.9635752312</v>
      </c>
      <c r="Q745" s="43">
        <v>1.5</v>
      </c>
      <c r="R745" s="42">
        <f t="shared" si="2045"/>
        <v>0.4199886253</v>
      </c>
      <c r="S745" s="44">
        <f t="shared" si="2046"/>
        <v>0.6299829379</v>
      </c>
      <c r="T745" s="43">
        <f>F745/21.463</f>
        <v>254.339002</v>
      </c>
      <c r="U745" s="43">
        <f t="shared" si="2047"/>
        <v>9.083535786</v>
      </c>
      <c r="V745" s="40">
        <f t="shared" si="2048"/>
        <v>122.8214286</v>
      </c>
      <c r="X745" s="31">
        <v>5.0</v>
      </c>
      <c r="Y745" s="31" t="s">
        <v>40</v>
      </c>
      <c r="Z745" s="31">
        <f t="shared" ref="Z745:AI745" si="2073">SUM(D749)</f>
        <v>30</v>
      </c>
      <c r="AA745" s="32">
        <f t="shared" si="2073"/>
        <v>30</v>
      </c>
      <c r="AB745" s="33">
        <f t="shared" si="2073"/>
        <v>5845.703</v>
      </c>
      <c r="AC745" s="32">
        <f t="shared" si="2073"/>
        <v>3323</v>
      </c>
      <c r="AD745" s="32">
        <f t="shared" si="2073"/>
        <v>39</v>
      </c>
      <c r="AE745" s="32">
        <f t="shared" si="2073"/>
        <v>3362</v>
      </c>
      <c r="AF745" s="32">
        <f t="shared" si="2073"/>
        <v>3928</v>
      </c>
      <c r="AG745" s="32">
        <f t="shared" si="2073"/>
        <v>73</v>
      </c>
      <c r="AH745" s="32">
        <f t="shared" si="2073"/>
        <v>4001</v>
      </c>
      <c r="AI745" s="32">
        <f t="shared" si="2073"/>
        <v>7363</v>
      </c>
      <c r="AJ745" s="34">
        <f t="shared" si="2060"/>
        <v>194.8567667</v>
      </c>
      <c r="AK745" s="31">
        <f t="shared" ref="AK745:AK746" si="2076">SUM(O749)</f>
        <v>8239</v>
      </c>
      <c r="AL745" s="35">
        <f t="shared" si="2062"/>
        <v>0.893676417</v>
      </c>
      <c r="AM745" s="36">
        <f t="shared" ref="AM745:AM746" si="2077">SUM(Q749)</f>
        <v>1.5</v>
      </c>
      <c r="AN745" s="35">
        <f t="shared" si="2064"/>
        <v>0.8397051076</v>
      </c>
      <c r="AO745" s="37">
        <f t="shared" si="2065"/>
        <v>1.259557661</v>
      </c>
      <c r="AP745" s="36">
        <f t="shared" ref="AP745:AQ745" si="2074">SUM(T749)</f>
        <v>205.5234328</v>
      </c>
      <c r="AQ745" s="36">
        <f t="shared" si="2074"/>
        <v>6.850781094</v>
      </c>
      <c r="AR745" s="32">
        <f t="shared" si="2067"/>
        <v>245.4333333</v>
      </c>
    </row>
    <row r="746" ht="15.75" customHeight="1">
      <c r="A746" s="21"/>
      <c r="B746" s="38">
        <v>12.0</v>
      </c>
      <c r="C746" s="38" t="s">
        <v>41</v>
      </c>
      <c r="D746" s="39">
        <v>24.0</v>
      </c>
      <c r="E746" s="40">
        <f>IFERROR(__xludf.DUMMYFUNCTION("COUNT(IMPORTRANGE(""https://docs.google.com/spreadsheets/d/1sHk6_yuc4kORC_xnhEeazoemV_hVUQVqRpfoNae-PLk/edit"",""2!d2:d25""))"),24.0)</f>
        <v>24</v>
      </c>
      <c r="F746" s="45">
        <f>IFERROR(__xludf.DUMMYFUNCTION("SUM(IMPORTRANGE(""https://docs.google.com/spreadsheets/d/1sHk6_yuc4kORC_xnhEeazoemV_hVUQVqRpfoNae-PLk/edit"",""2!Q2:Q25""))"),4806.3200000000015)</f>
        <v>4806.32</v>
      </c>
      <c r="G746" s="40">
        <f>IFERROR(__xludf.DUMMYFUNCTION("IMPORTRANGE(""https://docs.google.com/spreadsheets/d/1sHk6_yuc4kORC_xnhEeazoemV_hVUQVqRpfoNae-PLk/edit"",""2!e32"")"),1468.0)</f>
        <v>1468</v>
      </c>
      <c r="H746" s="40">
        <f>IFERROR(__xludf.DUMMYFUNCTION("IMPORTRANGE(""https://docs.google.com/spreadsheets/d/1sHk6_yuc4kORC_xnhEeazoemV_hVUQVqRpfoNae-PLk/edit"",""2!e33"")"),0.0)</f>
        <v>0</v>
      </c>
      <c r="I746" s="40">
        <f t="shared" si="2040"/>
        <v>1468</v>
      </c>
      <c r="J746" s="40">
        <f>IFERROR(__xludf.DUMMYFUNCTION("IMPORTRANGE(""https://docs.google.com/spreadsheets/d/1sHk6_yuc4kORC_xnhEeazoemV_hVUQVqRpfoNae-PLk/edit"",""2!e36"")"),1656.0)</f>
        <v>1656</v>
      </c>
      <c r="K746" s="40">
        <f>IFERROR(__xludf.DUMMYFUNCTION("IMPORTRANGE(""https://docs.google.com/spreadsheets/d/1sHk6_yuc4kORC_xnhEeazoemV_hVUQVqRpfoNae-PLk/edit"",""2!e37"")"),0.0)</f>
        <v>0</v>
      </c>
      <c r="L746" s="40">
        <f t="shared" si="2070"/>
        <v>1656</v>
      </c>
      <c r="M746" s="40">
        <f t="shared" si="2042"/>
        <v>3124</v>
      </c>
      <c r="N746" s="41">
        <f t="shared" si="2043"/>
        <v>200.2633333</v>
      </c>
      <c r="O746" s="38">
        <v>3801.0</v>
      </c>
      <c r="P746" s="42">
        <f t="shared" si="2044"/>
        <v>0.8218889766</v>
      </c>
      <c r="Q746" s="43">
        <v>1.5</v>
      </c>
      <c r="R746" s="42">
        <f t="shared" si="2045"/>
        <v>0.4333183531</v>
      </c>
      <c r="S746" s="44">
        <f t="shared" si="2046"/>
        <v>0.6499775296</v>
      </c>
      <c r="T746" s="43">
        <f>F746/29.628</f>
        <v>162.2222222</v>
      </c>
      <c r="U746" s="43">
        <f t="shared" si="2047"/>
        <v>6.759259259</v>
      </c>
      <c r="V746" s="40">
        <f t="shared" si="2048"/>
        <v>130.1666667</v>
      </c>
      <c r="X746" s="22">
        <v>6.0</v>
      </c>
      <c r="Y746" s="22" t="s">
        <v>42</v>
      </c>
      <c r="Z746" s="22">
        <f t="shared" ref="Z746:AI746" si="2075">SUM(D750)</f>
        <v>33</v>
      </c>
      <c r="AA746" s="23">
        <f t="shared" si="2075"/>
        <v>33</v>
      </c>
      <c r="AB746" s="24">
        <f t="shared" si="2075"/>
        <v>6380.282</v>
      </c>
      <c r="AC746" s="23">
        <f t="shared" si="2075"/>
        <v>3133</v>
      </c>
      <c r="AD746" s="23">
        <f t="shared" si="2075"/>
        <v>0</v>
      </c>
      <c r="AE746" s="23">
        <f t="shared" si="2075"/>
        <v>3133</v>
      </c>
      <c r="AF746" s="23">
        <f t="shared" si="2075"/>
        <v>4360</v>
      </c>
      <c r="AG746" s="23">
        <f t="shared" si="2075"/>
        <v>0</v>
      </c>
      <c r="AH746" s="23">
        <f t="shared" si="2075"/>
        <v>4360</v>
      </c>
      <c r="AI746" s="23">
        <f t="shared" si="2075"/>
        <v>7493</v>
      </c>
      <c r="AJ746" s="25">
        <f t="shared" si="2060"/>
        <v>193.3418788</v>
      </c>
      <c r="AK746" s="22">
        <f t="shared" si="2076"/>
        <v>9877</v>
      </c>
      <c r="AL746" s="26">
        <f t="shared" si="2062"/>
        <v>0.7586311633</v>
      </c>
      <c r="AM746" s="27">
        <f t="shared" si="2077"/>
        <v>1.5</v>
      </c>
      <c r="AN746" s="26">
        <f t="shared" si="2064"/>
        <v>0.782933001</v>
      </c>
      <c r="AO746" s="28">
        <f t="shared" si="2065"/>
        <v>1.174399501</v>
      </c>
      <c r="AP746" s="27">
        <f t="shared" ref="AP746:AQ746" si="2078">SUM(T750)</f>
        <v>243.9411967</v>
      </c>
      <c r="AQ746" s="27">
        <f t="shared" si="2078"/>
        <v>7.392157476</v>
      </c>
      <c r="AR746" s="23">
        <f t="shared" si="2067"/>
        <v>227.0606061</v>
      </c>
    </row>
    <row r="747" ht="15.75" customHeight="1">
      <c r="A747" s="21"/>
      <c r="B747" s="38">
        <v>13.0</v>
      </c>
      <c r="C747" s="38" t="s">
        <v>43</v>
      </c>
      <c r="D747" s="39">
        <v>30.0</v>
      </c>
      <c r="E747" s="40">
        <f>IFERROR(__xludf.DUMMYFUNCTION("COUNT(IMPORTRANGE(""https://docs.google.com/spreadsheets/d/1uGXvAN2jA6kmcEHUY4KqOHHewllZsujDdA6KVDfBCoA/edit"",""2!d2:d31""))"),30.0)</f>
        <v>30</v>
      </c>
      <c r="F747" s="45">
        <f>IFERROR(__xludf.DUMMYFUNCTION("SUM(IMPORTRANGE(""https://docs.google.com/spreadsheets/d/1uGXvAN2jA6kmcEHUY4KqOHHewllZsujDdA6KVDfBCoA/edit"",""2!Q2:Q31""))"),6284.277999999999)</f>
        <v>6284.278</v>
      </c>
      <c r="G747" s="40">
        <f>IFERROR(__xludf.DUMMYFUNCTION("IMPORTRANGE(""https://docs.google.com/spreadsheets/d/1uGXvAN2jA6kmcEHUY4KqOHHewllZsujDdA6KVDfBCoA/edit"",""2!e38"")"),2309.0)</f>
        <v>2309</v>
      </c>
      <c r="H747" s="40">
        <f>IFERROR(__xludf.DUMMYFUNCTION("IMPORTRANGE(""https://docs.google.com/spreadsheets/d/1uGXvAN2jA6kmcEHUY4KqOHHewllZsujDdA6KVDfBCoA/edit"",""2!e39"")"),0.0)</f>
        <v>0</v>
      </c>
      <c r="I747" s="40">
        <f t="shared" si="2040"/>
        <v>2309</v>
      </c>
      <c r="J747" s="40">
        <f>IFERROR(__xludf.DUMMYFUNCTION("IMPORTRANGE(""https://docs.google.com/spreadsheets/d/1uGXvAN2jA6kmcEHUY4KqOHHewllZsujDdA6KVDfBCoA/edit"",""2!e42"")"),2749.0)</f>
        <v>2749</v>
      </c>
      <c r="K747" s="40">
        <f>IFERROR(__xludf.DUMMYFUNCTION("IMPORTRANGE(""https://docs.google.com/spreadsheets/d/1uGXvAN2jA6kmcEHUY4KqOHHewllZsujDdA6KVDfBCoA/edit"",""2!e43"")"),159.0)</f>
        <v>159</v>
      </c>
      <c r="L747" s="40">
        <f t="shared" si="2070"/>
        <v>2908</v>
      </c>
      <c r="M747" s="40">
        <f t="shared" si="2042"/>
        <v>5217</v>
      </c>
      <c r="N747" s="41">
        <f t="shared" si="2043"/>
        <v>209.4759333</v>
      </c>
      <c r="O747" s="38">
        <v>8345.0</v>
      </c>
      <c r="P747" s="42">
        <f t="shared" si="2044"/>
        <v>0.6251647693</v>
      </c>
      <c r="Q747" s="43">
        <v>1.5</v>
      </c>
      <c r="R747" s="42">
        <f t="shared" si="2045"/>
        <v>0.5534446439</v>
      </c>
      <c r="S747" s="44">
        <f t="shared" si="2046"/>
        <v>0.8301669659</v>
      </c>
      <c r="T747" s="43">
        <f>F747/41.205</f>
        <v>152.5125106</v>
      </c>
      <c r="U747" s="43">
        <f t="shared" si="2047"/>
        <v>5.083750354</v>
      </c>
      <c r="V747" s="40">
        <f t="shared" si="2048"/>
        <v>173.9</v>
      </c>
      <c r="X747" s="46" t="s">
        <v>33</v>
      </c>
      <c r="Y747" s="46">
        <v>6.0</v>
      </c>
      <c r="Z747" s="46">
        <f t="shared" ref="Z747:AI747" si="2079">SUM(Z741:Z746)</f>
        <v>226</v>
      </c>
      <c r="AA747" s="47">
        <f t="shared" si="2079"/>
        <v>224</v>
      </c>
      <c r="AB747" s="49">
        <f t="shared" si="2079"/>
        <v>44187.784</v>
      </c>
      <c r="AC747" s="47">
        <f t="shared" si="2079"/>
        <v>18291</v>
      </c>
      <c r="AD747" s="47">
        <f t="shared" si="2079"/>
        <v>143</v>
      </c>
      <c r="AE747" s="47">
        <f t="shared" si="2079"/>
        <v>18434</v>
      </c>
      <c r="AF747" s="47">
        <f t="shared" si="2079"/>
        <v>22964</v>
      </c>
      <c r="AG747" s="47">
        <f t="shared" si="2079"/>
        <v>334</v>
      </c>
      <c r="AH747" s="47">
        <f t="shared" si="2079"/>
        <v>23298</v>
      </c>
      <c r="AI747" s="47">
        <f t="shared" si="2079"/>
        <v>41732</v>
      </c>
      <c r="AJ747" s="49">
        <f t="shared" si="2060"/>
        <v>197.2668929</v>
      </c>
      <c r="AK747" s="46">
        <f>SUM(AK741:AK746)</f>
        <v>53273</v>
      </c>
      <c r="AL747" s="50">
        <f t="shared" si="2062"/>
        <v>0.7833611773</v>
      </c>
      <c r="AM747" s="51">
        <v>1.5</v>
      </c>
      <c r="AN747" s="50">
        <f t="shared" si="2064"/>
        <v>0.6296159439</v>
      </c>
      <c r="AO747" s="52">
        <f t="shared" si="2065"/>
        <v>0.9444239159</v>
      </c>
      <c r="AP747" s="51">
        <f>SUM(AP741:AP746)</f>
        <v>1450.497236</v>
      </c>
      <c r="AQ747" s="51">
        <f>AP747/AA747</f>
        <v>6.475434089</v>
      </c>
      <c r="AR747" s="47">
        <f t="shared" si="2067"/>
        <v>186.3035714</v>
      </c>
    </row>
    <row r="748" ht="15.75" customHeight="1">
      <c r="A748" s="21"/>
      <c r="B748" s="38">
        <v>14.0</v>
      </c>
      <c r="C748" s="38" t="s">
        <v>27</v>
      </c>
      <c r="D748" s="39">
        <v>30.0</v>
      </c>
      <c r="E748" s="40">
        <f>IFERROR(__xludf.DUMMYFUNCTION("COUNT(IMPORTRANGE(""https://docs.google.com/spreadsheets/d/1iYtf3wkjJIgOL8ej0-L89wY8FLXKi6EiRbi9UqA1Bzw/edit"",""2!d2:d31""))"),28.0)</f>
        <v>28</v>
      </c>
      <c r="F748" s="45">
        <f>IFERROR(__xludf.DUMMYFUNCTION("SUM(IMPORTRANGE(""https://docs.google.com/spreadsheets/d/1iYtf3wkjJIgOL8ej0-L89wY8FLXKi6EiRbi9UqA1Bzw/edit"",""2!Q2:Q31""))"),5465.76)</f>
        <v>5465.76</v>
      </c>
      <c r="G748" s="40">
        <f>IFERROR(__xludf.DUMMYFUNCTION("IMPORTRANGE(""https://docs.google.com/spreadsheets/d/1iYtf3wkjJIgOL8ej0-L89wY8FLXKi6EiRbi9UqA1Bzw/edit"",""2!e38"")"),2368.0)</f>
        <v>2368</v>
      </c>
      <c r="H748" s="40">
        <f>IFERROR(__xludf.DUMMYFUNCTION("IMPORTRANGE(""https://docs.google.com/spreadsheets/d/1iYtf3wkjJIgOL8ej0-L89wY8FLXKi6EiRbi9UqA1Bzw/edit"",""2!e39"")"),140.0)</f>
        <v>140</v>
      </c>
      <c r="I748" s="40">
        <f t="shared" si="2040"/>
        <v>2508</v>
      </c>
      <c r="J748" s="40">
        <f>IFERROR(__xludf.DUMMYFUNCTION("IMPORTRANGE(""https://docs.google.com/spreadsheets/d/1iYtf3wkjJIgOL8ej0-L89wY8FLXKi6EiRbi9UqA1Bzw/edit"",""2!e42"")"),3355.0)</f>
        <v>3355</v>
      </c>
      <c r="K748" s="40">
        <f>IFERROR(__xludf.DUMMYFUNCTION("IMPORTRANGE(""https://docs.google.com/spreadsheets/d/1iYtf3wkjJIgOL8ej0-L89wY8FLXKi6EiRbi9UqA1Bzw/edit"",""2!e43"")"),107.0)</f>
        <v>107</v>
      </c>
      <c r="L748" s="40">
        <f t="shared" si="2070"/>
        <v>3462</v>
      </c>
      <c r="M748" s="40">
        <f t="shared" si="2042"/>
        <v>5970</v>
      </c>
      <c r="N748" s="41">
        <f t="shared" si="2043"/>
        <v>195.2057143</v>
      </c>
      <c r="O748" s="38">
        <v>8101.0</v>
      </c>
      <c r="P748" s="42">
        <f t="shared" si="2044"/>
        <v>0.736946056</v>
      </c>
      <c r="Q748" s="43">
        <v>1.5</v>
      </c>
      <c r="R748" s="42">
        <f t="shared" si="2045"/>
        <v>0.7281695501</v>
      </c>
      <c r="S748" s="44">
        <f t="shared" si="2046"/>
        <v>1.092254325</v>
      </c>
      <c r="T748" s="43">
        <f>F748/19.985</f>
        <v>273.4931198</v>
      </c>
      <c r="U748" s="43">
        <f t="shared" si="2047"/>
        <v>9.767611423</v>
      </c>
      <c r="V748" s="40">
        <f t="shared" si="2048"/>
        <v>213.2142857</v>
      </c>
      <c r="X748" s="59" t="s">
        <v>44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6"/>
    </row>
    <row r="749" ht="15.75" customHeight="1">
      <c r="A749" s="21"/>
      <c r="B749" s="38">
        <v>15.0</v>
      </c>
      <c r="C749" s="38" t="s">
        <v>40</v>
      </c>
      <c r="D749" s="39">
        <v>30.0</v>
      </c>
      <c r="E749" s="40">
        <f>IFERROR(__xludf.DUMMYFUNCTION("COUNT(IMPORTRANGE(""https://docs.google.com/spreadsheets/d/1Wdf8MsoDBzMSsrzOXwaGQzbVjVqOWfKSqYmbncevZgA/edit"",""2!d2:d31""))"),30.0)</f>
        <v>30</v>
      </c>
      <c r="F749" s="45">
        <f>IFERROR(__xludf.DUMMYFUNCTION("SUM(IMPORTRANGE(""https://docs.google.com/spreadsheets/d/1Wdf8MsoDBzMSsrzOXwaGQzbVjVqOWfKSqYmbncevZgA/edit"",""2!Q2:Q31""))"),5845.702999999999)</f>
        <v>5845.703</v>
      </c>
      <c r="G749" s="40">
        <f>IFERROR(__xludf.DUMMYFUNCTION("IMPORTRANGE(""https://docs.google.com/spreadsheets/d/1Wdf8MsoDBzMSsrzOXwaGQzbVjVqOWfKSqYmbncevZgA/edit"",""2!e38"")"),3323.0)</f>
        <v>3323</v>
      </c>
      <c r="H749" s="40">
        <f>IFERROR(__xludf.DUMMYFUNCTION("IMPORTRANGE(""https://docs.google.com/spreadsheets/d/1Wdf8MsoDBzMSsrzOXwaGQzbVjVqOWfKSqYmbncevZgA/edit"",""2!e39"")"),39.0)</f>
        <v>39</v>
      </c>
      <c r="I749" s="40">
        <f t="shared" si="2040"/>
        <v>3362</v>
      </c>
      <c r="J749" s="40">
        <f>IFERROR(__xludf.DUMMYFUNCTION("IMPORTRANGE(""https://docs.google.com/spreadsheets/d/1Wdf8MsoDBzMSsrzOXwaGQzbVjVqOWfKSqYmbncevZgA/edit"",""2!e42"")"),3928.0)</f>
        <v>3928</v>
      </c>
      <c r="K749" s="40">
        <f>IFERROR(__xludf.DUMMYFUNCTION("IMPORTRANGE(""https://docs.google.com/spreadsheets/d/1Wdf8MsoDBzMSsrzOXwaGQzbVjVqOWfKSqYmbncevZgA/edit"",""2!e43"")"),73.0)</f>
        <v>73</v>
      </c>
      <c r="L749" s="40">
        <f t="shared" si="2070"/>
        <v>4001</v>
      </c>
      <c r="M749" s="40">
        <f t="shared" si="2042"/>
        <v>7363</v>
      </c>
      <c r="N749" s="41">
        <f t="shared" si="2043"/>
        <v>194.8567667</v>
      </c>
      <c r="O749" s="38">
        <v>8239.0</v>
      </c>
      <c r="P749" s="42">
        <f t="shared" si="2044"/>
        <v>0.893676417</v>
      </c>
      <c r="Q749" s="43">
        <v>1.5</v>
      </c>
      <c r="R749" s="42">
        <f t="shared" si="2045"/>
        <v>0.8397051076</v>
      </c>
      <c r="S749" s="44">
        <f t="shared" si="2046"/>
        <v>1.259557661</v>
      </c>
      <c r="T749" s="43">
        <f>F749/28.443</f>
        <v>205.5234328</v>
      </c>
      <c r="U749" s="43">
        <f t="shared" si="2047"/>
        <v>6.850781094</v>
      </c>
      <c r="V749" s="40">
        <f t="shared" si="2048"/>
        <v>245.4333333</v>
      </c>
      <c r="X749" s="14" t="s">
        <v>2</v>
      </c>
      <c r="Y749" s="14" t="s">
        <v>3</v>
      </c>
      <c r="Z749" s="14" t="s">
        <v>4</v>
      </c>
      <c r="AA749" s="14" t="s">
        <v>5</v>
      </c>
      <c r="AB749" s="15" t="s">
        <v>6</v>
      </c>
      <c r="AC749" s="14" t="s">
        <v>7</v>
      </c>
      <c r="AD749" s="14" t="s">
        <v>8</v>
      </c>
      <c r="AE749" s="14" t="s">
        <v>9</v>
      </c>
      <c r="AF749" s="14" t="s">
        <v>10</v>
      </c>
      <c r="AG749" s="14" t="s">
        <v>11</v>
      </c>
      <c r="AH749" s="14" t="s">
        <v>12</v>
      </c>
      <c r="AI749" s="14" t="s">
        <v>13</v>
      </c>
      <c r="AJ749" s="15" t="s">
        <v>14</v>
      </c>
      <c r="AK749" s="14" t="s">
        <v>15</v>
      </c>
      <c r="AL749" s="14" t="s">
        <v>16</v>
      </c>
      <c r="AM749" s="16" t="s">
        <v>17</v>
      </c>
      <c r="AN749" s="17" t="s">
        <v>18</v>
      </c>
      <c r="AO749" s="18" t="s">
        <v>19</v>
      </c>
      <c r="AP749" s="19" t="s">
        <v>20</v>
      </c>
      <c r="AQ749" s="19" t="s">
        <v>21</v>
      </c>
      <c r="AR749" s="20" t="s">
        <v>22</v>
      </c>
    </row>
    <row r="750" ht="15.75" customHeight="1">
      <c r="A750" s="21"/>
      <c r="B750" s="38">
        <v>16.0</v>
      </c>
      <c r="C750" s="38" t="s">
        <v>42</v>
      </c>
      <c r="D750" s="39">
        <v>33.0</v>
      </c>
      <c r="E750" s="40">
        <f>IFERROR(__xludf.DUMMYFUNCTION("COUNT(IMPORTRANGE(""https://docs.google.com/spreadsheets/d/1Z5uB5HbeAKcHmG4EOw3rf2J8NpyvDiha6RReERAMvA0/edit"",""2!d2:d34""))"),33.0)</f>
        <v>33</v>
      </c>
      <c r="F750" s="45">
        <f>IFERROR(__xludf.DUMMYFUNCTION("SUM(IMPORTRANGE(""https://docs.google.com/spreadsheets/d/1Z5uB5HbeAKcHmG4EOw3rf2J8NpyvDiha6RReERAMvA0/edit"",""2!Q2:Q34""))"),6380.281999999998)</f>
        <v>6380.282</v>
      </c>
      <c r="G750" s="40">
        <f>IFERROR(__xludf.DUMMYFUNCTION("IMPORTRANGE(""https://docs.google.com/spreadsheets/d/1Z5uB5HbeAKcHmG4EOw3rf2J8NpyvDiha6RReERAMvA0/edit"",""2!e41"")"),3133.0)</f>
        <v>3133</v>
      </c>
      <c r="H750" s="40">
        <f>IFERROR(__xludf.DUMMYFUNCTION("IMPORTRANGE(""https://docs.google.com/spreadsheets/d/1Z5uB5HbeAKcHmG4EOw3rf2J8NpyvDiha6RReERAMvA0/edit"",""2!e42"")"),0.0)</f>
        <v>0</v>
      </c>
      <c r="I750" s="40">
        <f t="shared" si="2040"/>
        <v>3133</v>
      </c>
      <c r="J750" s="40">
        <f>IFERROR(__xludf.DUMMYFUNCTION("IMPORTRANGE(""https://docs.google.com/spreadsheets/d/1Z5uB5HbeAKcHmG4EOw3rf2J8NpyvDiha6RReERAMvA0/edit"",""2!e45"")"),4360.0)</f>
        <v>4360</v>
      </c>
      <c r="K750" s="40">
        <f>IFERROR(__xludf.DUMMYFUNCTION("IMPORTRANGE(""https://docs.google.com/spreadsheets/d/1Z5uB5HbeAKcHmG4EOw3rf2J8NpyvDiha6RReERAMvA0/edit"",""2!e46"")"),0.0)</f>
        <v>0</v>
      </c>
      <c r="L750" s="40">
        <f t="shared" si="2070"/>
        <v>4360</v>
      </c>
      <c r="M750" s="40">
        <f t="shared" si="2042"/>
        <v>7493</v>
      </c>
      <c r="N750" s="41">
        <f t="shared" si="2043"/>
        <v>193.3418788</v>
      </c>
      <c r="O750" s="38">
        <v>9877.0</v>
      </c>
      <c r="P750" s="42">
        <f t="shared" si="2044"/>
        <v>0.7586311633</v>
      </c>
      <c r="Q750" s="43">
        <v>1.5</v>
      </c>
      <c r="R750" s="42">
        <f t="shared" si="2045"/>
        <v>0.782933001</v>
      </c>
      <c r="S750" s="44">
        <f t="shared" si="2046"/>
        <v>1.174399501</v>
      </c>
      <c r="T750" s="43">
        <f>F750/26.155</f>
        <v>243.9411967</v>
      </c>
      <c r="U750" s="43">
        <f t="shared" si="2047"/>
        <v>7.392157476</v>
      </c>
      <c r="V750" s="40">
        <f t="shared" si="2048"/>
        <v>227.0606061</v>
      </c>
      <c r="X750" s="31">
        <v>1.0</v>
      </c>
      <c r="Y750" s="31" t="s">
        <v>26</v>
      </c>
      <c r="Z750" s="31">
        <f t="shared" ref="Z750:AI750" si="2080">SUM(D735)</f>
        <v>20</v>
      </c>
      <c r="AA750" s="32">
        <f t="shared" si="2080"/>
        <v>20</v>
      </c>
      <c r="AB750" s="34">
        <f t="shared" si="2080"/>
        <v>3560.964</v>
      </c>
      <c r="AC750" s="32">
        <f t="shared" si="2080"/>
        <v>1873</v>
      </c>
      <c r="AD750" s="32">
        <f t="shared" si="2080"/>
        <v>0</v>
      </c>
      <c r="AE750" s="32">
        <f t="shared" si="2080"/>
        <v>1873</v>
      </c>
      <c r="AF750" s="32">
        <f t="shared" si="2080"/>
        <v>3204</v>
      </c>
      <c r="AG750" s="32">
        <f t="shared" si="2080"/>
        <v>0</v>
      </c>
      <c r="AH750" s="32">
        <f t="shared" si="2080"/>
        <v>3204</v>
      </c>
      <c r="AI750" s="32">
        <f t="shared" si="2080"/>
        <v>5077</v>
      </c>
      <c r="AJ750" s="34">
        <f t="shared" ref="AJ750:AJ756" si="2083">AB750/AA750</f>
        <v>178.0482</v>
      </c>
      <c r="AK750" s="31">
        <f>SUM(O735)</f>
        <v>5161</v>
      </c>
      <c r="AL750" s="35">
        <f t="shared" ref="AL750:AL756" si="2084">AI750/AK750</f>
        <v>0.9837240845</v>
      </c>
      <c r="AM750" s="36">
        <f>SUM(Q735)</f>
        <v>1.5</v>
      </c>
      <c r="AN750" s="35">
        <f t="shared" ref="AN750:AN756" si="2085">AO750/AM750</f>
        <v>0.9504916833</v>
      </c>
      <c r="AO750" s="37">
        <f t="shared" ref="AO750:AO756" si="2086">AI750/AB750</f>
        <v>1.425737525</v>
      </c>
      <c r="AP750" s="36">
        <f t="shared" ref="AP750:AQ750" si="2081">SUM(T735)</f>
        <v>247.0318418</v>
      </c>
      <c r="AQ750" s="36">
        <f t="shared" si="2081"/>
        <v>12.35159209</v>
      </c>
      <c r="AR750" s="32">
        <f t="shared" ref="AR750:AR756" si="2088">AI750/AA750</f>
        <v>253.85</v>
      </c>
    </row>
    <row r="751" ht="15.75" customHeight="1">
      <c r="A751" s="21"/>
      <c r="B751" s="38">
        <v>17.0</v>
      </c>
      <c r="C751" s="38" t="s">
        <v>29</v>
      </c>
      <c r="D751" s="39">
        <v>30.0</v>
      </c>
      <c r="E751" s="40">
        <f>IFERROR(__xludf.DUMMYFUNCTION("COUNT(IMPORTRANGE(""https://docs.google.com/spreadsheets/d/1wfJqI0e9wVPqEQv3N6b8KgINjqI0OBECEyIFeY9j3i8/edit"",""2!d2:d31""))"),29.0)</f>
        <v>29</v>
      </c>
      <c r="F751" s="45">
        <f>IFERROR(__xludf.DUMMYFUNCTION("SUM(IMPORTRANGE(""https://docs.google.com/spreadsheets/d/1wfJqI0e9wVPqEQv3N6b8KgINjqI0OBECEyIFeY9j3i8/edit"",""2!Q2:Q31""))"),5775.037999999998)</f>
        <v>5775.038</v>
      </c>
      <c r="G751" s="40">
        <f>IFERROR(__xludf.DUMMYFUNCTION("IMPORTRANGE(""https://docs.google.com/spreadsheets/d/1wfJqI0e9wVPqEQv3N6b8KgINjqI0OBECEyIFeY9j3i8/edit"",""2!e38"")"),2726.0)</f>
        <v>2726</v>
      </c>
      <c r="H751" s="40">
        <f>IFERROR(__xludf.DUMMYFUNCTION("IMPORTRANGE(""https://docs.google.com/spreadsheets/d/1wfJqI0e9wVPqEQv3N6b8KgINjqI0OBECEyIFeY9j3i8/edit"",""2!e39"")"),0.0)</f>
        <v>0</v>
      </c>
      <c r="I751" s="40">
        <f t="shared" si="2040"/>
        <v>2726</v>
      </c>
      <c r="J751" s="40">
        <f>IFERROR(__xludf.DUMMYFUNCTION("IMPORTRANGE(""https://docs.google.com/spreadsheets/d/1wfJqI0e9wVPqEQv3N6b8KgINjqI0OBECEyIFeY9j3i8/edit"",""2!e42"")"),4235.0)</f>
        <v>4235</v>
      </c>
      <c r="K751" s="40">
        <f>IFERROR(__xludf.DUMMYFUNCTION("IMPORTRANGE(""https://docs.google.com/spreadsheets/d/1wfJqI0e9wVPqEQv3N6b8KgINjqI0OBECEyIFeY9j3i8/edit"",""2!e43"")"),0.0)</f>
        <v>0</v>
      </c>
      <c r="L751" s="40">
        <f t="shared" si="2070"/>
        <v>4235</v>
      </c>
      <c r="M751" s="40">
        <f t="shared" si="2042"/>
        <v>6961</v>
      </c>
      <c r="N751" s="41">
        <f t="shared" si="2043"/>
        <v>199.1392414</v>
      </c>
      <c r="O751" s="38">
        <v>9201.0</v>
      </c>
      <c r="P751" s="42">
        <f t="shared" si="2044"/>
        <v>0.7565482013</v>
      </c>
      <c r="Q751" s="43">
        <v>1.5</v>
      </c>
      <c r="R751" s="42">
        <f t="shared" si="2045"/>
        <v>0.803573356</v>
      </c>
      <c r="S751" s="44">
        <f t="shared" si="2046"/>
        <v>1.205360034</v>
      </c>
      <c r="T751" s="43">
        <f>F751/26.491</f>
        <v>218</v>
      </c>
      <c r="U751" s="43">
        <f t="shared" si="2047"/>
        <v>7.517241379</v>
      </c>
      <c r="V751" s="40">
        <f t="shared" si="2048"/>
        <v>240.0344828</v>
      </c>
      <c r="X751" s="31">
        <v>2.0</v>
      </c>
      <c r="Y751" s="31" t="s">
        <v>32</v>
      </c>
      <c r="Z751" s="31">
        <f t="shared" ref="Z751:AI751" si="2082">SUM(D738)</f>
        <v>42</v>
      </c>
      <c r="AA751" s="32">
        <f t="shared" si="2082"/>
        <v>42</v>
      </c>
      <c r="AB751" s="33">
        <f t="shared" si="2082"/>
        <v>8179.014</v>
      </c>
      <c r="AC751" s="31">
        <f t="shared" si="2082"/>
        <v>4808</v>
      </c>
      <c r="AD751" s="31">
        <f t="shared" si="2082"/>
        <v>0</v>
      </c>
      <c r="AE751" s="32">
        <f t="shared" si="2082"/>
        <v>4808</v>
      </c>
      <c r="AF751" s="31">
        <f t="shared" si="2082"/>
        <v>5449</v>
      </c>
      <c r="AG751" s="31">
        <f t="shared" si="2082"/>
        <v>190</v>
      </c>
      <c r="AH751" s="32">
        <f t="shared" si="2082"/>
        <v>5639</v>
      </c>
      <c r="AI751" s="32">
        <f t="shared" si="2082"/>
        <v>10447</v>
      </c>
      <c r="AJ751" s="34">
        <f t="shared" si="2083"/>
        <v>194.7384286</v>
      </c>
      <c r="AK751" s="31">
        <f>SUM(O738)</f>
        <v>13817</v>
      </c>
      <c r="AL751" s="35">
        <f t="shared" si="2084"/>
        <v>0.756097561</v>
      </c>
      <c r="AM751" s="36">
        <f>SUM(Q738)</f>
        <v>1.5</v>
      </c>
      <c r="AN751" s="35">
        <f t="shared" si="2085"/>
        <v>0.8515288844</v>
      </c>
      <c r="AO751" s="37">
        <f t="shared" si="2086"/>
        <v>1.277293327</v>
      </c>
      <c r="AP751" s="36">
        <f t="shared" ref="AP751:AQ751" si="2087">SUM(T738)</f>
        <v>326</v>
      </c>
      <c r="AQ751" s="36">
        <f t="shared" si="2087"/>
        <v>7.761904762</v>
      </c>
      <c r="AR751" s="32">
        <f t="shared" si="2088"/>
        <v>248.7380952</v>
      </c>
    </row>
    <row r="752" ht="15.75" customHeight="1">
      <c r="A752" s="21"/>
      <c r="B752" s="38">
        <v>18.0</v>
      </c>
      <c r="C752" s="38" t="s">
        <v>31</v>
      </c>
      <c r="D752" s="39">
        <v>15.0</v>
      </c>
      <c r="E752" s="40">
        <f>IFERROR(__xludf.DUMMYFUNCTION("COUNT(IMPORTRANGE(""https://docs.google.com/spreadsheets/d/1-y2KhTAo7d8kowgUuWUDfRQuRMUAFteRYEXorT3_wOs/edit"",""2!d2:d16""))"),13.0)</f>
        <v>13</v>
      </c>
      <c r="F752" s="41">
        <f>IFERROR(__xludf.DUMMYFUNCTION("SUM(IMPORTRANGE(""https://docs.google.com/spreadsheets/d/1-y2KhTAo7d8kowgUuWUDfRQuRMUAFteRYEXorT3_wOs/edit"",""2!Q2:Q16""))"),2607.9000000000005)</f>
        <v>2607.9</v>
      </c>
      <c r="G752" s="40">
        <f>IFERROR(__xludf.DUMMYFUNCTION("IMPORTRANGE(""https://docs.google.com/spreadsheets/d/1-y2KhTAo7d8kowgUuWUDfRQuRMUAFteRYEXorT3_wOs/edit"",""2!e23"")"),870.0)</f>
        <v>870</v>
      </c>
      <c r="H752" s="40">
        <f>IFERROR(__xludf.DUMMYFUNCTION("IMPORTRANGE(""https://docs.google.com/spreadsheets/d/1-y2KhTAo7d8kowgUuWUDfRQuRMUAFteRYEXorT3_wOs/edit"",""2!e24"")"),0.0)</f>
        <v>0</v>
      </c>
      <c r="I752" s="40">
        <f t="shared" si="2040"/>
        <v>870</v>
      </c>
      <c r="J752" s="40">
        <f>IFERROR(__xludf.DUMMYFUNCTION("IMPORTRANGE(""https://docs.google.com/spreadsheets/d/1-y2KhTAo7d8kowgUuWUDfRQuRMUAFteRYEXorT3_wOs/edit"",""2!e27"")"),975.0)</f>
        <v>975</v>
      </c>
      <c r="K752" s="40">
        <f>IFERROR(__xludf.DUMMYFUNCTION("IMPORTRANGE(""https://docs.google.com/spreadsheets/d/1-y2KhTAo7d8kowgUuWUDfRQuRMUAFteRYEXorT3_wOs/edit"",""2!e28"")"),55.0)</f>
        <v>55</v>
      </c>
      <c r="L752" s="40">
        <f t="shared" si="2070"/>
        <v>1030</v>
      </c>
      <c r="M752" s="40">
        <f t="shared" si="2042"/>
        <v>1900</v>
      </c>
      <c r="N752" s="41">
        <f t="shared" si="2043"/>
        <v>200.6076923</v>
      </c>
      <c r="O752" s="38">
        <v>2717.0</v>
      </c>
      <c r="P752" s="42">
        <f t="shared" si="2044"/>
        <v>0.6993006993</v>
      </c>
      <c r="Q752" s="43">
        <v>1.5</v>
      </c>
      <c r="R752" s="42">
        <f t="shared" si="2045"/>
        <v>0.4857036952</v>
      </c>
      <c r="S752" s="44">
        <f t="shared" si="2046"/>
        <v>0.7285555428</v>
      </c>
      <c r="T752" s="43">
        <f>F752/43.465</f>
        <v>60</v>
      </c>
      <c r="U752" s="43">
        <f t="shared" si="2047"/>
        <v>4.615384615</v>
      </c>
      <c r="V752" s="40">
        <f t="shared" si="2048"/>
        <v>146.1538462</v>
      </c>
      <c r="X752" s="31">
        <v>3.0</v>
      </c>
      <c r="Y752" s="31" t="s">
        <v>36</v>
      </c>
      <c r="Z752" s="31">
        <f t="shared" ref="Z752:AI752" si="2089">SUM(D743)</f>
        <v>30</v>
      </c>
      <c r="AA752" s="32">
        <f t="shared" si="2089"/>
        <v>29</v>
      </c>
      <c r="AB752" s="33">
        <f t="shared" si="2089"/>
        <v>5604.12</v>
      </c>
      <c r="AC752" s="32">
        <f t="shared" si="2089"/>
        <v>1533</v>
      </c>
      <c r="AD752" s="32">
        <f t="shared" si="2089"/>
        <v>0</v>
      </c>
      <c r="AE752" s="32">
        <f t="shared" si="2089"/>
        <v>1533</v>
      </c>
      <c r="AF752" s="32">
        <f t="shared" si="2089"/>
        <v>2301</v>
      </c>
      <c r="AG752" s="32">
        <f t="shared" si="2089"/>
        <v>0</v>
      </c>
      <c r="AH752" s="32">
        <f t="shared" si="2089"/>
        <v>2301</v>
      </c>
      <c r="AI752" s="32">
        <f t="shared" si="2089"/>
        <v>3834</v>
      </c>
      <c r="AJ752" s="34">
        <f t="shared" si="2083"/>
        <v>193.2455172</v>
      </c>
      <c r="AK752" s="31">
        <f t="shared" ref="AK752:AK755" si="2093">SUM(O743)</f>
        <v>4796</v>
      </c>
      <c r="AL752" s="35">
        <f t="shared" si="2084"/>
        <v>0.7994161802</v>
      </c>
      <c r="AM752" s="36">
        <f t="shared" ref="AM752:AM755" si="2094">SUM(Q743)</f>
        <v>1.5</v>
      </c>
      <c r="AN752" s="35">
        <f t="shared" si="2085"/>
        <v>0.4560930173</v>
      </c>
      <c r="AO752" s="37">
        <f t="shared" si="2086"/>
        <v>0.6841395259</v>
      </c>
      <c r="AP752" s="36">
        <f t="shared" ref="AP752:AQ752" si="2090">SUM(T743)</f>
        <v>149.7867109</v>
      </c>
      <c r="AQ752" s="36">
        <f t="shared" si="2090"/>
        <v>5.165058995</v>
      </c>
      <c r="AR752" s="32">
        <f t="shared" si="2088"/>
        <v>132.2068966</v>
      </c>
    </row>
    <row r="753" ht="15.75" customHeight="1">
      <c r="A753" s="21"/>
      <c r="B753" s="60" t="s">
        <v>33</v>
      </c>
      <c r="C753" s="60">
        <v>18.0</v>
      </c>
      <c r="D753" s="60">
        <f t="shared" ref="D753:M753" si="2091">SUM(D735:D752)</f>
        <v>586</v>
      </c>
      <c r="E753" s="61">
        <f t="shared" si="2091"/>
        <v>576</v>
      </c>
      <c r="F753" s="62">
        <f t="shared" si="2091"/>
        <v>112418.192</v>
      </c>
      <c r="G753" s="61">
        <f t="shared" si="2091"/>
        <v>43479</v>
      </c>
      <c r="H753" s="61">
        <f t="shared" si="2091"/>
        <v>764</v>
      </c>
      <c r="I753" s="61">
        <f t="shared" si="2091"/>
        <v>44243</v>
      </c>
      <c r="J753" s="61">
        <f t="shared" si="2091"/>
        <v>56392</v>
      </c>
      <c r="K753" s="61">
        <f t="shared" si="2091"/>
        <v>1134</v>
      </c>
      <c r="L753" s="61">
        <f t="shared" si="2091"/>
        <v>57526</v>
      </c>
      <c r="M753" s="61">
        <f t="shared" si="2091"/>
        <v>101769</v>
      </c>
      <c r="N753" s="62">
        <f t="shared" si="2043"/>
        <v>195.1704722</v>
      </c>
      <c r="O753" s="60">
        <f>SUM(O735:O752)</f>
        <v>126399</v>
      </c>
      <c r="P753" s="63">
        <f t="shared" si="2044"/>
        <v>0.8051408635</v>
      </c>
      <c r="Q753" s="64">
        <v>1.5</v>
      </c>
      <c r="R753" s="63">
        <f t="shared" si="2045"/>
        <v>0.6035144205</v>
      </c>
      <c r="S753" s="65">
        <f t="shared" si="2046"/>
        <v>0.9052716308</v>
      </c>
      <c r="T753" s="64">
        <f>SUM(T735:T752)</f>
        <v>4134.025243</v>
      </c>
      <c r="U753" s="64">
        <f t="shared" si="2047"/>
        <v>7.177127158</v>
      </c>
      <c r="V753" s="61">
        <f t="shared" si="2048"/>
        <v>176.6822917</v>
      </c>
      <c r="X753" s="31">
        <v>4.0</v>
      </c>
      <c r="Y753" s="31" t="s">
        <v>37</v>
      </c>
      <c r="Z753" s="31">
        <f t="shared" ref="Z753:AI753" si="2092">SUM(D744)</f>
        <v>30</v>
      </c>
      <c r="AA753" s="32">
        <f t="shared" si="2092"/>
        <v>30</v>
      </c>
      <c r="AB753" s="33">
        <f t="shared" si="2092"/>
        <v>5812.188</v>
      </c>
      <c r="AC753" s="32">
        <f t="shared" si="2092"/>
        <v>2138</v>
      </c>
      <c r="AD753" s="32">
        <f t="shared" si="2092"/>
        <v>0</v>
      </c>
      <c r="AE753" s="32">
        <f t="shared" si="2092"/>
        <v>2138</v>
      </c>
      <c r="AF753" s="32">
        <f t="shared" si="2092"/>
        <v>3071</v>
      </c>
      <c r="AG753" s="32">
        <f t="shared" si="2092"/>
        <v>0</v>
      </c>
      <c r="AH753" s="32">
        <f t="shared" si="2092"/>
        <v>3071</v>
      </c>
      <c r="AI753" s="32">
        <f t="shared" si="2092"/>
        <v>5209</v>
      </c>
      <c r="AJ753" s="34">
        <f t="shared" si="2083"/>
        <v>193.7396</v>
      </c>
      <c r="AK753" s="31">
        <f t="shared" si="2093"/>
        <v>5887</v>
      </c>
      <c r="AL753" s="35">
        <f t="shared" si="2084"/>
        <v>0.8848309835</v>
      </c>
      <c r="AM753" s="36">
        <f t="shared" si="2094"/>
        <v>1.5</v>
      </c>
      <c r="AN753" s="35">
        <f t="shared" si="2085"/>
        <v>0.5974800999</v>
      </c>
      <c r="AO753" s="37">
        <f t="shared" si="2086"/>
        <v>0.8962201498</v>
      </c>
      <c r="AP753" s="36">
        <f t="shared" ref="AP753:AQ753" si="2095">SUM(T744)</f>
        <v>234.4380445</v>
      </c>
      <c r="AQ753" s="36">
        <f t="shared" si="2095"/>
        <v>7.814601484</v>
      </c>
      <c r="AR753" s="32">
        <f t="shared" si="2088"/>
        <v>173.6333333</v>
      </c>
    </row>
    <row r="754" ht="15.7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X754" s="31">
        <v>5.0</v>
      </c>
      <c r="Y754" s="31" t="s">
        <v>39</v>
      </c>
      <c r="Z754" s="31">
        <f t="shared" ref="Z754:AI754" si="2096">SUM(D745)</f>
        <v>28</v>
      </c>
      <c r="AA754" s="32">
        <f t="shared" si="2096"/>
        <v>28</v>
      </c>
      <c r="AB754" s="33">
        <f t="shared" si="2096"/>
        <v>5458.878</v>
      </c>
      <c r="AC754" s="32">
        <f t="shared" si="2096"/>
        <v>1516</v>
      </c>
      <c r="AD754" s="32">
        <f t="shared" si="2096"/>
        <v>43</v>
      </c>
      <c r="AE754" s="32">
        <f t="shared" si="2096"/>
        <v>1559</v>
      </c>
      <c r="AF754" s="32">
        <f t="shared" si="2096"/>
        <v>1765</v>
      </c>
      <c r="AG754" s="32">
        <f t="shared" si="2096"/>
        <v>115</v>
      </c>
      <c r="AH754" s="32">
        <f t="shared" si="2096"/>
        <v>1880</v>
      </c>
      <c r="AI754" s="32">
        <f t="shared" si="2096"/>
        <v>3439</v>
      </c>
      <c r="AJ754" s="34">
        <f t="shared" si="2083"/>
        <v>194.9599286</v>
      </c>
      <c r="AK754" s="31">
        <f t="shared" si="2093"/>
        <v>3569</v>
      </c>
      <c r="AL754" s="35">
        <f t="shared" si="2084"/>
        <v>0.9635752312</v>
      </c>
      <c r="AM754" s="36">
        <f t="shared" si="2094"/>
        <v>1.5</v>
      </c>
      <c r="AN754" s="35">
        <f t="shared" si="2085"/>
        <v>0.4199886253</v>
      </c>
      <c r="AO754" s="37">
        <f t="shared" si="2086"/>
        <v>0.6299829379</v>
      </c>
      <c r="AP754" s="36">
        <f t="shared" ref="AP754:AQ754" si="2097">SUM(T745)</f>
        <v>254.339002</v>
      </c>
      <c r="AQ754" s="36">
        <f t="shared" si="2097"/>
        <v>9.083535786</v>
      </c>
      <c r="AR754" s="32">
        <f t="shared" si="2088"/>
        <v>122.8214286</v>
      </c>
    </row>
    <row r="755" ht="15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X755" s="31">
        <v>6.0</v>
      </c>
      <c r="Y755" s="31" t="s">
        <v>41</v>
      </c>
      <c r="Z755" s="31">
        <f t="shared" ref="Z755:AI755" si="2098">SUM(D746)</f>
        <v>24</v>
      </c>
      <c r="AA755" s="32">
        <f t="shared" si="2098"/>
        <v>24</v>
      </c>
      <c r="AB755" s="33">
        <f t="shared" si="2098"/>
        <v>4806.32</v>
      </c>
      <c r="AC755" s="32">
        <f t="shared" si="2098"/>
        <v>1468</v>
      </c>
      <c r="AD755" s="32">
        <f t="shared" si="2098"/>
        <v>0</v>
      </c>
      <c r="AE755" s="32">
        <f t="shared" si="2098"/>
        <v>1468</v>
      </c>
      <c r="AF755" s="32">
        <f t="shared" si="2098"/>
        <v>1656</v>
      </c>
      <c r="AG755" s="32">
        <f t="shared" si="2098"/>
        <v>0</v>
      </c>
      <c r="AH755" s="32">
        <f t="shared" si="2098"/>
        <v>1656</v>
      </c>
      <c r="AI755" s="32">
        <f t="shared" si="2098"/>
        <v>3124</v>
      </c>
      <c r="AJ755" s="34">
        <f t="shared" si="2083"/>
        <v>200.2633333</v>
      </c>
      <c r="AK755" s="31">
        <f t="shared" si="2093"/>
        <v>3801</v>
      </c>
      <c r="AL755" s="35">
        <f t="shared" si="2084"/>
        <v>0.8218889766</v>
      </c>
      <c r="AM755" s="36">
        <f t="shared" si="2094"/>
        <v>1.5</v>
      </c>
      <c r="AN755" s="35">
        <f t="shared" si="2085"/>
        <v>0.4333183531</v>
      </c>
      <c r="AO755" s="37">
        <f t="shared" si="2086"/>
        <v>0.6499775296</v>
      </c>
      <c r="AP755" s="36">
        <f t="shared" ref="AP755:AQ755" si="2099">SUM(T746)</f>
        <v>162.2222222</v>
      </c>
      <c r="AQ755" s="36">
        <f t="shared" si="2099"/>
        <v>6.759259259</v>
      </c>
      <c r="AR755" s="32">
        <f t="shared" si="2088"/>
        <v>130.1666667</v>
      </c>
    </row>
    <row r="756" ht="15.75" customHeight="1">
      <c r="A756" s="1" t="s">
        <v>45</v>
      </c>
      <c r="D756" s="2"/>
      <c r="X756" s="46" t="s">
        <v>33</v>
      </c>
      <c r="Y756" s="46">
        <v>6.0</v>
      </c>
      <c r="Z756" s="46">
        <f t="shared" ref="Z756:AI756" si="2100">SUM(Z750:Z755)</f>
        <v>174</v>
      </c>
      <c r="AA756" s="47">
        <f t="shared" si="2100"/>
        <v>173</v>
      </c>
      <c r="AB756" s="49">
        <f t="shared" si="2100"/>
        <v>33421.484</v>
      </c>
      <c r="AC756" s="47">
        <f t="shared" si="2100"/>
        <v>13336</v>
      </c>
      <c r="AD756" s="47">
        <f t="shared" si="2100"/>
        <v>43</v>
      </c>
      <c r="AE756" s="47">
        <f t="shared" si="2100"/>
        <v>13379</v>
      </c>
      <c r="AF756" s="47">
        <f t="shared" si="2100"/>
        <v>17446</v>
      </c>
      <c r="AG756" s="47">
        <f t="shared" si="2100"/>
        <v>305</v>
      </c>
      <c r="AH756" s="47">
        <f t="shared" si="2100"/>
        <v>17751</v>
      </c>
      <c r="AI756" s="47">
        <f t="shared" si="2100"/>
        <v>31130</v>
      </c>
      <c r="AJ756" s="49">
        <f t="shared" si="2083"/>
        <v>193.1877688</v>
      </c>
      <c r="AK756" s="46">
        <f>SUM(AK750:AK755)</f>
        <v>37031</v>
      </c>
      <c r="AL756" s="50">
        <f t="shared" si="2084"/>
        <v>0.8406470255</v>
      </c>
      <c r="AM756" s="51">
        <v>1.5</v>
      </c>
      <c r="AN756" s="50">
        <f t="shared" si="2085"/>
        <v>0.6209578645</v>
      </c>
      <c r="AO756" s="52">
        <f t="shared" si="2086"/>
        <v>0.9314367968</v>
      </c>
      <c r="AP756" s="51">
        <f>SUM(AP750:AP755)</f>
        <v>1373.817821</v>
      </c>
      <c r="AQ756" s="51">
        <f>AP756/AA756</f>
        <v>7.941143477</v>
      </c>
      <c r="AR756" s="47">
        <f t="shared" si="2088"/>
        <v>179.9421965</v>
      </c>
    </row>
    <row r="757" ht="15.75" customHeight="1">
      <c r="A757" s="1" t="s">
        <v>45</v>
      </c>
      <c r="D757" s="2"/>
      <c r="X757" s="66" t="s">
        <v>1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6"/>
    </row>
    <row r="758" ht="15.75" customHeight="1">
      <c r="A758" s="7">
        <v>46294.0</v>
      </c>
      <c r="B758" s="8" t="s">
        <v>2</v>
      </c>
      <c r="C758" s="8" t="s">
        <v>3</v>
      </c>
      <c r="D758" s="8" t="s">
        <v>4</v>
      </c>
      <c r="E758" s="8" t="s">
        <v>5</v>
      </c>
      <c r="F758" s="9" t="s">
        <v>6</v>
      </c>
      <c r="G758" s="8" t="s">
        <v>7</v>
      </c>
      <c r="H758" s="8" t="s">
        <v>8</v>
      </c>
      <c r="I758" s="8" t="s">
        <v>9</v>
      </c>
      <c r="J758" s="8" t="s">
        <v>10</v>
      </c>
      <c r="K758" s="8" t="s">
        <v>11</v>
      </c>
      <c r="L758" s="8" t="s">
        <v>12</v>
      </c>
      <c r="M758" s="8" t="s">
        <v>13</v>
      </c>
      <c r="N758" s="9" t="s">
        <v>14</v>
      </c>
      <c r="O758" s="8" t="s">
        <v>15</v>
      </c>
      <c r="P758" s="8" t="s">
        <v>16</v>
      </c>
      <c r="Q758" s="8" t="s">
        <v>17</v>
      </c>
      <c r="R758" s="8" t="s">
        <v>18</v>
      </c>
      <c r="S758" s="11" t="s">
        <v>19</v>
      </c>
      <c r="T758" s="12" t="s">
        <v>20</v>
      </c>
      <c r="U758" s="12" t="s">
        <v>21</v>
      </c>
      <c r="V758" s="13" t="s">
        <v>22</v>
      </c>
      <c r="X758" s="14" t="s">
        <v>2</v>
      </c>
      <c r="Y758" s="14" t="s">
        <v>3</v>
      </c>
      <c r="Z758" s="14" t="s">
        <v>4</v>
      </c>
      <c r="AA758" s="14" t="s">
        <v>5</v>
      </c>
      <c r="AB758" s="15" t="s">
        <v>6</v>
      </c>
      <c r="AC758" s="14" t="s">
        <v>7</v>
      </c>
      <c r="AD758" s="14" t="s">
        <v>8</v>
      </c>
      <c r="AE758" s="14" t="s">
        <v>9</v>
      </c>
      <c r="AF758" s="14" t="s">
        <v>10</v>
      </c>
      <c r="AG758" s="14" t="s">
        <v>11</v>
      </c>
      <c r="AH758" s="14" t="s">
        <v>12</v>
      </c>
      <c r="AI758" s="14" t="s">
        <v>13</v>
      </c>
      <c r="AJ758" s="15" t="s">
        <v>14</v>
      </c>
      <c r="AK758" s="14" t="s">
        <v>15</v>
      </c>
      <c r="AL758" s="14" t="s">
        <v>16</v>
      </c>
      <c r="AM758" s="16" t="s">
        <v>17</v>
      </c>
      <c r="AN758" s="17" t="s">
        <v>18</v>
      </c>
      <c r="AO758" s="18" t="s">
        <v>19</v>
      </c>
      <c r="AP758" s="19" t="s">
        <v>20</v>
      </c>
      <c r="AQ758" s="19" t="s">
        <v>21</v>
      </c>
      <c r="AR758" s="20" t="s">
        <v>22</v>
      </c>
    </row>
    <row r="759" ht="15.7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X759" s="22">
        <v>1.0</v>
      </c>
      <c r="Y759" s="22" t="s">
        <v>23</v>
      </c>
      <c r="Z759" s="22">
        <f t="shared" ref="Z759:AI759" si="2101">SUM(D767)</f>
        <v>35</v>
      </c>
      <c r="AA759" s="23">
        <f t="shared" si="2101"/>
        <v>34</v>
      </c>
      <c r="AB759" s="24">
        <f t="shared" si="2101"/>
        <v>6680.52</v>
      </c>
      <c r="AC759" s="23">
        <f t="shared" si="2101"/>
        <v>2083</v>
      </c>
      <c r="AD759" s="23">
        <f t="shared" si="2101"/>
        <v>0</v>
      </c>
      <c r="AE759" s="23">
        <f t="shared" si="2101"/>
        <v>2083</v>
      </c>
      <c r="AF759" s="23">
        <f t="shared" si="2101"/>
        <v>2916</v>
      </c>
      <c r="AG759" s="23">
        <f t="shared" si="2101"/>
        <v>0</v>
      </c>
      <c r="AH759" s="23">
        <f t="shared" si="2101"/>
        <v>2916</v>
      </c>
      <c r="AI759" s="23">
        <f t="shared" si="2101"/>
        <v>4999</v>
      </c>
      <c r="AJ759" s="25">
        <f t="shared" ref="AJ759:AJ761" si="2104">AB759/AA759</f>
        <v>196.4858824</v>
      </c>
      <c r="AK759" s="22">
        <f>SUM(O767)</f>
        <v>6853</v>
      </c>
      <c r="AL759" s="26">
        <f t="shared" ref="AL759:AL765" si="2105">AI759/AK759</f>
        <v>0.7294615497</v>
      </c>
      <c r="AM759" s="27">
        <f t="shared" ref="AM759:AM761" si="2106">SUM(Q767)</f>
        <v>1.5</v>
      </c>
      <c r="AN759" s="26">
        <f t="shared" ref="AN759:AN765" si="2107">AO759/AM759</f>
        <v>0.4988633619</v>
      </c>
      <c r="AO759" s="28">
        <f t="shared" ref="AO759:AO765" si="2108">AI759/AB759</f>
        <v>0.7482950429</v>
      </c>
      <c r="AP759" s="27">
        <f t="shared" ref="AP759:AQ759" si="2102">SUM(T767)</f>
        <v>198</v>
      </c>
      <c r="AQ759" s="27">
        <f t="shared" si="2102"/>
        <v>5.823529412</v>
      </c>
      <c r="AR759" s="23">
        <f t="shared" ref="AR759:AR765" si="2110">AI759/AA759</f>
        <v>147.0294118</v>
      </c>
    </row>
    <row r="760" ht="15.7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X760" s="22">
        <v>2.0</v>
      </c>
      <c r="Y760" s="22" t="s">
        <v>24</v>
      </c>
      <c r="Z760" s="22">
        <f t="shared" ref="Z760:AI760" si="2103">SUM(D768)</f>
        <v>44</v>
      </c>
      <c r="AA760" s="23">
        <f t="shared" si="2103"/>
        <v>44</v>
      </c>
      <c r="AB760" s="24">
        <f t="shared" si="2103"/>
        <v>8354.582</v>
      </c>
      <c r="AC760" s="23">
        <f t="shared" si="2103"/>
        <v>1454</v>
      </c>
      <c r="AD760" s="23">
        <f t="shared" si="2103"/>
        <v>0</v>
      </c>
      <c r="AE760" s="23">
        <f t="shared" si="2103"/>
        <v>1454</v>
      </c>
      <c r="AF760" s="23">
        <f t="shared" si="2103"/>
        <v>1288</v>
      </c>
      <c r="AG760" s="23">
        <f t="shared" si="2103"/>
        <v>28</v>
      </c>
      <c r="AH760" s="23">
        <f t="shared" si="2103"/>
        <v>1316</v>
      </c>
      <c r="AI760" s="23">
        <f t="shared" si="2103"/>
        <v>2770</v>
      </c>
      <c r="AJ760" s="25">
        <f t="shared" si="2104"/>
        <v>189.8768636</v>
      </c>
      <c r="AK760" s="22">
        <v>1580.0</v>
      </c>
      <c r="AL760" s="29">
        <f t="shared" si="2105"/>
        <v>1.753164557</v>
      </c>
      <c r="AM760" s="27">
        <f t="shared" si="2106"/>
        <v>1.5</v>
      </c>
      <c r="AN760" s="26">
        <f t="shared" si="2107"/>
        <v>0.2210363926</v>
      </c>
      <c r="AO760" s="28">
        <f t="shared" si="2108"/>
        <v>0.3315545888</v>
      </c>
      <c r="AP760" s="27">
        <f t="shared" ref="AP760:AQ760" si="2109">SUM(T768)</f>
        <v>311.6799851</v>
      </c>
      <c r="AQ760" s="27">
        <f t="shared" si="2109"/>
        <v>7.083636024</v>
      </c>
      <c r="AR760" s="23">
        <f t="shared" si="2110"/>
        <v>62.95454545</v>
      </c>
    </row>
    <row r="761" ht="15.75" customHeight="1">
      <c r="A761" s="21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X761" s="31">
        <v>3.0</v>
      </c>
      <c r="Y761" s="31" t="s">
        <v>25</v>
      </c>
      <c r="Z761" s="31">
        <f t="shared" ref="Z761:AI761" si="2111">SUM(D769)</f>
        <v>32</v>
      </c>
      <c r="AA761" s="32">
        <f t="shared" si="2111"/>
        <v>31</v>
      </c>
      <c r="AB761" s="33">
        <f t="shared" si="2111"/>
        <v>5925.124</v>
      </c>
      <c r="AC761" s="32">
        <f t="shared" si="2111"/>
        <v>2351</v>
      </c>
      <c r="AD761" s="32">
        <f t="shared" si="2111"/>
        <v>438</v>
      </c>
      <c r="AE761" s="32">
        <f t="shared" si="2111"/>
        <v>2789</v>
      </c>
      <c r="AF761" s="32">
        <f t="shared" si="2111"/>
        <v>3213</v>
      </c>
      <c r="AG761" s="32">
        <f t="shared" si="2111"/>
        <v>305</v>
      </c>
      <c r="AH761" s="32">
        <f t="shared" si="2111"/>
        <v>3518</v>
      </c>
      <c r="AI761" s="32">
        <f t="shared" si="2111"/>
        <v>6307</v>
      </c>
      <c r="AJ761" s="34">
        <f t="shared" si="2104"/>
        <v>191.1330323</v>
      </c>
      <c r="AK761" s="31">
        <f>SUM(O769)</f>
        <v>6622</v>
      </c>
      <c r="AL761" s="67">
        <f t="shared" si="2105"/>
        <v>0.9524312896</v>
      </c>
      <c r="AM761" s="36">
        <f t="shared" si="2106"/>
        <v>1.5</v>
      </c>
      <c r="AN761" s="35">
        <f t="shared" si="2107"/>
        <v>0.7096335312</v>
      </c>
      <c r="AO761" s="37">
        <f t="shared" si="2108"/>
        <v>1.064450297</v>
      </c>
      <c r="AP761" s="36">
        <f t="shared" ref="AP761:AQ761" si="2112">SUM(T769)</f>
        <v>248.5370805</v>
      </c>
      <c r="AQ761" s="36">
        <f t="shared" si="2112"/>
        <v>8.017325179</v>
      </c>
      <c r="AR761" s="32">
        <f t="shared" si="2110"/>
        <v>203.4516129</v>
      </c>
    </row>
    <row r="762" ht="15.75" customHeight="1">
      <c r="A762" s="21"/>
      <c r="B762" s="38">
        <v>1.0</v>
      </c>
      <c r="C762" s="38" t="s">
        <v>26</v>
      </c>
      <c r="D762" s="39">
        <v>20.0</v>
      </c>
      <c r="E762" s="40">
        <f>IFERROR(__xludf.DUMMYFUNCTION("COUNT(IMPORTRANGE(""https://docs.google.com/spreadsheets/d/1F0NpMx7WhcgPgxTWpryY3Z1CGg56FL6aiL4mHs43w4E/edit"",""2!d2:d21""))"),20.0)</f>
        <v>20</v>
      </c>
      <c r="F762" s="41">
        <f>IFERROR(__xludf.DUMMYFUNCTION("SUM(IMPORTRANGE(""https://docs.google.com/spreadsheets/d/1F0NpMx7WhcgPgxTWpryY3Z1CGg56FL6aiL4mHs43w4E/edit"",""2!Q2:Q21""))"),3560.964)</f>
        <v>3560.964</v>
      </c>
      <c r="G762" s="40">
        <f>IFERROR(__xludf.DUMMYFUNCTION("IMPORTRANGE(""https://docs.google.com/spreadsheets/d/1F0NpMx7WhcgPgxTWpryY3Z1CGg56FL6aiL4mHs43w4E/edit"",""2!e28"")"),1873.0)</f>
        <v>1873</v>
      </c>
      <c r="H762" s="40">
        <f>IFERROR(__xludf.DUMMYFUNCTION("IMPORTRANGE(""https://docs.google.com/spreadsheets/d/1F0NpMx7WhcgPgxTWpryY3Z1CGg56FL6aiL4mHs43w4E/edit"",""2!e29"")"),0.0)</f>
        <v>0</v>
      </c>
      <c r="I762" s="40">
        <f t="shared" ref="I762:I779" si="2115">SUM(G762:H762)</f>
        <v>1873</v>
      </c>
      <c r="J762" s="40">
        <f>IFERROR(__xludf.DUMMYFUNCTION("IMPORTRANGE(""https://docs.google.com/spreadsheets/d/1F0NpMx7WhcgPgxTWpryY3Z1CGg56FL6aiL4mHs43w4E/edit"",""2!e32"")"),3204.0)</f>
        <v>3204</v>
      </c>
      <c r="K762" s="40">
        <f>IFERROR(__xludf.DUMMYFUNCTION("IMPORTRANGE(""https://docs.google.com/spreadsheets/d/1F0NpMx7WhcgPgxTWpryY3Z1CGg56FL6aiL4mHs43w4E/edit"",""2!e33"")"),0.0)</f>
        <v>0</v>
      </c>
      <c r="L762" s="40">
        <f t="shared" ref="L762:L768" si="2116">SUM(J762:K762)</f>
        <v>3204</v>
      </c>
      <c r="M762" s="40">
        <f t="shared" ref="M762:M779" si="2117">SUM(I762+L762)</f>
        <v>5077</v>
      </c>
      <c r="N762" s="41">
        <f t="shared" ref="N762:N780" si="2118">F762/E762</f>
        <v>178.0482</v>
      </c>
      <c r="O762" s="38">
        <v>5161.0</v>
      </c>
      <c r="P762" s="42">
        <f t="shared" ref="P762:P780" si="2119">M762/O762</f>
        <v>0.9837240845</v>
      </c>
      <c r="Q762" s="43">
        <v>1.5</v>
      </c>
      <c r="R762" s="42">
        <f t="shared" ref="R762:R780" si="2120">S762/Q762</f>
        <v>0.9504916833</v>
      </c>
      <c r="S762" s="44">
        <f t="shared" ref="S762:S780" si="2121">M762/F762</f>
        <v>1.425737525</v>
      </c>
      <c r="T762" s="43">
        <f>F762/14.415</f>
        <v>247.0318418</v>
      </c>
      <c r="U762" s="43">
        <f t="shared" ref="U762:U780" si="2122">T762/E762</f>
        <v>12.35159209</v>
      </c>
      <c r="V762" s="40">
        <f t="shared" ref="V762:V780" si="2123">M762/E762</f>
        <v>253.85</v>
      </c>
      <c r="X762" s="22">
        <v>4.0</v>
      </c>
      <c r="Y762" s="22" t="s">
        <v>27</v>
      </c>
      <c r="Z762" s="22">
        <f t="shared" ref="Z762:AK762" si="2113">SUM(D775)</f>
        <v>30</v>
      </c>
      <c r="AA762" s="23">
        <f t="shared" si="2113"/>
        <v>28</v>
      </c>
      <c r="AB762" s="24">
        <f t="shared" si="2113"/>
        <v>5465.76</v>
      </c>
      <c r="AC762" s="23">
        <f t="shared" si="2113"/>
        <v>2368</v>
      </c>
      <c r="AD762" s="23">
        <f t="shared" si="2113"/>
        <v>140</v>
      </c>
      <c r="AE762" s="23">
        <f t="shared" si="2113"/>
        <v>2508</v>
      </c>
      <c r="AF762" s="23">
        <f t="shared" si="2113"/>
        <v>3355</v>
      </c>
      <c r="AG762" s="23">
        <f t="shared" si="2113"/>
        <v>107</v>
      </c>
      <c r="AH762" s="23">
        <f t="shared" si="2113"/>
        <v>3462</v>
      </c>
      <c r="AI762" s="23">
        <f t="shared" si="2113"/>
        <v>5970</v>
      </c>
      <c r="AJ762" s="25">
        <f t="shared" si="2113"/>
        <v>195.2057143</v>
      </c>
      <c r="AK762" s="22">
        <f t="shared" si="2113"/>
        <v>8101</v>
      </c>
      <c r="AL762" s="26">
        <f t="shared" si="2105"/>
        <v>0.736946056</v>
      </c>
      <c r="AM762" s="27">
        <f>SUM(Q775)</f>
        <v>1.5</v>
      </c>
      <c r="AN762" s="26">
        <f t="shared" si="2107"/>
        <v>0.7281695501</v>
      </c>
      <c r="AO762" s="28">
        <f t="shared" si="2108"/>
        <v>1.092254325</v>
      </c>
      <c r="AP762" s="27">
        <f t="shared" ref="AP762:AQ762" si="2114">SUM(T775)</f>
        <v>273.4931198</v>
      </c>
      <c r="AQ762" s="27">
        <f t="shared" si="2114"/>
        <v>9.767611423</v>
      </c>
      <c r="AR762" s="23">
        <f t="shared" si="2110"/>
        <v>213.2142857</v>
      </c>
    </row>
    <row r="763" ht="15.75" customHeight="1">
      <c r="A763" s="21"/>
      <c r="B763" s="38">
        <v>2.0</v>
      </c>
      <c r="C763" s="38" t="s">
        <v>28</v>
      </c>
      <c r="D763" s="39">
        <v>33.0</v>
      </c>
      <c r="E763" s="40">
        <f>IFERROR(__xludf.DUMMYFUNCTION("COUNT(IMPORTRANGE(""https://docs.google.com/spreadsheets/d/1H9vAqftAHb0OdeSGXHTnJFzoWUgpoH31sc0sHNN8y1o/edit"",""2!d2:d34""))"),33.0)</f>
        <v>33</v>
      </c>
      <c r="F763" s="41">
        <f>IFERROR(__xludf.DUMMYFUNCTION("SUM(IMPORTRANGE(""https://docs.google.com/spreadsheets/d/1H9vAqftAHb0OdeSGXHTnJFzoWUgpoH31sc0sHNN8y1o/edit"",""2!Q2:Q34""))"),6528.832999999999)</f>
        <v>6528.833</v>
      </c>
      <c r="G763" s="40">
        <f>IFERROR(__xludf.DUMMYFUNCTION("IMPORTRANGE(""https://docs.google.com/spreadsheets/d/1H9vAqftAHb0OdeSGXHTnJFzoWUgpoH31sc0sHNN8y1o/edit"",""2!e41"")"),2700.0)</f>
        <v>2700</v>
      </c>
      <c r="H763" s="40">
        <f>IFERROR(__xludf.DUMMYFUNCTION("IMPORTRANGE(""https://docs.google.com/spreadsheets/d/1H9vAqftAHb0OdeSGXHTnJFzoWUgpoH31sc0sHNN8y1o/edit"",""2!e42"")"),104.0)</f>
        <v>104</v>
      </c>
      <c r="I763" s="40">
        <f t="shared" si="2115"/>
        <v>2804</v>
      </c>
      <c r="J763" s="40">
        <f>IFERROR(__xludf.DUMMYFUNCTION("IMPORTRANGE(""https://docs.google.com/spreadsheets/d/1H9vAqftAHb0OdeSGXHTnJFzoWUgpoH31sc0sHNN8y1o/edit"",""2!e45"")"),3205.0)</f>
        <v>3205</v>
      </c>
      <c r="K763" s="40">
        <f>IFERROR(__xludf.DUMMYFUNCTION("IMPORTRANGE(""https://docs.google.com/spreadsheets/d/1H9vAqftAHb0OdeSGXHTnJFzoWUgpoH31sc0sHNN8y1o/edit"",""2!e46"")"),102.0)</f>
        <v>102</v>
      </c>
      <c r="L763" s="40">
        <f t="shared" si="2116"/>
        <v>3307</v>
      </c>
      <c r="M763" s="40">
        <f t="shared" si="2117"/>
        <v>6111</v>
      </c>
      <c r="N763" s="41">
        <f t="shared" si="2118"/>
        <v>197.8434242</v>
      </c>
      <c r="O763" s="38">
        <v>7315.0</v>
      </c>
      <c r="P763" s="42">
        <f t="shared" si="2119"/>
        <v>0.8354066986</v>
      </c>
      <c r="Q763" s="43">
        <v>1.5</v>
      </c>
      <c r="R763" s="42">
        <f t="shared" si="2120"/>
        <v>0.6240012572</v>
      </c>
      <c r="S763" s="44">
        <f t="shared" si="2121"/>
        <v>0.9360018858</v>
      </c>
      <c r="T763" s="43">
        <f>F763/30.897</f>
        <v>211.3096093</v>
      </c>
      <c r="U763" s="43">
        <f t="shared" si="2122"/>
        <v>6.403321495</v>
      </c>
      <c r="V763" s="40">
        <f t="shared" si="2123"/>
        <v>185.1818182</v>
      </c>
      <c r="X763" s="22">
        <v>5.0</v>
      </c>
      <c r="Y763" s="22" t="s">
        <v>29</v>
      </c>
      <c r="Z763" s="22">
        <f t="shared" ref="Z763:AI763" si="2124">SUM(D778)</f>
        <v>30</v>
      </c>
      <c r="AA763" s="23">
        <f t="shared" si="2124"/>
        <v>29</v>
      </c>
      <c r="AB763" s="24">
        <f t="shared" si="2124"/>
        <v>5775.038</v>
      </c>
      <c r="AC763" s="23">
        <f t="shared" si="2124"/>
        <v>2726</v>
      </c>
      <c r="AD763" s="23">
        <f t="shared" si="2124"/>
        <v>0</v>
      </c>
      <c r="AE763" s="23">
        <f t="shared" si="2124"/>
        <v>2726</v>
      </c>
      <c r="AF763" s="23">
        <f t="shared" si="2124"/>
        <v>4235</v>
      </c>
      <c r="AG763" s="23">
        <f t="shared" si="2124"/>
        <v>0</v>
      </c>
      <c r="AH763" s="23">
        <f t="shared" si="2124"/>
        <v>4235</v>
      </c>
      <c r="AI763" s="23">
        <f t="shared" si="2124"/>
        <v>6961</v>
      </c>
      <c r="AJ763" s="25">
        <f t="shared" ref="AJ763:AJ765" si="2127">AB763/AA763</f>
        <v>199.1392414</v>
      </c>
      <c r="AK763" s="22">
        <f t="shared" ref="AK763:AK764" si="2128">SUM(O778)</f>
        <v>9201</v>
      </c>
      <c r="AL763" s="26">
        <f t="shared" si="2105"/>
        <v>0.7565482013</v>
      </c>
      <c r="AM763" s="27">
        <f t="shared" ref="AM763:AM764" si="2129">SUM(Q778)</f>
        <v>1.5</v>
      </c>
      <c r="AN763" s="26">
        <f t="shared" si="2107"/>
        <v>0.803573356</v>
      </c>
      <c r="AO763" s="28">
        <f t="shared" si="2108"/>
        <v>1.205360034</v>
      </c>
      <c r="AP763" s="27">
        <f t="shared" ref="AP763:AQ763" si="2125">SUM(T778)</f>
        <v>218</v>
      </c>
      <c r="AQ763" s="27">
        <f t="shared" si="2125"/>
        <v>7.517241379</v>
      </c>
      <c r="AR763" s="23">
        <f t="shared" si="2110"/>
        <v>240.0344828</v>
      </c>
    </row>
    <row r="764" ht="15.75" customHeight="1">
      <c r="A764" s="21"/>
      <c r="B764" s="38">
        <v>3.0</v>
      </c>
      <c r="C764" s="38" t="s">
        <v>30</v>
      </c>
      <c r="D764" s="39">
        <v>60.0</v>
      </c>
      <c r="E764" s="40">
        <f>IFERROR(__xludf.DUMMYFUNCTION("COUNT(IMPORTRANGE(""https://docs.google.com/spreadsheets/d/1EWN6nfpuVxbUE_9opjYCWaI7MTm5xsF6ssjklSbMZnA/edit"",""2!d2:d61""))"),58.0)</f>
        <v>58</v>
      </c>
      <c r="F764" s="45">
        <f>IFERROR(__xludf.DUMMYFUNCTION("SUM(IMPORTRANGE(""https://docs.google.com/spreadsheets/d/1EWN6nfpuVxbUE_9opjYCWaI7MTm5xsF6ssjklSbMZnA/edit"",""2!Q2:Q61""))"),11253.344999999988)</f>
        <v>11253.345</v>
      </c>
      <c r="G764" s="40">
        <f>IFERROR(__xludf.DUMMYFUNCTION("IMPORTRANGE(""https://docs.google.com/spreadsheets/d/1EWN6nfpuVxbUE_9opjYCWaI7MTm5xsF6ssjklSbMZnA/edit"",""2!e68"")"),3757.0)</f>
        <v>3757</v>
      </c>
      <c r="H764" s="40">
        <f>IFERROR(__xludf.DUMMYFUNCTION("IMPORTRANGE(""https://docs.google.com/spreadsheets/d/1EWN6nfpuVxbUE_9opjYCWaI7MTm5xsF6ssjklSbMZnA/edit"",""2!e69"")"),0.0)</f>
        <v>0</v>
      </c>
      <c r="I764" s="40">
        <f t="shared" si="2115"/>
        <v>3757</v>
      </c>
      <c r="J764" s="40">
        <f>IFERROR(__xludf.DUMMYFUNCTION("IMPORTRANGE(""https://docs.google.com/spreadsheets/d/1EWN6nfpuVxbUE_9opjYCWaI7MTm5xsF6ssjklSbMZnA/edit"",""2!e72"")"),5596.0)</f>
        <v>5596</v>
      </c>
      <c r="K764" s="40">
        <f>IFERROR(__xludf.DUMMYFUNCTION("IMPORTRANGE(""https://docs.google.com/spreadsheets/d/1EWN6nfpuVxbUE_9opjYCWaI7MTm5xsF6ssjklSbMZnA/edit"",""2!e73"")"),0.0)</f>
        <v>0</v>
      </c>
      <c r="L764" s="40">
        <f t="shared" si="2116"/>
        <v>5596</v>
      </c>
      <c r="M764" s="40">
        <f t="shared" si="2117"/>
        <v>9353</v>
      </c>
      <c r="N764" s="41">
        <f t="shared" si="2118"/>
        <v>194.0231897</v>
      </c>
      <c r="O764" s="38">
        <v>11164.0</v>
      </c>
      <c r="P764" s="42">
        <f t="shared" si="2119"/>
        <v>0.8377821569</v>
      </c>
      <c r="Q764" s="43">
        <v>1.5</v>
      </c>
      <c r="R764" s="42">
        <f t="shared" si="2120"/>
        <v>0.5540871033</v>
      </c>
      <c r="S764" s="44">
        <f t="shared" si="2121"/>
        <v>0.8311306549</v>
      </c>
      <c r="T764" s="43">
        <f>F764/29.603</f>
        <v>380.1420464</v>
      </c>
      <c r="U764" s="43">
        <f t="shared" si="2122"/>
        <v>6.554173214</v>
      </c>
      <c r="V764" s="40">
        <f t="shared" si="2123"/>
        <v>161.2586207</v>
      </c>
      <c r="X764" s="22">
        <v>6.0</v>
      </c>
      <c r="Y764" s="22" t="s">
        <v>31</v>
      </c>
      <c r="Z764" s="22">
        <f t="shared" ref="Z764:AI764" si="2126">SUM(D779)</f>
        <v>15</v>
      </c>
      <c r="AA764" s="23">
        <f t="shared" si="2126"/>
        <v>13</v>
      </c>
      <c r="AB764" s="25">
        <f t="shared" si="2126"/>
        <v>2607.9</v>
      </c>
      <c r="AC764" s="23">
        <f t="shared" si="2126"/>
        <v>870</v>
      </c>
      <c r="AD764" s="23">
        <f t="shared" si="2126"/>
        <v>0</v>
      </c>
      <c r="AE764" s="23">
        <f t="shared" si="2126"/>
        <v>870</v>
      </c>
      <c r="AF764" s="23">
        <f t="shared" si="2126"/>
        <v>975</v>
      </c>
      <c r="AG764" s="23">
        <f t="shared" si="2126"/>
        <v>55</v>
      </c>
      <c r="AH764" s="23">
        <f t="shared" si="2126"/>
        <v>1030</v>
      </c>
      <c r="AI764" s="23">
        <f t="shared" si="2126"/>
        <v>1900</v>
      </c>
      <c r="AJ764" s="25">
        <f t="shared" si="2127"/>
        <v>200.6076923</v>
      </c>
      <c r="AK764" s="22">
        <f t="shared" si="2128"/>
        <v>2717</v>
      </c>
      <c r="AL764" s="26">
        <f t="shared" si="2105"/>
        <v>0.6993006993</v>
      </c>
      <c r="AM764" s="27">
        <f t="shared" si="2129"/>
        <v>1.5</v>
      </c>
      <c r="AN764" s="26">
        <f t="shared" si="2107"/>
        <v>0.4857036952</v>
      </c>
      <c r="AO764" s="28">
        <f t="shared" si="2108"/>
        <v>0.7285555428</v>
      </c>
      <c r="AP764" s="27">
        <f t="shared" ref="AP764:AQ764" si="2130">SUM(T779)</f>
        <v>60</v>
      </c>
      <c r="AQ764" s="27">
        <f t="shared" si="2130"/>
        <v>4.615384615</v>
      </c>
      <c r="AR764" s="23">
        <f t="shared" si="2110"/>
        <v>146.1538462</v>
      </c>
    </row>
    <row r="765" ht="15.75" customHeight="1">
      <c r="A765" s="21"/>
      <c r="B765" s="38">
        <v>4.0</v>
      </c>
      <c r="C765" s="38" t="s">
        <v>32</v>
      </c>
      <c r="D765" s="39">
        <v>42.0</v>
      </c>
      <c r="E765" s="40">
        <f>IFERROR(__xludf.DUMMYFUNCTION("COUNT(IMPORTRANGE(""https://docs.google.com/spreadsheets/d/1Rmar8QqWK4XOJ-eY6xMzkAfDSw0srEXcAw89ilArun8/edit"",""2!d2:d43""))"),42.0)</f>
        <v>42</v>
      </c>
      <c r="F765" s="45">
        <f>IFERROR(__xludf.DUMMYFUNCTION("SUM(IMPORTRANGE(""https://docs.google.com/spreadsheets/d/1Rmar8QqWK4XOJ-eY6xMzkAfDSw0srEXcAw89ilArun8/edit"",""2!Q2:Q43""))"),8179.01399999999)</f>
        <v>8179.014</v>
      </c>
      <c r="G765" s="38">
        <f>IFERROR(__xludf.DUMMYFUNCTION("IMPORTRANGE(""https://docs.google.com/spreadsheets/d/1Rmar8QqWK4XOJ-eY6xMzkAfDSw0srEXcAw89ilArun8/edit"",""2!e50"")"),4808.0)</f>
        <v>4808</v>
      </c>
      <c r="H765" s="38">
        <f>IFERROR(__xludf.DUMMYFUNCTION("IMPORTRANGE(""https://docs.google.com/spreadsheets/d/1Rmar8QqWK4XOJ-eY6xMzkAfDSw0srEXcAw89ilArun8/edit"",""2!e51"")"),0.0)</f>
        <v>0</v>
      </c>
      <c r="I765" s="40">
        <f t="shared" si="2115"/>
        <v>4808</v>
      </c>
      <c r="J765" s="38">
        <f>IFERROR(__xludf.DUMMYFUNCTION("IMPORTRANGE(""https://docs.google.com/spreadsheets/d/1Rmar8QqWK4XOJ-eY6xMzkAfDSw0srEXcAw89ilArun8/edit"",""2!e54"")"),5449.0)</f>
        <v>5449</v>
      </c>
      <c r="K765" s="38">
        <f>IFERROR(__xludf.DUMMYFUNCTION("IMPORTRANGE(""https://docs.google.com/spreadsheets/d/1Rmar8QqWK4XOJ-eY6xMzkAfDSw0srEXcAw89ilArun8/edit"",""2!e55"")"),190.0)</f>
        <v>190</v>
      </c>
      <c r="L765" s="40">
        <f t="shared" si="2116"/>
        <v>5639</v>
      </c>
      <c r="M765" s="40">
        <f t="shared" si="2117"/>
        <v>10447</v>
      </c>
      <c r="N765" s="41">
        <f t="shared" si="2118"/>
        <v>194.7384286</v>
      </c>
      <c r="O765" s="38">
        <v>13817.0</v>
      </c>
      <c r="P765" s="42">
        <f t="shared" si="2119"/>
        <v>0.756097561</v>
      </c>
      <c r="Q765" s="43">
        <v>1.5</v>
      </c>
      <c r="R765" s="42">
        <f t="shared" si="2120"/>
        <v>0.8515288844</v>
      </c>
      <c r="S765" s="44">
        <f t="shared" si="2121"/>
        <v>1.277293327</v>
      </c>
      <c r="T765" s="43">
        <f>F765/25.089</f>
        <v>326</v>
      </c>
      <c r="U765" s="43">
        <f t="shared" si="2122"/>
        <v>7.761904762</v>
      </c>
      <c r="V765" s="40">
        <f t="shared" si="2123"/>
        <v>248.7380952</v>
      </c>
      <c r="X765" s="46" t="s">
        <v>33</v>
      </c>
      <c r="Y765" s="46">
        <v>6.0</v>
      </c>
      <c r="Z765" s="46">
        <f t="shared" ref="Z765:AI765" si="2131">SUM(Z759:Z764)</f>
        <v>186</v>
      </c>
      <c r="AA765" s="47">
        <f t="shared" si="2131"/>
        <v>179</v>
      </c>
      <c r="AB765" s="48">
        <f t="shared" si="2131"/>
        <v>34808.924</v>
      </c>
      <c r="AC765" s="47">
        <f t="shared" si="2131"/>
        <v>11852</v>
      </c>
      <c r="AD765" s="47">
        <f t="shared" si="2131"/>
        <v>578</v>
      </c>
      <c r="AE765" s="47">
        <f t="shared" si="2131"/>
        <v>12430</v>
      </c>
      <c r="AF765" s="47">
        <f t="shared" si="2131"/>
        <v>15982</v>
      </c>
      <c r="AG765" s="47">
        <f t="shared" si="2131"/>
        <v>495</v>
      </c>
      <c r="AH765" s="47">
        <f t="shared" si="2131"/>
        <v>16477</v>
      </c>
      <c r="AI765" s="47">
        <f t="shared" si="2131"/>
        <v>28907</v>
      </c>
      <c r="AJ765" s="49">
        <f t="shared" si="2127"/>
        <v>194.4632626</v>
      </c>
      <c r="AK765" s="46">
        <f>SUM(AK759:AK764)</f>
        <v>35074</v>
      </c>
      <c r="AL765" s="50">
        <f t="shared" si="2105"/>
        <v>0.8241717512</v>
      </c>
      <c r="AM765" s="51">
        <v>1.5</v>
      </c>
      <c r="AN765" s="50">
        <f t="shared" si="2107"/>
        <v>0.5536319748</v>
      </c>
      <c r="AO765" s="52">
        <f t="shared" si="2108"/>
        <v>0.8304479621</v>
      </c>
      <c r="AP765" s="51">
        <f>SUM(AP759:AP764)</f>
        <v>1309.710185</v>
      </c>
      <c r="AQ765" s="51">
        <f>AP765/AA765</f>
        <v>7.316816679</v>
      </c>
      <c r="AR765" s="47">
        <f t="shared" si="2110"/>
        <v>161.4916201</v>
      </c>
    </row>
    <row r="766" ht="15.75" customHeight="1">
      <c r="A766" s="21"/>
      <c r="B766" s="38">
        <v>5.0</v>
      </c>
      <c r="C766" s="38" t="s">
        <v>34</v>
      </c>
      <c r="D766" s="39">
        <v>40.0</v>
      </c>
      <c r="E766" s="40">
        <f>IFERROR(__xludf.DUMMYFUNCTION("COUNT(IMPORTRANGE(""https://docs.google.com/spreadsheets/d/1u99JxAoytGQQ8GcjxXl38CGdyEWy5uIbuJJHnsotyvk/edit"",""2!d2:d41""))"),40.0)</f>
        <v>40</v>
      </c>
      <c r="F766" s="45">
        <f>IFERROR(__xludf.DUMMYFUNCTION("SUM(IMPORTRANGE(""https://docs.google.com/spreadsheets/d/1u99JxAoytGQQ8GcjxXl38CGdyEWy5uIbuJJHnsotyvk/edit"",""2!Q2:Q41""))"),7895.343000000003)</f>
        <v>7895.343</v>
      </c>
      <c r="G766" s="40">
        <f>IFERROR(__xludf.DUMMYFUNCTION("IMPORTRANGE(""https://docs.google.com/spreadsheets/d/1u99JxAoytGQQ8GcjxXl38CGdyEWy5uIbuJJHnsotyvk/edit"",""2!e48"")"),3069.0)</f>
        <v>3069</v>
      </c>
      <c r="H766" s="40">
        <f>IFERROR(__xludf.DUMMYFUNCTION("IMPORTRANGE(""https://docs.google.com/spreadsheets/d/1u99JxAoytGQQ8GcjxXl38CGdyEWy5uIbuJJHnsotyvk/edit"",""2!e49"")"),0.0)</f>
        <v>0</v>
      </c>
      <c r="I766" s="40">
        <f t="shared" si="2115"/>
        <v>3069</v>
      </c>
      <c r="J766" s="40">
        <f>IFERROR(__xludf.DUMMYFUNCTION("IMPORTRANGE(""https://docs.google.com/spreadsheets/d/1u99JxAoytGQQ8GcjxXl38CGdyEWy5uIbuJJHnsotyvk/edit"",""2!e52"")"),3126.0)</f>
        <v>3126</v>
      </c>
      <c r="K766" s="40">
        <f>IFERROR(__xludf.DUMMYFUNCTION("IMPORTRANGE(""https://docs.google.com/spreadsheets/d/1u99JxAoytGQQ8GcjxXl38CGdyEWy5uIbuJJHnsotyvk/edit"",""2!e53"")"),0.0)</f>
        <v>0</v>
      </c>
      <c r="L766" s="40">
        <f t="shared" si="2116"/>
        <v>3126</v>
      </c>
      <c r="M766" s="40">
        <f t="shared" si="2117"/>
        <v>6195</v>
      </c>
      <c r="N766" s="41">
        <f t="shared" si="2118"/>
        <v>197.383575</v>
      </c>
      <c r="O766" s="38">
        <v>9354.0</v>
      </c>
      <c r="P766" s="42">
        <f t="shared" si="2119"/>
        <v>0.6622835151</v>
      </c>
      <c r="Q766" s="43">
        <v>1.5</v>
      </c>
      <c r="R766" s="42">
        <f t="shared" si="2120"/>
        <v>0.5230931702</v>
      </c>
      <c r="S766" s="44">
        <f t="shared" si="2121"/>
        <v>0.7846397554</v>
      </c>
      <c r="T766" s="43">
        <f>F766/30.713</f>
        <v>257.0684401</v>
      </c>
      <c r="U766" s="43">
        <f t="shared" si="2122"/>
        <v>6.426711002</v>
      </c>
      <c r="V766" s="40">
        <f t="shared" si="2123"/>
        <v>154.875</v>
      </c>
      <c r="X766" s="53" t="s">
        <v>35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6"/>
    </row>
    <row r="767" ht="15.75" customHeight="1">
      <c r="A767" s="21"/>
      <c r="B767" s="38">
        <v>6.0</v>
      </c>
      <c r="C767" s="38" t="s">
        <v>23</v>
      </c>
      <c r="D767" s="39">
        <v>35.0</v>
      </c>
      <c r="E767" s="40">
        <f>IFERROR(__xludf.DUMMYFUNCTION("COUNT(IMPORTRANGE(""https://docs.google.com/spreadsheets/d/1uVc-vnTn57HE53lwrUYNZP4sGKTXisrqOoZ-6EyvLzY/edit"",""2!d2:d36""))"),34.0)</f>
        <v>34</v>
      </c>
      <c r="F767" s="45">
        <f>IFERROR(__xludf.DUMMYFUNCTION("SUM(IMPORTRANGE(""https://docs.google.com/spreadsheets/d/1uVc-vnTn57HE53lwrUYNZP4sGKTXisrqOoZ-6EyvLzY/edit"",""2!Q2:Q36""))"),6680.519999999996)</f>
        <v>6680.52</v>
      </c>
      <c r="G767" s="40">
        <f>IFERROR(__xludf.DUMMYFUNCTION("IMPORTRANGE(""https://docs.google.com/spreadsheets/d/1uVc-vnTn57HE53lwrUYNZP4sGKTXisrqOoZ-6EyvLzY/edit"",""2!e43"")"),2083.0)</f>
        <v>2083</v>
      </c>
      <c r="H767" s="40">
        <f>IFERROR(__xludf.DUMMYFUNCTION("IMPORTRANGE(""https://docs.google.com/spreadsheets/d/1uVc-vnTn57HE53lwrUYNZP4sGKTXisrqOoZ-6EyvLzY/edit"",""2!e44"")"),0.0)</f>
        <v>0</v>
      </c>
      <c r="I767" s="40">
        <f t="shared" si="2115"/>
        <v>2083</v>
      </c>
      <c r="J767" s="40">
        <f>IFERROR(__xludf.DUMMYFUNCTION("IMPORTRANGE(""https://docs.google.com/spreadsheets/d/1uVc-vnTn57HE53lwrUYNZP4sGKTXisrqOoZ-6EyvLzY/edit"",""2!e47"")"),2916.0)</f>
        <v>2916</v>
      </c>
      <c r="K767" s="40">
        <f>IFERROR(__xludf.DUMMYFUNCTION("IMPORTRANGE(""https://docs.google.com/spreadsheets/d/1uVc-vnTn57HE53lwrUYNZP4sGKTXisrqOoZ-6EyvLzY/edit"",""2!e48"")"),0.0)</f>
        <v>0</v>
      </c>
      <c r="L767" s="40">
        <f t="shared" si="2116"/>
        <v>2916</v>
      </c>
      <c r="M767" s="40">
        <f t="shared" si="2117"/>
        <v>4999</v>
      </c>
      <c r="N767" s="41">
        <f t="shared" si="2118"/>
        <v>196.4858824</v>
      </c>
      <c r="O767" s="38">
        <v>6853.0</v>
      </c>
      <c r="P767" s="42">
        <f t="shared" si="2119"/>
        <v>0.7294615497</v>
      </c>
      <c r="Q767" s="43">
        <v>1.5</v>
      </c>
      <c r="R767" s="42">
        <f t="shared" si="2120"/>
        <v>0.4988633619</v>
      </c>
      <c r="S767" s="44">
        <f t="shared" si="2121"/>
        <v>0.7482950429</v>
      </c>
      <c r="T767" s="43">
        <f>F767/33.74</f>
        <v>198</v>
      </c>
      <c r="U767" s="43">
        <f t="shared" si="2122"/>
        <v>5.823529412</v>
      </c>
      <c r="V767" s="40">
        <f t="shared" si="2123"/>
        <v>147.0294118</v>
      </c>
      <c r="X767" s="14" t="s">
        <v>2</v>
      </c>
      <c r="Y767" s="14" t="s">
        <v>3</v>
      </c>
      <c r="Z767" s="14" t="s">
        <v>4</v>
      </c>
      <c r="AA767" s="14" t="s">
        <v>5</v>
      </c>
      <c r="AB767" s="15" t="s">
        <v>6</v>
      </c>
      <c r="AC767" s="14" t="s">
        <v>7</v>
      </c>
      <c r="AD767" s="14" t="s">
        <v>8</v>
      </c>
      <c r="AE767" s="14" t="s">
        <v>9</v>
      </c>
      <c r="AF767" s="14" t="s">
        <v>10</v>
      </c>
      <c r="AG767" s="14" t="s">
        <v>11</v>
      </c>
      <c r="AH767" s="14" t="s">
        <v>12</v>
      </c>
      <c r="AI767" s="14" t="s">
        <v>13</v>
      </c>
      <c r="AJ767" s="15" t="s">
        <v>14</v>
      </c>
      <c r="AK767" s="14" t="s">
        <v>15</v>
      </c>
      <c r="AL767" s="14" t="s">
        <v>16</v>
      </c>
      <c r="AM767" s="16" t="s">
        <v>17</v>
      </c>
      <c r="AN767" s="17" t="s">
        <v>18</v>
      </c>
      <c r="AO767" s="18" t="s">
        <v>19</v>
      </c>
      <c r="AP767" s="19" t="s">
        <v>20</v>
      </c>
      <c r="AQ767" s="19" t="s">
        <v>21</v>
      </c>
      <c r="AR767" s="20" t="s">
        <v>22</v>
      </c>
    </row>
    <row r="768" ht="15.75" customHeight="1">
      <c r="A768" s="21"/>
      <c r="B768" s="38">
        <v>7.0</v>
      </c>
      <c r="C768" s="38" t="s">
        <v>24</v>
      </c>
      <c r="D768" s="39">
        <v>44.0</v>
      </c>
      <c r="E768" s="54">
        <f>IFERROR(__xludf.DUMMYFUNCTION("COUNT(IMPORTRANGE(""https://docs.google.com/spreadsheets/d/1iuPvivSypupo44l6GtmR-2qZ3za7cTk7KzsOVp_kv2c/edit"",""2!d2:d45""))"),44.0)</f>
        <v>44</v>
      </c>
      <c r="F768" s="55">
        <f>IFERROR(__xludf.DUMMYFUNCTION("SUM(IMPORTRANGE(""https://docs.google.com/spreadsheets/d/1iuPvivSypupo44l6GtmR-2qZ3za7cTk7KzsOVp_kv2c/edit"",""2!Q2:Q45""))"),8354.581999999995)</f>
        <v>8354.582</v>
      </c>
      <c r="G768" s="54">
        <f>IFERROR(__xludf.DUMMYFUNCTION("IMPORTRANGE(""https://docs.google.com/spreadsheets/d/1iuPvivSypupo44l6GtmR-2qZ3za7cTk7KzsOVp_kv2c/edit"",""2!e53"")"),1454.0)</f>
        <v>1454</v>
      </c>
      <c r="H768" s="54">
        <f>IFERROR(__xludf.DUMMYFUNCTION("IMPORTRANGE(""https://docs.google.com/spreadsheets/d/1iuPvivSypupo44l6GtmR-2qZ3za7cTk7KzsOVp_kv2c/edit"",""2!e54"")"),0.0)</f>
        <v>0</v>
      </c>
      <c r="I768" s="54">
        <f t="shared" si="2115"/>
        <v>1454</v>
      </c>
      <c r="J768" s="54">
        <f>IFERROR(__xludf.DUMMYFUNCTION("IMPORTRANGE(""https://docs.google.com/spreadsheets/d/1iuPvivSypupo44l6GtmR-2qZ3za7cTk7KzsOVp_kv2c/edit"",""2!e57"")"),1288.0)</f>
        <v>1288</v>
      </c>
      <c r="K768" s="54">
        <f>IFERROR(__xludf.DUMMYFUNCTION("IMPORTRANGE(""https://docs.google.com/spreadsheets/d/1iuPvivSypupo44l6GtmR-2qZ3za7cTk7KzsOVp_kv2c/edit"",""2!e58"")"),28.0)</f>
        <v>28</v>
      </c>
      <c r="L768" s="40">
        <f t="shared" si="2116"/>
        <v>1316</v>
      </c>
      <c r="M768" s="40">
        <f t="shared" si="2117"/>
        <v>2770</v>
      </c>
      <c r="N768" s="41">
        <f t="shared" si="2118"/>
        <v>189.8768636</v>
      </c>
      <c r="O768" s="38">
        <v>1580.0</v>
      </c>
      <c r="P768" s="56">
        <f t="shared" si="2119"/>
        <v>1.753164557</v>
      </c>
      <c r="Q768" s="43">
        <v>1.5</v>
      </c>
      <c r="R768" s="42">
        <f t="shared" si="2120"/>
        <v>0.2210363926</v>
      </c>
      <c r="S768" s="44">
        <f t="shared" si="2121"/>
        <v>0.3315545888</v>
      </c>
      <c r="T768" s="43">
        <f>F768/26.805</f>
        <v>311.6799851</v>
      </c>
      <c r="U768" s="43">
        <f t="shared" si="2122"/>
        <v>7.083636024</v>
      </c>
      <c r="V768" s="40">
        <f t="shared" si="2123"/>
        <v>62.95454545</v>
      </c>
      <c r="X768" s="22">
        <v>1.0</v>
      </c>
      <c r="Y768" s="22" t="s">
        <v>28</v>
      </c>
      <c r="Z768" s="22">
        <f t="shared" ref="Z768:AI768" si="2132">SUM(D763)</f>
        <v>33</v>
      </c>
      <c r="AA768" s="23">
        <f t="shared" si="2132"/>
        <v>33</v>
      </c>
      <c r="AB768" s="25">
        <f t="shared" si="2132"/>
        <v>6528.833</v>
      </c>
      <c r="AC768" s="23">
        <f t="shared" si="2132"/>
        <v>2700</v>
      </c>
      <c r="AD768" s="23">
        <f t="shared" si="2132"/>
        <v>104</v>
      </c>
      <c r="AE768" s="23">
        <f t="shared" si="2132"/>
        <v>2804</v>
      </c>
      <c r="AF768" s="23">
        <f t="shared" si="2132"/>
        <v>3205</v>
      </c>
      <c r="AG768" s="23">
        <f t="shared" si="2132"/>
        <v>102</v>
      </c>
      <c r="AH768" s="23">
        <f t="shared" si="2132"/>
        <v>3307</v>
      </c>
      <c r="AI768" s="23">
        <f t="shared" si="2132"/>
        <v>6111</v>
      </c>
      <c r="AJ768" s="25">
        <f t="shared" ref="AJ768:AJ774" si="2135">AB768/AA768</f>
        <v>197.8434242</v>
      </c>
      <c r="AK768" s="22">
        <f t="shared" ref="AK768:AK769" si="2136">SUM(O763)</f>
        <v>7315</v>
      </c>
      <c r="AL768" s="26">
        <f t="shared" ref="AL768:AL774" si="2137">AI768/AK768</f>
        <v>0.8354066986</v>
      </c>
      <c r="AM768" s="27">
        <f t="shared" ref="AM768:AM769" si="2138">SUM(Q763)</f>
        <v>1.5</v>
      </c>
      <c r="AN768" s="26">
        <f t="shared" ref="AN768:AN774" si="2139">AO768/AM768</f>
        <v>0.6240012572</v>
      </c>
      <c r="AO768" s="28">
        <f t="shared" ref="AO768:AO774" si="2140">AI768/AB768</f>
        <v>0.9360018858</v>
      </c>
      <c r="AP768" s="27">
        <f t="shared" ref="AP768:AQ768" si="2133">SUM(T763)</f>
        <v>211.3096093</v>
      </c>
      <c r="AQ768" s="27">
        <f t="shared" si="2133"/>
        <v>6.403321495</v>
      </c>
      <c r="AR768" s="23">
        <f t="shared" ref="AR768:AR774" si="2142">AI768/AA768</f>
        <v>185.1818182</v>
      </c>
    </row>
    <row r="769" ht="15.75" customHeight="1">
      <c r="A769" s="21"/>
      <c r="B769" s="38">
        <v>8.0</v>
      </c>
      <c r="C769" s="38" t="s">
        <v>25</v>
      </c>
      <c r="D769" s="57">
        <v>32.0</v>
      </c>
      <c r="E769" s="40">
        <f>IFERROR(__xludf.DUMMYFUNCTION("COUNT(IMPORTRANGE(""https://docs.google.com/spreadsheets/d/1sqWX7UerdR9KR_duBzDNfjwbPG-3hLgV1LiN2ZVZ6Js/edit"",""2!d2:D33""))"),31.0)</f>
        <v>31</v>
      </c>
      <c r="F769" s="45">
        <f>IFERROR(__xludf.DUMMYFUNCTION("SUM(IMPORTRANGE(""https://docs.google.com/spreadsheets/d/1sqWX7UerdR9KR_duBzDNfjwbPG-3hLgV1LiN2ZVZ6Js/edit"",""2!Q2:Q33""))"),5925.124000000001)</f>
        <v>5925.124</v>
      </c>
      <c r="G769" s="40">
        <f>IFERROR(__xludf.DUMMYFUNCTION("IMPORTRANGE(""https://docs.google.com/spreadsheets/d/1sqWX7UerdR9KR_duBzDNfjwbPG-3hLgV1LiN2ZVZ6Js/edit"",""2!e40"")"),2351.0)</f>
        <v>2351</v>
      </c>
      <c r="H769" s="40">
        <f>IFERROR(__xludf.DUMMYFUNCTION("IMPORTRANGE(""https://docs.google.com/spreadsheets/d/1sqWX7UerdR9KR_duBzDNfjwbPG-3hLgV1LiN2ZVZ6Js/edit"",""2!e41"")"),438.0)</f>
        <v>438</v>
      </c>
      <c r="I769" s="40">
        <f t="shared" si="2115"/>
        <v>2789</v>
      </c>
      <c r="J769" s="40">
        <f>IFERROR(__xludf.DUMMYFUNCTION("IMPORTRANGE(""https://docs.google.com/spreadsheets/d/1sqWX7UerdR9KR_duBzDNfjwbPG-3hLgV1LiN2ZVZ6Js/edit"",""2!e44"")"),3213.0)</f>
        <v>3213</v>
      </c>
      <c r="K769" s="40">
        <f>IFERROR(__xludf.DUMMYFUNCTION("IMPORTRANGE(""https://docs.google.com/spreadsheets/d/1sqWX7UerdR9KR_duBzDNfjwbPG-3hLgV1LiN2ZVZ6Js/edit"",""2!e45"")"),305.0)</f>
        <v>305</v>
      </c>
      <c r="L769" s="40">
        <f>J769+K769</f>
        <v>3518</v>
      </c>
      <c r="M769" s="40">
        <f t="shared" si="2117"/>
        <v>6307</v>
      </c>
      <c r="N769" s="41">
        <f t="shared" si="2118"/>
        <v>191.1330323</v>
      </c>
      <c r="O769" s="38">
        <v>6622.0</v>
      </c>
      <c r="P769" s="56">
        <f t="shared" si="2119"/>
        <v>0.9524312896</v>
      </c>
      <c r="Q769" s="43">
        <v>1.5</v>
      </c>
      <c r="R769" s="42">
        <f t="shared" si="2120"/>
        <v>0.7096335312</v>
      </c>
      <c r="S769" s="44">
        <f t="shared" si="2121"/>
        <v>1.064450297</v>
      </c>
      <c r="T769" s="43">
        <f>F769/23.84</f>
        <v>248.5370805</v>
      </c>
      <c r="U769" s="43">
        <f t="shared" si="2122"/>
        <v>8.017325179</v>
      </c>
      <c r="V769" s="40">
        <f t="shared" si="2123"/>
        <v>203.4516129</v>
      </c>
      <c r="X769" s="31">
        <v>2.0</v>
      </c>
      <c r="Y769" s="31" t="s">
        <v>30</v>
      </c>
      <c r="Z769" s="31">
        <f t="shared" ref="Z769:AI769" si="2134">SUM(D764)</f>
        <v>60</v>
      </c>
      <c r="AA769" s="32">
        <f t="shared" si="2134"/>
        <v>58</v>
      </c>
      <c r="AB769" s="33">
        <f t="shared" si="2134"/>
        <v>11253.345</v>
      </c>
      <c r="AC769" s="32">
        <f t="shared" si="2134"/>
        <v>3757</v>
      </c>
      <c r="AD769" s="32">
        <f t="shared" si="2134"/>
        <v>0</v>
      </c>
      <c r="AE769" s="32">
        <f t="shared" si="2134"/>
        <v>3757</v>
      </c>
      <c r="AF769" s="32">
        <f t="shared" si="2134"/>
        <v>5596</v>
      </c>
      <c r="AG769" s="32">
        <f t="shared" si="2134"/>
        <v>0</v>
      </c>
      <c r="AH769" s="32">
        <f t="shared" si="2134"/>
        <v>5596</v>
      </c>
      <c r="AI769" s="32">
        <f t="shared" si="2134"/>
        <v>9353</v>
      </c>
      <c r="AJ769" s="34">
        <f t="shared" si="2135"/>
        <v>194.0231897</v>
      </c>
      <c r="AK769" s="31">
        <f t="shared" si="2136"/>
        <v>11164</v>
      </c>
      <c r="AL769" s="35">
        <f t="shared" si="2137"/>
        <v>0.8377821569</v>
      </c>
      <c r="AM769" s="36">
        <f t="shared" si="2138"/>
        <v>1.5</v>
      </c>
      <c r="AN769" s="35">
        <f t="shared" si="2139"/>
        <v>0.5540871033</v>
      </c>
      <c r="AO769" s="37">
        <f t="shared" si="2140"/>
        <v>0.8311306549</v>
      </c>
      <c r="AP769" s="36">
        <f t="shared" ref="AP769:AQ769" si="2141">SUM(T764)</f>
        <v>380.1420464</v>
      </c>
      <c r="AQ769" s="36">
        <f t="shared" si="2141"/>
        <v>6.554173214</v>
      </c>
      <c r="AR769" s="32">
        <f t="shared" si="2142"/>
        <v>161.2586207</v>
      </c>
    </row>
    <row r="770" ht="15.75" customHeight="1">
      <c r="A770" s="21"/>
      <c r="B770" s="38">
        <v>9.0</v>
      </c>
      <c r="C770" s="38" t="s">
        <v>36</v>
      </c>
      <c r="D770" s="58">
        <v>30.0</v>
      </c>
      <c r="E770" s="40">
        <f>IFERROR(__xludf.DUMMYFUNCTION("COUNT(IMPORTRANGE(""https://docs.google.com/spreadsheets/d/1YNna43iTSqnwwbMJgTIPHSJEoDO8RGPRFg5pJCoQR_Y/edit"",""2!d2:d31""))"),29.0)</f>
        <v>29</v>
      </c>
      <c r="F770" s="45">
        <f>IFERROR(__xludf.DUMMYFUNCTION("SUM(IMPORTRANGE(""https://docs.google.com/spreadsheets/d/1YNna43iTSqnwwbMJgTIPHSJEoDO8RGPRFg5pJCoQR_Y/edit"",""2!Q2:Q31""))"),5604.12)</f>
        <v>5604.12</v>
      </c>
      <c r="G770" s="40">
        <f>IFERROR(__xludf.DUMMYFUNCTION("IMPORTRANGE(""https://docs.google.com/spreadsheets/d/1YNna43iTSqnwwbMJgTIPHSJEoDO8RGPRFg5pJCoQR_Y/edit"",""2!e38"")"),1533.0)</f>
        <v>1533</v>
      </c>
      <c r="H770" s="40">
        <f>IFERROR(__xludf.DUMMYFUNCTION("IMPORTRANGE(""https://docs.google.com/spreadsheets/d/1YNna43iTSqnwwbMJgTIPHSJEoDO8RGPRFg5pJCoQR_Y/edit"",""2!e39"")"),0.0)</f>
        <v>0</v>
      </c>
      <c r="I770" s="40">
        <f t="shared" si="2115"/>
        <v>1533</v>
      </c>
      <c r="J770" s="40">
        <f>IFERROR(__xludf.DUMMYFUNCTION("IMPORTRANGE(""https://docs.google.com/spreadsheets/d/1YNna43iTSqnwwbMJgTIPHSJEoDO8RGPRFg5pJCoQR_Y/edit"",""2!e42"")"),2301.0)</f>
        <v>2301</v>
      </c>
      <c r="K770" s="40">
        <f>IFERROR(__xludf.DUMMYFUNCTION("IMPORTRANGE(""https://docs.google.com/spreadsheets/d/1YNna43iTSqnwwbMJgTIPHSJEoDO8RGPRFg5pJCoQR_Y/edit"",""2!e43"")"),0.0)</f>
        <v>0</v>
      </c>
      <c r="L770" s="40">
        <f t="shared" ref="L770:L779" si="2145">SUM(J770:K770)</f>
        <v>2301</v>
      </c>
      <c r="M770" s="40">
        <f t="shared" si="2117"/>
        <v>3834</v>
      </c>
      <c r="N770" s="41">
        <f t="shared" si="2118"/>
        <v>193.2455172</v>
      </c>
      <c r="O770" s="38">
        <v>4796.0</v>
      </c>
      <c r="P770" s="42">
        <f t="shared" si="2119"/>
        <v>0.7994161802</v>
      </c>
      <c r="Q770" s="43">
        <v>1.5</v>
      </c>
      <c r="R770" s="42">
        <f t="shared" si="2120"/>
        <v>0.4560930173</v>
      </c>
      <c r="S770" s="44">
        <f t="shared" si="2121"/>
        <v>0.6841395259</v>
      </c>
      <c r="T770" s="43">
        <f>F770/37.414</f>
        <v>149.7867109</v>
      </c>
      <c r="U770" s="43">
        <f t="shared" si="2122"/>
        <v>5.165058995</v>
      </c>
      <c r="V770" s="40">
        <f t="shared" si="2123"/>
        <v>132.2068966</v>
      </c>
      <c r="X770" s="22">
        <v>3.0</v>
      </c>
      <c r="Y770" s="22" t="s">
        <v>34</v>
      </c>
      <c r="Z770" s="22">
        <f t="shared" ref="Z770:AI770" si="2143">SUM(D766)</f>
        <v>40</v>
      </c>
      <c r="AA770" s="23">
        <f t="shared" si="2143"/>
        <v>40</v>
      </c>
      <c r="AB770" s="24">
        <f t="shared" si="2143"/>
        <v>7895.343</v>
      </c>
      <c r="AC770" s="23">
        <f t="shared" si="2143"/>
        <v>3069</v>
      </c>
      <c r="AD770" s="23">
        <f t="shared" si="2143"/>
        <v>0</v>
      </c>
      <c r="AE770" s="23">
        <f t="shared" si="2143"/>
        <v>3069</v>
      </c>
      <c r="AF770" s="23">
        <f t="shared" si="2143"/>
        <v>3126</v>
      </c>
      <c r="AG770" s="23">
        <f t="shared" si="2143"/>
        <v>0</v>
      </c>
      <c r="AH770" s="23">
        <f t="shared" si="2143"/>
        <v>3126</v>
      </c>
      <c r="AI770" s="23">
        <f t="shared" si="2143"/>
        <v>6195</v>
      </c>
      <c r="AJ770" s="25">
        <f t="shared" si="2135"/>
        <v>197.383575</v>
      </c>
      <c r="AK770" s="22">
        <f>SUM(O766)</f>
        <v>9354</v>
      </c>
      <c r="AL770" s="26">
        <f t="shared" si="2137"/>
        <v>0.6622835151</v>
      </c>
      <c r="AM770" s="27">
        <f>SUM(Q766)</f>
        <v>1.5</v>
      </c>
      <c r="AN770" s="26">
        <f t="shared" si="2139"/>
        <v>0.5230931702</v>
      </c>
      <c r="AO770" s="28">
        <f t="shared" si="2140"/>
        <v>0.7846397554</v>
      </c>
      <c r="AP770" s="27">
        <f t="shared" ref="AP770:AQ770" si="2144">SUM(T766)</f>
        <v>257.0684401</v>
      </c>
      <c r="AQ770" s="27">
        <f t="shared" si="2144"/>
        <v>6.426711002</v>
      </c>
      <c r="AR770" s="23">
        <f t="shared" si="2142"/>
        <v>154.875</v>
      </c>
    </row>
    <row r="771" ht="15.75" customHeight="1">
      <c r="A771" s="21"/>
      <c r="B771" s="38">
        <v>10.0</v>
      </c>
      <c r="C771" s="38" t="s">
        <v>37</v>
      </c>
      <c r="D771" s="39">
        <v>30.0</v>
      </c>
      <c r="E771" s="40">
        <f>IFERROR(__xludf.DUMMYFUNCTION("COUNT(IMPORTRANGE(""https://docs.google.com/spreadsheets/d/1913Df5BsXS_b-nClL8LOK5w0engQYTl1mPOiyngRtO0/edit"",""2!d2:d31""))"),30.0)</f>
        <v>30</v>
      </c>
      <c r="F771" s="45">
        <f>IFERROR(__xludf.DUMMYFUNCTION("SUM(IMPORTRANGE(""https://docs.google.com/spreadsheets/d/1913Df5BsXS_b-nClL8LOK5w0engQYTl1mPOiyngRtO0/edit"",""2!Q2:Q31""))"),5812.188)</f>
        <v>5812.188</v>
      </c>
      <c r="G771" s="40">
        <f>IFERROR(__xludf.DUMMYFUNCTION("(IMPORTRANGE(""https://docs.google.com/spreadsheets/d/1913Df5BsXS_b-nClL8LOK5w0engQYTl1mPOiyngRtO0/edit"",""2!e38""))"),2138.0)</f>
        <v>2138</v>
      </c>
      <c r="H771" s="40">
        <f>IFERROR(__xludf.DUMMYFUNCTION("(IMPORTRANGE(""https://docs.google.com/spreadsheets/d/1913Df5BsXS_b-nClL8LOK5w0engQYTl1mPOiyngRtO0/edit"",""2!e39""))"),0.0)</f>
        <v>0</v>
      </c>
      <c r="I771" s="40">
        <f t="shared" si="2115"/>
        <v>2138</v>
      </c>
      <c r="J771" s="40">
        <f>IFERROR(__xludf.DUMMYFUNCTION("(IMPORTRANGE(""https://docs.google.com/spreadsheets/d/1913Df5BsXS_b-nClL8LOK5w0engQYTl1mPOiyngRtO0/edit"",""2!e42""))"),3071.0)</f>
        <v>3071</v>
      </c>
      <c r="K771" s="40">
        <f>IFERROR(__xludf.DUMMYFUNCTION("(IMPORTRANGE(""https://docs.google.com/spreadsheets/d/1913Df5BsXS_b-nClL8LOK5w0engQYTl1mPOiyngRtO0/edit"",""2!e43""))"),0.0)</f>
        <v>0</v>
      </c>
      <c r="L771" s="40">
        <f t="shared" si="2145"/>
        <v>3071</v>
      </c>
      <c r="M771" s="40">
        <f t="shared" si="2117"/>
        <v>5209</v>
      </c>
      <c r="N771" s="41">
        <f t="shared" si="2118"/>
        <v>193.7396</v>
      </c>
      <c r="O771" s="38">
        <v>5887.0</v>
      </c>
      <c r="P771" s="42">
        <f t="shared" si="2119"/>
        <v>0.8848309835</v>
      </c>
      <c r="Q771" s="43">
        <v>1.5</v>
      </c>
      <c r="R771" s="42">
        <f t="shared" si="2120"/>
        <v>0.5974800999</v>
      </c>
      <c r="S771" s="44">
        <f t="shared" si="2121"/>
        <v>0.8962201498</v>
      </c>
      <c r="T771" s="43">
        <f>F771/24.792</f>
        <v>234.4380445</v>
      </c>
      <c r="U771" s="43">
        <f t="shared" si="2122"/>
        <v>7.814601484</v>
      </c>
      <c r="V771" s="40">
        <f t="shared" si="2123"/>
        <v>173.6333333</v>
      </c>
      <c r="X771" s="31">
        <v>4.0</v>
      </c>
      <c r="Y771" s="31" t="s">
        <v>38</v>
      </c>
      <c r="Z771" s="31">
        <f t="shared" ref="Z771:AI771" si="2146">SUM(D774)</f>
        <v>30</v>
      </c>
      <c r="AA771" s="32">
        <f t="shared" si="2146"/>
        <v>30</v>
      </c>
      <c r="AB771" s="33">
        <f t="shared" si="2146"/>
        <v>6284.278</v>
      </c>
      <c r="AC771" s="32">
        <f t="shared" si="2146"/>
        <v>2309</v>
      </c>
      <c r="AD771" s="32">
        <f t="shared" si="2146"/>
        <v>0</v>
      </c>
      <c r="AE771" s="32">
        <f t="shared" si="2146"/>
        <v>2309</v>
      </c>
      <c r="AF771" s="32">
        <f t="shared" si="2146"/>
        <v>2749</v>
      </c>
      <c r="AG771" s="32">
        <f t="shared" si="2146"/>
        <v>159</v>
      </c>
      <c r="AH771" s="32">
        <f t="shared" si="2146"/>
        <v>2908</v>
      </c>
      <c r="AI771" s="32">
        <f t="shared" si="2146"/>
        <v>5217</v>
      </c>
      <c r="AJ771" s="34">
        <f t="shared" si="2135"/>
        <v>209.4759333</v>
      </c>
      <c r="AK771" s="31">
        <v>7324.0</v>
      </c>
      <c r="AL771" s="35">
        <f t="shared" si="2137"/>
        <v>0.7123156745</v>
      </c>
      <c r="AM771" s="36">
        <f>SUM(Q774)</f>
        <v>1.5</v>
      </c>
      <c r="AN771" s="35">
        <f t="shared" si="2139"/>
        <v>0.5534446439</v>
      </c>
      <c r="AO771" s="37">
        <f t="shared" si="2140"/>
        <v>0.8301669659</v>
      </c>
      <c r="AP771" s="36">
        <f t="shared" ref="AP771:AQ771" si="2147">SUM(T774)</f>
        <v>152.5125106</v>
      </c>
      <c r="AQ771" s="36">
        <f t="shared" si="2147"/>
        <v>5.083750354</v>
      </c>
      <c r="AR771" s="32">
        <f t="shared" si="2142"/>
        <v>173.9</v>
      </c>
    </row>
    <row r="772" ht="15.75" customHeight="1">
      <c r="A772" s="21"/>
      <c r="B772" s="38">
        <v>12.0</v>
      </c>
      <c r="C772" s="38" t="s">
        <v>39</v>
      </c>
      <c r="D772" s="39">
        <v>28.0</v>
      </c>
      <c r="E772" s="40">
        <f>IFERROR(__xludf.DUMMYFUNCTION("COUNT(IMPORTRANGE(""https://docs.google.com/spreadsheets/d/1wMeol_MpSIcocGxt3WZGl46mJ2tc80mANPvP_YzaP18/edit"",""2!d2:d29""))"),28.0)</f>
        <v>28</v>
      </c>
      <c r="F772" s="45">
        <f>IFERROR(__xludf.DUMMYFUNCTION("SUM(IMPORTRANGE(""https://docs.google.com/spreadsheets/d/1wMeol_MpSIcocGxt3WZGl46mJ2tc80mANPvP_YzaP18/edit"",""2!Q2:Q29""))"),5458.878)</f>
        <v>5458.878</v>
      </c>
      <c r="G772" s="40">
        <f>IFERROR(__xludf.DUMMYFUNCTION("IMPORTRANGE(""https://docs.google.com/spreadsheets/d/1wMeol_MpSIcocGxt3WZGl46mJ2tc80mANPvP_YzaP18/edit"",""2!e36"")"),1516.0)</f>
        <v>1516</v>
      </c>
      <c r="H772" s="40">
        <f>IFERROR(__xludf.DUMMYFUNCTION("(IMPORTRANGE(""https://docs.google.com/spreadsheets/d/1wMeol_MpSIcocGxt3WZGl46mJ2tc80mANPvP_YzaP18/edit"",""2!e37""))"),43.0)</f>
        <v>43</v>
      </c>
      <c r="I772" s="40">
        <f t="shared" si="2115"/>
        <v>1559</v>
      </c>
      <c r="J772" s="40">
        <f>IFERROR(__xludf.DUMMYFUNCTION("IMPORTRANGE(""https://docs.google.com/spreadsheets/d/1wMeol_MpSIcocGxt3WZGl46mJ2tc80mANPvP_YzaP18/edit"",""2!e40"")"),1765.0)</f>
        <v>1765</v>
      </c>
      <c r="K772" s="40">
        <f>IFERROR(__xludf.DUMMYFUNCTION("IMPORTRANGE(""https://docs.google.com/spreadsheets/d/1wMeol_MpSIcocGxt3WZGl46mJ2tc80mANPvP_YzaP18/edit"",""2!e41"")"),115.0)</f>
        <v>115</v>
      </c>
      <c r="L772" s="40">
        <f t="shared" si="2145"/>
        <v>1880</v>
      </c>
      <c r="M772" s="40">
        <f t="shared" si="2117"/>
        <v>3439</v>
      </c>
      <c r="N772" s="41">
        <f t="shared" si="2118"/>
        <v>194.9599286</v>
      </c>
      <c r="O772" s="38">
        <v>3569.0</v>
      </c>
      <c r="P772" s="42">
        <f t="shared" si="2119"/>
        <v>0.9635752312</v>
      </c>
      <c r="Q772" s="43">
        <v>1.5</v>
      </c>
      <c r="R772" s="42">
        <f t="shared" si="2120"/>
        <v>0.4199886253</v>
      </c>
      <c r="S772" s="44">
        <f t="shared" si="2121"/>
        <v>0.6299829379</v>
      </c>
      <c r="T772" s="43">
        <f>F772/21.463</f>
        <v>254.339002</v>
      </c>
      <c r="U772" s="43">
        <f t="shared" si="2122"/>
        <v>9.083535786</v>
      </c>
      <c r="V772" s="40">
        <f t="shared" si="2123"/>
        <v>122.8214286</v>
      </c>
      <c r="X772" s="31">
        <v>5.0</v>
      </c>
      <c r="Y772" s="31" t="s">
        <v>40</v>
      </c>
      <c r="Z772" s="31">
        <f t="shared" ref="Z772:AI772" si="2148">SUM(D776)</f>
        <v>30</v>
      </c>
      <c r="AA772" s="32">
        <f t="shared" si="2148"/>
        <v>30</v>
      </c>
      <c r="AB772" s="33">
        <f t="shared" si="2148"/>
        <v>5845.703</v>
      </c>
      <c r="AC772" s="32">
        <f t="shared" si="2148"/>
        <v>3323</v>
      </c>
      <c r="AD772" s="32">
        <f t="shared" si="2148"/>
        <v>39</v>
      </c>
      <c r="AE772" s="32">
        <f t="shared" si="2148"/>
        <v>3362</v>
      </c>
      <c r="AF772" s="32">
        <f t="shared" si="2148"/>
        <v>3928</v>
      </c>
      <c r="AG772" s="32">
        <f t="shared" si="2148"/>
        <v>73</v>
      </c>
      <c r="AH772" s="32">
        <f t="shared" si="2148"/>
        <v>4001</v>
      </c>
      <c r="AI772" s="32">
        <f t="shared" si="2148"/>
        <v>7363</v>
      </c>
      <c r="AJ772" s="34">
        <f t="shared" si="2135"/>
        <v>194.8567667</v>
      </c>
      <c r="AK772" s="31">
        <f t="shared" ref="AK772:AK773" si="2151">SUM(O776)</f>
        <v>8239</v>
      </c>
      <c r="AL772" s="35">
        <f t="shared" si="2137"/>
        <v>0.893676417</v>
      </c>
      <c r="AM772" s="36">
        <f t="shared" ref="AM772:AM773" si="2152">SUM(Q776)</f>
        <v>1.5</v>
      </c>
      <c r="AN772" s="35">
        <f t="shared" si="2139"/>
        <v>0.8397051076</v>
      </c>
      <c r="AO772" s="37">
        <f t="shared" si="2140"/>
        <v>1.259557661</v>
      </c>
      <c r="AP772" s="36">
        <f t="shared" ref="AP772:AQ772" si="2149">SUM(T776)</f>
        <v>205.5234328</v>
      </c>
      <c r="AQ772" s="36">
        <f t="shared" si="2149"/>
        <v>6.850781094</v>
      </c>
      <c r="AR772" s="32">
        <f t="shared" si="2142"/>
        <v>245.4333333</v>
      </c>
    </row>
    <row r="773" ht="15.75" customHeight="1">
      <c r="A773" s="21"/>
      <c r="B773" s="38">
        <v>12.0</v>
      </c>
      <c r="C773" s="38" t="s">
        <v>41</v>
      </c>
      <c r="D773" s="39">
        <v>24.0</v>
      </c>
      <c r="E773" s="40">
        <f>IFERROR(__xludf.DUMMYFUNCTION("COUNT(IMPORTRANGE(""https://docs.google.com/spreadsheets/d/1sHk6_yuc4kORC_xnhEeazoemV_hVUQVqRpfoNae-PLk/edit"",""2!d2:d25""))"),24.0)</f>
        <v>24</v>
      </c>
      <c r="F773" s="45">
        <f>IFERROR(__xludf.DUMMYFUNCTION("SUM(IMPORTRANGE(""https://docs.google.com/spreadsheets/d/1sHk6_yuc4kORC_xnhEeazoemV_hVUQVqRpfoNae-PLk/edit"",""2!Q2:Q25""))"),4806.3200000000015)</f>
        <v>4806.32</v>
      </c>
      <c r="G773" s="40">
        <f>IFERROR(__xludf.DUMMYFUNCTION("IMPORTRANGE(""https://docs.google.com/spreadsheets/d/1sHk6_yuc4kORC_xnhEeazoemV_hVUQVqRpfoNae-PLk/edit"",""2!e32"")"),1468.0)</f>
        <v>1468</v>
      </c>
      <c r="H773" s="40">
        <f>IFERROR(__xludf.DUMMYFUNCTION("IMPORTRANGE(""https://docs.google.com/spreadsheets/d/1sHk6_yuc4kORC_xnhEeazoemV_hVUQVqRpfoNae-PLk/edit"",""2!e33"")"),0.0)</f>
        <v>0</v>
      </c>
      <c r="I773" s="40">
        <f t="shared" si="2115"/>
        <v>1468</v>
      </c>
      <c r="J773" s="40">
        <f>IFERROR(__xludf.DUMMYFUNCTION("IMPORTRANGE(""https://docs.google.com/spreadsheets/d/1sHk6_yuc4kORC_xnhEeazoemV_hVUQVqRpfoNae-PLk/edit"",""2!e36"")"),1656.0)</f>
        <v>1656</v>
      </c>
      <c r="K773" s="40">
        <f>IFERROR(__xludf.DUMMYFUNCTION("IMPORTRANGE(""https://docs.google.com/spreadsheets/d/1sHk6_yuc4kORC_xnhEeazoemV_hVUQVqRpfoNae-PLk/edit"",""2!e37"")"),0.0)</f>
        <v>0</v>
      </c>
      <c r="L773" s="40">
        <f t="shared" si="2145"/>
        <v>1656</v>
      </c>
      <c r="M773" s="40">
        <f t="shared" si="2117"/>
        <v>3124</v>
      </c>
      <c r="N773" s="41">
        <f t="shared" si="2118"/>
        <v>200.2633333</v>
      </c>
      <c r="O773" s="38">
        <v>3801.0</v>
      </c>
      <c r="P773" s="42">
        <f t="shared" si="2119"/>
        <v>0.8218889766</v>
      </c>
      <c r="Q773" s="43">
        <v>1.5</v>
      </c>
      <c r="R773" s="42">
        <f t="shared" si="2120"/>
        <v>0.4333183531</v>
      </c>
      <c r="S773" s="44">
        <f t="shared" si="2121"/>
        <v>0.6499775296</v>
      </c>
      <c r="T773" s="43">
        <f>F773/29.628</f>
        <v>162.2222222</v>
      </c>
      <c r="U773" s="43">
        <f t="shared" si="2122"/>
        <v>6.759259259</v>
      </c>
      <c r="V773" s="40">
        <f t="shared" si="2123"/>
        <v>130.1666667</v>
      </c>
      <c r="X773" s="22">
        <v>6.0</v>
      </c>
      <c r="Y773" s="22" t="s">
        <v>42</v>
      </c>
      <c r="Z773" s="22">
        <f t="shared" ref="Z773:AI773" si="2150">SUM(D777)</f>
        <v>33</v>
      </c>
      <c r="AA773" s="23">
        <f t="shared" si="2150"/>
        <v>33</v>
      </c>
      <c r="AB773" s="24">
        <f t="shared" si="2150"/>
        <v>6380.282</v>
      </c>
      <c r="AC773" s="23">
        <f t="shared" si="2150"/>
        <v>3133</v>
      </c>
      <c r="AD773" s="23">
        <f t="shared" si="2150"/>
        <v>0</v>
      </c>
      <c r="AE773" s="23">
        <f t="shared" si="2150"/>
        <v>3133</v>
      </c>
      <c r="AF773" s="23">
        <f t="shared" si="2150"/>
        <v>4360</v>
      </c>
      <c r="AG773" s="23">
        <f t="shared" si="2150"/>
        <v>0</v>
      </c>
      <c r="AH773" s="23">
        <f t="shared" si="2150"/>
        <v>4360</v>
      </c>
      <c r="AI773" s="23">
        <f t="shared" si="2150"/>
        <v>7493</v>
      </c>
      <c r="AJ773" s="25">
        <f t="shared" si="2135"/>
        <v>193.3418788</v>
      </c>
      <c r="AK773" s="22">
        <f t="shared" si="2151"/>
        <v>9877</v>
      </c>
      <c r="AL773" s="26">
        <f t="shared" si="2137"/>
        <v>0.7586311633</v>
      </c>
      <c r="AM773" s="27">
        <f t="shared" si="2152"/>
        <v>1.5</v>
      </c>
      <c r="AN773" s="26">
        <f t="shared" si="2139"/>
        <v>0.782933001</v>
      </c>
      <c r="AO773" s="28">
        <f t="shared" si="2140"/>
        <v>1.174399501</v>
      </c>
      <c r="AP773" s="27">
        <f t="shared" ref="AP773:AQ773" si="2153">SUM(T777)</f>
        <v>243.9411967</v>
      </c>
      <c r="AQ773" s="27">
        <f t="shared" si="2153"/>
        <v>7.392157476</v>
      </c>
      <c r="AR773" s="23">
        <f t="shared" si="2142"/>
        <v>227.0606061</v>
      </c>
    </row>
    <row r="774" ht="15.75" customHeight="1">
      <c r="A774" s="21"/>
      <c r="B774" s="38">
        <v>13.0</v>
      </c>
      <c r="C774" s="38" t="s">
        <v>43</v>
      </c>
      <c r="D774" s="39">
        <v>30.0</v>
      </c>
      <c r="E774" s="40">
        <f>IFERROR(__xludf.DUMMYFUNCTION("COUNT(IMPORTRANGE(""https://docs.google.com/spreadsheets/d/1uGXvAN2jA6kmcEHUY4KqOHHewllZsujDdA6KVDfBCoA/edit"",""2!d2:d31""))"),30.0)</f>
        <v>30</v>
      </c>
      <c r="F774" s="45">
        <f>IFERROR(__xludf.DUMMYFUNCTION("SUM(IMPORTRANGE(""https://docs.google.com/spreadsheets/d/1uGXvAN2jA6kmcEHUY4KqOHHewllZsujDdA6KVDfBCoA/edit"",""2!Q2:Q31""))"),6284.277999999999)</f>
        <v>6284.278</v>
      </c>
      <c r="G774" s="40">
        <f>IFERROR(__xludf.DUMMYFUNCTION("IMPORTRANGE(""https://docs.google.com/spreadsheets/d/1uGXvAN2jA6kmcEHUY4KqOHHewllZsujDdA6KVDfBCoA/edit"",""2!e38"")"),2309.0)</f>
        <v>2309</v>
      </c>
      <c r="H774" s="40">
        <f>IFERROR(__xludf.DUMMYFUNCTION("IMPORTRANGE(""https://docs.google.com/spreadsheets/d/1uGXvAN2jA6kmcEHUY4KqOHHewllZsujDdA6KVDfBCoA/edit"",""2!e39"")"),0.0)</f>
        <v>0</v>
      </c>
      <c r="I774" s="40">
        <f t="shared" si="2115"/>
        <v>2309</v>
      </c>
      <c r="J774" s="40">
        <f>IFERROR(__xludf.DUMMYFUNCTION("IMPORTRANGE(""https://docs.google.com/spreadsheets/d/1uGXvAN2jA6kmcEHUY4KqOHHewllZsujDdA6KVDfBCoA/edit"",""2!e42"")"),2749.0)</f>
        <v>2749</v>
      </c>
      <c r="K774" s="40">
        <f>IFERROR(__xludf.DUMMYFUNCTION("IMPORTRANGE(""https://docs.google.com/spreadsheets/d/1uGXvAN2jA6kmcEHUY4KqOHHewllZsujDdA6KVDfBCoA/edit"",""2!e43"")"),159.0)</f>
        <v>159</v>
      </c>
      <c r="L774" s="40">
        <f t="shared" si="2145"/>
        <v>2908</v>
      </c>
      <c r="M774" s="40">
        <f t="shared" si="2117"/>
        <v>5217</v>
      </c>
      <c r="N774" s="41">
        <f t="shared" si="2118"/>
        <v>209.4759333</v>
      </c>
      <c r="O774" s="38">
        <v>8345.0</v>
      </c>
      <c r="P774" s="42">
        <f t="shared" si="2119"/>
        <v>0.6251647693</v>
      </c>
      <c r="Q774" s="43">
        <v>1.5</v>
      </c>
      <c r="R774" s="42">
        <f t="shared" si="2120"/>
        <v>0.5534446439</v>
      </c>
      <c r="S774" s="44">
        <f t="shared" si="2121"/>
        <v>0.8301669659</v>
      </c>
      <c r="T774" s="43">
        <f>F774/41.205</f>
        <v>152.5125106</v>
      </c>
      <c r="U774" s="43">
        <f t="shared" si="2122"/>
        <v>5.083750354</v>
      </c>
      <c r="V774" s="40">
        <f t="shared" si="2123"/>
        <v>173.9</v>
      </c>
      <c r="X774" s="46" t="s">
        <v>33</v>
      </c>
      <c r="Y774" s="46">
        <v>6.0</v>
      </c>
      <c r="Z774" s="46">
        <f t="shared" ref="Z774:AI774" si="2154">SUM(Z768:Z773)</f>
        <v>226</v>
      </c>
      <c r="AA774" s="47">
        <f t="shared" si="2154"/>
        <v>224</v>
      </c>
      <c r="AB774" s="49">
        <f t="shared" si="2154"/>
        <v>44187.784</v>
      </c>
      <c r="AC774" s="47">
        <f t="shared" si="2154"/>
        <v>18291</v>
      </c>
      <c r="AD774" s="47">
        <f t="shared" si="2154"/>
        <v>143</v>
      </c>
      <c r="AE774" s="47">
        <f t="shared" si="2154"/>
        <v>18434</v>
      </c>
      <c r="AF774" s="47">
        <f t="shared" si="2154"/>
        <v>22964</v>
      </c>
      <c r="AG774" s="47">
        <f t="shared" si="2154"/>
        <v>334</v>
      </c>
      <c r="AH774" s="47">
        <f t="shared" si="2154"/>
        <v>23298</v>
      </c>
      <c r="AI774" s="47">
        <f t="shared" si="2154"/>
        <v>41732</v>
      </c>
      <c r="AJ774" s="49">
        <f t="shared" si="2135"/>
        <v>197.2668929</v>
      </c>
      <c r="AK774" s="46">
        <f>SUM(AK768:AK773)</f>
        <v>53273</v>
      </c>
      <c r="AL774" s="50">
        <f t="shared" si="2137"/>
        <v>0.7833611773</v>
      </c>
      <c r="AM774" s="51">
        <v>1.5</v>
      </c>
      <c r="AN774" s="50">
        <f t="shared" si="2139"/>
        <v>0.6296159439</v>
      </c>
      <c r="AO774" s="52">
        <f t="shared" si="2140"/>
        <v>0.9444239159</v>
      </c>
      <c r="AP774" s="51">
        <f>SUM(AP768:AP773)</f>
        <v>1450.497236</v>
      </c>
      <c r="AQ774" s="51">
        <f>AP774/AA774</f>
        <v>6.475434089</v>
      </c>
      <c r="AR774" s="47">
        <f t="shared" si="2142"/>
        <v>186.3035714</v>
      </c>
    </row>
    <row r="775" ht="15.75" customHeight="1">
      <c r="A775" s="21"/>
      <c r="B775" s="38">
        <v>14.0</v>
      </c>
      <c r="C775" s="38" t="s">
        <v>27</v>
      </c>
      <c r="D775" s="39">
        <v>30.0</v>
      </c>
      <c r="E775" s="40">
        <f>IFERROR(__xludf.DUMMYFUNCTION("COUNT(IMPORTRANGE(""https://docs.google.com/spreadsheets/d/1iYtf3wkjJIgOL8ej0-L89wY8FLXKi6EiRbi9UqA1Bzw/edit"",""2!d2:d31""))"),28.0)</f>
        <v>28</v>
      </c>
      <c r="F775" s="45">
        <f>IFERROR(__xludf.DUMMYFUNCTION("SUM(IMPORTRANGE(""https://docs.google.com/spreadsheets/d/1iYtf3wkjJIgOL8ej0-L89wY8FLXKi6EiRbi9UqA1Bzw/edit"",""2!Q2:Q31""))"),5465.76)</f>
        <v>5465.76</v>
      </c>
      <c r="G775" s="40">
        <f>IFERROR(__xludf.DUMMYFUNCTION("IMPORTRANGE(""https://docs.google.com/spreadsheets/d/1iYtf3wkjJIgOL8ej0-L89wY8FLXKi6EiRbi9UqA1Bzw/edit"",""2!e38"")"),2368.0)</f>
        <v>2368</v>
      </c>
      <c r="H775" s="40">
        <f>IFERROR(__xludf.DUMMYFUNCTION("IMPORTRANGE(""https://docs.google.com/spreadsheets/d/1iYtf3wkjJIgOL8ej0-L89wY8FLXKi6EiRbi9UqA1Bzw/edit"",""2!e39"")"),140.0)</f>
        <v>140</v>
      </c>
      <c r="I775" s="40">
        <f t="shared" si="2115"/>
        <v>2508</v>
      </c>
      <c r="J775" s="40">
        <f>IFERROR(__xludf.DUMMYFUNCTION("IMPORTRANGE(""https://docs.google.com/spreadsheets/d/1iYtf3wkjJIgOL8ej0-L89wY8FLXKi6EiRbi9UqA1Bzw/edit"",""2!e42"")"),3355.0)</f>
        <v>3355</v>
      </c>
      <c r="K775" s="40">
        <f>IFERROR(__xludf.DUMMYFUNCTION("IMPORTRANGE(""https://docs.google.com/spreadsheets/d/1iYtf3wkjJIgOL8ej0-L89wY8FLXKi6EiRbi9UqA1Bzw/edit"",""2!e43"")"),107.0)</f>
        <v>107</v>
      </c>
      <c r="L775" s="40">
        <f t="shared" si="2145"/>
        <v>3462</v>
      </c>
      <c r="M775" s="40">
        <f t="shared" si="2117"/>
        <v>5970</v>
      </c>
      <c r="N775" s="41">
        <f t="shared" si="2118"/>
        <v>195.2057143</v>
      </c>
      <c r="O775" s="38">
        <v>8101.0</v>
      </c>
      <c r="P775" s="42">
        <f t="shared" si="2119"/>
        <v>0.736946056</v>
      </c>
      <c r="Q775" s="43">
        <v>1.5</v>
      </c>
      <c r="R775" s="42">
        <f t="shared" si="2120"/>
        <v>0.7281695501</v>
      </c>
      <c r="S775" s="44">
        <f t="shared" si="2121"/>
        <v>1.092254325</v>
      </c>
      <c r="T775" s="43">
        <f>F775/19.985</f>
        <v>273.4931198</v>
      </c>
      <c r="U775" s="43">
        <f t="shared" si="2122"/>
        <v>9.767611423</v>
      </c>
      <c r="V775" s="40">
        <f t="shared" si="2123"/>
        <v>213.2142857</v>
      </c>
      <c r="X775" s="59" t="s">
        <v>44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6"/>
    </row>
    <row r="776" ht="15.75" customHeight="1">
      <c r="A776" s="21"/>
      <c r="B776" s="38">
        <v>15.0</v>
      </c>
      <c r="C776" s="38" t="s">
        <v>40</v>
      </c>
      <c r="D776" s="39">
        <v>30.0</v>
      </c>
      <c r="E776" s="40">
        <f>IFERROR(__xludf.DUMMYFUNCTION("COUNT(IMPORTRANGE(""https://docs.google.com/spreadsheets/d/1Wdf8MsoDBzMSsrzOXwaGQzbVjVqOWfKSqYmbncevZgA/edit"",""2!d2:d31""))"),30.0)</f>
        <v>30</v>
      </c>
      <c r="F776" s="45">
        <f>IFERROR(__xludf.DUMMYFUNCTION("SUM(IMPORTRANGE(""https://docs.google.com/spreadsheets/d/1Wdf8MsoDBzMSsrzOXwaGQzbVjVqOWfKSqYmbncevZgA/edit"",""2!Q2:Q31""))"),5845.702999999999)</f>
        <v>5845.703</v>
      </c>
      <c r="G776" s="40">
        <f>IFERROR(__xludf.DUMMYFUNCTION("IMPORTRANGE(""https://docs.google.com/spreadsheets/d/1Wdf8MsoDBzMSsrzOXwaGQzbVjVqOWfKSqYmbncevZgA/edit"",""2!e38"")"),3323.0)</f>
        <v>3323</v>
      </c>
      <c r="H776" s="40">
        <f>IFERROR(__xludf.DUMMYFUNCTION("IMPORTRANGE(""https://docs.google.com/spreadsheets/d/1Wdf8MsoDBzMSsrzOXwaGQzbVjVqOWfKSqYmbncevZgA/edit"",""2!e39"")"),39.0)</f>
        <v>39</v>
      </c>
      <c r="I776" s="40">
        <f t="shared" si="2115"/>
        <v>3362</v>
      </c>
      <c r="J776" s="40">
        <f>IFERROR(__xludf.DUMMYFUNCTION("IMPORTRANGE(""https://docs.google.com/spreadsheets/d/1Wdf8MsoDBzMSsrzOXwaGQzbVjVqOWfKSqYmbncevZgA/edit"",""2!e42"")"),3928.0)</f>
        <v>3928</v>
      </c>
      <c r="K776" s="40">
        <f>IFERROR(__xludf.DUMMYFUNCTION("IMPORTRANGE(""https://docs.google.com/spreadsheets/d/1Wdf8MsoDBzMSsrzOXwaGQzbVjVqOWfKSqYmbncevZgA/edit"",""2!e43"")"),73.0)</f>
        <v>73</v>
      </c>
      <c r="L776" s="40">
        <f t="shared" si="2145"/>
        <v>4001</v>
      </c>
      <c r="M776" s="40">
        <f t="shared" si="2117"/>
        <v>7363</v>
      </c>
      <c r="N776" s="41">
        <f t="shared" si="2118"/>
        <v>194.8567667</v>
      </c>
      <c r="O776" s="38">
        <v>8239.0</v>
      </c>
      <c r="P776" s="42">
        <f t="shared" si="2119"/>
        <v>0.893676417</v>
      </c>
      <c r="Q776" s="43">
        <v>1.5</v>
      </c>
      <c r="R776" s="42">
        <f t="shared" si="2120"/>
        <v>0.8397051076</v>
      </c>
      <c r="S776" s="44">
        <f t="shared" si="2121"/>
        <v>1.259557661</v>
      </c>
      <c r="T776" s="43">
        <f>F776/28.443</f>
        <v>205.5234328</v>
      </c>
      <c r="U776" s="43">
        <f t="shared" si="2122"/>
        <v>6.850781094</v>
      </c>
      <c r="V776" s="40">
        <f t="shared" si="2123"/>
        <v>245.4333333</v>
      </c>
      <c r="X776" s="14" t="s">
        <v>2</v>
      </c>
      <c r="Y776" s="14" t="s">
        <v>3</v>
      </c>
      <c r="Z776" s="14" t="s">
        <v>4</v>
      </c>
      <c r="AA776" s="14" t="s">
        <v>5</v>
      </c>
      <c r="AB776" s="15" t="s">
        <v>6</v>
      </c>
      <c r="AC776" s="14" t="s">
        <v>7</v>
      </c>
      <c r="AD776" s="14" t="s">
        <v>8</v>
      </c>
      <c r="AE776" s="14" t="s">
        <v>9</v>
      </c>
      <c r="AF776" s="14" t="s">
        <v>10</v>
      </c>
      <c r="AG776" s="14" t="s">
        <v>11</v>
      </c>
      <c r="AH776" s="14" t="s">
        <v>12</v>
      </c>
      <c r="AI776" s="14" t="s">
        <v>13</v>
      </c>
      <c r="AJ776" s="15" t="s">
        <v>14</v>
      </c>
      <c r="AK776" s="14" t="s">
        <v>15</v>
      </c>
      <c r="AL776" s="14" t="s">
        <v>16</v>
      </c>
      <c r="AM776" s="16" t="s">
        <v>17</v>
      </c>
      <c r="AN776" s="17" t="s">
        <v>18</v>
      </c>
      <c r="AO776" s="18" t="s">
        <v>19</v>
      </c>
      <c r="AP776" s="19" t="s">
        <v>20</v>
      </c>
      <c r="AQ776" s="19" t="s">
        <v>21</v>
      </c>
      <c r="AR776" s="20" t="s">
        <v>22</v>
      </c>
    </row>
    <row r="777" ht="15.75" customHeight="1">
      <c r="A777" s="21"/>
      <c r="B777" s="38">
        <v>16.0</v>
      </c>
      <c r="C777" s="38" t="s">
        <v>42</v>
      </c>
      <c r="D777" s="39">
        <v>33.0</v>
      </c>
      <c r="E777" s="40">
        <f>IFERROR(__xludf.DUMMYFUNCTION("COUNT(IMPORTRANGE(""https://docs.google.com/spreadsheets/d/1Z5uB5HbeAKcHmG4EOw3rf2J8NpyvDiha6RReERAMvA0/edit"",""2!d2:d34""))"),33.0)</f>
        <v>33</v>
      </c>
      <c r="F777" s="45">
        <f>IFERROR(__xludf.DUMMYFUNCTION("SUM(IMPORTRANGE(""https://docs.google.com/spreadsheets/d/1Z5uB5HbeAKcHmG4EOw3rf2J8NpyvDiha6RReERAMvA0/edit"",""2!Q2:Q34""))"),6380.281999999998)</f>
        <v>6380.282</v>
      </c>
      <c r="G777" s="40">
        <f>IFERROR(__xludf.DUMMYFUNCTION("IMPORTRANGE(""https://docs.google.com/spreadsheets/d/1Z5uB5HbeAKcHmG4EOw3rf2J8NpyvDiha6RReERAMvA0/edit"",""2!e41"")"),3133.0)</f>
        <v>3133</v>
      </c>
      <c r="H777" s="40">
        <f>IFERROR(__xludf.DUMMYFUNCTION("IMPORTRANGE(""https://docs.google.com/spreadsheets/d/1Z5uB5HbeAKcHmG4EOw3rf2J8NpyvDiha6RReERAMvA0/edit"",""2!e42"")"),0.0)</f>
        <v>0</v>
      </c>
      <c r="I777" s="40">
        <f t="shared" si="2115"/>
        <v>3133</v>
      </c>
      <c r="J777" s="40">
        <f>IFERROR(__xludf.DUMMYFUNCTION("IMPORTRANGE(""https://docs.google.com/spreadsheets/d/1Z5uB5HbeAKcHmG4EOw3rf2J8NpyvDiha6RReERAMvA0/edit"",""2!e45"")"),4360.0)</f>
        <v>4360</v>
      </c>
      <c r="K777" s="40">
        <f>IFERROR(__xludf.DUMMYFUNCTION("IMPORTRANGE(""https://docs.google.com/spreadsheets/d/1Z5uB5HbeAKcHmG4EOw3rf2J8NpyvDiha6RReERAMvA0/edit"",""2!e46"")"),0.0)</f>
        <v>0</v>
      </c>
      <c r="L777" s="40">
        <f t="shared" si="2145"/>
        <v>4360</v>
      </c>
      <c r="M777" s="40">
        <f t="shared" si="2117"/>
        <v>7493</v>
      </c>
      <c r="N777" s="41">
        <f t="shared" si="2118"/>
        <v>193.3418788</v>
      </c>
      <c r="O777" s="38">
        <v>9877.0</v>
      </c>
      <c r="P777" s="42">
        <f t="shared" si="2119"/>
        <v>0.7586311633</v>
      </c>
      <c r="Q777" s="43">
        <v>1.5</v>
      </c>
      <c r="R777" s="42">
        <f t="shared" si="2120"/>
        <v>0.782933001</v>
      </c>
      <c r="S777" s="44">
        <f t="shared" si="2121"/>
        <v>1.174399501</v>
      </c>
      <c r="T777" s="43">
        <f>F777/26.155</f>
        <v>243.9411967</v>
      </c>
      <c r="U777" s="43">
        <f t="shared" si="2122"/>
        <v>7.392157476</v>
      </c>
      <c r="V777" s="40">
        <f t="shared" si="2123"/>
        <v>227.0606061</v>
      </c>
      <c r="X777" s="31">
        <v>1.0</v>
      </c>
      <c r="Y777" s="31" t="s">
        <v>26</v>
      </c>
      <c r="Z777" s="31">
        <f t="shared" ref="Z777:AI777" si="2155">SUM(D762)</f>
        <v>20</v>
      </c>
      <c r="AA777" s="32">
        <f t="shared" si="2155"/>
        <v>20</v>
      </c>
      <c r="AB777" s="34">
        <f t="shared" si="2155"/>
        <v>3560.964</v>
      </c>
      <c r="AC777" s="32">
        <f t="shared" si="2155"/>
        <v>1873</v>
      </c>
      <c r="AD777" s="32">
        <f t="shared" si="2155"/>
        <v>0</v>
      </c>
      <c r="AE777" s="32">
        <f t="shared" si="2155"/>
        <v>1873</v>
      </c>
      <c r="AF777" s="32">
        <f t="shared" si="2155"/>
        <v>3204</v>
      </c>
      <c r="AG777" s="32">
        <f t="shared" si="2155"/>
        <v>0</v>
      </c>
      <c r="AH777" s="32">
        <f t="shared" si="2155"/>
        <v>3204</v>
      </c>
      <c r="AI777" s="32">
        <f t="shared" si="2155"/>
        <v>5077</v>
      </c>
      <c r="AJ777" s="34">
        <f t="shared" ref="AJ777:AJ783" si="2158">AB777/AA777</f>
        <v>178.0482</v>
      </c>
      <c r="AK777" s="31">
        <f>SUM(O762)</f>
        <v>5161</v>
      </c>
      <c r="AL777" s="35">
        <f t="shared" ref="AL777:AL783" si="2159">AI777/AK777</f>
        <v>0.9837240845</v>
      </c>
      <c r="AM777" s="36">
        <f>SUM(Q762)</f>
        <v>1.5</v>
      </c>
      <c r="AN777" s="35">
        <f t="shared" ref="AN777:AN783" si="2160">AO777/AM777</f>
        <v>0.9504916833</v>
      </c>
      <c r="AO777" s="37">
        <f t="shared" ref="AO777:AO783" si="2161">AI777/AB777</f>
        <v>1.425737525</v>
      </c>
      <c r="AP777" s="36">
        <f t="shared" ref="AP777:AQ777" si="2156">SUM(T762)</f>
        <v>247.0318418</v>
      </c>
      <c r="AQ777" s="36">
        <f t="shared" si="2156"/>
        <v>12.35159209</v>
      </c>
      <c r="AR777" s="32">
        <f t="shared" ref="AR777:AR783" si="2163">AI777/AA777</f>
        <v>253.85</v>
      </c>
    </row>
    <row r="778" ht="15.75" customHeight="1">
      <c r="A778" s="21"/>
      <c r="B778" s="38">
        <v>17.0</v>
      </c>
      <c r="C778" s="38" t="s">
        <v>29</v>
      </c>
      <c r="D778" s="39">
        <v>30.0</v>
      </c>
      <c r="E778" s="40">
        <f>IFERROR(__xludf.DUMMYFUNCTION("COUNT(IMPORTRANGE(""https://docs.google.com/spreadsheets/d/1wfJqI0e9wVPqEQv3N6b8KgINjqI0OBECEyIFeY9j3i8/edit"",""2!d2:d31""))"),29.0)</f>
        <v>29</v>
      </c>
      <c r="F778" s="45">
        <f>IFERROR(__xludf.DUMMYFUNCTION("SUM(IMPORTRANGE(""https://docs.google.com/spreadsheets/d/1wfJqI0e9wVPqEQv3N6b8KgINjqI0OBECEyIFeY9j3i8/edit"",""2!Q2:Q31""))"),5775.037999999998)</f>
        <v>5775.038</v>
      </c>
      <c r="G778" s="40">
        <f>IFERROR(__xludf.DUMMYFUNCTION("IMPORTRANGE(""https://docs.google.com/spreadsheets/d/1wfJqI0e9wVPqEQv3N6b8KgINjqI0OBECEyIFeY9j3i8/edit"",""2!e38"")"),2726.0)</f>
        <v>2726</v>
      </c>
      <c r="H778" s="40">
        <f>IFERROR(__xludf.DUMMYFUNCTION("IMPORTRANGE(""https://docs.google.com/spreadsheets/d/1wfJqI0e9wVPqEQv3N6b8KgINjqI0OBECEyIFeY9j3i8/edit"",""2!e39"")"),0.0)</f>
        <v>0</v>
      </c>
      <c r="I778" s="40">
        <f t="shared" si="2115"/>
        <v>2726</v>
      </c>
      <c r="J778" s="40">
        <f>IFERROR(__xludf.DUMMYFUNCTION("IMPORTRANGE(""https://docs.google.com/spreadsheets/d/1wfJqI0e9wVPqEQv3N6b8KgINjqI0OBECEyIFeY9j3i8/edit"",""2!e42"")"),4235.0)</f>
        <v>4235</v>
      </c>
      <c r="K778" s="40">
        <f>IFERROR(__xludf.DUMMYFUNCTION("IMPORTRANGE(""https://docs.google.com/spreadsheets/d/1wfJqI0e9wVPqEQv3N6b8KgINjqI0OBECEyIFeY9j3i8/edit"",""2!e43"")"),0.0)</f>
        <v>0</v>
      </c>
      <c r="L778" s="40">
        <f t="shared" si="2145"/>
        <v>4235</v>
      </c>
      <c r="M778" s="40">
        <f t="shared" si="2117"/>
        <v>6961</v>
      </c>
      <c r="N778" s="41">
        <f t="shared" si="2118"/>
        <v>199.1392414</v>
      </c>
      <c r="O778" s="38">
        <v>9201.0</v>
      </c>
      <c r="P778" s="42">
        <f t="shared" si="2119"/>
        <v>0.7565482013</v>
      </c>
      <c r="Q778" s="43">
        <v>1.5</v>
      </c>
      <c r="R778" s="42">
        <f t="shared" si="2120"/>
        <v>0.803573356</v>
      </c>
      <c r="S778" s="44">
        <f t="shared" si="2121"/>
        <v>1.205360034</v>
      </c>
      <c r="T778" s="43">
        <f>F778/26.491</f>
        <v>218</v>
      </c>
      <c r="U778" s="43">
        <f t="shared" si="2122"/>
        <v>7.517241379</v>
      </c>
      <c r="V778" s="40">
        <f t="shared" si="2123"/>
        <v>240.0344828</v>
      </c>
      <c r="X778" s="31">
        <v>2.0</v>
      </c>
      <c r="Y778" s="31" t="s">
        <v>32</v>
      </c>
      <c r="Z778" s="31">
        <f t="shared" ref="Z778:AI778" si="2157">SUM(D765)</f>
        <v>42</v>
      </c>
      <c r="AA778" s="32">
        <f t="shared" si="2157"/>
        <v>42</v>
      </c>
      <c r="AB778" s="33">
        <f t="shared" si="2157"/>
        <v>8179.014</v>
      </c>
      <c r="AC778" s="31">
        <f t="shared" si="2157"/>
        <v>4808</v>
      </c>
      <c r="AD778" s="31">
        <f t="shared" si="2157"/>
        <v>0</v>
      </c>
      <c r="AE778" s="32">
        <f t="shared" si="2157"/>
        <v>4808</v>
      </c>
      <c r="AF778" s="31">
        <f t="shared" si="2157"/>
        <v>5449</v>
      </c>
      <c r="AG778" s="31">
        <f t="shared" si="2157"/>
        <v>190</v>
      </c>
      <c r="AH778" s="32">
        <f t="shared" si="2157"/>
        <v>5639</v>
      </c>
      <c r="AI778" s="32">
        <f t="shared" si="2157"/>
        <v>10447</v>
      </c>
      <c r="AJ778" s="34">
        <f t="shared" si="2158"/>
        <v>194.7384286</v>
      </c>
      <c r="AK778" s="31">
        <f>SUM(O765)</f>
        <v>13817</v>
      </c>
      <c r="AL778" s="35">
        <f t="shared" si="2159"/>
        <v>0.756097561</v>
      </c>
      <c r="AM778" s="36">
        <f>SUM(Q765)</f>
        <v>1.5</v>
      </c>
      <c r="AN778" s="35">
        <f t="shared" si="2160"/>
        <v>0.8515288844</v>
      </c>
      <c r="AO778" s="37">
        <f t="shared" si="2161"/>
        <v>1.277293327</v>
      </c>
      <c r="AP778" s="36">
        <f t="shared" ref="AP778:AQ778" si="2162">SUM(T765)</f>
        <v>326</v>
      </c>
      <c r="AQ778" s="36">
        <f t="shared" si="2162"/>
        <v>7.761904762</v>
      </c>
      <c r="AR778" s="32">
        <f t="shared" si="2163"/>
        <v>248.7380952</v>
      </c>
    </row>
    <row r="779" ht="15.75" customHeight="1">
      <c r="A779" s="21"/>
      <c r="B779" s="38">
        <v>18.0</v>
      </c>
      <c r="C779" s="38" t="s">
        <v>31</v>
      </c>
      <c r="D779" s="39">
        <v>15.0</v>
      </c>
      <c r="E779" s="40">
        <f>IFERROR(__xludf.DUMMYFUNCTION("COUNT(IMPORTRANGE(""https://docs.google.com/spreadsheets/d/1-y2KhTAo7d8kowgUuWUDfRQuRMUAFteRYEXorT3_wOs/edit"",""2!d2:d16""))"),13.0)</f>
        <v>13</v>
      </c>
      <c r="F779" s="41">
        <f>IFERROR(__xludf.DUMMYFUNCTION("SUM(IMPORTRANGE(""https://docs.google.com/spreadsheets/d/1-y2KhTAo7d8kowgUuWUDfRQuRMUAFteRYEXorT3_wOs/edit"",""2!Q2:Q16""))"),2607.9000000000005)</f>
        <v>2607.9</v>
      </c>
      <c r="G779" s="40">
        <f>IFERROR(__xludf.DUMMYFUNCTION("IMPORTRANGE(""https://docs.google.com/spreadsheets/d/1-y2KhTAo7d8kowgUuWUDfRQuRMUAFteRYEXorT3_wOs/edit"",""2!e23"")"),870.0)</f>
        <v>870</v>
      </c>
      <c r="H779" s="40">
        <f>IFERROR(__xludf.DUMMYFUNCTION("IMPORTRANGE(""https://docs.google.com/spreadsheets/d/1-y2KhTAo7d8kowgUuWUDfRQuRMUAFteRYEXorT3_wOs/edit"",""2!e24"")"),0.0)</f>
        <v>0</v>
      </c>
      <c r="I779" s="40">
        <f t="shared" si="2115"/>
        <v>870</v>
      </c>
      <c r="J779" s="40">
        <f>IFERROR(__xludf.DUMMYFUNCTION("IMPORTRANGE(""https://docs.google.com/spreadsheets/d/1-y2KhTAo7d8kowgUuWUDfRQuRMUAFteRYEXorT3_wOs/edit"",""2!e27"")"),975.0)</f>
        <v>975</v>
      </c>
      <c r="K779" s="40">
        <f>IFERROR(__xludf.DUMMYFUNCTION("IMPORTRANGE(""https://docs.google.com/spreadsheets/d/1-y2KhTAo7d8kowgUuWUDfRQuRMUAFteRYEXorT3_wOs/edit"",""2!e28"")"),55.0)</f>
        <v>55</v>
      </c>
      <c r="L779" s="40">
        <f t="shared" si="2145"/>
        <v>1030</v>
      </c>
      <c r="M779" s="40">
        <f t="shared" si="2117"/>
        <v>1900</v>
      </c>
      <c r="N779" s="41">
        <f t="shared" si="2118"/>
        <v>200.6076923</v>
      </c>
      <c r="O779" s="38">
        <v>2717.0</v>
      </c>
      <c r="P779" s="42">
        <f t="shared" si="2119"/>
        <v>0.6993006993</v>
      </c>
      <c r="Q779" s="43">
        <v>1.5</v>
      </c>
      <c r="R779" s="42">
        <f t="shared" si="2120"/>
        <v>0.4857036952</v>
      </c>
      <c r="S779" s="44">
        <f t="shared" si="2121"/>
        <v>0.7285555428</v>
      </c>
      <c r="T779" s="43">
        <f>F779/43.465</f>
        <v>60</v>
      </c>
      <c r="U779" s="43">
        <f t="shared" si="2122"/>
        <v>4.615384615</v>
      </c>
      <c r="V779" s="40">
        <f t="shared" si="2123"/>
        <v>146.1538462</v>
      </c>
      <c r="X779" s="31">
        <v>3.0</v>
      </c>
      <c r="Y779" s="31" t="s">
        <v>36</v>
      </c>
      <c r="Z779" s="31">
        <f t="shared" ref="Z779:AI779" si="2164">SUM(D770)</f>
        <v>30</v>
      </c>
      <c r="AA779" s="32">
        <f t="shared" si="2164"/>
        <v>29</v>
      </c>
      <c r="AB779" s="33">
        <f t="shared" si="2164"/>
        <v>5604.12</v>
      </c>
      <c r="AC779" s="32">
        <f t="shared" si="2164"/>
        <v>1533</v>
      </c>
      <c r="AD779" s="32">
        <f t="shared" si="2164"/>
        <v>0</v>
      </c>
      <c r="AE779" s="32">
        <f t="shared" si="2164"/>
        <v>1533</v>
      </c>
      <c r="AF779" s="32">
        <f t="shared" si="2164"/>
        <v>2301</v>
      </c>
      <c r="AG779" s="32">
        <f t="shared" si="2164"/>
        <v>0</v>
      </c>
      <c r="AH779" s="32">
        <f t="shared" si="2164"/>
        <v>2301</v>
      </c>
      <c r="AI779" s="32">
        <f t="shared" si="2164"/>
        <v>3834</v>
      </c>
      <c r="AJ779" s="34">
        <f t="shared" si="2158"/>
        <v>193.2455172</v>
      </c>
      <c r="AK779" s="31">
        <f t="shared" ref="AK779:AK782" si="2168">SUM(O770)</f>
        <v>4796</v>
      </c>
      <c r="AL779" s="35">
        <f t="shared" si="2159"/>
        <v>0.7994161802</v>
      </c>
      <c r="AM779" s="36">
        <f t="shared" ref="AM779:AM782" si="2169">SUM(Q770)</f>
        <v>1.5</v>
      </c>
      <c r="AN779" s="35">
        <f t="shared" si="2160"/>
        <v>0.4560930173</v>
      </c>
      <c r="AO779" s="37">
        <f t="shared" si="2161"/>
        <v>0.6841395259</v>
      </c>
      <c r="AP779" s="36">
        <f t="shared" ref="AP779:AQ779" si="2165">SUM(T770)</f>
        <v>149.7867109</v>
      </c>
      <c r="AQ779" s="36">
        <f t="shared" si="2165"/>
        <v>5.165058995</v>
      </c>
      <c r="AR779" s="32">
        <f t="shared" si="2163"/>
        <v>132.2068966</v>
      </c>
    </row>
    <row r="780" ht="15.75" customHeight="1">
      <c r="A780" s="21"/>
      <c r="B780" s="60" t="s">
        <v>33</v>
      </c>
      <c r="C780" s="60">
        <v>18.0</v>
      </c>
      <c r="D780" s="60">
        <f t="shared" ref="D780:M780" si="2166">SUM(D762:D779)</f>
        <v>586</v>
      </c>
      <c r="E780" s="61">
        <f t="shared" si="2166"/>
        <v>576</v>
      </c>
      <c r="F780" s="62">
        <f t="shared" si="2166"/>
        <v>112418.192</v>
      </c>
      <c r="G780" s="61">
        <f t="shared" si="2166"/>
        <v>43479</v>
      </c>
      <c r="H780" s="61">
        <f t="shared" si="2166"/>
        <v>764</v>
      </c>
      <c r="I780" s="61">
        <f t="shared" si="2166"/>
        <v>44243</v>
      </c>
      <c r="J780" s="61">
        <f t="shared" si="2166"/>
        <v>56392</v>
      </c>
      <c r="K780" s="61">
        <f t="shared" si="2166"/>
        <v>1134</v>
      </c>
      <c r="L780" s="61">
        <f t="shared" si="2166"/>
        <v>57526</v>
      </c>
      <c r="M780" s="61">
        <f t="shared" si="2166"/>
        <v>101769</v>
      </c>
      <c r="N780" s="62">
        <f t="shared" si="2118"/>
        <v>195.1704722</v>
      </c>
      <c r="O780" s="60">
        <f>SUM(O762:O779)</f>
        <v>126399</v>
      </c>
      <c r="P780" s="63">
        <f t="shared" si="2119"/>
        <v>0.8051408635</v>
      </c>
      <c r="Q780" s="64">
        <v>1.5</v>
      </c>
      <c r="R780" s="63">
        <f t="shared" si="2120"/>
        <v>0.6035144205</v>
      </c>
      <c r="S780" s="65">
        <f t="shared" si="2121"/>
        <v>0.9052716308</v>
      </c>
      <c r="T780" s="64">
        <f>SUM(T762:T779)</f>
        <v>4134.025243</v>
      </c>
      <c r="U780" s="64">
        <f t="shared" si="2122"/>
        <v>7.177127158</v>
      </c>
      <c r="V780" s="61">
        <f t="shared" si="2123"/>
        <v>176.6822917</v>
      </c>
      <c r="X780" s="31">
        <v>4.0</v>
      </c>
      <c r="Y780" s="31" t="s">
        <v>37</v>
      </c>
      <c r="Z780" s="31">
        <f t="shared" ref="Z780:AI780" si="2167">SUM(D771)</f>
        <v>30</v>
      </c>
      <c r="AA780" s="32">
        <f t="shared" si="2167"/>
        <v>30</v>
      </c>
      <c r="AB780" s="33">
        <f t="shared" si="2167"/>
        <v>5812.188</v>
      </c>
      <c r="AC780" s="32">
        <f t="shared" si="2167"/>
        <v>2138</v>
      </c>
      <c r="AD780" s="32">
        <f t="shared" si="2167"/>
        <v>0</v>
      </c>
      <c r="AE780" s="32">
        <f t="shared" si="2167"/>
        <v>2138</v>
      </c>
      <c r="AF780" s="32">
        <f t="shared" si="2167"/>
        <v>3071</v>
      </c>
      <c r="AG780" s="32">
        <f t="shared" si="2167"/>
        <v>0</v>
      </c>
      <c r="AH780" s="32">
        <f t="shared" si="2167"/>
        <v>3071</v>
      </c>
      <c r="AI780" s="32">
        <f t="shared" si="2167"/>
        <v>5209</v>
      </c>
      <c r="AJ780" s="34">
        <f t="shared" si="2158"/>
        <v>193.7396</v>
      </c>
      <c r="AK780" s="31">
        <f t="shared" si="2168"/>
        <v>5887</v>
      </c>
      <c r="AL780" s="35">
        <f t="shared" si="2159"/>
        <v>0.8848309835</v>
      </c>
      <c r="AM780" s="36">
        <f t="shared" si="2169"/>
        <v>1.5</v>
      </c>
      <c r="AN780" s="35">
        <f t="shared" si="2160"/>
        <v>0.5974800999</v>
      </c>
      <c r="AO780" s="37">
        <f t="shared" si="2161"/>
        <v>0.8962201498</v>
      </c>
      <c r="AP780" s="36">
        <f t="shared" ref="AP780:AQ780" si="2170">SUM(T771)</f>
        <v>234.4380445</v>
      </c>
      <c r="AQ780" s="36">
        <f t="shared" si="2170"/>
        <v>7.814601484</v>
      </c>
      <c r="AR780" s="32">
        <f t="shared" si="2163"/>
        <v>173.6333333</v>
      </c>
    </row>
    <row r="781" ht="15.7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X781" s="31">
        <v>5.0</v>
      </c>
      <c r="Y781" s="31" t="s">
        <v>39</v>
      </c>
      <c r="Z781" s="31">
        <f t="shared" ref="Z781:AI781" si="2171">SUM(D772)</f>
        <v>28</v>
      </c>
      <c r="AA781" s="32">
        <f t="shared" si="2171"/>
        <v>28</v>
      </c>
      <c r="AB781" s="33">
        <f t="shared" si="2171"/>
        <v>5458.878</v>
      </c>
      <c r="AC781" s="32">
        <f t="shared" si="2171"/>
        <v>1516</v>
      </c>
      <c r="AD781" s="32">
        <f t="shared" si="2171"/>
        <v>43</v>
      </c>
      <c r="AE781" s="32">
        <f t="shared" si="2171"/>
        <v>1559</v>
      </c>
      <c r="AF781" s="32">
        <f t="shared" si="2171"/>
        <v>1765</v>
      </c>
      <c r="AG781" s="32">
        <f t="shared" si="2171"/>
        <v>115</v>
      </c>
      <c r="AH781" s="32">
        <f t="shared" si="2171"/>
        <v>1880</v>
      </c>
      <c r="AI781" s="32">
        <f t="shared" si="2171"/>
        <v>3439</v>
      </c>
      <c r="AJ781" s="34">
        <f t="shared" si="2158"/>
        <v>194.9599286</v>
      </c>
      <c r="AK781" s="31">
        <f t="shared" si="2168"/>
        <v>3569</v>
      </c>
      <c r="AL781" s="35">
        <f t="shared" si="2159"/>
        <v>0.9635752312</v>
      </c>
      <c r="AM781" s="36">
        <f t="shared" si="2169"/>
        <v>1.5</v>
      </c>
      <c r="AN781" s="35">
        <f t="shared" si="2160"/>
        <v>0.4199886253</v>
      </c>
      <c r="AO781" s="37">
        <f t="shared" si="2161"/>
        <v>0.6299829379</v>
      </c>
      <c r="AP781" s="36">
        <f t="shared" ref="AP781:AQ781" si="2172">SUM(T772)</f>
        <v>254.339002</v>
      </c>
      <c r="AQ781" s="36">
        <f t="shared" si="2172"/>
        <v>9.083535786</v>
      </c>
      <c r="AR781" s="32">
        <f t="shared" si="2163"/>
        <v>122.8214286</v>
      </c>
    </row>
    <row r="782" ht="15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X782" s="31">
        <v>6.0</v>
      </c>
      <c r="Y782" s="31" t="s">
        <v>41</v>
      </c>
      <c r="Z782" s="31">
        <f t="shared" ref="Z782:AI782" si="2173">SUM(D773)</f>
        <v>24</v>
      </c>
      <c r="AA782" s="32">
        <f t="shared" si="2173"/>
        <v>24</v>
      </c>
      <c r="AB782" s="33">
        <f t="shared" si="2173"/>
        <v>4806.32</v>
      </c>
      <c r="AC782" s="32">
        <f t="shared" si="2173"/>
        <v>1468</v>
      </c>
      <c r="AD782" s="32">
        <f t="shared" si="2173"/>
        <v>0</v>
      </c>
      <c r="AE782" s="32">
        <f t="shared" si="2173"/>
        <v>1468</v>
      </c>
      <c r="AF782" s="32">
        <f t="shared" si="2173"/>
        <v>1656</v>
      </c>
      <c r="AG782" s="32">
        <f t="shared" si="2173"/>
        <v>0</v>
      </c>
      <c r="AH782" s="32">
        <f t="shared" si="2173"/>
        <v>1656</v>
      </c>
      <c r="AI782" s="32">
        <f t="shared" si="2173"/>
        <v>3124</v>
      </c>
      <c r="AJ782" s="34">
        <f t="shared" si="2158"/>
        <v>200.2633333</v>
      </c>
      <c r="AK782" s="31">
        <f t="shared" si="2168"/>
        <v>3801</v>
      </c>
      <c r="AL782" s="35">
        <f t="shared" si="2159"/>
        <v>0.8218889766</v>
      </c>
      <c r="AM782" s="36">
        <f t="shared" si="2169"/>
        <v>1.5</v>
      </c>
      <c r="AN782" s="35">
        <f t="shared" si="2160"/>
        <v>0.4333183531</v>
      </c>
      <c r="AO782" s="37">
        <f t="shared" si="2161"/>
        <v>0.6499775296</v>
      </c>
      <c r="AP782" s="36">
        <f t="shared" ref="AP782:AQ782" si="2174">SUM(T773)</f>
        <v>162.2222222</v>
      </c>
      <c r="AQ782" s="36">
        <f t="shared" si="2174"/>
        <v>6.759259259</v>
      </c>
      <c r="AR782" s="32">
        <f t="shared" si="2163"/>
        <v>130.1666667</v>
      </c>
    </row>
    <row r="783" ht="15.75" customHeight="1">
      <c r="A783" s="1" t="s">
        <v>45</v>
      </c>
      <c r="D783" s="2"/>
      <c r="X783" s="46" t="s">
        <v>33</v>
      </c>
      <c r="Y783" s="46">
        <v>6.0</v>
      </c>
      <c r="Z783" s="46">
        <f t="shared" ref="Z783:AI783" si="2175">SUM(Z777:Z782)</f>
        <v>174</v>
      </c>
      <c r="AA783" s="47">
        <f t="shared" si="2175"/>
        <v>173</v>
      </c>
      <c r="AB783" s="49">
        <f t="shared" si="2175"/>
        <v>33421.484</v>
      </c>
      <c r="AC783" s="47">
        <f t="shared" si="2175"/>
        <v>13336</v>
      </c>
      <c r="AD783" s="47">
        <f t="shared" si="2175"/>
        <v>43</v>
      </c>
      <c r="AE783" s="47">
        <f t="shared" si="2175"/>
        <v>13379</v>
      </c>
      <c r="AF783" s="47">
        <f t="shared" si="2175"/>
        <v>17446</v>
      </c>
      <c r="AG783" s="47">
        <f t="shared" si="2175"/>
        <v>305</v>
      </c>
      <c r="AH783" s="47">
        <f t="shared" si="2175"/>
        <v>17751</v>
      </c>
      <c r="AI783" s="47">
        <f t="shared" si="2175"/>
        <v>31130</v>
      </c>
      <c r="AJ783" s="49">
        <f t="shared" si="2158"/>
        <v>193.1877688</v>
      </c>
      <c r="AK783" s="46">
        <f>SUM(AK777:AK782)</f>
        <v>37031</v>
      </c>
      <c r="AL783" s="50">
        <f t="shared" si="2159"/>
        <v>0.8406470255</v>
      </c>
      <c r="AM783" s="51">
        <v>1.5</v>
      </c>
      <c r="AN783" s="50">
        <f t="shared" si="2160"/>
        <v>0.6209578645</v>
      </c>
      <c r="AO783" s="52">
        <f t="shared" si="2161"/>
        <v>0.9314367968</v>
      </c>
      <c r="AP783" s="51">
        <f>SUM(AP777:AP782)</f>
        <v>1373.817821</v>
      </c>
      <c r="AQ783" s="51">
        <f>AP783/AA783</f>
        <v>7.941143477</v>
      </c>
      <c r="AR783" s="47">
        <f t="shared" si="2163"/>
        <v>179.9421965</v>
      </c>
    </row>
    <row r="784" ht="15.75" customHeight="1">
      <c r="A784" s="1" t="s">
        <v>45</v>
      </c>
      <c r="D784" s="2"/>
      <c r="X784" s="66" t="s">
        <v>1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6"/>
    </row>
    <row r="785" ht="15.75" customHeight="1">
      <c r="A785" s="7">
        <v>46295.0</v>
      </c>
      <c r="B785" s="8" t="s">
        <v>2</v>
      </c>
      <c r="C785" s="8" t="s">
        <v>3</v>
      </c>
      <c r="D785" s="8" t="s">
        <v>4</v>
      </c>
      <c r="E785" s="8" t="s">
        <v>5</v>
      </c>
      <c r="F785" s="9" t="s">
        <v>6</v>
      </c>
      <c r="G785" s="8" t="s">
        <v>7</v>
      </c>
      <c r="H785" s="8" t="s">
        <v>8</v>
      </c>
      <c r="I785" s="8" t="s">
        <v>9</v>
      </c>
      <c r="J785" s="8" t="s">
        <v>10</v>
      </c>
      <c r="K785" s="8" t="s">
        <v>11</v>
      </c>
      <c r="L785" s="8" t="s">
        <v>12</v>
      </c>
      <c r="M785" s="8" t="s">
        <v>13</v>
      </c>
      <c r="N785" s="9" t="s">
        <v>14</v>
      </c>
      <c r="O785" s="8" t="s">
        <v>15</v>
      </c>
      <c r="P785" s="8" t="s">
        <v>16</v>
      </c>
      <c r="Q785" s="8" t="s">
        <v>17</v>
      </c>
      <c r="R785" s="8" t="s">
        <v>18</v>
      </c>
      <c r="S785" s="11" t="s">
        <v>19</v>
      </c>
      <c r="T785" s="12" t="s">
        <v>20</v>
      </c>
      <c r="U785" s="12" t="s">
        <v>21</v>
      </c>
      <c r="V785" s="13" t="s">
        <v>22</v>
      </c>
      <c r="X785" s="14" t="s">
        <v>2</v>
      </c>
      <c r="Y785" s="14" t="s">
        <v>3</v>
      </c>
      <c r="Z785" s="14" t="s">
        <v>4</v>
      </c>
      <c r="AA785" s="14" t="s">
        <v>5</v>
      </c>
      <c r="AB785" s="15" t="s">
        <v>6</v>
      </c>
      <c r="AC785" s="14" t="s">
        <v>7</v>
      </c>
      <c r="AD785" s="14" t="s">
        <v>8</v>
      </c>
      <c r="AE785" s="14" t="s">
        <v>9</v>
      </c>
      <c r="AF785" s="14" t="s">
        <v>10</v>
      </c>
      <c r="AG785" s="14" t="s">
        <v>11</v>
      </c>
      <c r="AH785" s="14" t="s">
        <v>12</v>
      </c>
      <c r="AI785" s="14" t="s">
        <v>13</v>
      </c>
      <c r="AJ785" s="15" t="s">
        <v>14</v>
      </c>
      <c r="AK785" s="14" t="s">
        <v>15</v>
      </c>
      <c r="AL785" s="14" t="s">
        <v>16</v>
      </c>
      <c r="AM785" s="16" t="s">
        <v>17</v>
      </c>
      <c r="AN785" s="17" t="s">
        <v>18</v>
      </c>
      <c r="AO785" s="18" t="s">
        <v>19</v>
      </c>
      <c r="AP785" s="19" t="s">
        <v>20</v>
      </c>
      <c r="AQ785" s="19" t="s">
        <v>21</v>
      </c>
      <c r="AR785" s="20" t="s">
        <v>22</v>
      </c>
    </row>
    <row r="786" ht="15.7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X786" s="22">
        <v>1.0</v>
      </c>
      <c r="Y786" s="22" t="s">
        <v>23</v>
      </c>
      <c r="Z786" s="22">
        <f t="shared" ref="Z786:AI786" si="2176">SUM(D794)</f>
        <v>35</v>
      </c>
      <c r="AA786" s="23">
        <f t="shared" si="2176"/>
        <v>34</v>
      </c>
      <c r="AB786" s="24">
        <f t="shared" si="2176"/>
        <v>6343.12</v>
      </c>
      <c r="AC786" s="23">
        <f t="shared" si="2176"/>
        <v>1642</v>
      </c>
      <c r="AD786" s="23">
        <f t="shared" si="2176"/>
        <v>0</v>
      </c>
      <c r="AE786" s="23">
        <f t="shared" si="2176"/>
        <v>1642</v>
      </c>
      <c r="AF786" s="23">
        <f t="shared" si="2176"/>
        <v>2911</v>
      </c>
      <c r="AG786" s="23">
        <f t="shared" si="2176"/>
        <v>0</v>
      </c>
      <c r="AH786" s="23">
        <f t="shared" si="2176"/>
        <v>2911</v>
      </c>
      <c r="AI786" s="23">
        <f t="shared" si="2176"/>
        <v>4553</v>
      </c>
      <c r="AJ786" s="25">
        <f t="shared" ref="AJ786:AJ788" si="2179">AB786/AA786</f>
        <v>186.5623529</v>
      </c>
      <c r="AK786" s="22">
        <f>SUM(O794)</f>
        <v>6853</v>
      </c>
      <c r="AL786" s="26">
        <f t="shared" ref="AL786:AL792" si="2180">AI786/AK786</f>
        <v>0.6643805633</v>
      </c>
      <c r="AM786" s="27">
        <f t="shared" ref="AM786:AM788" si="2181">SUM(Q794)</f>
        <v>1.5</v>
      </c>
      <c r="AN786" s="26">
        <f t="shared" ref="AN786:AN792" si="2182">AO786/AM786</f>
        <v>0.4785237128</v>
      </c>
      <c r="AO786" s="28">
        <f t="shared" ref="AO786:AO792" si="2183">AI786/AB786</f>
        <v>0.7177855692</v>
      </c>
      <c r="AP786" s="27">
        <f t="shared" ref="AP786:AQ786" si="2177">SUM(T794)</f>
        <v>188</v>
      </c>
      <c r="AQ786" s="27">
        <f t="shared" si="2177"/>
        <v>5.529411765</v>
      </c>
      <c r="AR786" s="23">
        <f t="shared" ref="AR786:AR792" si="2185">AI786/AA786</f>
        <v>133.9117647</v>
      </c>
    </row>
    <row r="787" ht="15.7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X787" s="22">
        <v>2.0</v>
      </c>
      <c r="Y787" s="22" t="s">
        <v>24</v>
      </c>
      <c r="Z787" s="22">
        <f t="shared" ref="Z787:AI787" si="2178">SUM(D795)</f>
        <v>44</v>
      </c>
      <c r="AA787" s="23">
        <f t="shared" si="2178"/>
        <v>44</v>
      </c>
      <c r="AB787" s="24">
        <f t="shared" si="2178"/>
        <v>8503.184</v>
      </c>
      <c r="AC787" s="23">
        <f t="shared" si="2178"/>
        <v>1215</v>
      </c>
      <c r="AD787" s="23">
        <f t="shared" si="2178"/>
        <v>0</v>
      </c>
      <c r="AE787" s="23">
        <f t="shared" si="2178"/>
        <v>1215</v>
      </c>
      <c r="AF787" s="23">
        <f t="shared" si="2178"/>
        <v>1449</v>
      </c>
      <c r="AG787" s="23">
        <f t="shared" si="2178"/>
        <v>47</v>
      </c>
      <c r="AH787" s="23">
        <f t="shared" si="2178"/>
        <v>1496</v>
      </c>
      <c r="AI787" s="23">
        <f t="shared" si="2178"/>
        <v>2711</v>
      </c>
      <c r="AJ787" s="25">
        <f t="shared" si="2179"/>
        <v>193.2541818</v>
      </c>
      <c r="AK787" s="22">
        <v>1580.0</v>
      </c>
      <c r="AL787" s="26">
        <f t="shared" si="2180"/>
        <v>1.715822785</v>
      </c>
      <c r="AM787" s="27">
        <f t="shared" si="2181"/>
        <v>1.5</v>
      </c>
      <c r="AN787" s="26">
        <f t="shared" si="2182"/>
        <v>0.2125478331</v>
      </c>
      <c r="AO787" s="28">
        <f t="shared" si="2183"/>
        <v>0.3188217496</v>
      </c>
      <c r="AP787" s="27">
        <f t="shared" ref="AP787:AQ787" si="2184">SUM(T795)</f>
        <v>317.2238015</v>
      </c>
      <c r="AQ787" s="27">
        <f t="shared" si="2184"/>
        <v>7.209631853</v>
      </c>
      <c r="AR787" s="23">
        <f t="shared" si="2185"/>
        <v>61.61363636</v>
      </c>
    </row>
    <row r="788" ht="15.75" customHeight="1">
      <c r="A788" s="21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X788" s="31">
        <v>3.0</v>
      </c>
      <c r="Y788" s="31" t="s">
        <v>25</v>
      </c>
      <c r="Z788" s="31">
        <f t="shared" ref="Z788:AI788" si="2186">SUM(D796)</f>
        <v>32</v>
      </c>
      <c r="AA788" s="32">
        <f t="shared" si="2186"/>
        <v>32</v>
      </c>
      <c r="AB788" s="33">
        <f t="shared" si="2186"/>
        <v>6115.844</v>
      </c>
      <c r="AC788" s="32">
        <f t="shared" si="2186"/>
        <v>2262</v>
      </c>
      <c r="AD788" s="32">
        <f t="shared" si="2186"/>
        <v>452</v>
      </c>
      <c r="AE788" s="32">
        <f t="shared" si="2186"/>
        <v>2714</v>
      </c>
      <c r="AF788" s="32">
        <f t="shared" si="2186"/>
        <v>2922</v>
      </c>
      <c r="AG788" s="32">
        <f t="shared" si="2186"/>
        <v>298</v>
      </c>
      <c r="AH788" s="32">
        <f t="shared" si="2186"/>
        <v>3220</v>
      </c>
      <c r="AI788" s="32">
        <f t="shared" si="2186"/>
        <v>5934</v>
      </c>
      <c r="AJ788" s="34">
        <f t="shared" si="2179"/>
        <v>191.120125</v>
      </c>
      <c r="AK788" s="31">
        <f>SUM(O796)</f>
        <v>6622</v>
      </c>
      <c r="AL788" s="35">
        <f t="shared" si="2180"/>
        <v>0.8961038961</v>
      </c>
      <c r="AM788" s="36">
        <f t="shared" si="2181"/>
        <v>1.5</v>
      </c>
      <c r="AN788" s="35">
        <f t="shared" si="2182"/>
        <v>0.6468444911</v>
      </c>
      <c r="AO788" s="37">
        <f t="shared" si="2183"/>
        <v>0.9702667367</v>
      </c>
      <c r="AP788" s="36">
        <f t="shared" ref="AP788:AQ788" si="2187">SUM(T796)</f>
        <v>256.5370805</v>
      </c>
      <c r="AQ788" s="36">
        <f t="shared" si="2187"/>
        <v>8.016783767</v>
      </c>
      <c r="AR788" s="32">
        <f t="shared" si="2185"/>
        <v>185.4375</v>
      </c>
    </row>
    <row r="789" ht="15.75" customHeight="1">
      <c r="A789" s="21"/>
      <c r="B789" s="38">
        <v>1.0</v>
      </c>
      <c r="C789" s="38" t="s">
        <v>26</v>
      </c>
      <c r="D789" s="39">
        <v>20.0</v>
      </c>
      <c r="E789" s="40">
        <f>IFERROR(__xludf.DUMMYFUNCTION("COUNT(IMPORTRANGE(""https://docs.google.com/spreadsheets/d/1F0NpMx7WhcgPgxTWpryY3Z1CGg56FL6aiL4mHs43w4E/edit"",""3!d2:d21""))"),20.0)</f>
        <v>20</v>
      </c>
      <c r="F789" s="41">
        <f>IFERROR(__xludf.DUMMYFUNCTION("SUM(IMPORTRANGE(""https://docs.google.com/spreadsheets/d/1F0NpMx7WhcgPgxTWpryY3Z1CGg56FL6aiL4mHs43w4E/edit"",""3!Q2:Q21""))"),3993.567)</f>
        <v>3993.567</v>
      </c>
      <c r="G789" s="40">
        <f>IFERROR(__xludf.DUMMYFUNCTION("IMPORTRANGE(""https://docs.google.com/spreadsheets/d/1F0NpMx7WhcgPgxTWpryY3Z1CGg56FL6aiL4mHs43w4E/edit"",""3!e28"")"),2441.0)</f>
        <v>2441</v>
      </c>
      <c r="H789" s="40">
        <f>IFERROR(__xludf.DUMMYFUNCTION("IMPORTRANGE(""https://docs.google.com/spreadsheets/d/1F0NpMx7WhcgPgxTWpryY3Z1CGg56FL6aiL4mHs43w4E/edit"",""3!e29"")"),20.0)</f>
        <v>20</v>
      </c>
      <c r="I789" s="40">
        <f t="shared" ref="I789:I806" si="2190">SUM(G789:H789)</f>
        <v>2461</v>
      </c>
      <c r="J789" s="40">
        <f>IFERROR(__xludf.DUMMYFUNCTION("IMPORTRANGE(""https://docs.google.com/spreadsheets/d/1F0NpMx7WhcgPgxTWpryY3Z1CGg56FL6aiL4mHs43w4E/edit"",""3!e32"")"),2544.0)</f>
        <v>2544</v>
      </c>
      <c r="K789" s="40">
        <f>IFERROR(__xludf.DUMMYFUNCTION("IMPORTRANGE(""https://docs.google.com/spreadsheets/d/1F0NpMx7WhcgPgxTWpryY3Z1CGg56FL6aiL4mHs43w4E/edit"",""3!e33"")"),220.0)</f>
        <v>220</v>
      </c>
      <c r="L789" s="40">
        <f t="shared" ref="L789:L795" si="2191">SUM(J789:K789)</f>
        <v>2764</v>
      </c>
      <c r="M789" s="40">
        <f t="shared" ref="M789:M806" si="2192">SUM(I789+L789)</f>
        <v>5225</v>
      </c>
      <c r="N789" s="41">
        <f t="shared" ref="N789:N807" si="2193">F789/E789</f>
        <v>199.67835</v>
      </c>
      <c r="O789" s="38">
        <v>5161.0</v>
      </c>
      <c r="P789" s="42">
        <f t="shared" ref="P789:P807" si="2194">M789/O789</f>
        <v>1.012400698</v>
      </c>
      <c r="Q789" s="43">
        <v>1.5</v>
      </c>
      <c r="R789" s="42">
        <f t="shared" ref="R789:R807" si="2195">S789/Q789</f>
        <v>0.8722361071</v>
      </c>
      <c r="S789" s="44">
        <f t="shared" ref="S789:S807" si="2196">M789/F789</f>
        <v>1.308354161</v>
      </c>
      <c r="T789" s="43">
        <f>F789/14.415</f>
        <v>277.0424558</v>
      </c>
      <c r="U789" s="43">
        <f t="shared" ref="U789:U807" si="2197">T789/E789</f>
        <v>13.85212279</v>
      </c>
      <c r="V789" s="40">
        <f t="shared" ref="V789:V807" si="2198">M789/E789</f>
        <v>261.25</v>
      </c>
      <c r="X789" s="22">
        <v>4.0</v>
      </c>
      <c r="Y789" s="22" t="s">
        <v>27</v>
      </c>
      <c r="Z789" s="22">
        <f t="shared" ref="Z789:AK789" si="2188">SUM(D802)</f>
        <v>30</v>
      </c>
      <c r="AA789" s="23">
        <f t="shared" si="2188"/>
        <v>29</v>
      </c>
      <c r="AB789" s="24">
        <f t="shared" si="2188"/>
        <v>5265.91</v>
      </c>
      <c r="AC789" s="23">
        <f t="shared" si="2188"/>
        <v>2086</v>
      </c>
      <c r="AD789" s="23">
        <f t="shared" si="2188"/>
        <v>80</v>
      </c>
      <c r="AE789" s="23">
        <f t="shared" si="2188"/>
        <v>2166</v>
      </c>
      <c r="AF789" s="23">
        <f t="shared" si="2188"/>
        <v>3135</v>
      </c>
      <c r="AG789" s="23">
        <f t="shared" si="2188"/>
        <v>99</v>
      </c>
      <c r="AH789" s="23">
        <f t="shared" si="2188"/>
        <v>3234</v>
      </c>
      <c r="AI789" s="23">
        <f t="shared" si="2188"/>
        <v>5400</v>
      </c>
      <c r="AJ789" s="25">
        <f t="shared" si="2188"/>
        <v>181.5831034</v>
      </c>
      <c r="AK789" s="22">
        <f t="shared" si="2188"/>
        <v>8101</v>
      </c>
      <c r="AL789" s="26">
        <f t="shared" si="2180"/>
        <v>0.6665843723</v>
      </c>
      <c r="AM789" s="27">
        <f>SUM(Q802)</f>
        <v>1.5</v>
      </c>
      <c r="AN789" s="26">
        <f t="shared" si="2182"/>
        <v>0.6836425233</v>
      </c>
      <c r="AO789" s="28">
        <f t="shared" si="2183"/>
        <v>1.025463785</v>
      </c>
      <c r="AP789" s="27">
        <f t="shared" ref="AP789:AQ789" si="2189">SUM(T802)</f>
        <v>263.4931198</v>
      </c>
      <c r="AQ789" s="27">
        <f t="shared" si="2189"/>
        <v>9.08596965</v>
      </c>
      <c r="AR789" s="23">
        <f t="shared" si="2185"/>
        <v>186.2068966</v>
      </c>
    </row>
    <row r="790" ht="15.75" customHeight="1">
      <c r="A790" s="21"/>
      <c r="B790" s="38">
        <v>2.0</v>
      </c>
      <c r="C790" s="38" t="s">
        <v>28</v>
      </c>
      <c r="D790" s="39">
        <v>33.0</v>
      </c>
      <c r="E790" s="40">
        <f>IFERROR(__xludf.DUMMYFUNCTION("COUNT(IMPORTRANGE(""https://docs.google.com/spreadsheets/d/1H9vAqftAHb0OdeSGXHTnJFzoWUgpoH31sc0sHNN8y1o/edit"",""3!d2:d34""))"),32.0)</f>
        <v>32</v>
      </c>
      <c r="F790" s="41">
        <f>IFERROR(__xludf.DUMMYFUNCTION("SUM(IMPORTRANGE(""https://docs.google.com/spreadsheets/d/1H9vAqftAHb0OdeSGXHTnJFzoWUgpoH31sc0sHNN8y1o/edit"",""3!Q2:Q34""))"),6236.487999999999)</f>
        <v>6236.488</v>
      </c>
      <c r="G790" s="40">
        <f>IFERROR(__xludf.DUMMYFUNCTION("IMPORTRANGE(""https://docs.google.com/spreadsheets/d/1H9vAqftAHb0OdeSGXHTnJFzoWUgpoH31sc0sHNN8y1o/edit"",""3!e41"")"),2795.0)</f>
        <v>2795</v>
      </c>
      <c r="H790" s="40">
        <f>IFERROR(__xludf.DUMMYFUNCTION("IMPORTRANGE(""https://docs.google.com/spreadsheets/d/1H9vAqftAHb0OdeSGXHTnJFzoWUgpoH31sc0sHNN8y1o/edit"",""3!e42"")"),140.0)</f>
        <v>140</v>
      </c>
      <c r="I790" s="40">
        <f t="shared" si="2190"/>
        <v>2935</v>
      </c>
      <c r="J790" s="40">
        <f>IFERROR(__xludf.DUMMYFUNCTION("IMPORTRANGE(""https://docs.google.com/spreadsheets/d/1H9vAqftAHb0OdeSGXHTnJFzoWUgpoH31sc0sHNN8y1o/edit"",""3!e45"")"),2886.0)</f>
        <v>2886</v>
      </c>
      <c r="K790" s="40">
        <f>IFERROR(__xludf.DUMMYFUNCTION("IMPORTRANGE(""https://docs.google.com/spreadsheets/d/1H9vAqftAHb0OdeSGXHTnJFzoWUgpoH31sc0sHNN8y1o/edit"",""3!e46"")"),186.0)</f>
        <v>186</v>
      </c>
      <c r="L790" s="40">
        <f t="shared" si="2191"/>
        <v>3072</v>
      </c>
      <c r="M790" s="40">
        <f t="shared" si="2192"/>
        <v>6007</v>
      </c>
      <c r="N790" s="41">
        <f t="shared" si="2193"/>
        <v>194.89025</v>
      </c>
      <c r="O790" s="38">
        <v>7315.0</v>
      </c>
      <c r="P790" s="42">
        <f t="shared" si="2194"/>
        <v>0.821189337</v>
      </c>
      <c r="Q790" s="43">
        <v>1.5</v>
      </c>
      <c r="R790" s="42">
        <f t="shared" si="2195"/>
        <v>0.642134911</v>
      </c>
      <c r="S790" s="44">
        <f t="shared" si="2196"/>
        <v>0.9632023665</v>
      </c>
      <c r="T790" s="43">
        <f>F790/30.897</f>
        <v>201.8476875</v>
      </c>
      <c r="U790" s="43">
        <f t="shared" si="2197"/>
        <v>6.307740234</v>
      </c>
      <c r="V790" s="40">
        <f t="shared" si="2198"/>
        <v>187.71875</v>
      </c>
      <c r="X790" s="22">
        <v>5.0</v>
      </c>
      <c r="Y790" s="22" t="s">
        <v>29</v>
      </c>
      <c r="Z790" s="22">
        <f t="shared" ref="Z790:AI790" si="2199">SUM(D805)</f>
        <v>30</v>
      </c>
      <c r="AA790" s="23">
        <f t="shared" si="2199"/>
        <v>30</v>
      </c>
      <c r="AB790" s="24">
        <f t="shared" si="2199"/>
        <v>6172.403</v>
      </c>
      <c r="AC790" s="23">
        <f t="shared" si="2199"/>
        <v>2776</v>
      </c>
      <c r="AD790" s="23">
        <f t="shared" si="2199"/>
        <v>0</v>
      </c>
      <c r="AE790" s="23">
        <f t="shared" si="2199"/>
        <v>2776</v>
      </c>
      <c r="AF790" s="23">
        <f t="shared" si="2199"/>
        <v>4306</v>
      </c>
      <c r="AG790" s="23">
        <f t="shared" si="2199"/>
        <v>0</v>
      </c>
      <c r="AH790" s="23">
        <f t="shared" si="2199"/>
        <v>4306</v>
      </c>
      <c r="AI790" s="23">
        <f t="shared" si="2199"/>
        <v>7082</v>
      </c>
      <c r="AJ790" s="25">
        <f t="shared" ref="AJ790:AJ792" si="2202">AB790/AA790</f>
        <v>205.7467667</v>
      </c>
      <c r="AK790" s="22">
        <f t="shared" ref="AK790:AK791" si="2203">SUM(O805)</f>
        <v>9201</v>
      </c>
      <c r="AL790" s="26">
        <f t="shared" si="2180"/>
        <v>0.7696989458</v>
      </c>
      <c r="AM790" s="27">
        <f t="shared" ref="AM790:AM791" si="2204">SUM(Q805)</f>
        <v>1.5</v>
      </c>
      <c r="AN790" s="26">
        <f t="shared" si="2182"/>
        <v>0.7649100899</v>
      </c>
      <c r="AO790" s="28">
        <f t="shared" si="2183"/>
        <v>1.147365135</v>
      </c>
      <c r="AP790" s="27">
        <f t="shared" ref="AP790:AQ790" si="2200">SUM(T805)</f>
        <v>233</v>
      </c>
      <c r="AQ790" s="27">
        <f t="shared" si="2200"/>
        <v>7.766666667</v>
      </c>
      <c r="AR790" s="23">
        <f t="shared" si="2185"/>
        <v>236.0666667</v>
      </c>
    </row>
    <row r="791" ht="15.75" customHeight="1">
      <c r="A791" s="21"/>
      <c r="B791" s="38">
        <v>3.0</v>
      </c>
      <c r="C791" s="38" t="s">
        <v>30</v>
      </c>
      <c r="D791" s="39">
        <v>60.0</v>
      </c>
      <c r="E791" s="40">
        <f>IFERROR(__xludf.DUMMYFUNCTION("COUNT(IMPORTRANGE(""https://docs.google.com/spreadsheets/d/1EWN6nfpuVxbUE_9opjYCWaI7MTm5xsF6ssjklSbMZnA/edit"",""3!d2:d61""))"),60.0)</f>
        <v>60</v>
      </c>
      <c r="F791" s="45">
        <f>IFERROR(__xludf.DUMMYFUNCTION("SUM(IMPORTRANGE(""https://docs.google.com/spreadsheets/d/1EWN6nfpuVxbUE_9opjYCWaI7MTm5xsF6ssjklSbMZnA/edit"",""3!Q2:Q61""))"),11240.645999999992)</f>
        <v>11240.646</v>
      </c>
      <c r="G791" s="40">
        <f>IFERROR(__xludf.DUMMYFUNCTION("IMPORTRANGE(""https://docs.google.com/spreadsheets/d/1EWN6nfpuVxbUE_9opjYCWaI7MTm5xsF6ssjklSbMZnA/edit"",""3!e68"")"),3447.0)</f>
        <v>3447</v>
      </c>
      <c r="H791" s="40">
        <f>IFERROR(__xludf.DUMMYFUNCTION("IMPORTRANGE(""https://docs.google.com/spreadsheets/d/1EWN6nfpuVxbUE_9opjYCWaI7MTm5xsF6ssjklSbMZnA/edit"",""3!e69"")"),0.0)</f>
        <v>0</v>
      </c>
      <c r="I791" s="40">
        <f t="shared" si="2190"/>
        <v>3447</v>
      </c>
      <c r="J791" s="40">
        <f>IFERROR(__xludf.DUMMYFUNCTION("IMPORTRANGE(""https://docs.google.com/spreadsheets/d/1EWN6nfpuVxbUE_9opjYCWaI7MTm5xsF6ssjklSbMZnA/edit"",""3!e72"")"),5534.0)</f>
        <v>5534</v>
      </c>
      <c r="K791" s="40">
        <f>IFERROR(__xludf.DUMMYFUNCTION("IMPORTRANGE(""https://docs.google.com/spreadsheets/d/1EWN6nfpuVxbUE_9opjYCWaI7MTm5xsF6ssjklSbMZnA/edit"",""3!e73"")"),0.0)</f>
        <v>0</v>
      </c>
      <c r="L791" s="40">
        <f t="shared" si="2191"/>
        <v>5534</v>
      </c>
      <c r="M791" s="40">
        <f t="shared" si="2192"/>
        <v>8981</v>
      </c>
      <c r="N791" s="41">
        <f t="shared" si="2193"/>
        <v>187.3441</v>
      </c>
      <c r="O791" s="38">
        <v>11164.0</v>
      </c>
      <c r="P791" s="42">
        <f t="shared" si="2194"/>
        <v>0.8044607668</v>
      </c>
      <c r="Q791" s="43">
        <v>1.5</v>
      </c>
      <c r="R791" s="42">
        <f t="shared" si="2195"/>
        <v>0.5326502884</v>
      </c>
      <c r="S791" s="44">
        <f t="shared" si="2196"/>
        <v>0.7989754326</v>
      </c>
      <c r="T791" s="43">
        <f>F791/29.603</f>
        <v>379.7130696</v>
      </c>
      <c r="U791" s="43">
        <f t="shared" si="2197"/>
        <v>6.32855116</v>
      </c>
      <c r="V791" s="40">
        <f t="shared" si="2198"/>
        <v>149.6833333</v>
      </c>
      <c r="X791" s="22">
        <v>6.0</v>
      </c>
      <c r="Y791" s="22" t="s">
        <v>31</v>
      </c>
      <c r="Z791" s="22">
        <f t="shared" ref="Z791:AI791" si="2201">SUM(D806)</f>
        <v>15</v>
      </c>
      <c r="AA791" s="23">
        <f t="shared" si="2201"/>
        <v>14</v>
      </c>
      <c r="AB791" s="25">
        <f t="shared" si="2201"/>
        <v>2825.225</v>
      </c>
      <c r="AC791" s="23">
        <f t="shared" si="2201"/>
        <v>838</v>
      </c>
      <c r="AD791" s="23">
        <f t="shared" si="2201"/>
        <v>0</v>
      </c>
      <c r="AE791" s="23">
        <f t="shared" si="2201"/>
        <v>838</v>
      </c>
      <c r="AF791" s="23">
        <f t="shared" si="2201"/>
        <v>1055</v>
      </c>
      <c r="AG791" s="23">
        <f t="shared" si="2201"/>
        <v>14</v>
      </c>
      <c r="AH791" s="23">
        <f t="shared" si="2201"/>
        <v>1069</v>
      </c>
      <c r="AI791" s="23">
        <f t="shared" si="2201"/>
        <v>1907</v>
      </c>
      <c r="AJ791" s="25">
        <f t="shared" si="2202"/>
        <v>201.8017857</v>
      </c>
      <c r="AK791" s="22">
        <f t="shared" si="2203"/>
        <v>2717</v>
      </c>
      <c r="AL791" s="26">
        <f t="shared" si="2180"/>
        <v>0.7018770703</v>
      </c>
      <c r="AM791" s="27">
        <f t="shared" si="2204"/>
        <v>1.5</v>
      </c>
      <c r="AN791" s="26">
        <f t="shared" si="2182"/>
        <v>0.4499936583</v>
      </c>
      <c r="AO791" s="28">
        <f t="shared" si="2183"/>
        <v>0.6749904875</v>
      </c>
      <c r="AP791" s="27">
        <f t="shared" ref="AP791:AQ791" si="2205">SUM(T806)</f>
        <v>65</v>
      </c>
      <c r="AQ791" s="27">
        <f t="shared" si="2205"/>
        <v>4.642857143</v>
      </c>
      <c r="AR791" s="23">
        <f t="shared" si="2185"/>
        <v>136.2142857</v>
      </c>
    </row>
    <row r="792" ht="15.75" customHeight="1">
      <c r="A792" s="21"/>
      <c r="B792" s="38">
        <v>4.0</v>
      </c>
      <c r="C792" s="38" t="s">
        <v>32</v>
      </c>
      <c r="D792" s="39">
        <v>42.0</v>
      </c>
      <c r="E792" s="40">
        <f>IFERROR(__xludf.DUMMYFUNCTION("COUNT(IMPORTRANGE(""https://docs.google.com/spreadsheets/d/1Rmar8QqWK4XOJ-eY6xMzkAfDSw0srEXcAw89ilArun8/edit"",""3!d2:d43""))"),42.0)</f>
        <v>42</v>
      </c>
      <c r="F792" s="45">
        <f>IFERROR(__xludf.DUMMYFUNCTION("SUM(IMPORTRANGE(""https://docs.google.com/spreadsheets/d/1Rmar8QqWK4XOJ-eY6xMzkAfDSw0srEXcAw89ilArun8/edit"",""3!Q2:Q43""))"),8204.10299999999)</f>
        <v>8204.103</v>
      </c>
      <c r="G792" s="38">
        <f>IFERROR(__xludf.DUMMYFUNCTION("IMPORTRANGE(""https://docs.google.com/spreadsheets/d/1Rmar8QqWK4XOJ-eY6xMzkAfDSw0srEXcAw89ilArun8/edit"",""3!e50"")"),4595.0)</f>
        <v>4595</v>
      </c>
      <c r="H792" s="38">
        <f>IFERROR(__xludf.DUMMYFUNCTION("IMPORTRANGE(""https://docs.google.com/spreadsheets/d/1Rmar8QqWK4XOJ-eY6xMzkAfDSw0srEXcAw89ilArun8/edit"",""3!e51"")"),0.0)</f>
        <v>0</v>
      </c>
      <c r="I792" s="40">
        <f t="shared" si="2190"/>
        <v>4595</v>
      </c>
      <c r="J792" s="38">
        <f>IFERROR(__xludf.DUMMYFUNCTION("IMPORTRANGE(""https://docs.google.com/spreadsheets/d/1Rmar8QqWK4XOJ-eY6xMzkAfDSw0srEXcAw89ilArun8/edit"",""3!e54"")"),5729.0)</f>
        <v>5729</v>
      </c>
      <c r="K792" s="38">
        <f>IFERROR(__xludf.DUMMYFUNCTION("IMPORTRANGE(""https://docs.google.com/spreadsheets/d/1Rmar8QqWK4XOJ-eY6xMzkAfDSw0srEXcAw89ilArun8/edit"",""3!e55"")"),110.0)</f>
        <v>110</v>
      </c>
      <c r="L792" s="40">
        <f t="shared" si="2191"/>
        <v>5839</v>
      </c>
      <c r="M792" s="40">
        <f t="shared" si="2192"/>
        <v>10434</v>
      </c>
      <c r="N792" s="41">
        <f t="shared" si="2193"/>
        <v>195.3357857</v>
      </c>
      <c r="O792" s="38">
        <v>13817.0</v>
      </c>
      <c r="P792" s="42">
        <f t="shared" si="2194"/>
        <v>0.755156691</v>
      </c>
      <c r="Q792" s="43">
        <v>1.5</v>
      </c>
      <c r="R792" s="42">
        <f t="shared" si="2195"/>
        <v>0.8478684385</v>
      </c>
      <c r="S792" s="44">
        <f t="shared" si="2196"/>
        <v>1.271802658</v>
      </c>
      <c r="T792" s="43">
        <f>F792/25.089</f>
        <v>327</v>
      </c>
      <c r="U792" s="43">
        <f t="shared" si="2197"/>
        <v>7.785714286</v>
      </c>
      <c r="V792" s="40">
        <f t="shared" si="2198"/>
        <v>248.4285714</v>
      </c>
      <c r="X792" s="46" t="s">
        <v>33</v>
      </c>
      <c r="Y792" s="46">
        <v>6.0</v>
      </c>
      <c r="Z792" s="46">
        <f t="shared" ref="Z792:AI792" si="2206">SUM(Z786:Z791)</f>
        <v>186</v>
      </c>
      <c r="AA792" s="47">
        <f t="shared" si="2206"/>
        <v>183</v>
      </c>
      <c r="AB792" s="48">
        <f t="shared" si="2206"/>
        <v>35225.686</v>
      </c>
      <c r="AC792" s="47">
        <f t="shared" si="2206"/>
        <v>10819</v>
      </c>
      <c r="AD792" s="47">
        <f t="shared" si="2206"/>
        <v>532</v>
      </c>
      <c r="AE792" s="47">
        <f t="shared" si="2206"/>
        <v>11351</v>
      </c>
      <c r="AF792" s="47">
        <f t="shared" si="2206"/>
        <v>15778</v>
      </c>
      <c r="AG792" s="47">
        <f t="shared" si="2206"/>
        <v>458</v>
      </c>
      <c r="AH792" s="47">
        <f t="shared" si="2206"/>
        <v>16236</v>
      </c>
      <c r="AI792" s="47">
        <f t="shared" si="2206"/>
        <v>27587</v>
      </c>
      <c r="AJ792" s="49">
        <f t="shared" si="2202"/>
        <v>192.4900874</v>
      </c>
      <c r="AK792" s="46">
        <f>SUM(AK786:AK791)</f>
        <v>35074</v>
      </c>
      <c r="AL792" s="50">
        <f t="shared" si="2180"/>
        <v>0.786537036</v>
      </c>
      <c r="AM792" s="51">
        <v>1.5</v>
      </c>
      <c r="AN792" s="50">
        <f t="shared" si="2182"/>
        <v>0.5221000759</v>
      </c>
      <c r="AO792" s="52">
        <f t="shared" si="2183"/>
        <v>0.7831501138</v>
      </c>
      <c r="AP792" s="51">
        <f>SUM(AP786:AP791)</f>
        <v>1323.254002</v>
      </c>
      <c r="AQ792" s="51">
        <f>AP792/AA792</f>
        <v>7.230896185</v>
      </c>
      <c r="AR792" s="47">
        <f t="shared" si="2185"/>
        <v>150.7486339</v>
      </c>
    </row>
    <row r="793" ht="15.75" customHeight="1">
      <c r="A793" s="21"/>
      <c r="B793" s="38">
        <v>5.0</v>
      </c>
      <c r="C793" s="38" t="s">
        <v>34</v>
      </c>
      <c r="D793" s="39">
        <v>40.0</v>
      </c>
      <c r="E793" s="40">
        <f>IFERROR(__xludf.DUMMYFUNCTION("COUNT(IMPORTRANGE(""https://docs.google.com/spreadsheets/d/1u99JxAoytGQQ8GcjxXl38CGdyEWy5uIbuJJHnsotyvk/edit"",""3!d2:d41""))"),39.0)</f>
        <v>39</v>
      </c>
      <c r="F793" s="45">
        <f>IFERROR(__xludf.DUMMYFUNCTION("SUM(IMPORTRANGE(""https://docs.google.com/spreadsheets/d/1u99JxAoytGQQ8GcjxXl38CGdyEWy5uIbuJJHnsotyvk/edit"",""3!Q2:Q41""))"),7668.567000000002)</f>
        <v>7668.567</v>
      </c>
      <c r="G793" s="40">
        <f>IFERROR(__xludf.DUMMYFUNCTION("IMPORTRANGE(""https://docs.google.com/spreadsheets/d/1u99JxAoytGQQ8GcjxXl38CGdyEWy5uIbuJJHnsotyvk/edit"",""3!e48"")"),3177.0)</f>
        <v>3177</v>
      </c>
      <c r="H793" s="40">
        <f>IFERROR(__xludf.DUMMYFUNCTION("IMPORTRANGE(""https://docs.google.com/spreadsheets/d/1u99JxAoytGQQ8GcjxXl38CGdyEWy5uIbuJJHnsotyvk/edit"",""3!e49"")"),0.0)</f>
        <v>0</v>
      </c>
      <c r="I793" s="40">
        <f t="shared" si="2190"/>
        <v>3177</v>
      </c>
      <c r="J793" s="40">
        <f>IFERROR(__xludf.DUMMYFUNCTION("IMPORTRANGE(""https://docs.google.com/spreadsheets/d/1u99JxAoytGQQ8GcjxXl38CGdyEWy5uIbuJJHnsotyvk/edit"",""3!e52"")"),2832.0)</f>
        <v>2832</v>
      </c>
      <c r="K793" s="40">
        <f>IFERROR(__xludf.DUMMYFUNCTION("IMPORTRANGE(""https://docs.google.com/spreadsheets/d/1u99JxAoytGQQ8GcjxXl38CGdyEWy5uIbuJJHnsotyvk/edit"",""3!e53"")"),107.0)</f>
        <v>107</v>
      </c>
      <c r="L793" s="40">
        <f t="shared" si="2191"/>
        <v>2939</v>
      </c>
      <c r="M793" s="40">
        <f t="shared" si="2192"/>
        <v>6116</v>
      </c>
      <c r="N793" s="41">
        <f t="shared" si="2193"/>
        <v>196.6299231</v>
      </c>
      <c r="O793" s="38">
        <v>9354.0</v>
      </c>
      <c r="P793" s="42">
        <f t="shared" si="2194"/>
        <v>0.6538379303</v>
      </c>
      <c r="Q793" s="43">
        <v>1.5</v>
      </c>
      <c r="R793" s="42">
        <f t="shared" si="2195"/>
        <v>0.5316942961</v>
      </c>
      <c r="S793" s="44">
        <f t="shared" si="2196"/>
        <v>0.7975414442</v>
      </c>
      <c r="T793" s="43">
        <f>F793/30.713</f>
        <v>249.6847263</v>
      </c>
      <c r="U793" s="43">
        <f t="shared" si="2197"/>
        <v>6.40217247</v>
      </c>
      <c r="V793" s="40">
        <f t="shared" si="2198"/>
        <v>156.8205128</v>
      </c>
      <c r="X793" s="53" t="s">
        <v>35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6"/>
    </row>
    <row r="794" ht="15.75" customHeight="1">
      <c r="A794" s="21"/>
      <c r="B794" s="38">
        <v>6.0</v>
      </c>
      <c r="C794" s="38" t="s">
        <v>23</v>
      </c>
      <c r="D794" s="39">
        <v>35.0</v>
      </c>
      <c r="E794" s="40">
        <f>IFERROR(__xludf.DUMMYFUNCTION("COUNT(IMPORTRANGE(""https://docs.google.com/spreadsheets/d/1uVc-vnTn57HE53lwrUYNZP4sGKTXisrqOoZ-6EyvLzY/edit"",""3!d2:d36""))"),34.0)</f>
        <v>34</v>
      </c>
      <c r="F794" s="45">
        <f>IFERROR(__xludf.DUMMYFUNCTION("SUM(IMPORTRANGE(""https://docs.google.com/spreadsheets/d/1uVc-vnTn57HE53lwrUYNZP4sGKTXisrqOoZ-6EyvLzY/edit"",""3!Q2:Q36""))"),6343.119999999997)</f>
        <v>6343.12</v>
      </c>
      <c r="G794" s="40">
        <f>IFERROR(__xludf.DUMMYFUNCTION("IMPORTRANGE(""https://docs.google.com/spreadsheets/d/1uVc-vnTn57HE53lwrUYNZP4sGKTXisrqOoZ-6EyvLzY/edit"",""3!e43"")"),1642.0)</f>
        <v>1642</v>
      </c>
      <c r="H794" s="40">
        <f>IFERROR(__xludf.DUMMYFUNCTION("IMPORTRANGE(""https://docs.google.com/spreadsheets/d/1uVc-vnTn57HE53lwrUYNZP4sGKTXisrqOoZ-6EyvLzY/edit"",""3!e44"")"),0.0)</f>
        <v>0</v>
      </c>
      <c r="I794" s="40">
        <f t="shared" si="2190"/>
        <v>1642</v>
      </c>
      <c r="J794" s="40">
        <f>IFERROR(__xludf.DUMMYFUNCTION("IMPORTRANGE(""https://docs.google.com/spreadsheets/d/1uVc-vnTn57HE53lwrUYNZP4sGKTXisrqOoZ-6EyvLzY/edit"",""3!e47"")"),2911.0)</f>
        <v>2911</v>
      </c>
      <c r="K794" s="40">
        <f>IFERROR(__xludf.DUMMYFUNCTION("IMPORTRANGE(""https://docs.google.com/spreadsheets/d/1uVc-vnTn57HE53lwrUYNZP4sGKTXisrqOoZ-6EyvLzY/edit"",""3!e48"")"),0.0)</f>
        <v>0</v>
      </c>
      <c r="L794" s="40">
        <f t="shared" si="2191"/>
        <v>2911</v>
      </c>
      <c r="M794" s="40">
        <f t="shared" si="2192"/>
        <v>4553</v>
      </c>
      <c r="N794" s="41">
        <f t="shared" si="2193"/>
        <v>186.5623529</v>
      </c>
      <c r="O794" s="38">
        <v>6853.0</v>
      </c>
      <c r="P794" s="42">
        <f t="shared" si="2194"/>
        <v>0.6643805633</v>
      </c>
      <c r="Q794" s="43">
        <v>1.5</v>
      </c>
      <c r="R794" s="42">
        <f t="shared" si="2195"/>
        <v>0.4785237128</v>
      </c>
      <c r="S794" s="44">
        <f t="shared" si="2196"/>
        <v>0.7177855692</v>
      </c>
      <c r="T794" s="43">
        <f>F794/33.74</f>
        <v>188</v>
      </c>
      <c r="U794" s="43">
        <f t="shared" si="2197"/>
        <v>5.529411765</v>
      </c>
      <c r="V794" s="40">
        <f t="shared" si="2198"/>
        <v>133.9117647</v>
      </c>
      <c r="X794" s="14" t="s">
        <v>2</v>
      </c>
      <c r="Y794" s="14" t="s">
        <v>3</v>
      </c>
      <c r="Z794" s="14" t="s">
        <v>4</v>
      </c>
      <c r="AA794" s="14" t="s">
        <v>5</v>
      </c>
      <c r="AB794" s="15" t="s">
        <v>6</v>
      </c>
      <c r="AC794" s="14" t="s">
        <v>7</v>
      </c>
      <c r="AD794" s="14" t="s">
        <v>8</v>
      </c>
      <c r="AE794" s="14" t="s">
        <v>9</v>
      </c>
      <c r="AF794" s="14" t="s">
        <v>10</v>
      </c>
      <c r="AG794" s="14" t="s">
        <v>11</v>
      </c>
      <c r="AH794" s="14" t="s">
        <v>12</v>
      </c>
      <c r="AI794" s="14" t="s">
        <v>13</v>
      </c>
      <c r="AJ794" s="15" t="s">
        <v>14</v>
      </c>
      <c r="AK794" s="14" t="s">
        <v>15</v>
      </c>
      <c r="AL794" s="14" t="s">
        <v>16</v>
      </c>
      <c r="AM794" s="16" t="s">
        <v>17</v>
      </c>
      <c r="AN794" s="17" t="s">
        <v>18</v>
      </c>
      <c r="AO794" s="18" t="s">
        <v>19</v>
      </c>
      <c r="AP794" s="19" t="s">
        <v>20</v>
      </c>
      <c r="AQ794" s="19" t="s">
        <v>21</v>
      </c>
      <c r="AR794" s="20" t="s">
        <v>22</v>
      </c>
    </row>
    <row r="795" ht="15.75" customHeight="1">
      <c r="A795" s="21"/>
      <c r="B795" s="38">
        <v>7.0</v>
      </c>
      <c r="C795" s="38" t="s">
        <v>24</v>
      </c>
      <c r="D795" s="39">
        <v>44.0</v>
      </c>
      <c r="E795" s="54">
        <f>IFERROR(__xludf.DUMMYFUNCTION("COUNT(IMPORTRANGE(""https://docs.google.com/spreadsheets/d/1iuPvivSypupo44l6GtmR-2qZ3za7cTk7KzsOVp_kv2c/edit"",""3!d2:d45""))"),44.0)</f>
        <v>44</v>
      </c>
      <c r="F795" s="55">
        <f>IFERROR(__xludf.DUMMYFUNCTION("SUM(IMPORTRANGE(""https://docs.google.com/spreadsheets/d/1iuPvivSypupo44l6GtmR-2qZ3za7cTk7KzsOVp_kv2c/edit"",""3!Q2:Q45""))"),8503.183999999994)</f>
        <v>8503.184</v>
      </c>
      <c r="G795" s="54">
        <f>IFERROR(__xludf.DUMMYFUNCTION("IMPORTRANGE(""https://docs.google.com/spreadsheets/d/1iuPvivSypupo44l6GtmR-2qZ3za7cTk7KzsOVp_kv2c/edit"",""3!e53"")"),1215.0)</f>
        <v>1215</v>
      </c>
      <c r="H795" s="54">
        <f>IFERROR(__xludf.DUMMYFUNCTION("IMPORTRANGE(""https://docs.google.com/spreadsheets/d/1iuPvivSypupo44l6GtmR-2qZ3za7cTk7KzsOVp_kv2c/edit"",""3!e54"")"),0.0)</f>
        <v>0</v>
      </c>
      <c r="I795" s="54">
        <f t="shared" si="2190"/>
        <v>1215</v>
      </c>
      <c r="J795" s="54">
        <f>IFERROR(__xludf.DUMMYFUNCTION("IMPORTRANGE(""https://docs.google.com/spreadsheets/d/1iuPvivSypupo44l6GtmR-2qZ3za7cTk7KzsOVp_kv2c/edit"",""3!e57"")"),1449.0)</f>
        <v>1449</v>
      </c>
      <c r="K795" s="54">
        <f>IFERROR(__xludf.DUMMYFUNCTION("IMPORTRANGE(""https://docs.google.com/spreadsheets/d/1iuPvivSypupo44l6GtmR-2qZ3za7cTk7KzsOVp_kv2c/edit"",""3!e58"")"),47.0)</f>
        <v>47</v>
      </c>
      <c r="L795" s="40">
        <f t="shared" si="2191"/>
        <v>1496</v>
      </c>
      <c r="M795" s="40">
        <f t="shared" si="2192"/>
        <v>2711</v>
      </c>
      <c r="N795" s="41">
        <f t="shared" si="2193"/>
        <v>193.2541818</v>
      </c>
      <c r="O795" s="38">
        <v>1580.0</v>
      </c>
      <c r="P795" s="42">
        <f t="shared" si="2194"/>
        <v>1.715822785</v>
      </c>
      <c r="Q795" s="43">
        <v>1.5</v>
      </c>
      <c r="R795" s="42">
        <f t="shared" si="2195"/>
        <v>0.2125478331</v>
      </c>
      <c r="S795" s="44">
        <f t="shared" si="2196"/>
        <v>0.3188217496</v>
      </c>
      <c r="T795" s="43">
        <f>F795/26.805</f>
        <v>317.2238015</v>
      </c>
      <c r="U795" s="43">
        <f t="shared" si="2197"/>
        <v>7.209631853</v>
      </c>
      <c r="V795" s="40">
        <f t="shared" si="2198"/>
        <v>61.61363636</v>
      </c>
      <c r="X795" s="22">
        <v>1.0</v>
      </c>
      <c r="Y795" s="22" t="s">
        <v>28</v>
      </c>
      <c r="Z795" s="22">
        <f t="shared" ref="Z795:AI795" si="2207">SUM(D790)</f>
        <v>33</v>
      </c>
      <c r="AA795" s="23">
        <f t="shared" si="2207"/>
        <v>32</v>
      </c>
      <c r="AB795" s="25">
        <f t="shared" si="2207"/>
        <v>6236.488</v>
      </c>
      <c r="AC795" s="23">
        <f t="shared" si="2207"/>
        <v>2795</v>
      </c>
      <c r="AD795" s="23">
        <f t="shared" si="2207"/>
        <v>140</v>
      </c>
      <c r="AE795" s="23">
        <f t="shared" si="2207"/>
        <v>2935</v>
      </c>
      <c r="AF795" s="23">
        <f t="shared" si="2207"/>
        <v>2886</v>
      </c>
      <c r="AG795" s="23">
        <f t="shared" si="2207"/>
        <v>186</v>
      </c>
      <c r="AH795" s="23">
        <f t="shared" si="2207"/>
        <v>3072</v>
      </c>
      <c r="AI795" s="23">
        <f t="shared" si="2207"/>
        <v>6007</v>
      </c>
      <c r="AJ795" s="25">
        <f t="shared" ref="AJ795:AJ801" si="2210">AB795/AA795</f>
        <v>194.89025</v>
      </c>
      <c r="AK795" s="22">
        <f t="shared" ref="AK795:AK796" si="2211">SUM(O790)</f>
        <v>7315</v>
      </c>
      <c r="AL795" s="26">
        <f t="shared" ref="AL795:AL801" si="2212">AI795/AK795</f>
        <v>0.821189337</v>
      </c>
      <c r="AM795" s="27">
        <f t="shared" ref="AM795:AM796" si="2213">SUM(Q790)</f>
        <v>1.5</v>
      </c>
      <c r="AN795" s="26">
        <f t="shared" ref="AN795:AN801" si="2214">AO795/AM795</f>
        <v>0.642134911</v>
      </c>
      <c r="AO795" s="28">
        <f t="shared" ref="AO795:AO801" si="2215">AI795/AB795</f>
        <v>0.9632023665</v>
      </c>
      <c r="AP795" s="27">
        <f t="shared" ref="AP795:AQ795" si="2208">SUM(T790)</f>
        <v>201.8476875</v>
      </c>
      <c r="AQ795" s="27">
        <f t="shared" si="2208"/>
        <v>6.307740234</v>
      </c>
      <c r="AR795" s="23">
        <f t="shared" ref="AR795:AR801" si="2217">AI795/AA795</f>
        <v>187.71875</v>
      </c>
    </row>
    <row r="796" ht="15.75" customHeight="1">
      <c r="A796" s="21"/>
      <c r="B796" s="38">
        <v>8.0</v>
      </c>
      <c r="C796" s="38" t="s">
        <v>25</v>
      </c>
      <c r="D796" s="57">
        <v>32.0</v>
      </c>
      <c r="E796" s="40">
        <f>IFERROR(__xludf.DUMMYFUNCTION("COUNT(IMPORTRANGE(""https://docs.google.com/spreadsheets/d/1sqWX7UerdR9KR_duBzDNfjwbPG-3hLgV1LiN2ZVZ6Js/edit"",""3!d2:D33""))"),32.0)</f>
        <v>32</v>
      </c>
      <c r="F796" s="45">
        <f>IFERROR(__xludf.DUMMYFUNCTION("SUM(IMPORTRANGE(""https://docs.google.com/spreadsheets/d/1sqWX7UerdR9KR_duBzDNfjwbPG-3hLgV1LiN2ZVZ6Js/edit"",""3!Q2:Q33""))"),6115.844000000002)</f>
        <v>6115.844</v>
      </c>
      <c r="G796" s="40">
        <f>IFERROR(__xludf.DUMMYFUNCTION("IMPORTRANGE(""https://docs.google.com/spreadsheets/d/1sqWX7UerdR9KR_duBzDNfjwbPG-3hLgV1LiN2ZVZ6Js/edit"",""3!e40"")"),2262.0)</f>
        <v>2262</v>
      </c>
      <c r="H796" s="40">
        <f>IFERROR(__xludf.DUMMYFUNCTION("IMPORTRANGE(""https://docs.google.com/spreadsheets/d/1sqWX7UerdR9KR_duBzDNfjwbPG-3hLgV1LiN2ZVZ6Js/edit"",""3!e41"")"),452.0)</f>
        <v>452</v>
      </c>
      <c r="I796" s="40">
        <f t="shared" si="2190"/>
        <v>2714</v>
      </c>
      <c r="J796" s="40">
        <f>IFERROR(__xludf.DUMMYFUNCTION("IMPORTRANGE(""https://docs.google.com/spreadsheets/d/1sqWX7UerdR9KR_duBzDNfjwbPG-3hLgV1LiN2ZVZ6Js/edit"",""3!e44"")"),2922.0)</f>
        <v>2922</v>
      </c>
      <c r="K796" s="40">
        <f>IFERROR(__xludf.DUMMYFUNCTION("IMPORTRANGE(""https://docs.google.com/spreadsheets/d/1sqWX7UerdR9KR_duBzDNfjwbPG-3hLgV1LiN2ZVZ6Js/edit"",""3!e45"")"),298.0)</f>
        <v>298</v>
      </c>
      <c r="L796" s="40">
        <f>J796+K796</f>
        <v>3220</v>
      </c>
      <c r="M796" s="40">
        <f t="shared" si="2192"/>
        <v>5934</v>
      </c>
      <c r="N796" s="41">
        <f t="shared" si="2193"/>
        <v>191.120125</v>
      </c>
      <c r="O796" s="38">
        <v>6622.0</v>
      </c>
      <c r="P796" s="42">
        <f t="shared" si="2194"/>
        <v>0.8961038961</v>
      </c>
      <c r="Q796" s="43">
        <v>1.5</v>
      </c>
      <c r="R796" s="42">
        <f t="shared" si="2195"/>
        <v>0.6468444911</v>
      </c>
      <c r="S796" s="44">
        <f t="shared" si="2196"/>
        <v>0.9702667367</v>
      </c>
      <c r="T796" s="43">
        <f>F796/23.84</f>
        <v>256.5370805</v>
      </c>
      <c r="U796" s="43">
        <f t="shared" si="2197"/>
        <v>8.016783767</v>
      </c>
      <c r="V796" s="40">
        <f t="shared" si="2198"/>
        <v>185.4375</v>
      </c>
      <c r="X796" s="31">
        <v>2.0</v>
      </c>
      <c r="Y796" s="31" t="s">
        <v>30</v>
      </c>
      <c r="Z796" s="31">
        <f t="shared" ref="Z796:AI796" si="2209">SUM(D791)</f>
        <v>60</v>
      </c>
      <c r="AA796" s="32">
        <f t="shared" si="2209"/>
        <v>60</v>
      </c>
      <c r="AB796" s="33">
        <f t="shared" si="2209"/>
        <v>11240.646</v>
      </c>
      <c r="AC796" s="32">
        <f t="shared" si="2209"/>
        <v>3447</v>
      </c>
      <c r="AD796" s="32">
        <f t="shared" si="2209"/>
        <v>0</v>
      </c>
      <c r="AE796" s="32">
        <f t="shared" si="2209"/>
        <v>3447</v>
      </c>
      <c r="AF796" s="32">
        <f t="shared" si="2209"/>
        <v>5534</v>
      </c>
      <c r="AG796" s="32">
        <f t="shared" si="2209"/>
        <v>0</v>
      </c>
      <c r="AH796" s="32">
        <f t="shared" si="2209"/>
        <v>5534</v>
      </c>
      <c r="AI796" s="32">
        <f t="shared" si="2209"/>
        <v>8981</v>
      </c>
      <c r="AJ796" s="34">
        <f t="shared" si="2210"/>
        <v>187.3441</v>
      </c>
      <c r="AK796" s="31">
        <f t="shared" si="2211"/>
        <v>11164</v>
      </c>
      <c r="AL796" s="35">
        <f t="shared" si="2212"/>
        <v>0.8044607668</v>
      </c>
      <c r="AM796" s="36">
        <f t="shared" si="2213"/>
        <v>1.5</v>
      </c>
      <c r="AN796" s="35">
        <f t="shared" si="2214"/>
        <v>0.5326502884</v>
      </c>
      <c r="AO796" s="37">
        <f t="shared" si="2215"/>
        <v>0.7989754326</v>
      </c>
      <c r="AP796" s="36">
        <f t="shared" ref="AP796:AQ796" si="2216">SUM(T791)</f>
        <v>379.7130696</v>
      </c>
      <c r="AQ796" s="36">
        <f t="shared" si="2216"/>
        <v>6.32855116</v>
      </c>
      <c r="AR796" s="32">
        <f t="shared" si="2217"/>
        <v>149.6833333</v>
      </c>
    </row>
    <row r="797" ht="15.75" customHeight="1">
      <c r="A797" s="21"/>
      <c r="B797" s="38">
        <v>9.0</v>
      </c>
      <c r="C797" s="38" t="s">
        <v>36</v>
      </c>
      <c r="D797" s="58">
        <v>30.0</v>
      </c>
      <c r="E797" s="40">
        <f>IFERROR(__xludf.DUMMYFUNCTION("COUNT(IMPORTRANGE(""https://docs.google.com/spreadsheets/d/1YNna43iTSqnwwbMJgTIPHSJEoDO8RGPRFg5pJCoQR_Y/edit"",""3!d2:d31""))"),30.0)</f>
        <v>30</v>
      </c>
      <c r="F797" s="45">
        <f>IFERROR(__xludf.DUMMYFUNCTION("SUM(IMPORTRANGE(""https://docs.google.com/spreadsheets/d/1YNna43iTSqnwwbMJgTIPHSJEoDO8RGPRFg5pJCoQR_Y/edit"",""3!Q2:Q31""))"),5794.3820000000005)</f>
        <v>5794.382</v>
      </c>
      <c r="G797" s="40">
        <f>IFERROR(__xludf.DUMMYFUNCTION("IMPORTRANGE(""https://docs.google.com/spreadsheets/d/1YNna43iTSqnwwbMJgTIPHSJEoDO8RGPRFg5pJCoQR_Y/edit"",""3!e38"")"),1670.0)</f>
        <v>1670</v>
      </c>
      <c r="H797" s="40">
        <f>IFERROR(__xludf.DUMMYFUNCTION("IMPORTRANGE(""https://docs.google.com/spreadsheets/d/1YNna43iTSqnwwbMJgTIPHSJEoDO8RGPRFg5pJCoQR_Y/edit"",""3!e39"")"),0.0)</f>
        <v>0</v>
      </c>
      <c r="I797" s="40">
        <f t="shared" si="2190"/>
        <v>1670</v>
      </c>
      <c r="J797" s="40">
        <f>IFERROR(__xludf.DUMMYFUNCTION("IMPORTRANGE(""https://docs.google.com/spreadsheets/d/1YNna43iTSqnwwbMJgTIPHSJEoDO8RGPRFg5pJCoQR_Y/edit"",""3!e42"")"),2442.0)</f>
        <v>2442</v>
      </c>
      <c r="K797" s="40">
        <f>IFERROR(__xludf.DUMMYFUNCTION("IMPORTRANGE(""https://docs.google.com/spreadsheets/d/1YNna43iTSqnwwbMJgTIPHSJEoDO8RGPRFg5pJCoQR_Y/edit"",""3!e43"")"),0.0)</f>
        <v>0</v>
      </c>
      <c r="L797" s="40">
        <f t="shared" ref="L797:L806" si="2220">SUM(J797:K797)</f>
        <v>2442</v>
      </c>
      <c r="M797" s="40">
        <f t="shared" si="2192"/>
        <v>4112</v>
      </c>
      <c r="N797" s="41">
        <f t="shared" si="2193"/>
        <v>193.1460667</v>
      </c>
      <c r="O797" s="38">
        <v>4796.0</v>
      </c>
      <c r="P797" s="42">
        <f t="shared" si="2194"/>
        <v>0.857381151</v>
      </c>
      <c r="Q797" s="43">
        <v>1.5</v>
      </c>
      <c r="R797" s="42">
        <f t="shared" si="2195"/>
        <v>0.4731019345</v>
      </c>
      <c r="S797" s="44">
        <f t="shared" si="2196"/>
        <v>0.7096529017</v>
      </c>
      <c r="T797" s="43">
        <f>F797/37.414</f>
        <v>154.8720265</v>
      </c>
      <c r="U797" s="43">
        <f t="shared" si="2197"/>
        <v>5.162400884</v>
      </c>
      <c r="V797" s="40">
        <f t="shared" si="2198"/>
        <v>137.0666667</v>
      </c>
      <c r="X797" s="22">
        <v>3.0</v>
      </c>
      <c r="Y797" s="22" t="s">
        <v>34</v>
      </c>
      <c r="Z797" s="22">
        <f t="shared" ref="Z797:AI797" si="2218">SUM(D793)</f>
        <v>40</v>
      </c>
      <c r="AA797" s="23">
        <f t="shared" si="2218"/>
        <v>39</v>
      </c>
      <c r="AB797" s="24">
        <f t="shared" si="2218"/>
        <v>7668.567</v>
      </c>
      <c r="AC797" s="23">
        <f t="shared" si="2218"/>
        <v>3177</v>
      </c>
      <c r="AD797" s="23">
        <f t="shared" si="2218"/>
        <v>0</v>
      </c>
      <c r="AE797" s="23">
        <f t="shared" si="2218"/>
        <v>3177</v>
      </c>
      <c r="AF797" s="23">
        <f t="shared" si="2218"/>
        <v>2832</v>
      </c>
      <c r="AG797" s="23">
        <f t="shared" si="2218"/>
        <v>107</v>
      </c>
      <c r="AH797" s="23">
        <f t="shared" si="2218"/>
        <v>2939</v>
      </c>
      <c r="AI797" s="23">
        <f t="shared" si="2218"/>
        <v>6116</v>
      </c>
      <c r="AJ797" s="25">
        <f t="shared" si="2210"/>
        <v>196.6299231</v>
      </c>
      <c r="AK797" s="22">
        <f>SUM(O793)</f>
        <v>9354</v>
      </c>
      <c r="AL797" s="26">
        <f t="shared" si="2212"/>
        <v>0.6538379303</v>
      </c>
      <c r="AM797" s="27">
        <f>SUM(Q793)</f>
        <v>1.5</v>
      </c>
      <c r="AN797" s="26">
        <f t="shared" si="2214"/>
        <v>0.5316942961</v>
      </c>
      <c r="AO797" s="28">
        <f t="shared" si="2215"/>
        <v>0.7975414442</v>
      </c>
      <c r="AP797" s="27">
        <f t="shared" ref="AP797:AQ797" si="2219">SUM(T793)</f>
        <v>249.6847263</v>
      </c>
      <c r="AQ797" s="27">
        <f t="shared" si="2219"/>
        <v>6.40217247</v>
      </c>
      <c r="AR797" s="23">
        <f t="shared" si="2217"/>
        <v>156.8205128</v>
      </c>
    </row>
    <row r="798" ht="15.75" customHeight="1">
      <c r="A798" s="21"/>
      <c r="B798" s="38">
        <v>10.0</v>
      </c>
      <c r="C798" s="38" t="s">
        <v>37</v>
      </c>
      <c r="D798" s="39">
        <v>30.0</v>
      </c>
      <c r="E798" s="40">
        <f>IFERROR(__xludf.DUMMYFUNCTION("COUNT(IMPORTRANGE(""https://docs.google.com/spreadsheets/d/1913Df5BsXS_b-nClL8LOK5w0engQYTl1mPOiyngRtO0/edit"",""3!d2:d31""))"),29.0)</f>
        <v>29</v>
      </c>
      <c r="F798" s="45">
        <f>IFERROR(__xludf.DUMMYFUNCTION("SUM(IMPORTRANGE(""https://docs.google.com/spreadsheets/d/1913Df5BsXS_b-nClL8LOK5w0engQYTl1mPOiyngRtO0/edit"",""3!Q2:Q31""))"),5613.852000000001)</f>
        <v>5613.852</v>
      </c>
      <c r="G798" s="40">
        <f>IFERROR(__xludf.DUMMYFUNCTION("(IMPORTRANGE(""https://docs.google.com/spreadsheets/d/1913Df5BsXS_b-nClL8LOK5w0engQYTl1mPOiyngRtO0/edit"",""3!e38""))"),2252.0)</f>
        <v>2252</v>
      </c>
      <c r="H798" s="40">
        <f>IFERROR(__xludf.DUMMYFUNCTION("(IMPORTRANGE(""https://docs.google.com/spreadsheets/d/1913Df5BsXS_b-nClL8LOK5w0engQYTl1mPOiyngRtO0/edit"",""3!e39""))"),0.0)</f>
        <v>0</v>
      </c>
      <c r="I798" s="40">
        <f t="shared" si="2190"/>
        <v>2252</v>
      </c>
      <c r="J798" s="40">
        <f>IFERROR(__xludf.DUMMYFUNCTION("(IMPORTRANGE(""https://docs.google.com/spreadsheets/d/1913Df5BsXS_b-nClL8LOK5w0engQYTl1mPOiyngRtO0/edit"",""3!e42""))"),3036.0)</f>
        <v>3036</v>
      </c>
      <c r="K798" s="40">
        <f>IFERROR(__xludf.DUMMYFUNCTION("(IMPORTRANGE(""https://docs.google.com/spreadsheets/d/1913Df5BsXS_b-nClL8LOK5w0engQYTl1mPOiyngRtO0/edit"",""3!e43""))"),0.0)</f>
        <v>0</v>
      </c>
      <c r="L798" s="40">
        <f t="shared" si="2220"/>
        <v>3036</v>
      </c>
      <c r="M798" s="40">
        <f t="shared" si="2192"/>
        <v>5288</v>
      </c>
      <c r="N798" s="41">
        <f t="shared" si="2193"/>
        <v>193.5811034</v>
      </c>
      <c r="O798" s="38">
        <v>5887.0</v>
      </c>
      <c r="P798" s="42">
        <f t="shared" si="2194"/>
        <v>0.8982503822</v>
      </c>
      <c r="Q798" s="43">
        <v>1.5</v>
      </c>
      <c r="R798" s="42">
        <f t="shared" si="2195"/>
        <v>0.6279704797</v>
      </c>
      <c r="S798" s="44">
        <f t="shared" si="2196"/>
        <v>0.9419557195</v>
      </c>
      <c r="T798" s="43">
        <f>F798/24.792</f>
        <v>226.4380445</v>
      </c>
      <c r="U798" s="43">
        <f t="shared" si="2197"/>
        <v>7.808208432</v>
      </c>
      <c r="V798" s="40">
        <f t="shared" si="2198"/>
        <v>182.3448276</v>
      </c>
      <c r="X798" s="31">
        <v>4.0</v>
      </c>
      <c r="Y798" s="31" t="s">
        <v>38</v>
      </c>
      <c r="Z798" s="31">
        <f t="shared" ref="Z798:AI798" si="2221">SUM(D801)</f>
        <v>30</v>
      </c>
      <c r="AA798" s="32">
        <f t="shared" si="2221"/>
        <v>30</v>
      </c>
      <c r="AB798" s="33">
        <f t="shared" si="2221"/>
        <v>6057.135</v>
      </c>
      <c r="AC798" s="32">
        <f t="shared" si="2221"/>
        <v>2252</v>
      </c>
      <c r="AD798" s="32">
        <f t="shared" si="2221"/>
        <v>0</v>
      </c>
      <c r="AE798" s="32">
        <f t="shared" si="2221"/>
        <v>2252</v>
      </c>
      <c r="AF798" s="32">
        <f t="shared" si="2221"/>
        <v>2532</v>
      </c>
      <c r="AG798" s="32">
        <f t="shared" si="2221"/>
        <v>106</v>
      </c>
      <c r="AH798" s="32">
        <f t="shared" si="2221"/>
        <v>2638</v>
      </c>
      <c r="AI798" s="32">
        <f t="shared" si="2221"/>
        <v>4890</v>
      </c>
      <c r="AJ798" s="34">
        <f t="shared" si="2210"/>
        <v>201.9045</v>
      </c>
      <c r="AK798" s="31">
        <v>7324.0</v>
      </c>
      <c r="AL798" s="35">
        <f t="shared" si="2212"/>
        <v>0.667667941</v>
      </c>
      <c r="AM798" s="36">
        <f>SUM(Q801)</f>
        <v>1.5</v>
      </c>
      <c r="AN798" s="35">
        <f t="shared" si="2214"/>
        <v>0.5382082453</v>
      </c>
      <c r="AO798" s="37">
        <f t="shared" si="2215"/>
        <v>0.807312368</v>
      </c>
      <c r="AP798" s="36">
        <f t="shared" ref="AP798:AQ798" si="2222">SUM(T801)</f>
        <v>147</v>
      </c>
      <c r="AQ798" s="36">
        <f t="shared" si="2222"/>
        <v>4.9</v>
      </c>
      <c r="AR798" s="32">
        <f t="shared" si="2217"/>
        <v>163</v>
      </c>
    </row>
    <row r="799" ht="15.75" customHeight="1">
      <c r="A799" s="21"/>
      <c r="B799" s="38">
        <v>12.0</v>
      </c>
      <c r="C799" s="38" t="s">
        <v>39</v>
      </c>
      <c r="D799" s="39">
        <v>28.0</v>
      </c>
      <c r="E799" s="40">
        <f>IFERROR(__xludf.DUMMYFUNCTION("COUNT(IMPORTRANGE(""https://docs.google.com/spreadsheets/d/1wMeol_MpSIcocGxt3WZGl46mJ2tc80mANPvP_YzaP18/edit"",""3!d2:d29""))"),28.0)</f>
        <v>28</v>
      </c>
      <c r="F799" s="45">
        <f>IFERROR(__xludf.DUMMYFUNCTION("SUM(IMPORTRANGE(""https://docs.google.com/spreadsheets/d/1wMeol_MpSIcocGxt3WZGl46mJ2tc80mANPvP_YzaP18/edit"",""3!Q2:Q29""))"),5158.396)</f>
        <v>5158.396</v>
      </c>
      <c r="G799" s="40">
        <f>IFERROR(__xludf.DUMMYFUNCTION("IMPORTRANGE(""https://docs.google.com/spreadsheets/d/1wMeol_MpSIcocGxt3WZGl46mJ2tc80mANPvP_YzaP18/edit"",""3!e36"")"),1344.0)</f>
        <v>1344</v>
      </c>
      <c r="H799" s="40">
        <f>IFERROR(__xludf.DUMMYFUNCTION("(IMPORTRANGE(""https://docs.google.com/spreadsheets/d/1wMeol_MpSIcocGxt3WZGl46mJ2tc80mANPvP_YzaP18/edit"",""3!e37""))"),0.0)</f>
        <v>0</v>
      </c>
      <c r="I799" s="40">
        <f t="shared" si="2190"/>
        <v>1344</v>
      </c>
      <c r="J799" s="40">
        <f>IFERROR(__xludf.DUMMYFUNCTION("IMPORTRANGE(""https://docs.google.com/spreadsheets/d/1wMeol_MpSIcocGxt3WZGl46mJ2tc80mANPvP_YzaP18/edit"",""3!e40"")"),1623.0)</f>
        <v>1623</v>
      </c>
      <c r="K799" s="40">
        <f>IFERROR(__xludf.DUMMYFUNCTION("IMPORTRANGE(""https://docs.google.com/spreadsheets/d/1wMeol_MpSIcocGxt3WZGl46mJ2tc80mANPvP_YzaP18/edit"",""3!e41"")"),73.0)</f>
        <v>73</v>
      </c>
      <c r="L799" s="40">
        <f t="shared" si="2220"/>
        <v>1696</v>
      </c>
      <c r="M799" s="40">
        <f t="shared" si="2192"/>
        <v>3040</v>
      </c>
      <c r="N799" s="41">
        <f t="shared" si="2193"/>
        <v>184.2284286</v>
      </c>
      <c r="O799" s="38">
        <v>3569.0</v>
      </c>
      <c r="P799" s="42">
        <f t="shared" si="2194"/>
        <v>0.8517792099</v>
      </c>
      <c r="Q799" s="43">
        <v>1.5</v>
      </c>
      <c r="R799" s="42">
        <f t="shared" si="2195"/>
        <v>0.3928869879</v>
      </c>
      <c r="S799" s="44">
        <f t="shared" si="2196"/>
        <v>0.5893304818</v>
      </c>
      <c r="T799" s="43">
        <f>F799/21.463</f>
        <v>240.339002</v>
      </c>
      <c r="U799" s="43">
        <f t="shared" si="2197"/>
        <v>8.583535786</v>
      </c>
      <c r="V799" s="40">
        <f t="shared" si="2198"/>
        <v>108.5714286</v>
      </c>
      <c r="X799" s="31">
        <v>5.0</v>
      </c>
      <c r="Y799" s="31" t="s">
        <v>40</v>
      </c>
      <c r="Z799" s="31">
        <f t="shared" ref="Z799:AI799" si="2223">SUM(D803)</f>
        <v>30</v>
      </c>
      <c r="AA799" s="32">
        <f t="shared" si="2223"/>
        <v>30</v>
      </c>
      <c r="AB799" s="33">
        <f t="shared" si="2223"/>
        <v>5944.587</v>
      </c>
      <c r="AC799" s="32">
        <f t="shared" si="2223"/>
        <v>3145</v>
      </c>
      <c r="AD799" s="32">
        <f t="shared" si="2223"/>
        <v>0</v>
      </c>
      <c r="AE799" s="32">
        <f t="shared" si="2223"/>
        <v>3145</v>
      </c>
      <c r="AF799" s="32">
        <f t="shared" si="2223"/>
        <v>4341</v>
      </c>
      <c r="AG799" s="32">
        <f t="shared" si="2223"/>
        <v>25</v>
      </c>
      <c r="AH799" s="32">
        <f t="shared" si="2223"/>
        <v>4366</v>
      </c>
      <c r="AI799" s="32">
        <f t="shared" si="2223"/>
        <v>7511</v>
      </c>
      <c r="AJ799" s="34">
        <f t="shared" si="2210"/>
        <v>198.1529</v>
      </c>
      <c r="AK799" s="31">
        <f t="shared" ref="AK799:AK800" si="2226">SUM(O803)</f>
        <v>8239</v>
      </c>
      <c r="AL799" s="35">
        <f t="shared" si="2212"/>
        <v>0.9116397621</v>
      </c>
      <c r="AM799" s="36">
        <f t="shared" ref="AM799:AM800" si="2227">SUM(Q803)</f>
        <v>1.5</v>
      </c>
      <c r="AN799" s="35">
        <f t="shared" si="2214"/>
        <v>0.8423349399</v>
      </c>
      <c r="AO799" s="37">
        <f t="shared" si="2215"/>
        <v>1.26350241</v>
      </c>
      <c r="AP799" s="36">
        <f t="shared" ref="AP799:AQ799" si="2224">SUM(T803)</f>
        <v>209</v>
      </c>
      <c r="AQ799" s="36">
        <f t="shared" si="2224"/>
        <v>6.966666667</v>
      </c>
      <c r="AR799" s="32">
        <f t="shared" si="2217"/>
        <v>250.3666667</v>
      </c>
    </row>
    <row r="800" ht="15.75" customHeight="1">
      <c r="A800" s="21"/>
      <c r="B800" s="38">
        <v>12.0</v>
      </c>
      <c r="C800" s="38" t="s">
        <v>41</v>
      </c>
      <c r="D800" s="39">
        <v>24.0</v>
      </c>
      <c r="E800" s="40">
        <f>IFERROR(__xludf.DUMMYFUNCTION("COUNT(IMPORTRANGE(""https://docs.google.com/spreadsheets/d/1sHk6_yuc4kORC_xnhEeazoemV_hVUQVqRpfoNae-PLk/edit"",""3!d2:d25""))"),24.0)</f>
        <v>24</v>
      </c>
      <c r="F800" s="45">
        <f>IFERROR(__xludf.DUMMYFUNCTION("SUM(IMPORTRANGE(""https://docs.google.com/spreadsheets/d/1sHk6_yuc4kORC_xnhEeazoemV_hVUQVqRpfoNae-PLk/edit"",""3!Q2:Q25""))"),4615.384000000001)</f>
        <v>4615.384</v>
      </c>
      <c r="G800" s="40">
        <f>IFERROR(__xludf.DUMMYFUNCTION("IMPORTRANGE(""https://docs.google.com/spreadsheets/d/1sHk6_yuc4kORC_xnhEeazoemV_hVUQVqRpfoNae-PLk/edit"",""3!e32"")"),1410.0)</f>
        <v>1410</v>
      </c>
      <c r="H800" s="40">
        <f>IFERROR(__xludf.DUMMYFUNCTION("IMPORTRANGE(""https://docs.google.com/spreadsheets/d/1sHk6_yuc4kORC_xnhEeazoemV_hVUQVqRpfoNae-PLk/edit"",""3!e33"")"),0.0)</f>
        <v>0</v>
      </c>
      <c r="I800" s="40">
        <f t="shared" si="2190"/>
        <v>1410</v>
      </c>
      <c r="J800" s="40">
        <f>IFERROR(__xludf.DUMMYFUNCTION("IMPORTRANGE(""https://docs.google.com/spreadsheets/d/1sHk6_yuc4kORC_xnhEeazoemV_hVUQVqRpfoNae-PLk/edit"",""3!e36"")"),1622.0)</f>
        <v>1622</v>
      </c>
      <c r="K800" s="40">
        <f>IFERROR(__xludf.DUMMYFUNCTION("IMPORTRANGE(""https://docs.google.com/spreadsheets/d/1sHk6_yuc4kORC_xnhEeazoemV_hVUQVqRpfoNae-PLk/edit"",""3!e37"")"),0.0)</f>
        <v>0</v>
      </c>
      <c r="L800" s="40">
        <f t="shared" si="2220"/>
        <v>1622</v>
      </c>
      <c r="M800" s="40">
        <f t="shared" si="2192"/>
        <v>3032</v>
      </c>
      <c r="N800" s="41">
        <f t="shared" si="2193"/>
        <v>192.3076667</v>
      </c>
      <c r="O800" s="38">
        <v>3801.0</v>
      </c>
      <c r="P800" s="42">
        <f t="shared" si="2194"/>
        <v>0.7976848198</v>
      </c>
      <c r="Q800" s="43">
        <v>1.5</v>
      </c>
      <c r="R800" s="42">
        <f t="shared" si="2195"/>
        <v>0.4379556139</v>
      </c>
      <c r="S800" s="44">
        <f t="shared" si="2196"/>
        <v>0.6569334209</v>
      </c>
      <c r="T800" s="43">
        <f>F800/29.628</f>
        <v>155.7777778</v>
      </c>
      <c r="U800" s="43">
        <f t="shared" si="2197"/>
        <v>6.490740741</v>
      </c>
      <c r="V800" s="40">
        <f t="shared" si="2198"/>
        <v>126.3333333</v>
      </c>
      <c r="X800" s="22">
        <v>6.0</v>
      </c>
      <c r="Y800" s="22" t="s">
        <v>42</v>
      </c>
      <c r="Z800" s="22">
        <f t="shared" ref="Z800:AI800" si="2225">SUM(D804)</f>
        <v>33</v>
      </c>
      <c r="AA800" s="23">
        <f t="shared" si="2225"/>
        <v>33</v>
      </c>
      <c r="AB800" s="24">
        <f t="shared" si="2225"/>
        <v>6587.984</v>
      </c>
      <c r="AC800" s="23">
        <f t="shared" si="2225"/>
        <v>3029</v>
      </c>
      <c r="AD800" s="23">
        <f t="shared" si="2225"/>
        <v>104</v>
      </c>
      <c r="AE800" s="23">
        <f t="shared" si="2225"/>
        <v>3133</v>
      </c>
      <c r="AF800" s="23">
        <f t="shared" si="2225"/>
        <v>4505</v>
      </c>
      <c r="AG800" s="23">
        <f t="shared" si="2225"/>
        <v>257</v>
      </c>
      <c r="AH800" s="23">
        <f t="shared" si="2225"/>
        <v>4762</v>
      </c>
      <c r="AI800" s="23">
        <f t="shared" si="2225"/>
        <v>7895</v>
      </c>
      <c r="AJ800" s="25">
        <f t="shared" si="2210"/>
        <v>199.6358788</v>
      </c>
      <c r="AK800" s="22">
        <f t="shared" si="2226"/>
        <v>9877</v>
      </c>
      <c r="AL800" s="26">
        <f t="shared" si="2212"/>
        <v>0.7993317809</v>
      </c>
      <c r="AM800" s="27">
        <f t="shared" si="2227"/>
        <v>1.5</v>
      </c>
      <c r="AN800" s="26">
        <f t="shared" si="2214"/>
        <v>0.798929283</v>
      </c>
      <c r="AO800" s="28">
        <f t="shared" si="2215"/>
        <v>1.198393924</v>
      </c>
      <c r="AP800" s="27">
        <f t="shared" ref="AP800:AQ800" si="2228">SUM(T804)</f>
        <v>251.8823934</v>
      </c>
      <c r="AQ800" s="27">
        <f t="shared" si="2228"/>
        <v>7.632799801</v>
      </c>
      <c r="AR800" s="23">
        <f t="shared" si="2217"/>
        <v>239.2424242</v>
      </c>
    </row>
    <row r="801" ht="15.75" customHeight="1">
      <c r="A801" s="21"/>
      <c r="B801" s="38">
        <v>13.0</v>
      </c>
      <c r="C801" s="38" t="s">
        <v>43</v>
      </c>
      <c r="D801" s="39">
        <v>30.0</v>
      </c>
      <c r="E801" s="40">
        <f>IFERROR(__xludf.DUMMYFUNCTION("COUNT(IMPORTRANGE(""https://docs.google.com/spreadsheets/d/1uGXvAN2jA6kmcEHUY4KqOHHewllZsujDdA6KVDfBCoA/edit"",""3!d2:d31""))"),30.0)</f>
        <v>30</v>
      </c>
      <c r="F801" s="45">
        <f>IFERROR(__xludf.DUMMYFUNCTION("SUM(IMPORTRANGE(""https://docs.google.com/spreadsheets/d/1uGXvAN2jA6kmcEHUY4KqOHHewllZsujDdA6KVDfBCoA/edit"",""3!Q2:Q31""))"),6057.135)</f>
        <v>6057.135</v>
      </c>
      <c r="G801" s="40">
        <f>IFERROR(__xludf.DUMMYFUNCTION("IMPORTRANGE(""https://docs.google.com/spreadsheets/d/1uGXvAN2jA6kmcEHUY4KqOHHewllZsujDdA6KVDfBCoA/edit"",""3!e38"")"),2252.0)</f>
        <v>2252</v>
      </c>
      <c r="H801" s="40">
        <f>IFERROR(__xludf.DUMMYFUNCTION("IMPORTRANGE(""https://docs.google.com/spreadsheets/d/1uGXvAN2jA6kmcEHUY4KqOHHewllZsujDdA6KVDfBCoA/edit"",""3!e39"")"),0.0)</f>
        <v>0</v>
      </c>
      <c r="I801" s="40">
        <f t="shared" si="2190"/>
        <v>2252</v>
      </c>
      <c r="J801" s="40">
        <f>IFERROR(__xludf.DUMMYFUNCTION("IMPORTRANGE(""https://docs.google.com/spreadsheets/d/1uGXvAN2jA6kmcEHUY4KqOHHewllZsujDdA6KVDfBCoA/edit"",""3!e42"")"),2532.0)</f>
        <v>2532</v>
      </c>
      <c r="K801" s="40">
        <f>IFERROR(__xludf.DUMMYFUNCTION("IMPORTRANGE(""https://docs.google.com/spreadsheets/d/1uGXvAN2jA6kmcEHUY4KqOHHewllZsujDdA6KVDfBCoA/edit"",""3!e43"")"),106.0)</f>
        <v>106</v>
      </c>
      <c r="L801" s="40">
        <f t="shared" si="2220"/>
        <v>2638</v>
      </c>
      <c r="M801" s="40">
        <f t="shared" si="2192"/>
        <v>4890</v>
      </c>
      <c r="N801" s="41">
        <f t="shared" si="2193"/>
        <v>201.9045</v>
      </c>
      <c r="O801" s="38">
        <v>8345.0</v>
      </c>
      <c r="P801" s="42">
        <f t="shared" si="2194"/>
        <v>0.5859796285</v>
      </c>
      <c r="Q801" s="43">
        <v>1.5</v>
      </c>
      <c r="R801" s="42">
        <f t="shared" si="2195"/>
        <v>0.5382082453</v>
      </c>
      <c r="S801" s="44">
        <f t="shared" si="2196"/>
        <v>0.807312368</v>
      </c>
      <c r="T801" s="43">
        <f>F801/41.205</f>
        <v>147</v>
      </c>
      <c r="U801" s="43">
        <f t="shared" si="2197"/>
        <v>4.9</v>
      </c>
      <c r="V801" s="40">
        <f t="shared" si="2198"/>
        <v>163</v>
      </c>
      <c r="X801" s="46" t="s">
        <v>33</v>
      </c>
      <c r="Y801" s="46">
        <v>6.0</v>
      </c>
      <c r="Z801" s="46">
        <f t="shared" ref="Z801:AI801" si="2229">SUM(Z795:Z800)</f>
        <v>226</v>
      </c>
      <c r="AA801" s="47">
        <f t="shared" si="2229"/>
        <v>224</v>
      </c>
      <c r="AB801" s="49">
        <f t="shared" si="2229"/>
        <v>43735.407</v>
      </c>
      <c r="AC801" s="47">
        <f t="shared" si="2229"/>
        <v>17845</v>
      </c>
      <c r="AD801" s="47">
        <f t="shared" si="2229"/>
        <v>244</v>
      </c>
      <c r="AE801" s="47">
        <f t="shared" si="2229"/>
        <v>18089</v>
      </c>
      <c r="AF801" s="47">
        <f t="shared" si="2229"/>
        <v>22630</v>
      </c>
      <c r="AG801" s="47">
        <f t="shared" si="2229"/>
        <v>681</v>
      </c>
      <c r="AH801" s="47">
        <f t="shared" si="2229"/>
        <v>23311</v>
      </c>
      <c r="AI801" s="47">
        <f t="shared" si="2229"/>
        <v>41400</v>
      </c>
      <c r="AJ801" s="49">
        <f t="shared" si="2210"/>
        <v>195.2473527</v>
      </c>
      <c r="AK801" s="46">
        <f>SUM(AK795:AK800)</f>
        <v>53273</v>
      </c>
      <c r="AL801" s="50">
        <f t="shared" si="2212"/>
        <v>0.7771291273</v>
      </c>
      <c r="AM801" s="51">
        <v>1.5</v>
      </c>
      <c r="AN801" s="50">
        <f t="shared" si="2214"/>
        <v>0.6310676382</v>
      </c>
      <c r="AO801" s="52">
        <f t="shared" si="2215"/>
        <v>0.9466014573</v>
      </c>
      <c r="AP801" s="51">
        <f>SUM(AP795:AP800)</f>
        <v>1439.127877</v>
      </c>
      <c r="AQ801" s="51">
        <f>AP801/AA801</f>
        <v>6.424678022</v>
      </c>
      <c r="AR801" s="47">
        <f t="shared" si="2217"/>
        <v>184.8214286</v>
      </c>
    </row>
    <row r="802" ht="15.75" customHeight="1">
      <c r="A802" s="21"/>
      <c r="B802" s="38">
        <v>14.0</v>
      </c>
      <c r="C802" s="38" t="s">
        <v>27</v>
      </c>
      <c r="D802" s="39">
        <v>30.0</v>
      </c>
      <c r="E802" s="40">
        <f>IFERROR(__xludf.DUMMYFUNCTION("COUNT(IMPORTRANGE(""https://docs.google.com/spreadsheets/d/1iYtf3wkjJIgOL8ej0-L89wY8FLXKi6EiRbi9UqA1Bzw/edit"",""3!d2:d31""))"),29.0)</f>
        <v>29</v>
      </c>
      <c r="F802" s="45">
        <f>IFERROR(__xludf.DUMMYFUNCTION("SUM(IMPORTRANGE(""https://docs.google.com/spreadsheets/d/1iYtf3wkjJIgOL8ej0-L89wY8FLXKi6EiRbi9UqA1Bzw/edit"",""3!Q2:Q31""))"),5265.910000000001)</f>
        <v>5265.91</v>
      </c>
      <c r="G802" s="40">
        <f>IFERROR(__xludf.DUMMYFUNCTION("IMPORTRANGE(""https://docs.google.com/spreadsheets/d/1iYtf3wkjJIgOL8ej0-L89wY8FLXKi6EiRbi9UqA1Bzw/edit"",""3!e38"")"),2086.0)</f>
        <v>2086</v>
      </c>
      <c r="H802" s="40">
        <f>IFERROR(__xludf.DUMMYFUNCTION("IMPORTRANGE(""https://docs.google.com/spreadsheets/d/1iYtf3wkjJIgOL8ej0-L89wY8FLXKi6EiRbi9UqA1Bzw/edit"",""3!e39"")"),80.0)</f>
        <v>80</v>
      </c>
      <c r="I802" s="40">
        <f t="shared" si="2190"/>
        <v>2166</v>
      </c>
      <c r="J802" s="40">
        <f>IFERROR(__xludf.DUMMYFUNCTION("IMPORTRANGE(""https://docs.google.com/spreadsheets/d/1iYtf3wkjJIgOL8ej0-L89wY8FLXKi6EiRbi9UqA1Bzw/edit"",""3!e42"")"),3135.0)</f>
        <v>3135</v>
      </c>
      <c r="K802" s="40">
        <f>IFERROR(__xludf.DUMMYFUNCTION("IMPORTRANGE(""https://docs.google.com/spreadsheets/d/1iYtf3wkjJIgOL8ej0-L89wY8FLXKi6EiRbi9UqA1Bzw/edit"",""3!e43"")"),99.0)</f>
        <v>99</v>
      </c>
      <c r="L802" s="40">
        <f t="shared" si="2220"/>
        <v>3234</v>
      </c>
      <c r="M802" s="40">
        <f t="shared" si="2192"/>
        <v>5400</v>
      </c>
      <c r="N802" s="41">
        <f t="shared" si="2193"/>
        <v>181.5831034</v>
      </c>
      <c r="O802" s="38">
        <v>8101.0</v>
      </c>
      <c r="P802" s="42">
        <f t="shared" si="2194"/>
        <v>0.6665843723</v>
      </c>
      <c r="Q802" s="43">
        <v>1.5</v>
      </c>
      <c r="R802" s="42">
        <f t="shared" si="2195"/>
        <v>0.6836425233</v>
      </c>
      <c r="S802" s="44">
        <f t="shared" si="2196"/>
        <v>1.025463785</v>
      </c>
      <c r="T802" s="43">
        <f>F802/19.985</f>
        <v>263.4931198</v>
      </c>
      <c r="U802" s="43">
        <f t="shared" si="2197"/>
        <v>9.08596965</v>
      </c>
      <c r="V802" s="40">
        <f t="shared" si="2198"/>
        <v>186.2068966</v>
      </c>
      <c r="X802" s="59" t="s">
        <v>44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6"/>
    </row>
    <row r="803" ht="15.75" customHeight="1">
      <c r="A803" s="21"/>
      <c r="B803" s="38">
        <v>15.0</v>
      </c>
      <c r="C803" s="38" t="s">
        <v>40</v>
      </c>
      <c r="D803" s="39">
        <v>30.0</v>
      </c>
      <c r="E803" s="40">
        <f>IFERROR(__xludf.DUMMYFUNCTION("COUNT(IMPORTRANGE(""https://docs.google.com/spreadsheets/d/1Wdf8MsoDBzMSsrzOXwaGQzbVjVqOWfKSqYmbncevZgA/edit"",""3!d2:d31""))"),30.0)</f>
        <v>30</v>
      </c>
      <c r="F803" s="45">
        <f>IFERROR(__xludf.DUMMYFUNCTION("SUM(IMPORTRANGE(""https://docs.google.com/spreadsheets/d/1Wdf8MsoDBzMSsrzOXwaGQzbVjVqOWfKSqYmbncevZgA/edit"",""3!Q2:Q31""))"),5944.586999999998)</f>
        <v>5944.587</v>
      </c>
      <c r="G803" s="40">
        <f>IFERROR(__xludf.DUMMYFUNCTION("IMPORTRANGE(""https://docs.google.com/spreadsheets/d/1Wdf8MsoDBzMSsrzOXwaGQzbVjVqOWfKSqYmbncevZgA/edit"",""3!e38"")"),3145.0)</f>
        <v>3145</v>
      </c>
      <c r="H803" s="40">
        <f>IFERROR(__xludf.DUMMYFUNCTION("IMPORTRANGE(""https://docs.google.com/spreadsheets/d/1Wdf8MsoDBzMSsrzOXwaGQzbVjVqOWfKSqYmbncevZgA/edit"",""3!e39"")"),0.0)</f>
        <v>0</v>
      </c>
      <c r="I803" s="40">
        <f t="shared" si="2190"/>
        <v>3145</v>
      </c>
      <c r="J803" s="40">
        <f>IFERROR(__xludf.DUMMYFUNCTION("IMPORTRANGE(""https://docs.google.com/spreadsheets/d/1Wdf8MsoDBzMSsrzOXwaGQzbVjVqOWfKSqYmbncevZgA/edit"",""3!e42"")"),4341.0)</f>
        <v>4341</v>
      </c>
      <c r="K803" s="40">
        <f>IFERROR(__xludf.DUMMYFUNCTION("IMPORTRANGE(""https://docs.google.com/spreadsheets/d/1Wdf8MsoDBzMSsrzOXwaGQzbVjVqOWfKSqYmbncevZgA/edit"",""3!e43"")"),25.0)</f>
        <v>25</v>
      </c>
      <c r="L803" s="40">
        <f t="shared" si="2220"/>
        <v>4366</v>
      </c>
      <c r="M803" s="40">
        <f t="shared" si="2192"/>
        <v>7511</v>
      </c>
      <c r="N803" s="41">
        <f t="shared" si="2193"/>
        <v>198.1529</v>
      </c>
      <c r="O803" s="38">
        <v>8239.0</v>
      </c>
      <c r="P803" s="42">
        <f t="shared" si="2194"/>
        <v>0.9116397621</v>
      </c>
      <c r="Q803" s="43">
        <v>1.5</v>
      </c>
      <c r="R803" s="42">
        <f t="shared" si="2195"/>
        <v>0.8423349399</v>
      </c>
      <c r="S803" s="44">
        <f t="shared" si="2196"/>
        <v>1.26350241</v>
      </c>
      <c r="T803" s="43">
        <f>F803/28.443</f>
        <v>209</v>
      </c>
      <c r="U803" s="43">
        <f t="shared" si="2197"/>
        <v>6.966666667</v>
      </c>
      <c r="V803" s="40">
        <f t="shared" si="2198"/>
        <v>250.3666667</v>
      </c>
      <c r="X803" s="14" t="s">
        <v>2</v>
      </c>
      <c r="Y803" s="14" t="s">
        <v>3</v>
      </c>
      <c r="Z803" s="14" t="s">
        <v>4</v>
      </c>
      <c r="AA803" s="14" t="s">
        <v>5</v>
      </c>
      <c r="AB803" s="15" t="s">
        <v>6</v>
      </c>
      <c r="AC803" s="14" t="s">
        <v>7</v>
      </c>
      <c r="AD803" s="14" t="s">
        <v>8</v>
      </c>
      <c r="AE803" s="14" t="s">
        <v>9</v>
      </c>
      <c r="AF803" s="14" t="s">
        <v>10</v>
      </c>
      <c r="AG803" s="14" t="s">
        <v>11</v>
      </c>
      <c r="AH803" s="14" t="s">
        <v>12</v>
      </c>
      <c r="AI803" s="14" t="s">
        <v>13</v>
      </c>
      <c r="AJ803" s="15" t="s">
        <v>14</v>
      </c>
      <c r="AK803" s="14" t="s">
        <v>15</v>
      </c>
      <c r="AL803" s="14" t="s">
        <v>16</v>
      </c>
      <c r="AM803" s="16" t="s">
        <v>17</v>
      </c>
      <c r="AN803" s="17" t="s">
        <v>18</v>
      </c>
      <c r="AO803" s="18" t="s">
        <v>19</v>
      </c>
      <c r="AP803" s="19" t="s">
        <v>20</v>
      </c>
      <c r="AQ803" s="19" t="s">
        <v>21</v>
      </c>
      <c r="AR803" s="20" t="s">
        <v>22</v>
      </c>
    </row>
    <row r="804" ht="15.75" customHeight="1">
      <c r="A804" s="21"/>
      <c r="B804" s="38">
        <v>16.0</v>
      </c>
      <c r="C804" s="38" t="s">
        <v>42</v>
      </c>
      <c r="D804" s="39">
        <v>33.0</v>
      </c>
      <c r="E804" s="40">
        <f>IFERROR(__xludf.DUMMYFUNCTION("COUNT(IMPORTRANGE(""https://docs.google.com/spreadsheets/d/1Z5uB5HbeAKcHmG4EOw3rf2J8NpyvDiha6RReERAMvA0/edit"",""3!d2:d34""))"),33.0)</f>
        <v>33</v>
      </c>
      <c r="F804" s="45">
        <f>IFERROR(__xludf.DUMMYFUNCTION("SUM(IMPORTRANGE(""https://docs.google.com/spreadsheets/d/1Z5uB5HbeAKcHmG4EOw3rf2J8NpyvDiha6RReERAMvA0/edit"",""3!Q2:Q34""))"),6587.983999999998)</f>
        <v>6587.984</v>
      </c>
      <c r="G804" s="40">
        <f>IFERROR(__xludf.DUMMYFUNCTION("IMPORTRANGE(""https://docs.google.com/spreadsheets/d/1Z5uB5HbeAKcHmG4EOw3rf2J8NpyvDiha6RReERAMvA0/edit"",""3!e41"")"),3029.0)</f>
        <v>3029</v>
      </c>
      <c r="H804" s="40">
        <f>IFERROR(__xludf.DUMMYFUNCTION("IMPORTRANGE(""https://docs.google.com/spreadsheets/d/1Z5uB5HbeAKcHmG4EOw3rf2J8NpyvDiha6RReERAMvA0/edit"",""3!e42"")"),104.0)</f>
        <v>104</v>
      </c>
      <c r="I804" s="40">
        <f t="shared" si="2190"/>
        <v>3133</v>
      </c>
      <c r="J804" s="40">
        <f>IFERROR(__xludf.DUMMYFUNCTION("IMPORTRANGE(""https://docs.google.com/spreadsheets/d/1Z5uB5HbeAKcHmG4EOw3rf2J8NpyvDiha6RReERAMvA0/edit"",""3!e45"")"),4505.0)</f>
        <v>4505</v>
      </c>
      <c r="K804" s="40">
        <f>IFERROR(__xludf.DUMMYFUNCTION("IMPORTRANGE(""https://docs.google.com/spreadsheets/d/1Z5uB5HbeAKcHmG4EOw3rf2J8NpyvDiha6RReERAMvA0/edit"",""3!e46"")"),257.0)</f>
        <v>257</v>
      </c>
      <c r="L804" s="40">
        <f t="shared" si="2220"/>
        <v>4762</v>
      </c>
      <c r="M804" s="40">
        <f t="shared" si="2192"/>
        <v>7895</v>
      </c>
      <c r="N804" s="41">
        <f t="shared" si="2193"/>
        <v>199.6358788</v>
      </c>
      <c r="O804" s="38">
        <v>9877.0</v>
      </c>
      <c r="P804" s="42">
        <f t="shared" si="2194"/>
        <v>0.7993317809</v>
      </c>
      <c r="Q804" s="43">
        <v>1.5</v>
      </c>
      <c r="R804" s="42">
        <f t="shared" si="2195"/>
        <v>0.798929283</v>
      </c>
      <c r="S804" s="44">
        <f t="shared" si="2196"/>
        <v>1.198393924</v>
      </c>
      <c r="T804" s="43">
        <f>F804/26.155</f>
        <v>251.8823934</v>
      </c>
      <c r="U804" s="43">
        <f t="shared" si="2197"/>
        <v>7.632799801</v>
      </c>
      <c r="V804" s="40">
        <f t="shared" si="2198"/>
        <v>239.2424242</v>
      </c>
      <c r="X804" s="31">
        <v>1.0</v>
      </c>
      <c r="Y804" s="31" t="s">
        <v>26</v>
      </c>
      <c r="Z804" s="31">
        <f t="shared" ref="Z804:AI804" si="2230">SUM(D789)</f>
        <v>20</v>
      </c>
      <c r="AA804" s="32">
        <f t="shared" si="2230"/>
        <v>20</v>
      </c>
      <c r="AB804" s="34">
        <f t="shared" si="2230"/>
        <v>3993.567</v>
      </c>
      <c r="AC804" s="32">
        <f t="shared" si="2230"/>
        <v>2441</v>
      </c>
      <c r="AD804" s="32">
        <f t="shared" si="2230"/>
        <v>20</v>
      </c>
      <c r="AE804" s="32">
        <f t="shared" si="2230"/>
        <v>2461</v>
      </c>
      <c r="AF804" s="32">
        <f t="shared" si="2230"/>
        <v>2544</v>
      </c>
      <c r="AG804" s="32">
        <f t="shared" si="2230"/>
        <v>220</v>
      </c>
      <c r="AH804" s="32">
        <f t="shared" si="2230"/>
        <v>2764</v>
      </c>
      <c r="AI804" s="32">
        <f t="shared" si="2230"/>
        <v>5225</v>
      </c>
      <c r="AJ804" s="34">
        <f t="shared" ref="AJ804:AJ810" si="2233">AB804/AA804</f>
        <v>199.67835</v>
      </c>
      <c r="AK804" s="31">
        <f>SUM(O789)</f>
        <v>5161</v>
      </c>
      <c r="AL804" s="35">
        <f t="shared" ref="AL804:AL810" si="2234">AI804/AK804</f>
        <v>1.012400698</v>
      </c>
      <c r="AM804" s="36">
        <f>SUM(Q789)</f>
        <v>1.5</v>
      </c>
      <c r="AN804" s="35">
        <f t="shared" ref="AN804:AN810" si="2235">AO804/AM804</f>
        <v>0.8722361071</v>
      </c>
      <c r="AO804" s="37">
        <f t="shared" ref="AO804:AO810" si="2236">AI804/AB804</f>
        <v>1.308354161</v>
      </c>
      <c r="AP804" s="36">
        <f t="shared" ref="AP804:AQ804" si="2231">SUM(T789)</f>
        <v>277.0424558</v>
      </c>
      <c r="AQ804" s="36">
        <f t="shared" si="2231"/>
        <v>13.85212279</v>
      </c>
      <c r="AR804" s="32">
        <f t="shared" ref="AR804:AR810" si="2238">AI804/AA804</f>
        <v>261.25</v>
      </c>
    </row>
    <row r="805" ht="15.75" customHeight="1">
      <c r="A805" s="21"/>
      <c r="B805" s="38">
        <v>17.0</v>
      </c>
      <c r="C805" s="38" t="s">
        <v>29</v>
      </c>
      <c r="D805" s="39">
        <v>30.0</v>
      </c>
      <c r="E805" s="40">
        <f>IFERROR(__xludf.DUMMYFUNCTION("COUNT(IMPORTRANGE(""https://docs.google.com/spreadsheets/d/1wfJqI0e9wVPqEQv3N6b8KgINjqI0OBECEyIFeY9j3i8/edit"",""3!d2:d31""))"),30.0)</f>
        <v>30</v>
      </c>
      <c r="F805" s="45">
        <f>IFERROR(__xludf.DUMMYFUNCTION("SUM(IMPORTRANGE(""https://docs.google.com/spreadsheets/d/1wfJqI0e9wVPqEQv3N6b8KgINjqI0OBECEyIFeY9j3i8/edit"",""3!Q2:Q31""))"),6172.4029999999975)</f>
        <v>6172.403</v>
      </c>
      <c r="G805" s="40">
        <f>IFERROR(__xludf.DUMMYFUNCTION("IMPORTRANGE(""https://docs.google.com/spreadsheets/d/1wfJqI0e9wVPqEQv3N6b8KgINjqI0OBECEyIFeY9j3i8/edit"",""3!e38"")"),2776.0)</f>
        <v>2776</v>
      </c>
      <c r="H805" s="40">
        <f>IFERROR(__xludf.DUMMYFUNCTION("IMPORTRANGE(""https://docs.google.com/spreadsheets/d/1wfJqI0e9wVPqEQv3N6b8KgINjqI0OBECEyIFeY9j3i8/edit"",""3!e39"")"),0.0)</f>
        <v>0</v>
      </c>
      <c r="I805" s="40">
        <f t="shared" si="2190"/>
        <v>2776</v>
      </c>
      <c r="J805" s="40">
        <f>IFERROR(__xludf.DUMMYFUNCTION("IMPORTRANGE(""https://docs.google.com/spreadsheets/d/1wfJqI0e9wVPqEQv3N6b8KgINjqI0OBECEyIFeY9j3i8/edit"",""3!e42"")"),4306.0)</f>
        <v>4306</v>
      </c>
      <c r="K805" s="40">
        <f>IFERROR(__xludf.DUMMYFUNCTION("IMPORTRANGE(""https://docs.google.com/spreadsheets/d/1wfJqI0e9wVPqEQv3N6b8KgINjqI0OBECEyIFeY9j3i8/edit"",""3!e43"")"),0.0)</f>
        <v>0</v>
      </c>
      <c r="L805" s="40">
        <f t="shared" si="2220"/>
        <v>4306</v>
      </c>
      <c r="M805" s="40">
        <f t="shared" si="2192"/>
        <v>7082</v>
      </c>
      <c r="N805" s="41">
        <f t="shared" si="2193"/>
        <v>205.7467667</v>
      </c>
      <c r="O805" s="38">
        <v>9201.0</v>
      </c>
      <c r="P805" s="42">
        <f t="shared" si="2194"/>
        <v>0.7696989458</v>
      </c>
      <c r="Q805" s="43">
        <v>1.5</v>
      </c>
      <c r="R805" s="42">
        <f t="shared" si="2195"/>
        <v>0.7649100899</v>
      </c>
      <c r="S805" s="44">
        <f t="shared" si="2196"/>
        <v>1.147365135</v>
      </c>
      <c r="T805" s="43">
        <f>F805/26.491</f>
        <v>233</v>
      </c>
      <c r="U805" s="43">
        <f t="shared" si="2197"/>
        <v>7.766666667</v>
      </c>
      <c r="V805" s="40">
        <f t="shared" si="2198"/>
        <v>236.0666667</v>
      </c>
      <c r="X805" s="31">
        <v>2.0</v>
      </c>
      <c r="Y805" s="31" t="s">
        <v>32</v>
      </c>
      <c r="Z805" s="31">
        <f t="shared" ref="Z805:AI805" si="2232">SUM(D792)</f>
        <v>42</v>
      </c>
      <c r="AA805" s="32">
        <f t="shared" si="2232"/>
        <v>42</v>
      </c>
      <c r="AB805" s="33">
        <f t="shared" si="2232"/>
        <v>8204.103</v>
      </c>
      <c r="AC805" s="31">
        <f t="shared" si="2232"/>
        <v>4595</v>
      </c>
      <c r="AD805" s="31">
        <f t="shared" si="2232"/>
        <v>0</v>
      </c>
      <c r="AE805" s="32">
        <f t="shared" si="2232"/>
        <v>4595</v>
      </c>
      <c r="AF805" s="31">
        <f t="shared" si="2232"/>
        <v>5729</v>
      </c>
      <c r="AG805" s="31">
        <f t="shared" si="2232"/>
        <v>110</v>
      </c>
      <c r="AH805" s="32">
        <f t="shared" si="2232"/>
        <v>5839</v>
      </c>
      <c r="AI805" s="32">
        <f t="shared" si="2232"/>
        <v>10434</v>
      </c>
      <c r="AJ805" s="34">
        <f t="shared" si="2233"/>
        <v>195.3357857</v>
      </c>
      <c r="AK805" s="31">
        <f>SUM(O792)</f>
        <v>13817</v>
      </c>
      <c r="AL805" s="35">
        <f t="shared" si="2234"/>
        <v>0.755156691</v>
      </c>
      <c r="AM805" s="36">
        <f>SUM(Q792)</f>
        <v>1.5</v>
      </c>
      <c r="AN805" s="35">
        <f t="shared" si="2235"/>
        <v>0.8478684385</v>
      </c>
      <c r="AO805" s="37">
        <f t="shared" si="2236"/>
        <v>1.271802658</v>
      </c>
      <c r="AP805" s="36">
        <f t="shared" ref="AP805:AQ805" si="2237">SUM(T792)</f>
        <v>327</v>
      </c>
      <c r="AQ805" s="36">
        <f t="shared" si="2237"/>
        <v>7.785714286</v>
      </c>
      <c r="AR805" s="32">
        <f t="shared" si="2238"/>
        <v>248.4285714</v>
      </c>
    </row>
    <row r="806" ht="15.75" customHeight="1">
      <c r="A806" s="21"/>
      <c r="B806" s="38">
        <v>18.0</v>
      </c>
      <c r="C806" s="38" t="s">
        <v>31</v>
      </c>
      <c r="D806" s="39">
        <v>15.0</v>
      </c>
      <c r="E806" s="40">
        <f>IFERROR(__xludf.DUMMYFUNCTION("COUNT(IMPORTRANGE(""https://docs.google.com/spreadsheets/d/1-y2KhTAo7d8kowgUuWUDfRQuRMUAFteRYEXorT3_wOs/edit"",""3!d2:d16""))"),14.0)</f>
        <v>14</v>
      </c>
      <c r="F806" s="41">
        <f>IFERROR(__xludf.DUMMYFUNCTION("SUM(IMPORTRANGE(""https://docs.google.com/spreadsheets/d/1-y2KhTAo7d8kowgUuWUDfRQuRMUAFteRYEXorT3_wOs/edit"",""3!Q2:Q16""))"),2825.225)</f>
        <v>2825.225</v>
      </c>
      <c r="G806" s="40">
        <f>IFERROR(__xludf.DUMMYFUNCTION("IMPORTRANGE(""https://docs.google.com/spreadsheets/d/1-y2KhTAo7d8kowgUuWUDfRQuRMUAFteRYEXorT3_wOs/edit"",""3!e23"")"),838.0)</f>
        <v>838</v>
      </c>
      <c r="H806" s="40">
        <f>IFERROR(__xludf.DUMMYFUNCTION("IMPORTRANGE(""https://docs.google.com/spreadsheets/d/1-y2KhTAo7d8kowgUuWUDfRQuRMUAFteRYEXorT3_wOs/edit"",""3!e24"")"),0.0)</f>
        <v>0</v>
      </c>
      <c r="I806" s="40">
        <f t="shared" si="2190"/>
        <v>838</v>
      </c>
      <c r="J806" s="40">
        <f>IFERROR(__xludf.DUMMYFUNCTION("IMPORTRANGE(""https://docs.google.com/spreadsheets/d/1-y2KhTAo7d8kowgUuWUDfRQuRMUAFteRYEXorT3_wOs/edit"",""3!e27"")"),1055.0)</f>
        <v>1055</v>
      </c>
      <c r="K806" s="40">
        <f>IFERROR(__xludf.DUMMYFUNCTION("IMPORTRANGE(""https://docs.google.com/spreadsheets/d/1-y2KhTAo7d8kowgUuWUDfRQuRMUAFteRYEXorT3_wOs/edit"",""3!e28"")"),14.0)</f>
        <v>14</v>
      </c>
      <c r="L806" s="40">
        <f t="shared" si="2220"/>
        <v>1069</v>
      </c>
      <c r="M806" s="40">
        <f t="shared" si="2192"/>
        <v>1907</v>
      </c>
      <c r="N806" s="41">
        <f t="shared" si="2193"/>
        <v>201.8017857</v>
      </c>
      <c r="O806" s="38">
        <v>2717.0</v>
      </c>
      <c r="P806" s="42">
        <f t="shared" si="2194"/>
        <v>0.7018770703</v>
      </c>
      <c r="Q806" s="43">
        <v>1.5</v>
      </c>
      <c r="R806" s="42">
        <f t="shared" si="2195"/>
        <v>0.4499936583</v>
      </c>
      <c r="S806" s="44">
        <f t="shared" si="2196"/>
        <v>0.6749904875</v>
      </c>
      <c r="T806" s="43">
        <f>F806/43.465</f>
        <v>65</v>
      </c>
      <c r="U806" s="43">
        <f t="shared" si="2197"/>
        <v>4.642857143</v>
      </c>
      <c r="V806" s="40">
        <f t="shared" si="2198"/>
        <v>136.2142857</v>
      </c>
      <c r="X806" s="31">
        <v>3.0</v>
      </c>
      <c r="Y806" s="31" t="s">
        <v>36</v>
      </c>
      <c r="Z806" s="31">
        <f t="shared" ref="Z806:AI806" si="2239">SUM(D797)</f>
        <v>30</v>
      </c>
      <c r="AA806" s="32">
        <f t="shared" si="2239"/>
        <v>30</v>
      </c>
      <c r="AB806" s="33">
        <f t="shared" si="2239"/>
        <v>5794.382</v>
      </c>
      <c r="AC806" s="32">
        <f t="shared" si="2239"/>
        <v>1670</v>
      </c>
      <c r="AD806" s="32">
        <f t="shared" si="2239"/>
        <v>0</v>
      </c>
      <c r="AE806" s="32">
        <f t="shared" si="2239"/>
        <v>1670</v>
      </c>
      <c r="AF806" s="32">
        <f t="shared" si="2239"/>
        <v>2442</v>
      </c>
      <c r="AG806" s="32">
        <f t="shared" si="2239"/>
        <v>0</v>
      </c>
      <c r="AH806" s="32">
        <f t="shared" si="2239"/>
        <v>2442</v>
      </c>
      <c r="AI806" s="32">
        <f t="shared" si="2239"/>
        <v>4112</v>
      </c>
      <c r="AJ806" s="34">
        <f t="shared" si="2233"/>
        <v>193.1460667</v>
      </c>
      <c r="AK806" s="31">
        <f t="shared" ref="AK806:AK809" si="2243">SUM(O797)</f>
        <v>4796</v>
      </c>
      <c r="AL806" s="35">
        <f t="shared" si="2234"/>
        <v>0.857381151</v>
      </c>
      <c r="AM806" s="36">
        <f t="shared" ref="AM806:AM809" si="2244">SUM(Q797)</f>
        <v>1.5</v>
      </c>
      <c r="AN806" s="35">
        <f t="shared" si="2235"/>
        <v>0.4731019345</v>
      </c>
      <c r="AO806" s="37">
        <f t="shared" si="2236"/>
        <v>0.7096529017</v>
      </c>
      <c r="AP806" s="36">
        <f t="shared" ref="AP806:AQ806" si="2240">SUM(T797)</f>
        <v>154.8720265</v>
      </c>
      <c r="AQ806" s="36">
        <f t="shared" si="2240"/>
        <v>5.162400884</v>
      </c>
      <c r="AR806" s="32">
        <f t="shared" si="2238"/>
        <v>137.0666667</v>
      </c>
    </row>
    <row r="807" ht="15.75" customHeight="1">
      <c r="A807" s="21"/>
      <c r="B807" s="60" t="s">
        <v>33</v>
      </c>
      <c r="C807" s="60">
        <v>18.0</v>
      </c>
      <c r="D807" s="60">
        <f t="shared" ref="D807:M807" si="2241">SUM(D789:D806)</f>
        <v>586</v>
      </c>
      <c r="E807" s="61">
        <f t="shared" si="2241"/>
        <v>580</v>
      </c>
      <c r="F807" s="62">
        <f t="shared" si="2241"/>
        <v>112340.777</v>
      </c>
      <c r="G807" s="61">
        <f t="shared" si="2241"/>
        <v>42376</v>
      </c>
      <c r="H807" s="61">
        <f t="shared" si="2241"/>
        <v>796</v>
      </c>
      <c r="I807" s="61">
        <f t="shared" si="2241"/>
        <v>43172</v>
      </c>
      <c r="J807" s="61">
        <f t="shared" si="2241"/>
        <v>55404</v>
      </c>
      <c r="K807" s="61">
        <f t="shared" si="2241"/>
        <v>1542</v>
      </c>
      <c r="L807" s="61">
        <f t="shared" si="2241"/>
        <v>56946</v>
      </c>
      <c r="M807" s="61">
        <f t="shared" si="2241"/>
        <v>100118</v>
      </c>
      <c r="N807" s="62">
        <f t="shared" si="2193"/>
        <v>193.6909948</v>
      </c>
      <c r="O807" s="60">
        <f>SUM(O789:O806)</f>
        <v>126399</v>
      </c>
      <c r="P807" s="63">
        <f t="shared" si="2194"/>
        <v>0.7920790513</v>
      </c>
      <c r="Q807" s="64">
        <v>1.5</v>
      </c>
      <c r="R807" s="63">
        <f t="shared" si="2195"/>
        <v>0.5941327372</v>
      </c>
      <c r="S807" s="65">
        <f t="shared" si="2196"/>
        <v>0.8911991057</v>
      </c>
      <c r="T807" s="64">
        <f>SUM(T789:T806)</f>
        <v>4143.851185</v>
      </c>
      <c r="U807" s="64">
        <f t="shared" si="2197"/>
        <v>7.144571009</v>
      </c>
      <c r="V807" s="61">
        <f t="shared" si="2198"/>
        <v>172.6172414</v>
      </c>
      <c r="X807" s="31">
        <v>4.0</v>
      </c>
      <c r="Y807" s="31" t="s">
        <v>37</v>
      </c>
      <c r="Z807" s="31">
        <f t="shared" ref="Z807:AI807" si="2242">SUM(D798)</f>
        <v>30</v>
      </c>
      <c r="AA807" s="32">
        <f t="shared" si="2242"/>
        <v>29</v>
      </c>
      <c r="AB807" s="33">
        <f t="shared" si="2242"/>
        <v>5613.852</v>
      </c>
      <c r="AC807" s="32">
        <f t="shared" si="2242"/>
        <v>2252</v>
      </c>
      <c r="AD807" s="32">
        <f t="shared" si="2242"/>
        <v>0</v>
      </c>
      <c r="AE807" s="32">
        <f t="shared" si="2242"/>
        <v>2252</v>
      </c>
      <c r="AF807" s="32">
        <f t="shared" si="2242"/>
        <v>3036</v>
      </c>
      <c r="AG807" s="32">
        <f t="shared" si="2242"/>
        <v>0</v>
      </c>
      <c r="AH807" s="32">
        <f t="shared" si="2242"/>
        <v>3036</v>
      </c>
      <c r="AI807" s="32">
        <f t="shared" si="2242"/>
        <v>5288</v>
      </c>
      <c r="AJ807" s="34">
        <f t="shared" si="2233"/>
        <v>193.5811034</v>
      </c>
      <c r="AK807" s="31">
        <f t="shared" si="2243"/>
        <v>5887</v>
      </c>
      <c r="AL807" s="35">
        <f t="shared" si="2234"/>
        <v>0.8982503822</v>
      </c>
      <c r="AM807" s="36">
        <f t="shared" si="2244"/>
        <v>1.5</v>
      </c>
      <c r="AN807" s="35">
        <f t="shared" si="2235"/>
        <v>0.6279704797</v>
      </c>
      <c r="AO807" s="37">
        <f t="shared" si="2236"/>
        <v>0.9419557195</v>
      </c>
      <c r="AP807" s="36">
        <f t="shared" ref="AP807:AQ807" si="2245">SUM(T798)</f>
        <v>226.4380445</v>
      </c>
      <c r="AQ807" s="36">
        <f t="shared" si="2245"/>
        <v>7.808208432</v>
      </c>
      <c r="AR807" s="32">
        <f t="shared" si="2238"/>
        <v>182.3448276</v>
      </c>
    </row>
    <row r="808" ht="15.7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X808" s="31">
        <v>5.0</v>
      </c>
      <c r="Y808" s="31" t="s">
        <v>39</v>
      </c>
      <c r="Z808" s="31">
        <f t="shared" ref="Z808:AI808" si="2246">SUM(D799)</f>
        <v>28</v>
      </c>
      <c r="AA808" s="32">
        <f t="shared" si="2246"/>
        <v>28</v>
      </c>
      <c r="AB808" s="33">
        <f t="shared" si="2246"/>
        <v>5158.396</v>
      </c>
      <c r="AC808" s="32">
        <f t="shared" si="2246"/>
        <v>1344</v>
      </c>
      <c r="AD808" s="32">
        <f t="shared" si="2246"/>
        <v>0</v>
      </c>
      <c r="AE808" s="32">
        <f t="shared" si="2246"/>
        <v>1344</v>
      </c>
      <c r="AF808" s="32">
        <f t="shared" si="2246"/>
        <v>1623</v>
      </c>
      <c r="AG808" s="32">
        <f t="shared" si="2246"/>
        <v>73</v>
      </c>
      <c r="AH808" s="32">
        <f t="shared" si="2246"/>
        <v>1696</v>
      </c>
      <c r="AI808" s="32">
        <f t="shared" si="2246"/>
        <v>3040</v>
      </c>
      <c r="AJ808" s="34">
        <f t="shared" si="2233"/>
        <v>184.2284286</v>
      </c>
      <c r="AK808" s="31">
        <f t="shared" si="2243"/>
        <v>3569</v>
      </c>
      <c r="AL808" s="35">
        <f t="shared" si="2234"/>
        <v>0.8517792099</v>
      </c>
      <c r="AM808" s="36">
        <f t="shared" si="2244"/>
        <v>1.5</v>
      </c>
      <c r="AN808" s="35">
        <f t="shared" si="2235"/>
        <v>0.3928869879</v>
      </c>
      <c r="AO808" s="37">
        <f t="shared" si="2236"/>
        <v>0.5893304818</v>
      </c>
      <c r="AP808" s="36">
        <f t="shared" ref="AP808:AQ808" si="2247">SUM(T799)</f>
        <v>240.339002</v>
      </c>
      <c r="AQ808" s="36">
        <f t="shared" si="2247"/>
        <v>8.583535786</v>
      </c>
      <c r="AR808" s="32">
        <f t="shared" si="2238"/>
        <v>108.5714286</v>
      </c>
    </row>
    <row r="809" ht="15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X809" s="31">
        <v>6.0</v>
      </c>
      <c r="Y809" s="31" t="s">
        <v>41</v>
      </c>
      <c r="Z809" s="31">
        <f t="shared" ref="Z809:AI809" si="2248">SUM(D800)</f>
        <v>24</v>
      </c>
      <c r="AA809" s="32">
        <f t="shared" si="2248"/>
        <v>24</v>
      </c>
      <c r="AB809" s="33">
        <f t="shared" si="2248"/>
        <v>4615.384</v>
      </c>
      <c r="AC809" s="32">
        <f t="shared" si="2248"/>
        <v>1410</v>
      </c>
      <c r="AD809" s="32">
        <f t="shared" si="2248"/>
        <v>0</v>
      </c>
      <c r="AE809" s="32">
        <f t="shared" si="2248"/>
        <v>1410</v>
      </c>
      <c r="AF809" s="32">
        <f t="shared" si="2248"/>
        <v>1622</v>
      </c>
      <c r="AG809" s="32">
        <f t="shared" si="2248"/>
        <v>0</v>
      </c>
      <c r="AH809" s="32">
        <f t="shared" si="2248"/>
        <v>1622</v>
      </c>
      <c r="AI809" s="32">
        <f t="shared" si="2248"/>
        <v>3032</v>
      </c>
      <c r="AJ809" s="34">
        <f t="shared" si="2233"/>
        <v>192.3076667</v>
      </c>
      <c r="AK809" s="31">
        <f t="shared" si="2243"/>
        <v>3801</v>
      </c>
      <c r="AL809" s="35">
        <f t="shared" si="2234"/>
        <v>0.7976848198</v>
      </c>
      <c r="AM809" s="36">
        <f t="shared" si="2244"/>
        <v>1.5</v>
      </c>
      <c r="AN809" s="35">
        <f t="shared" si="2235"/>
        <v>0.4379556139</v>
      </c>
      <c r="AO809" s="37">
        <f t="shared" si="2236"/>
        <v>0.6569334209</v>
      </c>
      <c r="AP809" s="36">
        <f t="shared" ref="AP809:AQ809" si="2249">SUM(T800)</f>
        <v>155.7777778</v>
      </c>
      <c r="AQ809" s="36">
        <f t="shared" si="2249"/>
        <v>6.490740741</v>
      </c>
      <c r="AR809" s="32">
        <f t="shared" si="2238"/>
        <v>126.3333333</v>
      </c>
    </row>
    <row r="810" ht="15.75" customHeight="1">
      <c r="A810" s="1" t="s">
        <v>45</v>
      </c>
      <c r="D810" s="2"/>
      <c r="X810" s="46" t="s">
        <v>33</v>
      </c>
      <c r="Y810" s="46">
        <v>6.0</v>
      </c>
      <c r="Z810" s="46">
        <f t="shared" ref="Z810:AI810" si="2250">SUM(Z804:Z809)</f>
        <v>174</v>
      </c>
      <c r="AA810" s="47">
        <f t="shared" si="2250"/>
        <v>173</v>
      </c>
      <c r="AB810" s="49">
        <f t="shared" si="2250"/>
        <v>33379.684</v>
      </c>
      <c r="AC810" s="47">
        <f t="shared" si="2250"/>
        <v>13712</v>
      </c>
      <c r="AD810" s="47">
        <f t="shared" si="2250"/>
        <v>20</v>
      </c>
      <c r="AE810" s="47">
        <f t="shared" si="2250"/>
        <v>13732</v>
      </c>
      <c r="AF810" s="47">
        <f t="shared" si="2250"/>
        <v>16996</v>
      </c>
      <c r="AG810" s="47">
        <f t="shared" si="2250"/>
        <v>403</v>
      </c>
      <c r="AH810" s="47">
        <f t="shared" si="2250"/>
        <v>17399</v>
      </c>
      <c r="AI810" s="47">
        <f t="shared" si="2250"/>
        <v>31131</v>
      </c>
      <c r="AJ810" s="49">
        <f t="shared" si="2233"/>
        <v>192.9461503</v>
      </c>
      <c r="AK810" s="46">
        <f>SUM(AK804:AK809)</f>
        <v>37031</v>
      </c>
      <c r="AL810" s="50">
        <f t="shared" si="2234"/>
        <v>0.8406740299</v>
      </c>
      <c r="AM810" s="51">
        <v>1.5</v>
      </c>
      <c r="AN810" s="50">
        <f t="shared" si="2235"/>
        <v>0.6217554366</v>
      </c>
      <c r="AO810" s="52">
        <f t="shared" si="2236"/>
        <v>0.9326331549</v>
      </c>
      <c r="AP810" s="51">
        <f>SUM(AP804:AP809)</f>
        <v>1381.469307</v>
      </c>
      <c r="AQ810" s="51">
        <f>AP810/AA810</f>
        <v>7.985371714</v>
      </c>
      <c r="AR810" s="47">
        <f t="shared" si="2238"/>
        <v>179.9479769</v>
      </c>
    </row>
    <row r="811" ht="15.75" customHeight="1">
      <c r="A811" s="1" t="s">
        <v>45</v>
      </c>
      <c r="D811" s="2"/>
      <c r="X811" s="66" t="s">
        <v>1</v>
      </c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6"/>
    </row>
    <row r="812" ht="15.75" customHeight="1">
      <c r="A812" s="80" t="s">
        <v>46</v>
      </c>
      <c r="B812" s="8" t="s">
        <v>2</v>
      </c>
      <c r="C812" s="8" t="s">
        <v>3</v>
      </c>
      <c r="D812" s="8" t="s">
        <v>4</v>
      </c>
      <c r="E812" s="8" t="s">
        <v>5</v>
      </c>
      <c r="F812" s="9" t="s">
        <v>6</v>
      </c>
      <c r="G812" s="8" t="s">
        <v>7</v>
      </c>
      <c r="H812" s="8" t="s">
        <v>8</v>
      </c>
      <c r="I812" s="8" t="s">
        <v>9</v>
      </c>
      <c r="J812" s="8" t="s">
        <v>10</v>
      </c>
      <c r="K812" s="8" t="s">
        <v>11</v>
      </c>
      <c r="L812" s="8" t="s">
        <v>12</v>
      </c>
      <c r="M812" s="8" t="s">
        <v>13</v>
      </c>
      <c r="N812" s="9" t="s">
        <v>14</v>
      </c>
      <c r="O812" s="8" t="s">
        <v>15</v>
      </c>
      <c r="P812" s="8" t="s">
        <v>16</v>
      </c>
      <c r="Q812" s="8" t="s">
        <v>17</v>
      </c>
      <c r="R812" s="8" t="s">
        <v>18</v>
      </c>
      <c r="S812" s="11" t="s">
        <v>19</v>
      </c>
      <c r="T812" s="12" t="s">
        <v>20</v>
      </c>
      <c r="U812" s="12" t="s">
        <v>21</v>
      </c>
      <c r="V812" s="13" t="s">
        <v>22</v>
      </c>
      <c r="X812" s="81" t="s">
        <v>2</v>
      </c>
      <c r="Y812" s="81" t="s">
        <v>3</v>
      </c>
      <c r="Z812" s="81" t="s">
        <v>4</v>
      </c>
      <c r="AA812" s="81" t="s">
        <v>5</v>
      </c>
      <c r="AB812" s="82" t="s">
        <v>6</v>
      </c>
      <c r="AC812" s="81" t="s">
        <v>7</v>
      </c>
      <c r="AD812" s="81" t="s">
        <v>8</v>
      </c>
      <c r="AE812" s="81" t="s">
        <v>9</v>
      </c>
      <c r="AF812" s="81" t="s">
        <v>10</v>
      </c>
      <c r="AG812" s="81" t="s">
        <v>11</v>
      </c>
      <c r="AH812" s="81" t="s">
        <v>12</v>
      </c>
      <c r="AI812" s="81" t="s">
        <v>13</v>
      </c>
      <c r="AJ812" s="82" t="s">
        <v>14</v>
      </c>
      <c r="AK812" s="81" t="s">
        <v>15</v>
      </c>
      <c r="AL812" s="81" t="s">
        <v>16</v>
      </c>
      <c r="AM812" s="83" t="s">
        <v>17</v>
      </c>
      <c r="AN812" s="84" t="s">
        <v>18</v>
      </c>
      <c r="AO812" s="85" t="s">
        <v>19</v>
      </c>
      <c r="AP812" s="86" t="s">
        <v>20</v>
      </c>
      <c r="AQ812" s="86" t="s">
        <v>21</v>
      </c>
      <c r="AR812" s="87" t="s">
        <v>22</v>
      </c>
      <c r="AS812" s="87" t="s">
        <v>47</v>
      </c>
      <c r="AT812" s="87" t="s">
        <v>48</v>
      </c>
    </row>
    <row r="813" ht="15.75" customHeight="1"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X813" s="88">
        <v>1.0</v>
      </c>
      <c r="Y813" s="88" t="s">
        <v>23</v>
      </c>
      <c r="Z813" s="89">
        <f t="shared" ref="Z813:AI813" si="2251">SUM(D821)</f>
        <v>986</v>
      </c>
      <c r="AA813" s="89">
        <f t="shared" si="2251"/>
        <v>1008</v>
      </c>
      <c r="AB813" s="89">
        <f t="shared" si="2251"/>
        <v>197648.92</v>
      </c>
      <c r="AC813" s="89">
        <f t="shared" si="2251"/>
        <v>50948</v>
      </c>
      <c r="AD813" s="89">
        <f t="shared" si="2251"/>
        <v>58</v>
      </c>
      <c r="AE813" s="89">
        <f t="shared" si="2251"/>
        <v>51006</v>
      </c>
      <c r="AF813" s="89">
        <f t="shared" si="2251"/>
        <v>88294</v>
      </c>
      <c r="AG813" s="89">
        <f t="shared" si="2251"/>
        <v>150</v>
      </c>
      <c r="AH813" s="89">
        <f t="shared" si="2251"/>
        <v>88444</v>
      </c>
      <c r="AI813" s="89">
        <f t="shared" si="2251"/>
        <v>139450</v>
      </c>
      <c r="AJ813" s="90">
        <f t="shared" ref="AJ813:AJ819" si="2254">AB813/AA813</f>
        <v>196.0802778</v>
      </c>
      <c r="AK813" s="89">
        <f t="shared" ref="AK813:AK815" si="2255">SUM(O821)</f>
        <v>205590</v>
      </c>
      <c r="AL813" s="91">
        <f t="shared" ref="AL813:AL819" si="2256">AI813/AK813</f>
        <v>0.6782917457</v>
      </c>
      <c r="AM813" s="92">
        <f t="shared" ref="AM813:AM815" si="2257">SUM(Q821)</f>
        <v>1.5</v>
      </c>
      <c r="AN813" s="91">
        <f t="shared" ref="AN813:AN819" si="2258">AO813/AM813</f>
        <v>0.4703626342</v>
      </c>
      <c r="AO813" s="93">
        <f t="shared" ref="AO813:AO819" si="2259">AI813/AB813</f>
        <v>0.7055439514</v>
      </c>
      <c r="AP813" s="92">
        <f t="shared" ref="AP813:AQ813" si="2252">SUM(T821)</f>
        <v>5858</v>
      </c>
      <c r="AQ813" s="92">
        <f t="shared" si="2252"/>
        <v>5.811507937</v>
      </c>
      <c r="AR813" s="89">
        <f t="shared" ref="AR813:AR819" si="2261">AI813/AA813</f>
        <v>138.343254</v>
      </c>
      <c r="AS813" s="94">
        <f t="shared" ref="AS813:AS815" si="2262">MAX(M11,M38,M65,M92,M119,M146,M173,M200,M227,M254,M281,M308,M335,M362,M389,M416,M443,M470,M497,M524,M551,M578,M605,M632,M659,M686,M713,M740,M767,M794)</f>
        <v>4999</v>
      </c>
      <c r="AT813" s="95">
        <v>46273.0</v>
      </c>
    </row>
    <row r="814" ht="15.75" customHeight="1"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X814" s="88">
        <v>2.0</v>
      </c>
      <c r="Y814" s="88" t="s">
        <v>24</v>
      </c>
      <c r="Z814" s="89">
        <f t="shared" ref="Z814:AI814" si="2253">SUM(D822)</f>
        <v>1256</v>
      </c>
      <c r="AA814" s="89">
        <f t="shared" si="2253"/>
        <v>1301</v>
      </c>
      <c r="AB814" s="89">
        <f t="shared" si="2253"/>
        <v>244334.979</v>
      </c>
      <c r="AC814" s="89">
        <f t="shared" si="2253"/>
        <v>36589</v>
      </c>
      <c r="AD814" s="89">
        <f t="shared" si="2253"/>
        <v>0</v>
      </c>
      <c r="AE814" s="89">
        <f t="shared" si="2253"/>
        <v>36589</v>
      </c>
      <c r="AF814" s="89">
        <f t="shared" si="2253"/>
        <v>39042</v>
      </c>
      <c r="AG814" s="89">
        <f t="shared" si="2253"/>
        <v>445</v>
      </c>
      <c r="AH814" s="89">
        <f t="shared" si="2253"/>
        <v>39487</v>
      </c>
      <c r="AI814" s="89">
        <f t="shared" si="2253"/>
        <v>76076</v>
      </c>
      <c r="AJ814" s="90">
        <f t="shared" si="2254"/>
        <v>187.8055181</v>
      </c>
      <c r="AK814" s="89">
        <f t="shared" si="2255"/>
        <v>47400</v>
      </c>
      <c r="AL814" s="91">
        <f t="shared" si="2256"/>
        <v>1.604978903</v>
      </c>
      <c r="AM814" s="92">
        <f t="shared" si="2257"/>
        <v>1.5</v>
      </c>
      <c r="AN814" s="91">
        <f t="shared" si="2258"/>
        <v>0.2075729539</v>
      </c>
      <c r="AO814" s="93">
        <f t="shared" si="2259"/>
        <v>0.3113594309</v>
      </c>
      <c r="AP814" s="92">
        <f t="shared" ref="AP814:AQ814" si="2260">SUM(T822)</f>
        <v>9115.276217</v>
      </c>
      <c r="AQ814" s="92">
        <f t="shared" si="2260"/>
        <v>7.006361427</v>
      </c>
      <c r="AR814" s="89">
        <f t="shared" si="2261"/>
        <v>58.47501922</v>
      </c>
      <c r="AS814" s="94">
        <f t="shared" si="2262"/>
        <v>2770</v>
      </c>
      <c r="AT814" s="95">
        <v>46273.0</v>
      </c>
    </row>
    <row r="815" ht="15.75" customHeight="1"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X815" s="96">
        <v>3.0</v>
      </c>
      <c r="Y815" s="96" t="s">
        <v>25</v>
      </c>
      <c r="Z815" s="97">
        <f t="shared" ref="Z815:AI815" si="2263">SUM(D823)</f>
        <v>916</v>
      </c>
      <c r="AA815" s="97">
        <f t="shared" si="2263"/>
        <v>903</v>
      </c>
      <c r="AB815" s="97">
        <f t="shared" si="2263"/>
        <v>170004.92</v>
      </c>
      <c r="AC815" s="97">
        <f t="shared" si="2263"/>
        <v>67508</v>
      </c>
      <c r="AD815" s="97">
        <f t="shared" si="2263"/>
        <v>10939</v>
      </c>
      <c r="AE815" s="97">
        <f t="shared" si="2263"/>
        <v>78447</v>
      </c>
      <c r="AF815" s="97">
        <f t="shared" si="2263"/>
        <v>88367</v>
      </c>
      <c r="AG815" s="97">
        <f t="shared" si="2263"/>
        <v>8910</v>
      </c>
      <c r="AH815" s="97">
        <f t="shared" si="2263"/>
        <v>97277</v>
      </c>
      <c r="AI815" s="97">
        <f t="shared" si="2263"/>
        <v>175724</v>
      </c>
      <c r="AJ815" s="98">
        <f t="shared" si="2254"/>
        <v>188.2667996</v>
      </c>
      <c r="AK815" s="97">
        <f t="shared" si="2255"/>
        <v>198660</v>
      </c>
      <c r="AL815" s="99">
        <f t="shared" si="2256"/>
        <v>0.8845464613</v>
      </c>
      <c r="AM815" s="100">
        <f t="shared" si="2257"/>
        <v>1.5</v>
      </c>
      <c r="AN815" s="99">
        <f t="shared" si="2258"/>
        <v>0.6890937823</v>
      </c>
      <c r="AO815" s="101">
        <f t="shared" si="2259"/>
        <v>1.033640673</v>
      </c>
      <c r="AP815" s="100">
        <f t="shared" ref="AP815:AQ815" si="2264">SUM(T823)</f>
        <v>7131.078859</v>
      </c>
      <c r="AQ815" s="100">
        <f t="shared" si="2264"/>
        <v>7.897097297</v>
      </c>
      <c r="AR815" s="97">
        <f t="shared" si="2261"/>
        <v>194.6002215</v>
      </c>
      <c r="AS815" s="94">
        <f t="shared" si="2262"/>
        <v>6307</v>
      </c>
      <c r="AT815" s="95">
        <v>46273.0</v>
      </c>
    </row>
    <row r="816" ht="15.75" customHeight="1">
      <c r="B816" s="38">
        <v>1.0</v>
      </c>
      <c r="C816" s="38" t="s">
        <v>26</v>
      </c>
      <c r="D816" s="40">
        <f t="shared" ref="D816:H816" si="2265">D6+D33+D60+D87+D114+D141+D168+D195+D222+D249+D276+D303+D330+D357+D384+D411+D438+D465+D492+D519+D546+D573+D600+D627+D654+D681+D708+D735+D762+D789</f>
        <v>564</v>
      </c>
      <c r="E816" s="40">
        <f t="shared" si="2265"/>
        <v>590</v>
      </c>
      <c r="F816" s="40">
        <f t="shared" si="2265"/>
        <v>112098.843</v>
      </c>
      <c r="G816" s="40">
        <f t="shared" si="2265"/>
        <v>59373</v>
      </c>
      <c r="H816" s="40">
        <f t="shared" si="2265"/>
        <v>40</v>
      </c>
      <c r="I816" s="40">
        <f t="shared" ref="I816:I833" si="2270">SUM(G816:H816)</f>
        <v>59413</v>
      </c>
      <c r="J816" s="40">
        <f t="shared" ref="J816:K816" si="2266">J6+J33+J60+J87+J114+J141+J168+J195+J222+J249+J276+J303+J330+J357+J384+J411+J438+J465+J492+J519+J546+J573+J600+J627+J654+J681+J708+J735+J762+J789</f>
        <v>81956</v>
      </c>
      <c r="K816" s="40">
        <f t="shared" si="2266"/>
        <v>1256</v>
      </c>
      <c r="L816" s="40">
        <f t="shared" ref="L816:L822" si="2272">SUM(J816:K816)</f>
        <v>83212</v>
      </c>
      <c r="M816" s="40">
        <f t="shared" ref="M816:M833" si="2273">SUM(I816+L816)</f>
        <v>142625</v>
      </c>
      <c r="N816" s="41">
        <f t="shared" ref="N816:N834" si="2274">F816/E816</f>
        <v>189.998039</v>
      </c>
      <c r="O816" s="40">
        <f t="shared" ref="O816:O833" si="2275">O6+O33+O60+O87+O114+O141+O168+O195+O222+O249+O276+O303+O330+O357+O384+O411+O438+O465+O492+O519+O546+O573+O600+O627+O654+O681+O708+O735+O762+O789</f>
        <v>154830</v>
      </c>
      <c r="P816" s="42">
        <f t="shared" ref="P816:P834" si="2276">M816/O816</f>
        <v>0.9211716076</v>
      </c>
      <c r="Q816" s="43">
        <v>1.5</v>
      </c>
      <c r="R816" s="42">
        <f t="shared" ref="R816:R834" si="2277">S816/Q816</f>
        <v>0.8482097655</v>
      </c>
      <c r="S816" s="44">
        <f t="shared" ref="S816:S834" si="2278">M816/F816</f>
        <v>1.272314648</v>
      </c>
      <c r="T816" s="43">
        <f>F816/14.415</f>
        <v>7776.541311</v>
      </c>
      <c r="U816" s="43">
        <f t="shared" ref="U816:U834" si="2279">T816/E816</f>
        <v>13.18057849</v>
      </c>
      <c r="V816" s="40">
        <f t="shared" ref="V816:V834" si="2280">M816/E816</f>
        <v>241.7372881</v>
      </c>
      <c r="X816" s="88">
        <v>4.0</v>
      </c>
      <c r="Y816" s="88" t="s">
        <v>27</v>
      </c>
      <c r="Z816" s="89">
        <f t="shared" ref="Z816:AI816" si="2267">SUM(D829)</f>
        <v>848</v>
      </c>
      <c r="AA816" s="89">
        <f t="shared" si="2267"/>
        <v>848</v>
      </c>
      <c r="AB816" s="89">
        <f t="shared" si="2267"/>
        <v>164241.094</v>
      </c>
      <c r="AC816" s="89">
        <f t="shared" si="2267"/>
        <v>67991</v>
      </c>
      <c r="AD816" s="89">
        <f t="shared" si="2267"/>
        <v>3131</v>
      </c>
      <c r="AE816" s="89">
        <f t="shared" si="2267"/>
        <v>71122</v>
      </c>
      <c r="AF816" s="89">
        <f t="shared" si="2267"/>
        <v>88250</v>
      </c>
      <c r="AG816" s="89">
        <f t="shared" si="2267"/>
        <v>3260</v>
      </c>
      <c r="AH816" s="89">
        <f t="shared" si="2267"/>
        <v>91510</v>
      </c>
      <c r="AI816" s="89">
        <f t="shared" si="2267"/>
        <v>162632</v>
      </c>
      <c r="AJ816" s="90">
        <f t="shared" si="2254"/>
        <v>193.6805354</v>
      </c>
      <c r="AK816" s="89">
        <f>SUM(O829)</f>
        <v>243030</v>
      </c>
      <c r="AL816" s="91">
        <f t="shared" si="2256"/>
        <v>0.6691848743</v>
      </c>
      <c r="AM816" s="92">
        <f>SUM(Q829)</f>
        <v>1.5</v>
      </c>
      <c r="AN816" s="91">
        <f t="shared" si="2258"/>
        <v>0.6601352359</v>
      </c>
      <c r="AO816" s="93">
        <f t="shared" si="2259"/>
        <v>0.9902028539</v>
      </c>
      <c r="AP816" s="92">
        <f t="shared" ref="AP816:AQ816" si="2268">SUM(T829)</f>
        <v>8218.218364</v>
      </c>
      <c r="AQ816" s="92">
        <f t="shared" si="2268"/>
        <v>9.69129524</v>
      </c>
      <c r="AR816" s="89">
        <f t="shared" si="2261"/>
        <v>191.7830189</v>
      </c>
      <c r="AS816" s="94">
        <f>MAX(M19,M46,M73,M100,M127,M154,M181,M208,M235,M262,M289,M316,M343,M370,M397,M424,M451,M478,M505,M532,M559,M586,M613,M640,M667,M694,M721,M748,M775,M802)</f>
        <v>5970</v>
      </c>
      <c r="AT816" s="95">
        <v>46273.0</v>
      </c>
    </row>
    <row r="817" ht="15.75" customHeight="1">
      <c r="B817" s="38">
        <v>2.0</v>
      </c>
      <c r="C817" s="38" t="s">
        <v>28</v>
      </c>
      <c r="D817" s="40">
        <f t="shared" ref="D817:H817" si="2269">D7+D34+D61+D88+D115+D142+D169+D196+D223+D250+D277+D304+D331+D358+D385+D412+D439+D466+D493+D520+D547+D574+D601+D628+D655+D682+D709+D736+D763+D790</f>
        <v>926</v>
      </c>
      <c r="E817" s="40">
        <f t="shared" si="2269"/>
        <v>926</v>
      </c>
      <c r="F817" s="40">
        <f t="shared" si="2269"/>
        <v>181861.59</v>
      </c>
      <c r="G817" s="40">
        <f t="shared" si="2269"/>
        <v>77332</v>
      </c>
      <c r="H817" s="40">
        <f t="shared" si="2269"/>
        <v>4417</v>
      </c>
      <c r="I817" s="40">
        <f t="shared" si="2270"/>
        <v>81749</v>
      </c>
      <c r="J817" s="40">
        <f t="shared" ref="J817:K817" si="2271">J7+J34+J61+J88+J115+J142+J169+J196+J223+J250+J277+J304+J331+J358+J385+J412+J439+J466+J493+J520+J547+J574+J601+J628+J655+J682+J709+J736+J763+J790</f>
        <v>88948</v>
      </c>
      <c r="K817" s="40">
        <f t="shared" si="2271"/>
        <v>3863</v>
      </c>
      <c r="L817" s="40">
        <f t="shared" si="2272"/>
        <v>92811</v>
      </c>
      <c r="M817" s="40">
        <f t="shared" si="2273"/>
        <v>174560</v>
      </c>
      <c r="N817" s="41">
        <f t="shared" si="2274"/>
        <v>196.3948056</v>
      </c>
      <c r="O817" s="40">
        <f t="shared" si="2275"/>
        <v>219450</v>
      </c>
      <c r="P817" s="42">
        <f t="shared" si="2276"/>
        <v>0.7954431533</v>
      </c>
      <c r="Q817" s="43">
        <v>1.5</v>
      </c>
      <c r="R817" s="42">
        <f t="shared" si="2277"/>
        <v>0.6399005603</v>
      </c>
      <c r="S817" s="44">
        <f t="shared" si="2278"/>
        <v>0.9598508404</v>
      </c>
      <c r="T817" s="43">
        <f>F817/30.897</f>
        <v>5886.059812</v>
      </c>
      <c r="U817" s="43">
        <f t="shared" si="2279"/>
        <v>6.356436082</v>
      </c>
      <c r="V817" s="40">
        <f t="shared" si="2280"/>
        <v>188.5097192</v>
      </c>
      <c r="X817" s="88">
        <v>5.0</v>
      </c>
      <c r="Y817" s="88" t="s">
        <v>29</v>
      </c>
      <c r="Z817" s="89">
        <f t="shared" ref="Z817:AI817" si="2281">SUM(D832)</f>
        <v>848</v>
      </c>
      <c r="AA817" s="89">
        <f t="shared" si="2281"/>
        <v>858</v>
      </c>
      <c r="AB817" s="89">
        <f t="shared" si="2281"/>
        <v>171820.626</v>
      </c>
      <c r="AC817" s="89">
        <f t="shared" si="2281"/>
        <v>76010</v>
      </c>
      <c r="AD817" s="89">
        <f t="shared" si="2281"/>
        <v>0</v>
      </c>
      <c r="AE817" s="89">
        <f t="shared" si="2281"/>
        <v>76010</v>
      </c>
      <c r="AF817" s="89">
        <f t="shared" si="2281"/>
        <v>120908</v>
      </c>
      <c r="AG817" s="89">
        <f t="shared" si="2281"/>
        <v>0</v>
      </c>
      <c r="AH817" s="89">
        <f t="shared" si="2281"/>
        <v>120908</v>
      </c>
      <c r="AI817" s="89">
        <f t="shared" si="2281"/>
        <v>196918</v>
      </c>
      <c r="AJ817" s="90">
        <f t="shared" si="2254"/>
        <v>200.2571399</v>
      </c>
      <c r="AK817" s="89">
        <f t="shared" ref="AK817:AK818" si="2286">SUM(O832)</f>
        <v>276030</v>
      </c>
      <c r="AL817" s="91">
        <f t="shared" si="2256"/>
        <v>0.7133934717</v>
      </c>
      <c r="AM817" s="92">
        <f t="shared" ref="AM817:AM818" si="2287">SUM(Q832)</f>
        <v>1.5</v>
      </c>
      <c r="AN817" s="91">
        <f t="shared" si="2258"/>
        <v>0.7640448631</v>
      </c>
      <c r="AO817" s="93">
        <f t="shared" si="2259"/>
        <v>1.146067295</v>
      </c>
      <c r="AP817" s="92">
        <f t="shared" ref="AP817:AQ817" si="2282">SUM(T832)</f>
        <v>6486</v>
      </c>
      <c r="AQ817" s="92">
        <f t="shared" si="2282"/>
        <v>7.559440559</v>
      </c>
      <c r="AR817" s="89">
        <f t="shared" si="2261"/>
        <v>229.5081585</v>
      </c>
      <c r="AS817" s="94">
        <f t="shared" ref="AS817:AS819" si="2289">MAX(M22,M49,M76,M103,M130,M157,M184,M211,M238,M265,M292,M319,M346,M373,M400,M427,M454,M481,M508,M535,M562,M589,M616,M643,M670,M697,M724,M751,M778,M805)</f>
        <v>7082</v>
      </c>
      <c r="AT817" s="95">
        <v>46273.0</v>
      </c>
    </row>
    <row r="818" ht="15.75" customHeight="1">
      <c r="B818" s="38">
        <v>3.0</v>
      </c>
      <c r="C818" s="38" t="s">
        <v>30</v>
      </c>
      <c r="D818" s="40">
        <f t="shared" ref="D818:H818" si="2283">D8+D35+D62+D89+D116+D143+D170+D197+D224+D251+D278+D305+D332+D359+D386+D413+D440+D467+D494+D521+D548+D575+D602+D629+D656+D683+D710+D737+D764+D791</f>
        <v>1692</v>
      </c>
      <c r="E818" s="40">
        <f t="shared" si="2283"/>
        <v>1733</v>
      </c>
      <c r="F818" s="40">
        <f t="shared" si="2283"/>
        <v>340273.198</v>
      </c>
      <c r="G818" s="40">
        <f t="shared" si="2283"/>
        <v>105462</v>
      </c>
      <c r="H818" s="40">
        <f t="shared" si="2283"/>
        <v>182</v>
      </c>
      <c r="I818" s="40">
        <f t="shared" si="2270"/>
        <v>105644</v>
      </c>
      <c r="J818" s="40">
        <f t="shared" ref="J818:K818" si="2284">J8+J35+J62+J89+J116+J143+J170+J197+J224+J251+J278+J305+J332+J359+J386+J413+J440+J467+J494+J521+J548+J575+J602+J629+J656+J683+J710+J737+J764+J791</f>
        <v>164043</v>
      </c>
      <c r="K818" s="40">
        <f t="shared" si="2284"/>
        <v>0</v>
      </c>
      <c r="L818" s="40">
        <f t="shared" si="2272"/>
        <v>164043</v>
      </c>
      <c r="M818" s="40">
        <f t="shared" si="2273"/>
        <v>269687</v>
      </c>
      <c r="N818" s="41">
        <f t="shared" si="2274"/>
        <v>196.3492198</v>
      </c>
      <c r="O818" s="40">
        <f t="shared" si="2275"/>
        <v>334920</v>
      </c>
      <c r="P818" s="42">
        <f t="shared" si="2276"/>
        <v>0.8052281142</v>
      </c>
      <c r="Q818" s="43">
        <v>1.5</v>
      </c>
      <c r="R818" s="42">
        <f t="shared" si="2277"/>
        <v>0.5283734787</v>
      </c>
      <c r="S818" s="44">
        <f t="shared" si="2278"/>
        <v>0.792560218</v>
      </c>
      <c r="T818" s="43">
        <f>F818/29.603</f>
        <v>11494.55116</v>
      </c>
      <c r="U818" s="43">
        <f t="shared" si="2279"/>
        <v>6.632747352</v>
      </c>
      <c r="V818" s="40">
        <f t="shared" si="2280"/>
        <v>155.6185805</v>
      </c>
      <c r="X818" s="88">
        <v>6.0</v>
      </c>
      <c r="Y818" s="88" t="s">
        <v>31</v>
      </c>
      <c r="Z818" s="89">
        <f t="shared" ref="Z818:AI818" si="2285">SUM(D833)</f>
        <v>422</v>
      </c>
      <c r="AA818" s="89">
        <f t="shared" si="2285"/>
        <v>403</v>
      </c>
      <c r="AB818" s="89">
        <f t="shared" si="2285"/>
        <v>76561.876</v>
      </c>
      <c r="AC818" s="89">
        <f t="shared" si="2285"/>
        <v>21247</v>
      </c>
      <c r="AD818" s="89">
        <f t="shared" si="2285"/>
        <v>39</v>
      </c>
      <c r="AE818" s="89">
        <f t="shared" si="2285"/>
        <v>21286</v>
      </c>
      <c r="AF818" s="89">
        <f t="shared" si="2285"/>
        <v>30304</v>
      </c>
      <c r="AG818" s="89">
        <f t="shared" si="2285"/>
        <v>842</v>
      </c>
      <c r="AH818" s="89">
        <f t="shared" si="2285"/>
        <v>31146</v>
      </c>
      <c r="AI818" s="89">
        <f t="shared" si="2285"/>
        <v>52432</v>
      </c>
      <c r="AJ818" s="90">
        <f t="shared" si="2254"/>
        <v>189.9798412</v>
      </c>
      <c r="AK818" s="89">
        <f t="shared" si="2286"/>
        <v>81510</v>
      </c>
      <c r="AL818" s="91">
        <f t="shared" si="2256"/>
        <v>0.6432584959</v>
      </c>
      <c r="AM818" s="92">
        <f t="shared" si="2287"/>
        <v>1.5</v>
      </c>
      <c r="AN818" s="91">
        <f t="shared" si="2258"/>
        <v>0.4565544693</v>
      </c>
      <c r="AO818" s="93">
        <f t="shared" si="2259"/>
        <v>0.684831704</v>
      </c>
      <c r="AP818" s="92">
        <f t="shared" ref="AP818:AQ818" si="2288">SUM(T833)</f>
        <v>1761.460393</v>
      </c>
      <c r="AQ818" s="92">
        <f t="shared" si="2288"/>
        <v>4.370869463</v>
      </c>
      <c r="AR818" s="89">
        <f t="shared" si="2261"/>
        <v>130.1042184</v>
      </c>
      <c r="AS818" s="94">
        <f t="shared" si="2289"/>
        <v>1907</v>
      </c>
      <c r="AT818" s="95">
        <v>46273.0</v>
      </c>
    </row>
    <row r="819" ht="15.75" customHeight="1">
      <c r="B819" s="38">
        <v>4.0</v>
      </c>
      <c r="C819" s="38" t="s">
        <v>32</v>
      </c>
      <c r="D819" s="40">
        <f t="shared" ref="D819:H819" si="2290">D9+D36+D63+D90+D117+D144+D171+D198+D225+D252+D279+D306+D333+D360+D387+D414+D441+D468+D495+D522+D549+D576+D603+D630+D657+D684+D711+D738+D765+D792</f>
        <v>1184</v>
      </c>
      <c r="E819" s="40">
        <f t="shared" si="2290"/>
        <v>1198</v>
      </c>
      <c r="F819" s="40">
        <f t="shared" si="2290"/>
        <v>233681.82</v>
      </c>
      <c r="G819" s="40">
        <f t="shared" si="2290"/>
        <v>132107</v>
      </c>
      <c r="H819" s="40">
        <f t="shared" si="2290"/>
        <v>28</v>
      </c>
      <c r="I819" s="40">
        <f t="shared" si="2270"/>
        <v>132135</v>
      </c>
      <c r="J819" s="40">
        <f t="shared" ref="J819:K819" si="2291">J9+J36+J63+J90+J117+J144+J171+J198+J225+J252+J279+J306+J333+J360+J387+J414+J441+J468+J495+J522+J549+J576+J603+J630+J657+J684+J711+J738+J765+J792</f>
        <v>159375</v>
      </c>
      <c r="K819" s="40">
        <f t="shared" si="2291"/>
        <v>2465</v>
      </c>
      <c r="L819" s="40">
        <f t="shared" si="2272"/>
        <v>161840</v>
      </c>
      <c r="M819" s="40">
        <f t="shared" si="2273"/>
        <v>293975</v>
      </c>
      <c r="N819" s="41">
        <f t="shared" si="2274"/>
        <v>195.0599499</v>
      </c>
      <c r="O819" s="40">
        <f t="shared" si="2275"/>
        <v>414510</v>
      </c>
      <c r="P819" s="42">
        <f t="shared" si="2276"/>
        <v>0.7092108755</v>
      </c>
      <c r="Q819" s="43">
        <v>1.5</v>
      </c>
      <c r="R819" s="42">
        <f t="shared" si="2277"/>
        <v>0.8386759968</v>
      </c>
      <c r="S819" s="44">
        <f t="shared" si="2278"/>
        <v>1.258013995</v>
      </c>
      <c r="T819" s="43">
        <f>F819/25.089</f>
        <v>9314.114552</v>
      </c>
      <c r="U819" s="43">
        <f t="shared" si="2279"/>
        <v>7.774719993</v>
      </c>
      <c r="V819" s="40">
        <f t="shared" si="2280"/>
        <v>245.3881469</v>
      </c>
      <c r="X819" s="68" t="s">
        <v>33</v>
      </c>
      <c r="Y819" s="68">
        <v>6.0</v>
      </c>
      <c r="Z819" s="102">
        <f t="shared" ref="Z819:AI819" si="2292">SUM(Z813:Z818)</f>
        <v>5276</v>
      </c>
      <c r="AA819" s="102">
        <f t="shared" si="2292"/>
        <v>5321</v>
      </c>
      <c r="AB819" s="102">
        <f t="shared" si="2292"/>
        <v>1024612.415</v>
      </c>
      <c r="AC819" s="102">
        <f t="shared" si="2292"/>
        <v>320293</v>
      </c>
      <c r="AD819" s="102">
        <f t="shared" si="2292"/>
        <v>14167</v>
      </c>
      <c r="AE819" s="102">
        <f t="shared" si="2292"/>
        <v>334460</v>
      </c>
      <c r="AF819" s="102">
        <f t="shared" si="2292"/>
        <v>455165</v>
      </c>
      <c r="AG819" s="102">
        <f t="shared" si="2292"/>
        <v>13607</v>
      </c>
      <c r="AH819" s="102">
        <f t="shared" si="2292"/>
        <v>468772</v>
      </c>
      <c r="AI819" s="102">
        <f t="shared" si="2292"/>
        <v>803232</v>
      </c>
      <c r="AJ819" s="103">
        <f t="shared" si="2254"/>
        <v>192.5601231</v>
      </c>
      <c r="AK819" s="102">
        <f>SUM(AK813:AK818)</f>
        <v>1052220</v>
      </c>
      <c r="AL819" s="104">
        <f t="shared" si="2256"/>
        <v>0.7633688772</v>
      </c>
      <c r="AM819" s="105">
        <v>1.5</v>
      </c>
      <c r="AN819" s="104">
        <f t="shared" si="2258"/>
        <v>0.5226249381</v>
      </c>
      <c r="AO819" s="106">
        <f t="shared" si="2259"/>
        <v>0.7839374072</v>
      </c>
      <c r="AP819" s="105">
        <f>SUM(AP813:AP818)</f>
        <v>38570.03383</v>
      </c>
      <c r="AQ819" s="105">
        <f>AP819/AA819</f>
        <v>7.248643833</v>
      </c>
      <c r="AR819" s="102">
        <f t="shared" si="2261"/>
        <v>150.9550836</v>
      </c>
      <c r="AS819" s="107">
        <f t="shared" si="2289"/>
        <v>101769</v>
      </c>
      <c r="AT819" s="108">
        <v>46284.0</v>
      </c>
    </row>
    <row r="820" ht="15.75" customHeight="1">
      <c r="B820" s="38">
        <v>5.0</v>
      </c>
      <c r="C820" s="38" t="s">
        <v>34</v>
      </c>
      <c r="D820" s="40">
        <f t="shared" ref="D820:H820" si="2293">D10+D37+D64+D91+D118+D145+D172+D199+D226+D253+D280+D307+D334+D361+D388+D415+D442+D469+D496+D523+D550+D577+D604+D631+D658+D685+D712+D739+D766+D793</f>
        <v>1128</v>
      </c>
      <c r="E820" s="40">
        <f t="shared" si="2293"/>
        <v>1177</v>
      </c>
      <c r="F820" s="40">
        <f t="shared" si="2293"/>
        <v>233733.078</v>
      </c>
      <c r="G820" s="40">
        <f t="shared" si="2293"/>
        <v>83807</v>
      </c>
      <c r="H820" s="40">
        <f t="shared" si="2293"/>
        <v>90</v>
      </c>
      <c r="I820" s="40">
        <f t="shared" si="2270"/>
        <v>83897</v>
      </c>
      <c r="J820" s="40">
        <f t="shared" ref="J820:K820" si="2294">J10+J37+J64+J91+J118+J145+J172+J199+J226+J253+J280+J307+J334+J361+J388+J415+J442+J469+J496+J523+J550+J577+J604+J631+J658+J685+J712+J739+J766+J793</f>
        <v>93970</v>
      </c>
      <c r="K820" s="40">
        <f t="shared" si="2294"/>
        <v>416</v>
      </c>
      <c r="L820" s="40">
        <f t="shared" si="2272"/>
        <v>94386</v>
      </c>
      <c r="M820" s="40">
        <f t="shared" si="2273"/>
        <v>178283</v>
      </c>
      <c r="N820" s="41">
        <f t="shared" si="2274"/>
        <v>198.5837536</v>
      </c>
      <c r="O820" s="40">
        <f t="shared" si="2275"/>
        <v>280620</v>
      </c>
      <c r="P820" s="42">
        <f t="shared" si="2276"/>
        <v>0.6353182239</v>
      </c>
      <c r="Q820" s="43">
        <v>1.5</v>
      </c>
      <c r="R820" s="42">
        <f t="shared" si="2277"/>
        <v>0.508508827</v>
      </c>
      <c r="S820" s="44">
        <f t="shared" si="2278"/>
        <v>0.7627632406</v>
      </c>
      <c r="T820" s="43">
        <f>F820/30.713</f>
        <v>7610.232735</v>
      </c>
      <c r="U820" s="43">
        <f t="shared" si="2279"/>
        <v>6.46578822</v>
      </c>
      <c r="V820" s="40">
        <f t="shared" si="2280"/>
        <v>151.4723874</v>
      </c>
      <c r="X820" s="53" t="s">
        <v>35</v>
      </c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6"/>
    </row>
    <row r="821" ht="15.75" customHeight="1">
      <c r="B821" s="38">
        <v>6.0</v>
      </c>
      <c r="C821" s="38" t="s">
        <v>23</v>
      </c>
      <c r="D821" s="40">
        <f t="shared" ref="D821:H821" si="2295">D11+D38+D65+D92+D119+D146+D173+D200+D227+D254+D281+D308+D335+D362+D389+D416+D443+D470+D497+D524+D551+D578+D605+D632+D659+D686+D713+D740+D767+D794</f>
        <v>986</v>
      </c>
      <c r="E821" s="40">
        <f t="shared" si="2295"/>
        <v>1008</v>
      </c>
      <c r="F821" s="40">
        <f t="shared" si="2295"/>
        <v>197648.92</v>
      </c>
      <c r="G821" s="40">
        <f t="shared" si="2295"/>
        <v>50948</v>
      </c>
      <c r="H821" s="40">
        <f t="shared" si="2295"/>
        <v>58</v>
      </c>
      <c r="I821" s="40">
        <f t="shared" si="2270"/>
        <v>51006</v>
      </c>
      <c r="J821" s="40">
        <f t="shared" ref="J821:K821" si="2296">J11+J38+J65+J92+J119+J146+J173+J200+J227+J254+J281+J308+J335+J362+J389+J416+J443+J470+J497+J524+J551+J578+J605+J632+J659+J686+J713+J740+J767+J794</f>
        <v>88294</v>
      </c>
      <c r="K821" s="40">
        <f t="shared" si="2296"/>
        <v>150</v>
      </c>
      <c r="L821" s="40">
        <f t="shared" si="2272"/>
        <v>88444</v>
      </c>
      <c r="M821" s="40">
        <f t="shared" si="2273"/>
        <v>139450</v>
      </c>
      <c r="N821" s="41">
        <f t="shared" si="2274"/>
        <v>196.0802778</v>
      </c>
      <c r="O821" s="40">
        <f t="shared" si="2275"/>
        <v>205590</v>
      </c>
      <c r="P821" s="42">
        <f t="shared" si="2276"/>
        <v>0.6782917457</v>
      </c>
      <c r="Q821" s="43">
        <v>1.5</v>
      </c>
      <c r="R821" s="42">
        <f t="shared" si="2277"/>
        <v>0.4703626342</v>
      </c>
      <c r="S821" s="44">
        <f t="shared" si="2278"/>
        <v>0.7055439514</v>
      </c>
      <c r="T821" s="43">
        <f>F821/33.74</f>
        <v>5858</v>
      </c>
      <c r="U821" s="43">
        <f t="shared" si="2279"/>
        <v>5.811507937</v>
      </c>
      <c r="V821" s="40">
        <f t="shared" si="2280"/>
        <v>138.343254</v>
      </c>
      <c r="X821" s="81" t="s">
        <v>2</v>
      </c>
      <c r="Y821" s="81" t="s">
        <v>3</v>
      </c>
      <c r="Z821" s="81" t="s">
        <v>4</v>
      </c>
      <c r="AA821" s="81" t="s">
        <v>5</v>
      </c>
      <c r="AB821" s="82" t="s">
        <v>6</v>
      </c>
      <c r="AC821" s="81" t="s">
        <v>7</v>
      </c>
      <c r="AD821" s="81" t="s">
        <v>8</v>
      </c>
      <c r="AE821" s="81" t="s">
        <v>9</v>
      </c>
      <c r="AF821" s="81" t="s">
        <v>10</v>
      </c>
      <c r="AG821" s="81" t="s">
        <v>11</v>
      </c>
      <c r="AH821" s="81" t="s">
        <v>12</v>
      </c>
      <c r="AI821" s="81" t="s">
        <v>13</v>
      </c>
      <c r="AJ821" s="82" t="s">
        <v>14</v>
      </c>
      <c r="AK821" s="81" t="s">
        <v>15</v>
      </c>
      <c r="AL821" s="81" t="s">
        <v>16</v>
      </c>
      <c r="AM821" s="83" t="s">
        <v>17</v>
      </c>
      <c r="AN821" s="84" t="s">
        <v>18</v>
      </c>
      <c r="AO821" s="85" t="s">
        <v>19</v>
      </c>
      <c r="AP821" s="86" t="s">
        <v>20</v>
      </c>
      <c r="AQ821" s="86" t="s">
        <v>21</v>
      </c>
      <c r="AR821" s="87" t="s">
        <v>22</v>
      </c>
      <c r="AS821" s="87" t="s">
        <v>47</v>
      </c>
      <c r="AT821" s="87" t="s">
        <v>48</v>
      </c>
    </row>
    <row r="822" ht="15.75" customHeight="1">
      <c r="B822" s="38">
        <v>7.0</v>
      </c>
      <c r="C822" s="38" t="s">
        <v>24</v>
      </c>
      <c r="D822" s="40">
        <f t="shared" ref="D822:H822" si="2297">D12+D39+D66+D93+D120+D147+D174+D201+D228+D255+D282+D309+D336+D363+D390+D417+D444+D471+D498+D525+D552+D579+D606+D633+D660+D687+D714+D741+D768+D795</f>
        <v>1256</v>
      </c>
      <c r="E822" s="40">
        <f t="shared" si="2297"/>
        <v>1301</v>
      </c>
      <c r="F822" s="40">
        <f t="shared" si="2297"/>
        <v>244334.979</v>
      </c>
      <c r="G822" s="40">
        <f t="shared" si="2297"/>
        <v>36589</v>
      </c>
      <c r="H822" s="40">
        <f t="shared" si="2297"/>
        <v>0</v>
      </c>
      <c r="I822" s="40">
        <f t="shared" si="2270"/>
        <v>36589</v>
      </c>
      <c r="J822" s="40">
        <f t="shared" ref="J822:K822" si="2298">J12+J39+J66+J93+J120+J147+J174+J201+J228+J255+J282+J309+J336+J363+J390+J417+J444+J471+J498+J525+J552+J579+J606+J633+J660+J687+J714+J741+J768+J795</f>
        <v>39042</v>
      </c>
      <c r="K822" s="40">
        <f t="shared" si="2298"/>
        <v>445</v>
      </c>
      <c r="L822" s="40">
        <f t="shared" si="2272"/>
        <v>39487</v>
      </c>
      <c r="M822" s="40">
        <f t="shared" si="2273"/>
        <v>76076</v>
      </c>
      <c r="N822" s="41">
        <f t="shared" si="2274"/>
        <v>187.8055181</v>
      </c>
      <c r="O822" s="40">
        <f t="shared" si="2275"/>
        <v>47400</v>
      </c>
      <c r="P822" s="42">
        <f t="shared" si="2276"/>
        <v>1.604978903</v>
      </c>
      <c r="Q822" s="43">
        <v>1.5</v>
      </c>
      <c r="R822" s="42">
        <f t="shared" si="2277"/>
        <v>0.2075729539</v>
      </c>
      <c r="S822" s="44">
        <f t="shared" si="2278"/>
        <v>0.3113594309</v>
      </c>
      <c r="T822" s="43">
        <f>F822/26.805</f>
        <v>9115.276217</v>
      </c>
      <c r="U822" s="43">
        <f t="shared" si="2279"/>
        <v>7.006361427</v>
      </c>
      <c r="V822" s="40">
        <f t="shared" si="2280"/>
        <v>58.47501922</v>
      </c>
      <c r="X822" s="88">
        <v>1.0</v>
      </c>
      <c r="Y822" s="88" t="s">
        <v>28</v>
      </c>
      <c r="Z822" s="89">
        <f t="shared" ref="Z822:AI822" si="2299">SUM(D817)</f>
        <v>926</v>
      </c>
      <c r="AA822" s="89">
        <f t="shared" si="2299"/>
        <v>926</v>
      </c>
      <c r="AB822" s="89">
        <f t="shared" si="2299"/>
        <v>181861.59</v>
      </c>
      <c r="AC822" s="89">
        <f t="shared" si="2299"/>
        <v>77332</v>
      </c>
      <c r="AD822" s="89">
        <f t="shared" si="2299"/>
        <v>4417</v>
      </c>
      <c r="AE822" s="89">
        <f t="shared" si="2299"/>
        <v>81749</v>
      </c>
      <c r="AF822" s="89">
        <f t="shared" si="2299"/>
        <v>88948</v>
      </c>
      <c r="AG822" s="89">
        <f t="shared" si="2299"/>
        <v>3863</v>
      </c>
      <c r="AH822" s="89">
        <f t="shared" si="2299"/>
        <v>92811</v>
      </c>
      <c r="AI822" s="89">
        <f t="shared" si="2299"/>
        <v>174560</v>
      </c>
      <c r="AJ822" s="90">
        <f t="shared" ref="AJ822:AJ828" si="2304">AB822/AA822</f>
        <v>196.3948056</v>
      </c>
      <c r="AK822" s="89">
        <f t="shared" ref="AK822:AK823" si="2305">SUM(O817)</f>
        <v>219450</v>
      </c>
      <c r="AL822" s="91">
        <f t="shared" ref="AL822:AL828" si="2306">AI822/AK822</f>
        <v>0.7954431533</v>
      </c>
      <c r="AM822" s="92">
        <f t="shared" ref="AM822:AM823" si="2307">SUM(Q817)</f>
        <v>1.5</v>
      </c>
      <c r="AN822" s="91">
        <f t="shared" ref="AN822:AN828" si="2308">AO822/AM822</f>
        <v>0.6399005603</v>
      </c>
      <c r="AO822" s="93">
        <f t="shared" ref="AO822:AO828" si="2309">AI822/AB822</f>
        <v>0.9598508404</v>
      </c>
      <c r="AP822" s="92">
        <f t="shared" ref="AP822:AQ822" si="2300">SUM(T817)</f>
        <v>5886.059812</v>
      </c>
      <c r="AQ822" s="92">
        <f t="shared" si="2300"/>
        <v>6.356436082</v>
      </c>
      <c r="AR822" s="89">
        <f t="shared" ref="AR822:AR828" si="2311">AI822/AA822</f>
        <v>188.5097192</v>
      </c>
      <c r="AS822" s="94">
        <f t="shared" ref="AS822:AS823" si="2312">MAX(M7,M34,M61,M88,M115,M142,M169,M196,M223,M250,M277,M304,M331,M358,M385,M412,M439,M466,M493,M520,M547,M574,M601,M628,M655,M682,M709,M736,M763,M790)</f>
        <v>6257</v>
      </c>
      <c r="AT822" s="95">
        <v>46273.0</v>
      </c>
    </row>
    <row r="823" ht="15.75" customHeight="1">
      <c r="B823" s="38">
        <v>8.0</v>
      </c>
      <c r="C823" s="38" t="s">
        <v>25</v>
      </c>
      <c r="D823" s="40">
        <f t="shared" ref="D823:H823" si="2301">D13+D40+D67+D94+D121+D148+D175+D202+D229+D256+D283+D310+D337+D364+D391+D418+D445+D472+D499+D526+D553+D580+D607+D634+D661+D688+D715+D742+D769+D796</f>
        <v>916</v>
      </c>
      <c r="E823" s="40">
        <f t="shared" si="2301"/>
        <v>903</v>
      </c>
      <c r="F823" s="40">
        <f t="shared" si="2301"/>
        <v>170004.92</v>
      </c>
      <c r="G823" s="40">
        <f t="shared" si="2301"/>
        <v>67508</v>
      </c>
      <c r="H823" s="40">
        <f t="shared" si="2301"/>
        <v>10939</v>
      </c>
      <c r="I823" s="40">
        <f t="shared" si="2270"/>
        <v>78447</v>
      </c>
      <c r="J823" s="40">
        <f t="shared" ref="J823:K823" si="2302">J13+J40+J67+J94+J121+J148+J175+J202+J229+J256+J283+J310+J337+J364+J391+J418+J445+J472+J499+J526+J553+J580+J607+J634+J661+J688+J715+J742+J769+J796</f>
        <v>88367</v>
      </c>
      <c r="K823" s="40">
        <f t="shared" si="2302"/>
        <v>8910</v>
      </c>
      <c r="L823" s="40">
        <f>J823+K823</f>
        <v>97277</v>
      </c>
      <c r="M823" s="40">
        <f t="shared" si="2273"/>
        <v>175724</v>
      </c>
      <c r="N823" s="41">
        <f t="shared" si="2274"/>
        <v>188.2667996</v>
      </c>
      <c r="O823" s="40">
        <f t="shared" si="2275"/>
        <v>198660</v>
      </c>
      <c r="P823" s="42">
        <f t="shared" si="2276"/>
        <v>0.8845464613</v>
      </c>
      <c r="Q823" s="43">
        <v>1.5</v>
      </c>
      <c r="R823" s="42">
        <f t="shared" si="2277"/>
        <v>0.6890937823</v>
      </c>
      <c r="S823" s="44">
        <f t="shared" si="2278"/>
        <v>1.033640673</v>
      </c>
      <c r="T823" s="43">
        <f>F823/23.84</f>
        <v>7131.078859</v>
      </c>
      <c r="U823" s="43">
        <f t="shared" si="2279"/>
        <v>7.897097297</v>
      </c>
      <c r="V823" s="40">
        <f t="shared" si="2280"/>
        <v>194.6002215</v>
      </c>
      <c r="X823" s="96">
        <v>2.0</v>
      </c>
      <c r="Y823" s="96" t="s">
        <v>30</v>
      </c>
      <c r="Z823" s="97">
        <f t="shared" ref="Z823:AI823" si="2303">SUM(D818)</f>
        <v>1692</v>
      </c>
      <c r="AA823" s="97">
        <f t="shared" si="2303"/>
        <v>1733</v>
      </c>
      <c r="AB823" s="97">
        <f t="shared" si="2303"/>
        <v>340273.198</v>
      </c>
      <c r="AC823" s="97">
        <f t="shared" si="2303"/>
        <v>105462</v>
      </c>
      <c r="AD823" s="97">
        <f t="shared" si="2303"/>
        <v>182</v>
      </c>
      <c r="AE823" s="97">
        <f t="shared" si="2303"/>
        <v>105644</v>
      </c>
      <c r="AF823" s="97">
        <f t="shared" si="2303"/>
        <v>164043</v>
      </c>
      <c r="AG823" s="97">
        <f t="shared" si="2303"/>
        <v>0</v>
      </c>
      <c r="AH823" s="97">
        <f t="shared" si="2303"/>
        <v>164043</v>
      </c>
      <c r="AI823" s="97">
        <f t="shared" si="2303"/>
        <v>269687</v>
      </c>
      <c r="AJ823" s="98">
        <f t="shared" si="2304"/>
        <v>196.3492198</v>
      </c>
      <c r="AK823" s="97">
        <f t="shared" si="2305"/>
        <v>334920</v>
      </c>
      <c r="AL823" s="99">
        <f t="shared" si="2306"/>
        <v>0.8052281142</v>
      </c>
      <c r="AM823" s="100">
        <f t="shared" si="2307"/>
        <v>1.5</v>
      </c>
      <c r="AN823" s="99">
        <f t="shared" si="2308"/>
        <v>0.5283734787</v>
      </c>
      <c r="AO823" s="101">
        <f t="shared" si="2309"/>
        <v>0.792560218</v>
      </c>
      <c r="AP823" s="100">
        <f t="shared" ref="AP823:AQ823" si="2310">SUM(T818)</f>
        <v>11494.55116</v>
      </c>
      <c r="AQ823" s="100">
        <f t="shared" si="2310"/>
        <v>6.632747352</v>
      </c>
      <c r="AR823" s="97">
        <f t="shared" si="2311"/>
        <v>155.6185805</v>
      </c>
      <c r="AS823" s="94">
        <f t="shared" si="2312"/>
        <v>9750</v>
      </c>
      <c r="AT823" s="95">
        <v>46273.0</v>
      </c>
    </row>
    <row r="824" ht="15.75" customHeight="1">
      <c r="B824" s="38">
        <v>9.0</v>
      </c>
      <c r="C824" s="38" t="s">
        <v>36</v>
      </c>
      <c r="D824" s="40">
        <f t="shared" ref="D824:H824" si="2313">D14+D41+D68+D95+D122+D149+D176+D203+D230+D257+D284+D311+D338+D365+D392+D419+D446+D473+D500+D527+D554+D581+D608+D635+D662+D689+D716+D743+D770+D797</f>
        <v>848</v>
      </c>
      <c r="E824" s="40">
        <f t="shared" si="2313"/>
        <v>863</v>
      </c>
      <c r="F824" s="40">
        <f t="shared" si="2313"/>
        <v>157635.802</v>
      </c>
      <c r="G824" s="40">
        <f t="shared" si="2313"/>
        <v>46422</v>
      </c>
      <c r="H824" s="40">
        <f t="shared" si="2313"/>
        <v>0</v>
      </c>
      <c r="I824" s="40">
        <f t="shared" si="2270"/>
        <v>46422</v>
      </c>
      <c r="J824" s="40">
        <f t="shared" ref="J824:K824" si="2314">J14+J41+J68+J95+J122+J149+J176+J203+J230+J257+J284+J311+J338+J365+J392+J419+J446+J473+J500+J527+J554+J581+J608+J635+J662+J689+J716+J743+J770+J797</f>
        <v>67132</v>
      </c>
      <c r="K824" s="40">
        <f t="shared" si="2314"/>
        <v>260</v>
      </c>
      <c r="L824" s="40">
        <f t="shared" ref="L824:L833" si="2319">SUM(J824:K824)</f>
        <v>67392</v>
      </c>
      <c r="M824" s="40">
        <f t="shared" si="2273"/>
        <v>113814</v>
      </c>
      <c r="N824" s="41">
        <f t="shared" si="2274"/>
        <v>182.6602572</v>
      </c>
      <c r="O824" s="40">
        <f t="shared" si="2275"/>
        <v>143880</v>
      </c>
      <c r="P824" s="42">
        <f t="shared" si="2276"/>
        <v>0.7910341952</v>
      </c>
      <c r="Q824" s="43">
        <v>1.5</v>
      </c>
      <c r="R824" s="42">
        <f t="shared" si="2277"/>
        <v>0.4813373551</v>
      </c>
      <c r="S824" s="44">
        <f t="shared" si="2278"/>
        <v>0.7220060326</v>
      </c>
      <c r="T824" s="43">
        <f>F824/37.414</f>
        <v>4213.283851</v>
      </c>
      <c r="U824" s="43">
        <f t="shared" si="2279"/>
        <v>4.88213656</v>
      </c>
      <c r="V824" s="40">
        <f t="shared" si="2280"/>
        <v>131.8818076</v>
      </c>
      <c r="X824" s="88">
        <v>3.0</v>
      </c>
      <c r="Y824" s="88" t="s">
        <v>34</v>
      </c>
      <c r="Z824" s="89">
        <f t="shared" ref="Z824:AI824" si="2315">SUM(D820)</f>
        <v>1128</v>
      </c>
      <c r="AA824" s="89">
        <f t="shared" si="2315"/>
        <v>1177</v>
      </c>
      <c r="AB824" s="89">
        <f t="shared" si="2315"/>
        <v>233733.078</v>
      </c>
      <c r="AC824" s="89">
        <f t="shared" si="2315"/>
        <v>83807</v>
      </c>
      <c r="AD824" s="89">
        <f t="shared" si="2315"/>
        <v>90</v>
      </c>
      <c r="AE824" s="89">
        <f t="shared" si="2315"/>
        <v>83897</v>
      </c>
      <c r="AF824" s="89">
        <f t="shared" si="2315"/>
        <v>93970</v>
      </c>
      <c r="AG824" s="89">
        <f t="shared" si="2315"/>
        <v>416</v>
      </c>
      <c r="AH824" s="89">
        <f t="shared" si="2315"/>
        <v>94386</v>
      </c>
      <c r="AI824" s="89">
        <f t="shared" si="2315"/>
        <v>178283</v>
      </c>
      <c r="AJ824" s="90">
        <f t="shared" si="2304"/>
        <v>198.5837536</v>
      </c>
      <c r="AK824" s="89">
        <f>SUM(O820)</f>
        <v>280620</v>
      </c>
      <c r="AL824" s="91">
        <f t="shared" si="2306"/>
        <v>0.6353182239</v>
      </c>
      <c r="AM824" s="92">
        <f>SUM(Q820)</f>
        <v>1.5</v>
      </c>
      <c r="AN824" s="91">
        <f t="shared" si="2308"/>
        <v>0.508508827</v>
      </c>
      <c r="AO824" s="93">
        <f t="shared" si="2309"/>
        <v>0.7627632406</v>
      </c>
      <c r="AP824" s="92">
        <f t="shared" ref="AP824:AQ824" si="2316">SUM(T820)</f>
        <v>7610.232735</v>
      </c>
      <c r="AQ824" s="92">
        <f t="shared" si="2316"/>
        <v>6.46578822</v>
      </c>
      <c r="AR824" s="89">
        <f t="shared" si="2311"/>
        <v>151.4723874</v>
      </c>
      <c r="AS824" s="94">
        <f>MAX(M10,M37,M64,M91,M118,M145,M172,M199,M226,M253,M280,M307,M334,M361,M388,M415,M442,M469,M496,M523,M550,M577,M604,M631,M658,M685,M712,M739,M766,M793)</f>
        <v>6323</v>
      </c>
      <c r="AT824" s="95">
        <v>46273.0</v>
      </c>
    </row>
    <row r="825" ht="15.75" customHeight="1">
      <c r="B825" s="38">
        <v>10.0</v>
      </c>
      <c r="C825" s="38" t="s">
        <v>37</v>
      </c>
      <c r="D825" s="40">
        <f t="shared" ref="D825:H825" si="2317">D15+D42+D69+D96+D123+D150+D177+D204+D231+D258+D285+D312+D339+D366+D393+D420+D447+D474+D501+D528+D555+D582+D609+D636+D663+D690+D717+D744+D771+D798</f>
        <v>848</v>
      </c>
      <c r="E825" s="40">
        <f t="shared" si="2317"/>
        <v>853</v>
      </c>
      <c r="F825" s="40">
        <f t="shared" si="2317"/>
        <v>166029.012</v>
      </c>
      <c r="G825" s="40">
        <f t="shared" si="2317"/>
        <v>60268</v>
      </c>
      <c r="H825" s="40">
        <f t="shared" si="2317"/>
        <v>0</v>
      </c>
      <c r="I825" s="40">
        <f t="shared" si="2270"/>
        <v>60268</v>
      </c>
      <c r="J825" s="40">
        <f t="shared" ref="J825:K825" si="2318">J15+J42+J69+J96+J123+J150+J177+J204+J231+J258+J285+J312+J339+J366+J393+J420+J447+J474+J501+J528+J555+J582+J609+J636+J663+J690+J717+J744+J771+J798</f>
        <v>88602</v>
      </c>
      <c r="K825" s="40">
        <f t="shared" si="2318"/>
        <v>0</v>
      </c>
      <c r="L825" s="40">
        <f t="shared" si="2319"/>
        <v>88602</v>
      </c>
      <c r="M825" s="40">
        <f t="shared" si="2273"/>
        <v>148870</v>
      </c>
      <c r="N825" s="41">
        <f t="shared" si="2274"/>
        <v>194.6412802</v>
      </c>
      <c r="O825" s="40">
        <f t="shared" si="2275"/>
        <v>176610</v>
      </c>
      <c r="P825" s="42">
        <f t="shared" si="2276"/>
        <v>0.8429307514</v>
      </c>
      <c r="Q825" s="43">
        <v>1.5</v>
      </c>
      <c r="R825" s="42">
        <f t="shared" si="2277"/>
        <v>0.5977670136</v>
      </c>
      <c r="S825" s="44">
        <f t="shared" si="2278"/>
        <v>0.8966505203</v>
      </c>
      <c r="T825" s="43">
        <f>F825/24.792</f>
        <v>6696.878509</v>
      </c>
      <c r="U825" s="43">
        <f t="shared" si="2279"/>
        <v>7.850971289</v>
      </c>
      <c r="V825" s="40">
        <f t="shared" si="2280"/>
        <v>174.5252052</v>
      </c>
      <c r="X825" s="96">
        <v>4.0</v>
      </c>
      <c r="Y825" s="96" t="s">
        <v>38</v>
      </c>
      <c r="Z825" s="97">
        <f t="shared" ref="Z825:AI825" si="2320">SUM(D828)</f>
        <v>848</v>
      </c>
      <c r="AA825" s="97">
        <f t="shared" si="2320"/>
        <v>857</v>
      </c>
      <c r="AB825" s="97">
        <f t="shared" si="2320"/>
        <v>174654.592</v>
      </c>
      <c r="AC825" s="97">
        <f t="shared" si="2320"/>
        <v>59023</v>
      </c>
      <c r="AD825" s="97">
        <f t="shared" si="2320"/>
        <v>1027</v>
      </c>
      <c r="AE825" s="97">
        <f t="shared" si="2320"/>
        <v>60050</v>
      </c>
      <c r="AF825" s="97">
        <f t="shared" si="2320"/>
        <v>81477</v>
      </c>
      <c r="AG825" s="97">
        <f t="shared" si="2320"/>
        <v>4470</v>
      </c>
      <c r="AH825" s="97">
        <f t="shared" si="2320"/>
        <v>85947</v>
      </c>
      <c r="AI825" s="97">
        <f t="shared" si="2320"/>
        <v>145997</v>
      </c>
      <c r="AJ825" s="98">
        <f t="shared" si="2304"/>
        <v>203.7976569</v>
      </c>
      <c r="AK825" s="97">
        <f>SUM(O828)</f>
        <v>250350</v>
      </c>
      <c r="AL825" s="99">
        <f t="shared" si="2306"/>
        <v>0.5831715598</v>
      </c>
      <c r="AM825" s="100">
        <f>SUM(Q828)</f>
        <v>1.5</v>
      </c>
      <c r="AN825" s="99">
        <f t="shared" si="2308"/>
        <v>0.5572789826</v>
      </c>
      <c r="AO825" s="101">
        <f t="shared" si="2309"/>
        <v>0.8359184739</v>
      </c>
      <c r="AP825" s="100">
        <f t="shared" ref="AP825:AQ825" si="2321">SUM(T828)</f>
        <v>4238.674724</v>
      </c>
      <c r="AQ825" s="100">
        <f t="shared" si="2321"/>
        <v>4.945944835</v>
      </c>
      <c r="AR825" s="97">
        <f t="shared" si="2311"/>
        <v>170.3582264</v>
      </c>
      <c r="AS825" s="94">
        <f>MAX(M18,M45,M72,M99,M126,M153,M180,M207,M234,M261,M288,M315,M342,M369,M396,M423,M450,M477,M504,M531,M558,M585,M612,M639,M666,M693,M720,M747,M774,M801)</f>
        <v>5469</v>
      </c>
      <c r="AT825" s="95">
        <v>46273.0</v>
      </c>
    </row>
    <row r="826" ht="15.75" customHeight="1">
      <c r="B826" s="38">
        <v>12.0</v>
      </c>
      <c r="C826" s="38" t="s">
        <v>39</v>
      </c>
      <c r="D826" s="40">
        <f t="shared" ref="D826:H826" si="2322">D16+D43+D70+D97+D124+D151+D178+D205+D232+D259+D286+D313+D340+D367+D394+D421+D448+D475+D502+D529+D556+D583+D610+D637+D664+D691+D718+D745+D772+D799</f>
        <v>788</v>
      </c>
      <c r="E826" s="40">
        <f t="shared" si="2322"/>
        <v>813</v>
      </c>
      <c r="F826" s="40">
        <f t="shared" si="2322"/>
        <v>158739.268</v>
      </c>
      <c r="G826" s="40">
        <f t="shared" si="2322"/>
        <v>38030</v>
      </c>
      <c r="H826" s="40">
        <f t="shared" si="2322"/>
        <v>620</v>
      </c>
      <c r="I826" s="40">
        <f t="shared" si="2270"/>
        <v>38650</v>
      </c>
      <c r="J826" s="40">
        <f t="shared" ref="J826:K826" si="2323">J16+J43+J70+J97+J124+J151+J178+J205+J232+J259+J286+J313+J340+J367+J394+J421+J448+J475+J502+J529+J556+J583+J610+J637+J664+J691+J718+J745+J772+J799</f>
        <v>50258</v>
      </c>
      <c r="K826" s="40">
        <f t="shared" si="2323"/>
        <v>1585</v>
      </c>
      <c r="L826" s="40">
        <f t="shared" si="2319"/>
        <v>51843</v>
      </c>
      <c r="M826" s="40">
        <f t="shared" si="2273"/>
        <v>90493</v>
      </c>
      <c r="N826" s="41">
        <f t="shared" si="2274"/>
        <v>195.2512522</v>
      </c>
      <c r="O826" s="40">
        <f t="shared" si="2275"/>
        <v>107070</v>
      </c>
      <c r="P826" s="42">
        <f t="shared" si="2276"/>
        <v>0.845176053</v>
      </c>
      <c r="Q826" s="43">
        <v>1.5</v>
      </c>
      <c r="R826" s="42">
        <f t="shared" si="2277"/>
        <v>0.3800487896</v>
      </c>
      <c r="S826" s="44">
        <f t="shared" si="2278"/>
        <v>0.5700731844</v>
      </c>
      <c r="T826" s="43">
        <f>F826/21.463</f>
        <v>7395.949681</v>
      </c>
      <c r="U826" s="43">
        <f t="shared" si="2279"/>
        <v>9.097109079</v>
      </c>
      <c r="V826" s="40">
        <f t="shared" si="2280"/>
        <v>111.3075031</v>
      </c>
      <c r="X826" s="96">
        <v>5.0</v>
      </c>
      <c r="Y826" s="96" t="s">
        <v>40</v>
      </c>
      <c r="Z826" s="97">
        <f t="shared" ref="Z826:AI826" si="2324">SUM(D830)</f>
        <v>848</v>
      </c>
      <c r="AA826" s="97">
        <f t="shared" si="2324"/>
        <v>857</v>
      </c>
      <c r="AB826" s="97">
        <f t="shared" si="2324"/>
        <v>163823.457</v>
      </c>
      <c r="AC826" s="97">
        <f t="shared" si="2324"/>
        <v>95034</v>
      </c>
      <c r="AD826" s="97">
        <f t="shared" si="2324"/>
        <v>429</v>
      </c>
      <c r="AE826" s="97">
        <f t="shared" si="2324"/>
        <v>95463</v>
      </c>
      <c r="AF826" s="97">
        <f t="shared" si="2324"/>
        <v>110431</v>
      </c>
      <c r="AG826" s="97">
        <f t="shared" si="2324"/>
        <v>853</v>
      </c>
      <c r="AH826" s="97">
        <f t="shared" si="2324"/>
        <v>111284</v>
      </c>
      <c r="AI826" s="97">
        <f t="shared" si="2324"/>
        <v>206747</v>
      </c>
      <c r="AJ826" s="98">
        <f t="shared" si="2304"/>
        <v>191.1592264</v>
      </c>
      <c r="AK826" s="97">
        <f t="shared" ref="AK826:AK827" si="2329">SUM(O830)</f>
        <v>247170</v>
      </c>
      <c r="AL826" s="99">
        <f t="shared" si="2306"/>
        <v>0.8364566897</v>
      </c>
      <c r="AM826" s="100">
        <f t="shared" ref="AM826:AM827" si="2330">SUM(Q830)</f>
        <v>1.5</v>
      </c>
      <c r="AN826" s="99">
        <f t="shared" si="2308"/>
        <v>0.8413406472</v>
      </c>
      <c r="AO826" s="101">
        <f t="shared" si="2309"/>
        <v>1.262010971</v>
      </c>
      <c r="AP826" s="100">
        <f t="shared" ref="AP826:AQ826" si="2325">SUM(T830)</f>
        <v>5759.710895</v>
      </c>
      <c r="AQ826" s="100">
        <f t="shared" si="2325"/>
        <v>6.720782842</v>
      </c>
      <c r="AR826" s="97">
        <f t="shared" si="2311"/>
        <v>241.2450408</v>
      </c>
      <c r="AS826" s="94">
        <f t="shared" ref="AS826:AS827" si="2332">MAX(M20,M47,M74,M101,M128,M155,M182,M209,M236,M263,M290,M317,M344,M371,M398,M425,M452,M479,M506,M533,M560,M587,M614,M641,M668,M695,M722,M749,M776,M803)</f>
        <v>7511</v>
      </c>
      <c r="AT826" s="95">
        <v>46273.0</v>
      </c>
    </row>
    <row r="827" ht="15.75" customHeight="1">
      <c r="B827" s="38">
        <v>12.0</v>
      </c>
      <c r="C827" s="38" t="s">
        <v>41</v>
      </c>
      <c r="D827" s="40">
        <f t="shared" ref="D827:H827" si="2326">D17+D44+D71+D98+D125+D152+D179+D206+D233+D260+D287+D314+D341+D368+D395+D422+D449+D476+D503+D530+D557+D584+D611+D638+D665+D692+D719+D746+D773+D800</f>
        <v>684</v>
      </c>
      <c r="E827" s="40">
        <f t="shared" si="2326"/>
        <v>711</v>
      </c>
      <c r="F827" s="40">
        <f t="shared" si="2326"/>
        <v>141602.088</v>
      </c>
      <c r="G827" s="40">
        <f t="shared" si="2326"/>
        <v>39640</v>
      </c>
      <c r="H827" s="40">
        <f t="shared" si="2326"/>
        <v>103</v>
      </c>
      <c r="I827" s="40">
        <f t="shared" si="2270"/>
        <v>39743</v>
      </c>
      <c r="J827" s="40">
        <f t="shared" ref="J827:K827" si="2327">J17+J44+J71+J98+J125+J152+J179+J206+J233+J260+J287+J314+J341+J368+J395+J422+J449+J476+J503+J530+J557+J584+J611+J638+J665+J692+J719+J746+J773+J800</f>
        <v>49241</v>
      </c>
      <c r="K827" s="40">
        <f t="shared" si="2327"/>
        <v>0</v>
      </c>
      <c r="L827" s="40">
        <f t="shared" si="2319"/>
        <v>49241</v>
      </c>
      <c r="M827" s="40">
        <f t="shared" si="2273"/>
        <v>88984</v>
      </c>
      <c r="N827" s="41">
        <f t="shared" si="2274"/>
        <v>199.1590549</v>
      </c>
      <c r="O827" s="40">
        <f t="shared" si="2275"/>
        <v>114030</v>
      </c>
      <c r="P827" s="42">
        <f t="shared" si="2276"/>
        <v>0.7803560467</v>
      </c>
      <c r="Q827" s="43">
        <v>1.5</v>
      </c>
      <c r="R827" s="42">
        <f t="shared" si="2277"/>
        <v>0.4189392085</v>
      </c>
      <c r="S827" s="44">
        <f t="shared" si="2278"/>
        <v>0.6284088127</v>
      </c>
      <c r="T827" s="43">
        <f>F827/29.628</f>
        <v>4779.333333</v>
      </c>
      <c r="U827" s="43">
        <f t="shared" si="2279"/>
        <v>6.721987811</v>
      </c>
      <c r="V827" s="40">
        <f t="shared" si="2280"/>
        <v>125.1533052</v>
      </c>
      <c r="X827" s="88">
        <v>6.0</v>
      </c>
      <c r="Y827" s="88" t="s">
        <v>42</v>
      </c>
      <c r="Z827" s="89">
        <f t="shared" ref="Z827:AI827" si="2328">SUM(D831)</f>
        <v>926</v>
      </c>
      <c r="AA827" s="89">
        <f t="shared" si="2328"/>
        <v>973</v>
      </c>
      <c r="AB827" s="89">
        <f t="shared" si="2328"/>
        <v>191840.791</v>
      </c>
      <c r="AC827" s="89">
        <f t="shared" si="2328"/>
        <v>87327</v>
      </c>
      <c r="AD827" s="89">
        <f t="shared" si="2328"/>
        <v>3390</v>
      </c>
      <c r="AE827" s="89">
        <f t="shared" si="2328"/>
        <v>90717</v>
      </c>
      <c r="AF827" s="89">
        <f t="shared" si="2328"/>
        <v>126606</v>
      </c>
      <c r="AG827" s="89">
        <f t="shared" si="2328"/>
        <v>2129</v>
      </c>
      <c r="AH827" s="89">
        <f t="shared" si="2328"/>
        <v>128735</v>
      </c>
      <c r="AI827" s="89">
        <f t="shared" si="2328"/>
        <v>219452</v>
      </c>
      <c r="AJ827" s="90">
        <f t="shared" si="2304"/>
        <v>197.1642251</v>
      </c>
      <c r="AK827" s="89">
        <f t="shared" si="2329"/>
        <v>296310</v>
      </c>
      <c r="AL827" s="91">
        <f t="shared" si="2306"/>
        <v>0.7406162465</v>
      </c>
      <c r="AM827" s="92">
        <f t="shared" si="2330"/>
        <v>1.5</v>
      </c>
      <c r="AN827" s="91">
        <f t="shared" si="2308"/>
        <v>0.7626184847</v>
      </c>
      <c r="AO827" s="93">
        <f t="shared" si="2309"/>
        <v>1.143927727</v>
      </c>
      <c r="AP827" s="92">
        <f t="shared" ref="AP827:AQ827" si="2331">SUM(T831)</f>
        <v>7334.765475</v>
      </c>
      <c r="AQ827" s="92">
        <f t="shared" si="2331"/>
        <v>7.538299563</v>
      </c>
      <c r="AR827" s="89">
        <f t="shared" si="2311"/>
        <v>225.5416238</v>
      </c>
      <c r="AS827" s="94">
        <f t="shared" si="2332"/>
        <v>7961</v>
      </c>
      <c r="AT827" s="95">
        <v>46273.0</v>
      </c>
    </row>
    <row r="828" ht="15.75" customHeight="1">
      <c r="B828" s="38">
        <v>13.0</v>
      </c>
      <c r="C828" s="38" t="s">
        <v>43</v>
      </c>
      <c r="D828" s="40">
        <f t="shared" ref="D828:H828" si="2333">D18+D45+D72+D99+D126+D153+D180+D207+D234+D261+D288+D315+D342+D369+D396+D423+D450+D477+D504+D531+D558+D585+D612+D639+D666+D693+D720+D747+D774+D801</f>
        <v>848</v>
      </c>
      <c r="E828" s="40">
        <f t="shared" si="2333"/>
        <v>857</v>
      </c>
      <c r="F828" s="40">
        <f t="shared" si="2333"/>
        <v>174654.592</v>
      </c>
      <c r="G828" s="40">
        <f t="shared" si="2333"/>
        <v>59023</v>
      </c>
      <c r="H828" s="40">
        <f t="shared" si="2333"/>
        <v>1027</v>
      </c>
      <c r="I828" s="40">
        <f t="shared" si="2270"/>
        <v>60050</v>
      </c>
      <c r="J828" s="40">
        <f t="shared" ref="J828:K828" si="2334">J18+J45+J72+J99+J126+J153+J180+J207+J234+J261+J288+J315+J342+J369+J396+J423+J450+J477+J504+J531+J558+J585+J612+J639+J666+J693+J720+J747+J774+J801</f>
        <v>81477</v>
      </c>
      <c r="K828" s="40">
        <f t="shared" si="2334"/>
        <v>4470</v>
      </c>
      <c r="L828" s="40">
        <f t="shared" si="2319"/>
        <v>85947</v>
      </c>
      <c r="M828" s="40">
        <f t="shared" si="2273"/>
        <v>145997</v>
      </c>
      <c r="N828" s="41">
        <f t="shared" si="2274"/>
        <v>203.7976569</v>
      </c>
      <c r="O828" s="40">
        <f t="shared" si="2275"/>
        <v>250350</v>
      </c>
      <c r="P828" s="42">
        <f t="shared" si="2276"/>
        <v>0.5831715598</v>
      </c>
      <c r="Q828" s="43">
        <v>1.5</v>
      </c>
      <c r="R828" s="42">
        <f t="shared" si="2277"/>
        <v>0.5572789826</v>
      </c>
      <c r="S828" s="44">
        <f t="shared" si="2278"/>
        <v>0.8359184739</v>
      </c>
      <c r="T828" s="43">
        <f>F828/41.205</f>
        <v>4238.674724</v>
      </c>
      <c r="U828" s="43">
        <f t="shared" si="2279"/>
        <v>4.945944835</v>
      </c>
      <c r="V828" s="40">
        <f t="shared" si="2280"/>
        <v>170.3582264</v>
      </c>
      <c r="X828" s="68" t="s">
        <v>33</v>
      </c>
      <c r="Y828" s="68">
        <v>6.0</v>
      </c>
      <c r="Z828" s="102">
        <f t="shared" ref="Z828:AI828" si="2335">SUM(Z822:Z827)</f>
        <v>6368</v>
      </c>
      <c r="AA828" s="102">
        <f t="shared" si="2335"/>
        <v>6523</v>
      </c>
      <c r="AB828" s="102">
        <f t="shared" si="2335"/>
        <v>1286186.706</v>
      </c>
      <c r="AC828" s="102">
        <f t="shared" si="2335"/>
        <v>507985</v>
      </c>
      <c r="AD828" s="102">
        <f t="shared" si="2335"/>
        <v>9535</v>
      </c>
      <c r="AE828" s="102">
        <f t="shared" si="2335"/>
        <v>517520</v>
      </c>
      <c r="AF828" s="102">
        <f t="shared" si="2335"/>
        <v>665475</v>
      </c>
      <c r="AG828" s="102">
        <f t="shared" si="2335"/>
        <v>11731</v>
      </c>
      <c r="AH828" s="102">
        <f t="shared" si="2335"/>
        <v>677206</v>
      </c>
      <c r="AI828" s="102">
        <f t="shared" si="2335"/>
        <v>1194726</v>
      </c>
      <c r="AJ828" s="103">
        <f t="shared" si="2304"/>
        <v>197.177174</v>
      </c>
      <c r="AK828" s="102">
        <f>SUM(AK822:AK827)</f>
        <v>1628820</v>
      </c>
      <c r="AL828" s="104">
        <f t="shared" si="2306"/>
        <v>0.7334917302</v>
      </c>
      <c r="AM828" s="105">
        <v>1.5</v>
      </c>
      <c r="AN828" s="104">
        <f t="shared" si="2308"/>
        <v>0.6192600159</v>
      </c>
      <c r="AO828" s="106">
        <f t="shared" si="2309"/>
        <v>0.9288900238</v>
      </c>
      <c r="AP828" s="105">
        <f>SUM(AP822:AP827)</f>
        <v>42323.9948</v>
      </c>
      <c r="AQ828" s="105">
        <f>AP828/AA828</f>
        <v>6.488424774</v>
      </c>
      <c r="AR828" s="102">
        <f t="shared" si="2311"/>
        <v>183.1559099</v>
      </c>
      <c r="AS828" s="107">
        <f>MAX(M24,M51,M78,M105,M132,M159,M186,M213,M240,M267,M294,M321,M348,M375,M402,M429,M456,M483,M510,M537,M564,M591,M618,M645,M672,M699,M726,M753,M780,M807)</f>
        <v>101769</v>
      </c>
      <c r="AT828" s="108">
        <v>46284.0</v>
      </c>
    </row>
    <row r="829" ht="15.75" customHeight="1">
      <c r="B829" s="38">
        <v>14.0</v>
      </c>
      <c r="C829" s="38" t="s">
        <v>27</v>
      </c>
      <c r="D829" s="40">
        <f t="shared" ref="D829:H829" si="2336">D19+D46+D73+D100+D127+D154+D181+D208+D235+D262+D289+D316+D343+D370+D397+D424+D451+D478+D505+D532+D559+D586+D613+D640+D667+D694+D721+D748+D775+D802</f>
        <v>848</v>
      </c>
      <c r="E829" s="40">
        <f t="shared" si="2336"/>
        <v>848</v>
      </c>
      <c r="F829" s="40">
        <f t="shared" si="2336"/>
        <v>164241.094</v>
      </c>
      <c r="G829" s="40">
        <f t="shared" si="2336"/>
        <v>67991</v>
      </c>
      <c r="H829" s="40">
        <f t="shared" si="2336"/>
        <v>3131</v>
      </c>
      <c r="I829" s="40">
        <f t="shared" si="2270"/>
        <v>71122</v>
      </c>
      <c r="J829" s="40">
        <f t="shared" ref="J829:K829" si="2337">J19+J46+J73+J100+J127+J154+J181+J208+J235+J262+J289+J316+J343+J370+J397+J424+J451+J478+J505+J532+J559+J586+J613+J640+J667+J694+J721+J748+J775+J802</f>
        <v>88250</v>
      </c>
      <c r="K829" s="40">
        <f t="shared" si="2337"/>
        <v>3260</v>
      </c>
      <c r="L829" s="40">
        <f t="shared" si="2319"/>
        <v>91510</v>
      </c>
      <c r="M829" s="40">
        <f t="shared" si="2273"/>
        <v>162632</v>
      </c>
      <c r="N829" s="41">
        <f t="shared" si="2274"/>
        <v>193.6805354</v>
      </c>
      <c r="O829" s="40">
        <f t="shared" si="2275"/>
        <v>243030</v>
      </c>
      <c r="P829" s="42">
        <f t="shared" si="2276"/>
        <v>0.6691848743</v>
      </c>
      <c r="Q829" s="43">
        <v>1.5</v>
      </c>
      <c r="R829" s="42">
        <f t="shared" si="2277"/>
        <v>0.6601352359</v>
      </c>
      <c r="S829" s="44">
        <f t="shared" si="2278"/>
        <v>0.9902028539</v>
      </c>
      <c r="T829" s="43">
        <f>F829/19.985</f>
        <v>8218.218364</v>
      </c>
      <c r="U829" s="43">
        <f t="shared" si="2279"/>
        <v>9.69129524</v>
      </c>
      <c r="V829" s="40">
        <f t="shared" si="2280"/>
        <v>191.7830189</v>
      </c>
      <c r="X829" s="59" t="s">
        <v>44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6"/>
    </row>
    <row r="830" ht="15.75" customHeight="1">
      <c r="B830" s="38">
        <v>15.0</v>
      </c>
      <c r="C830" s="38" t="s">
        <v>40</v>
      </c>
      <c r="D830" s="40">
        <f t="shared" ref="D830:H830" si="2338">D20+D47+D74+D101+D128+D155+D182+D209+D236+D263+D290+D317+D344+D371+D398+D425+D452+D479+D506+D533+D560+D587+D614+D641+D668+D695+D722+D749+D776+D803</f>
        <v>848</v>
      </c>
      <c r="E830" s="40">
        <f t="shared" si="2338"/>
        <v>857</v>
      </c>
      <c r="F830" s="40">
        <f t="shared" si="2338"/>
        <v>163823.457</v>
      </c>
      <c r="G830" s="40">
        <f t="shared" si="2338"/>
        <v>95034</v>
      </c>
      <c r="H830" s="40">
        <f t="shared" si="2338"/>
        <v>429</v>
      </c>
      <c r="I830" s="40">
        <f t="shared" si="2270"/>
        <v>95463</v>
      </c>
      <c r="J830" s="40">
        <f t="shared" ref="J830:K830" si="2339">J20+J47+J74+J101+J128+J155+J182+J209+J236+J263+J290+J317+J344+J371+J398+J425+J452+J479+J506+J533+J560+J587+J614+J641+J668+J695+J722+J749+J776+J803</f>
        <v>110431</v>
      </c>
      <c r="K830" s="40">
        <f t="shared" si="2339"/>
        <v>853</v>
      </c>
      <c r="L830" s="40">
        <f t="shared" si="2319"/>
        <v>111284</v>
      </c>
      <c r="M830" s="40">
        <f t="shared" si="2273"/>
        <v>206747</v>
      </c>
      <c r="N830" s="41">
        <f t="shared" si="2274"/>
        <v>191.1592264</v>
      </c>
      <c r="O830" s="40">
        <f t="shared" si="2275"/>
        <v>247170</v>
      </c>
      <c r="P830" s="42">
        <f t="shared" si="2276"/>
        <v>0.8364566897</v>
      </c>
      <c r="Q830" s="43">
        <v>1.5</v>
      </c>
      <c r="R830" s="42">
        <f t="shared" si="2277"/>
        <v>0.8413406472</v>
      </c>
      <c r="S830" s="44">
        <f t="shared" si="2278"/>
        <v>1.262010971</v>
      </c>
      <c r="T830" s="43">
        <f>F830/28.443</f>
        <v>5759.710895</v>
      </c>
      <c r="U830" s="43">
        <f t="shared" si="2279"/>
        <v>6.720782842</v>
      </c>
      <c r="V830" s="40">
        <f t="shared" si="2280"/>
        <v>241.2450408</v>
      </c>
      <c r="X830" s="81" t="s">
        <v>2</v>
      </c>
      <c r="Y830" s="81" t="s">
        <v>3</v>
      </c>
      <c r="Z830" s="81" t="s">
        <v>4</v>
      </c>
      <c r="AA830" s="81" t="s">
        <v>5</v>
      </c>
      <c r="AB830" s="82" t="s">
        <v>6</v>
      </c>
      <c r="AC830" s="81" t="s">
        <v>7</v>
      </c>
      <c r="AD830" s="81" t="s">
        <v>8</v>
      </c>
      <c r="AE830" s="81" t="s">
        <v>9</v>
      </c>
      <c r="AF830" s="81" t="s">
        <v>10</v>
      </c>
      <c r="AG830" s="81" t="s">
        <v>11</v>
      </c>
      <c r="AH830" s="81" t="s">
        <v>12</v>
      </c>
      <c r="AI830" s="81" t="s">
        <v>13</v>
      </c>
      <c r="AJ830" s="82" t="s">
        <v>14</v>
      </c>
      <c r="AK830" s="81" t="s">
        <v>15</v>
      </c>
      <c r="AL830" s="81" t="s">
        <v>16</v>
      </c>
      <c r="AM830" s="83" t="s">
        <v>17</v>
      </c>
      <c r="AN830" s="84" t="s">
        <v>18</v>
      </c>
      <c r="AO830" s="85" t="s">
        <v>19</v>
      </c>
      <c r="AP830" s="86" t="s">
        <v>20</v>
      </c>
      <c r="AQ830" s="86" t="s">
        <v>21</v>
      </c>
      <c r="AR830" s="87" t="s">
        <v>22</v>
      </c>
      <c r="AS830" s="87" t="s">
        <v>47</v>
      </c>
      <c r="AT830" s="87" t="s">
        <v>48</v>
      </c>
    </row>
    <row r="831" ht="15.75" customHeight="1">
      <c r="B831" s="38">
        <v>16.0</v>
      </c>
      <c r="C831" s="38" t="s">
        <v>42</v>
      </c>
      <c r="D831" s="40">
        <f t="shared" ref="D831:H831" si="2340">D21+D48+D75+D102+D129+D156+D183+D210+D237+D264+D291+D318+D345+D372+D399+D426+D453+D480+D507+D534+D561+D588+D615+D642+D669+D696+D723+D750+D777+D804</f>
        <v>926</v>
      </c>
      <c r="E831" s="40">
        <f t="shared" si="2340"/>
        <v>973</v>
      </c>
      <c r="F831" s="40">
        <f t="shared" si="2340"/>
        <v>191840.791</v>
      </c>
      <c r="G831" s="40">
        <f t="shared" si="2340"/>
        <v>87327</v>
      </c>
      <c r="H831" s="40">
        <f t="shared" si="2340"/>
        <v>3390</v>
      </c>
      <c r="I831" s="40">
        <f t="shared" si="2270"/>
        <v>90717</v>
      </c>
      <c r="J831" s="40">
        <f t="shared" ref="J831:K831" si="2341">J21+J48+J75+J102+J129+J156+J183+J210+J237+J264+J291+J318+J345+J372+J399+J426+J453+J480+J507+J534+J561+J588+J615+J642+J669+J696+J723+J750+J777+J804</f>
        <v>126606</v>
      </c>
      <c r="K831" s="40">
        <f t="shared" si="2341"/>
        <v>2129</v>
      </c>
      <c r="L831" s="40">
        <f t="shared" si="2319"/>
        <v>128735</v>
      </c>
      <c r="M831" s="40">
        <f t="shared" si="2273"/>
        <v>219452</v>
      </c>
      <c r="N831" s="41">
        <f t="shared" si="2274"/>
        <v>197.1642251</v>
      </c>
      <c r="O831" s="40">
        <f t="shared" si="2275"/>
        <v>296310</v>
      </c>
      <c r="P831" s="42">
        <f t="shared" si="2276"/>
        <v>0.7406162465</v>
      </c>
      <c r="Q831" s="43">
        <v>1.5</v>
      </c>
      <c r="R831" s="42">
        <f t="shared" si="2277"/>
        <v>0.7626184847</v>
      </c>
      <c r="S831" s="44">
        <f t="shared" si="2278"/>
        <v>1.143927727</v>
      </c>
      <c r="T831" s="43">
        <f>F831/26.155</f>
        <v>7334.765475</v>
      </c>
      <c r="U831" s="43">
        <f t="shared" si="2279"/>
        <v>7.538299563</v>
      </c>
      <c r="V831" s="40">
        <f t="shared" si="2280"/>
        <v>225.5416238</v>
      </c>
      <c r="X831" s="96">
        <v>1.0</v>
      </c>
      <c r="Y831" s="96" t="s">
        <v>26</v>
      </c>
      <c r="Z831" s="97">
        <f t="shared" ref="Z831:AI831" si="2342">SUM(D816)</f>
        <v>564</v>
      </c>
      <c r="AA831" s="97">
        <f t="shared" si="2342"/>
        <v>590</v>
      </c>
      <c r="AB831" s="97">
        <f t="shared" si="2342"/>
        <v>112098.843</v>
      </c>
      <c r="AC831" s="97">
        <f t="shared" si="2342"/>
        <v>59373</v>
      </c>
      <c r="AD831" s="97">
        <f t="shared" si="2342"/>
        <v>40</v>
      </c>
      <c r="AE831" s="97">
        <f t="shared" si="2342"/>
        <v>59413</v>
      </c>
      <c r="AF831" s="97">
        <f t="shared" si="2342"/>
        <v>81956</v>
      </c>
      <c r="AG831" s="97">
        <f t="shared" si="2342"/>
        <v>1256</v>
      </c>
      <c r="AH831" s="97">
        <f t="shared" si="2342"/>
        <v>83212</v>
      </c>
      <c r="AI831" s="97">
        <f t="shared" si="2342"/>
        <v>142625</v>
      </c>
      <c r="AJ831" s="98">
        <f t="shared" ref="AJ831:AJ832" si="2347">AB831/AA831</f>
        <v>189.998039</v>
      </c>
      <c r="AK831" s="97">
        <f>SUM(O816)</f>
        <v>154830</v>
      </c>
      <c r="AL831" s="99">
        <f t="shared" ref="AL831:AL837" si="2348">AI831/AK831</f>
        <v>0.9211716076</v>
      </c>
      <c r="AM831" s="100">
        <f>SUM(Q816)</f>
        <v>1.5</v>
      </c>
      <c r="AN831" s="99">
        <f t="shared" ref="AN831:AN837" si="2349">AO831/AM831</f>
        <v>0.8482097655</v>
      </c>
      <c r="AO831" s="101">
        <f t="shared" ref="AO831:AO837" si="2350">AI831/AB831</f>
        <v>1.272314648</v>
      </c>
      <c r="AP831" s="100">
        <f t="shared" ref="AP831:AQ831" si="2343">SUM(T816)</f>
        <v>7776.541311</v>
      </c>
      <c r="AQ831" s="100">
        <f t="shared" si="2343"/>
        <v>13.18057849</v>
      </c>
      <c r="AR831" s="97">
        <f t="shared" ref="AR831:AR837" si="2352">AI831/AA831</f>
        <v>241.7372881</v>
      </c>
      <c r="AS831" s="94">
        <f>MAX(M6,M33,M60,M87,M114,M141,M168,M195,M222,M249,M276,M303,M330,M357,M384,M411,M438,M465,M492,M519,M546,M573,M600,M627,M654,M681,M708,M735,M762,M789)</f>
        <v>5225</v>
      </c>
      <c r="AT831" s="95">
        <v>46273.0</v>
      </c>
    </row>
    <row r="832" ht="15.75" customHeight="1">
      <c r="B832" s="38">
        <v>17.0</v>
      </c>
      <c r="C832" s="38" t="s">
        <v>29</v>
      </c>
      <c r="D832" s="40">
        <f t="shared" ref="D832:H832" si="2344">D22+D49+D76+D103+D130+D157+D184+D211+D238+D265+D292+D319+D346+D373+D400+D427+D454+D481+D508+D535+D562+D589+D616+D643+D670+D697+D724+D751+D778+D805</f>
        <v>848</v>
      </c>
      <c r="E832" s="40">
        <f t="shared" si="2344"/>
        <v>858</v>
      </c>
      <c r="F832" s="40">
        <f t="shared" si="2344"/>
        <v>171820.626</v>
      </c>
      <c r="G832" s="40">
        <f t="shared" si="2344"/>
        <v>76010</v>
      </c>
      <c r="H832" s="40">
        <f t="shared" si="2344"/>
        <v>0</v>
      </c>
      <c r="I832" s="40">
        <f t="shared" si="2270"/>
        <v>76010</v>
      </c>
      <c r="J832" s="40">
        <f t="shared" ref="J832:K832" si="2345">J22+J49+J76+J103+J130+J157+J184+J211+J238+J265+J292+J319+J346+J373+J400+J427+J454+J481+J508+J535+J562+J589+J616+J643+J670+J697+J724+J751+J778+J805</f>
        <v>120908</v>
      </c>
      <c r="K832" s="40">
        <f t="shared" si="2345"/>
        <v>0</v>
      </c>
      <c r="L832" s="40">
        <f t="shared" si="2319"/>
        <v>120908</v>
      </c>
      <c r="M832" s="40">
        <f t="shared" si="2273"/>
        <v>196918</v>
      </c>
      <c r="N832" s="41">
        <f t="shared" si="2274"/>
        <v>200.2571399</v>
      </c>
      <c r="O832" s="40">
        <f t="shared" si="2275"/>
        <v>276030</v>
      </c>
      <c r="P832" s="42">
        <f t="shared" si="2276"/>
        <v>0.7133934717</v>
      </c>
      <c r="Q832" s="43">
        <v>1.5</v>
      </c>
      <c r="R832" s="42">
        <f t="shared" si="2277"/>
        <v>0.7640448631</v>
      </c>
      <c r="S832" s="44">
        <f t="shared" si="2278"/>
        <v>1.146067295</v>
      </c>
      <c r="T832" s="43">
        <f>F832/26.491</f>
        <v>6486</v>
      </c>
      <c r="U832" s="43">
        <f t="shared" si="2279"/>
        <v>7.559440559</v>
      </c>
      <c r="V832" s="40">
        <f t="shared" si="2280"/>
        <v>229.5081585</v>
      </c>
      <c r="X832" s="96">
        <v>2.0</v>
      </c>
      <c r="Y832" s="96" t="s">
        <v>32</v>
      </c>
      <c r="Z832" s="97">
        <f t="shared" ref="Z832:AI832" si="2346">SUM(D819)</f>
        <v>1184</v>
      </c>
      <c r="AA832" s="97">
        <f t="shared" si="2346"/>
        <v>1198</v>
      </c>
      <c r="AB832" s="97">
        <f t="shared" si="2346"/>
        <v>233681.82</v>
      </c>
      <c r="AC832" s="97">
        <f t="shared" si="2346"/>
        <v>132107</v>
      </c>
      <c r="AD832" s="97">
        <f t="shared" si="2346"/>
        <v>28</v>
      </c>
      <c r="AE832" s="97">
        <f t="shared" si="2346"/>
        <v>132135</v>
      </c>
      <c r="AF832" s="97">
        <f t="shared" si="2346"/>
        <v>159375</v>
      </c>
      <c r="AG832" s="97">
        <f t="shared" si="2346"/>
        <v>2465</v>
      </c>
      <c r="AH832" s="97">
        <f t="shared" si="2346"/>
        <v>161840</v>
      </c>
      <c r="AI832" s="97">
        <f t="shared" si="2346"/>
        <v>293975</v>
      </c>
      <c r="AJ832" s="98">
        <f t="shared" si="2347"/>
        <v>195.0599499</v>
      </c>
      <c r="AK832" s="97">
        <f>SUM(O819)</f>
        <v>414510</v>
      </c>
      <c r="AL832" s="99">
        <f t="shared" si="2348"/>
        <v>0.7092108755</v>
      </c>
      <c r="AM832" s="100">
        <f>SUM(Q819)</f>
        <v>1.5</v>
      </c>
      <c r="AN832" s="99">
        <f t="shared" si="2349"/>
        <v>0.8386759968</v>
      </c>
      <c r="AO832" s="101">
        <f t="shared" si="2350"/>
        <v>1.258013995</v>
      </c>
      <c r="AP832" s="100">
        <f t="shared" ref="AP832:AQ832" si="2351">SUM(T819)</f>
        <v>9314.114552</v>
      </c>
      <c r="AQ832" s="100">
        <f t="shared" si="2351"/>
        <v>7.774719993</v>
      </c>
      <c r="AR832" s="97">
        <f t="shared" si="2352"/>
        <v>245.3881469</v>
      </c>
      <c r="AS832" s="94">
        <f>MAX(M9,M36,M63,M90,M117,M144,M171,M198,M225,M252,M279,M306,M333,M360,M387,M414,M441,M468,M495,M522,M549,M576,M603,M630,M657,M684,M711,M738,M765,M792)</f>
        <v>10447</v>
      </c>
      <c r="AT832" s="95">
        <v>46273.0</v>
      </c>
    </row>
    <row r="833" ht="15.75" customHeight="1">
      <c r="B833" s="38">
        <v>18.0</v>
      </c>
      <c r="C833" s="38" t="s">
        <v>31</v>
      </c>
      <c r="D833" s="40">
        <f t="shared" ref="D833:H833" si="2353">D23+D50+D77+D104+D131+D158+D185+D212+D239+D266+D293+D320+D347+D374+D401+D428+D455+D482+D509+D536+D563+D590+D617+D644+D671+D698+D725+D752+D779+D806</f>
        <v>422</v>
      </c>
      <c r="E833" s="40">
        <f t="shared" si="2353"/>
        <v>403</v>
      </c>
      <c r="F833" s="40">
        <f t="shared" si="2353"/>
        <v>76561.876</v>
      </c>
      <c r="G833" s="40">
        <f t="shared" si="2353"/>
        <v>21247</v>
      </c>
      <c r="H833" s="40">
        <f t="shared" si="2353"/>
        <v>39</v>
      </c>
      <c r="I833" s="40">
        <f t="shared" si="2270"/>
        <v>21286</v>
      </c>
      <c r="J833" s="40">
        <f t="shared" ref="J833:K833" si="2354">J23+J50+J77+J104+J131+J158+J185+J212+J239+J266+J293+J320+J347+J374+J401+J428+J455+J482+J509+J536+J563+J590+J617+J644+J671+J698+J725+J752+J779+J806</f>
        <v>30304</v>
      </c>
      <c r="K833" s="40">
        <f t="shared" si="2354"/>
        <v>842</v>
      </c>
      <c r="L833" s="40">
        <f t="shared" si="2319"/>
        <v>31146</v>
      </c>
      <c r="M833" s="40">
        <f t="shared" si="2273"/>
        <v>52432</v>
      </c>
      <c r="N833" s="41">
        <f t="shared" si="2274"/>
        <v>189.9798412</v>
      </c>
      <c r="O833" s="40">
        <f t="shared" si="2275"/>
        <v>81510</v>
      </c>
      <c r="P833" s="42">
        <f t="shared" si="2276"/>
        <v>0.6432584959</v>
      </c>
      <c r="Q833" s="43">
        <v>1.5</v>
      </c>
      <c r="R833" s="42">
        <f t="shared" si="2277"/>
        <v>0.4565544693</v>
      </c>
      <c r="S833" s="44">
        <f t="shared" si="2278"/>
        <v>0.684831704</v>
      </c>
      <c r="T833" s="43">
        <f>F833/43.465</f>
        <v>1761.460393</v>
      </c>
      <c r="U833" s="43">
        <f t="shared" si="2279"/>
        <v>4.370869463</v>
      </c>
      <c r="V833" s="40">
        <f t="shared" si="2280"/>
        <v>130.1042184</v>
      </c>
      <c r="X833" s="96">
        <v>3.0</v>
      </c>
      <c r="Y833" s="96" t="s">
        <v>36</v>
      </c>
      <c r="Z833" s="97">
        <f t="shared" ref="Z833:AK833" si="2355">SUM(D824)</f>
        <v>848</v>
      </c>
      <c r="AA833" s="97">
        <f t="shared" si="2355"/>
        <v>863</v>
      </c>
      <c r="AB833" s="97">
        <f t="shared" si="2355"/>
        <v>157635.802</v>
      </c>
      <c r="AC833" s="97">
        <f t="shared" si="2355"/>
        <v>46422</v>
      </c>
      <c r="AD833" s="97">
        <f t="shared" si="2355"/>
        <v>0</v>
      </c>
      <c r="AE833" s="97">
        <f t="shared" si="2355"/>
        <v>46422</v>
      </c>
      <c r="AF833" s="97">
        <f t="shared" si="2355"/>
        <v>67132</v>
      </c>
      <c r="AG833" s="97">
        <f t="shared" si="2355"/>
        <v>260</v>
      </c>
      <c r="AH833" s="97">
        <f t="shared" si="2355"/>
        <v>67392</v>
      </c>
      <c r="AI833" s="97">
        <f t="shared" si="2355"/>
        <v>113814</v>
      </c>
      <c r="AJ833" s="98">
        <f t="shared" si="2355"/>
        <v>182.6602572</v>
      </c>
      <c r="AK833" s="97">
        <f t="shared" si="2355"/>
        <v>143880</v>
      </c>
      <c r="AL833" s="99">
        <f t="shared" si="2348"/>
        <v>0.7910341952</v>
      </c>
      <c r="AM833" s="97">
        <f t="shared" ref="AM833:AM836" si="2359">SUM(Q824)</f>
        <v>1.5</v>
      </c>
      <c r="AN833" s="99">
        <f t="shared" si="2349"/>
        <v>0.4813373551</v>
      </c>
      <c r="AO833" s="101">
        <f t="shared" si="2350"/>
        <v>0.7220060326</v>
      </c>
      <c r="AP833" s="97">
        <f t="shared" ref="AP833:AQ833" si="2356">SUM(T824)</f>
        <v>4213.283851</v>
      </c>
      <c r="AQ833" s="97">
        <f t="shared" si="2356"/>
        <v>4.88213656</v>
      </c>
      <c r="AR833" s="97">
        <f t="shared" si="2352"/>
        <v>131.8818076</v>
      </c>
      <c r="AS833" s="94">
        <f t="shared" ref="AS833:AS836" si="2361">MAX(M14,M41,M68,M95,M122,M149,M176,M203,M230,M257,M284,M311,M338,M365,M392,M419,M446,M473,M500,M527,M554,M581,M608,M635,M662,M689,M716,M743,M770,M797)</f>
        <v>4155</v>
      </c>
      <c r="AT833" s="95">
        <v>46273.0</v>
      </c>
    </row>
    <row r="834" ht="15.75" customHeight="1">
      <c r="B834" s="60" t="s">
        <v>33</v>
      </c>
      <c r="C834" s="60">
        <v>18.0</v>
      </c>
      <c r="D834" s="61">
        <f t="shared" ref="D834:M834" si="2357">SUM(D816:D833)</f>
        <v>16560</v>
      </c>
      <c r="E834" s="61">
        <f t="shared" si="2357"/>
        <v>16872</v>
      </c>
      <c r="F834" s="62">
        <f t="shared" si="2357"/>
        <v>3280585.954</v>
      </c>
      <c r="G834" s="61">
        <f t="shared" si="2357"/>
        <v>1204118</v>
      </c>
      <c r="H834" s="61">
        <f t="shared" si="2357"/>
        <v>24493</v>
      </c>
      <c r="I834" s="61">
        <f t="shared" si="2357"/>
        <v>1228611</v>
      </c>
      <c r="J834" s="61">
        <f t="shared" si="2357"/>
        <v>1617204</v>
      </c>
      <c r="K834" s="61">
        <f t="shared" si="2357"/>
        <v>30904</v>
      </c>
      <c r="L834" s="61">
        <f t="shared" si="2357"/>
        <v>1648108</v>
      </c>
      <c r="M834" s="61">
        <f t="shared" si="2357"/>
        <v>2876719</v>
      </c>
      <c r="N834" s="62">
        <f t="shared" si="2274"/>
        <v>194.4396606</v>
      </c>
      <c r="O834" s="61">
        <f>SUM(O816:O833)</f>
        <v>3791970</v>
      </c>
      <c r="P834" s="63">
        <f t="shared" si="2276"/>
        <v>0.7586344301</v>
      </c>
      <c r="Q834" s="64">
        <v>1.5</v>
      </c>
      <c r="R834" s="63">
        <f t="shared" si="2277"/>
        <v>0.5845945491</v>
      </c>
      <c r="S834" s="65">
        <f t="shared" si="2278"/>
        <v>0.8768918237</v>
      </c>
      <c r="T834" s="64">
        <f>SUM(T816:T833)</f>
        <v>121070.1299</v>
      </c>
      <c r="U834" s="64">
        <f t="shared" si="2279"/>
        <v>7.175801913</v>
      </c>
      <c r="V834" s="61">
        <f t="shared" si="2280"/>
        <v>170.5025486</v>
      </c>
      <c r="X834" s="96">
        <v>4.0</v>
      </c>
      <c r="Y834" s="96" t="s">
        <v>37</v>
      </c>
      <c r="Z834" s="97">
        <f t="shared" ref="Z834:AK834" si="2358">SUM(D825)</f>
        <v>848</v>
      </c>
      <c r="AA834" s="97">
        <f t="shared" si="2358"/>
        <v>853</v>
      </c>
      <c r="AB834" s="97">
        <f t="shared" si="2358"/>
        <v>166029.012</v>
      </c>
      <c r="AC834" s="97">
        <f t="shared" si="2358"/>
        <v>60268</v>
      </c>
      <c r="AD834" s="97">
        <f t="shared" si="2358"/>
        <v>0</v>
      </c>
      <c r="AE834" s="97">
        <f t="shared" si="2358"/>
        <v>60268</v>
      </c>
      <c r="AF834" s="97">
        <f t="shared" si="2358"/>
        <v>88602</v>
      </c>
      <c r="AG834" s="97">
        <f t="shared" si="2358"/>
        <v>0</v>
      </c>
      <c r="AH834" s="97">
        <f t="shared" si="2358"/>
        <v>88602</v>
      </c>
      <c r="AI834" s="97">
        <f t="shared" si="2358"/>
        <v>148870</v>
      </c>
      <c r="AJ834" s="98">
        <f t="shared" si="2358"/>
        <v>194.6412802</v>
      </c>
      <c r="AK834" s="97">
        <f t="shared" si="2358"/>
        <v>176610</v>
      </c>
      <c r="AL834" s="99">
        <f t="shared" si="2348"/>
        <v>0.8429307514</v>
      </c>
      <c r="AM834" s="97">
        <f t="shared" si="2359"/>
        <v>1.5</v>
      </c>
      <c r="AN834" s="99">
        <f t="shared" si="2349"/>
        <v>0.5977670136</v>
      </c>
      <c r="AO834" s="101">
        <f t="shared" si="2350"/>
        <v>0.8966505203</v>
      </c>
      <c r="AP834" s="97">
        <f t="shared" ref="AP834:AQ834" si="2360">SUM(T825)</f>
        <v>6696.878509</v>
      </c>
      <c r="AQ834" s="97">
        <f t="shared" si="2360"/>
        <v>7.850971289</v>
      </c>
      <c r="AR834" s="97">
        <f t="shared" si="2352"/>
        <v>174.5252052</v>
      </c>
      <c r="AS834" s="94">
        <f t="shared" si="2361"/>
        <v>5317</v>
      </c>
      <c r="AT834" s="95">
        <v>46273.0</v>
      </c>
    </row>
    <row r="835" ht="15.75" customHeight="1"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X835" s="96">
        <v>5.0</v>
      </c>
      <c r="Y835" s="96" t="s">
        <v>39</v>
      </c>
      <c r="Z835" s="97">
        <f t="shared" ref="Z835:AK835" si="2362">SUM(D826)</f>
        <v>788</v>
      </c>
      <c r="AA835" s="97">
        <f t="shared" si="2362"/>
        <v>813</v>
      </c>
      <c r="AB835" s="97">
        <f t="shared" si="2362"/>
        <v>158739.268</v>
      </c>
      <c r="AC835" s="97">
        <f t="shared" si="2362"/>
        <v>38030</v>
      </c>
      <c r="AD835" s="97">
        <f t="shared" si="2362"/>
        <v>620</v>
      </c>
      <c r="AE835" s="97">
        <f t="shared" si="2362"/>
        <v>38650</v>
      </c>
      <c r="AF835" s="97">
        <f t="shared" si="2362"/>
        <v>50258</v>
      </c>
      <c r="AG835" s="97">
        <f t="shared" si="2362"/>
        <v>1585</v>
      </c>
      <c r="AH835" s="97">
        <f t="shared" si="2362"/>
        <v>51843</v>
      </c>
      <c r="AI835" s="97">
        <f t="shared" si="2362"/>
        <v>90493</v>
      </c>
      <c r="AJ835" s="98">
        <f t="shared" si="2362"/>
        <v>195.2512522</v>
      </c>
      <c r="AK835" s="97">
        <f t="shared" si="2362"/>
        <v>107070</v>
      </c>
      <c r="AL835" s="99">
        <f t="shared" si="2348"/>
        <v>0.845176053</v>
      </c>
      <c r="AM835" s="97">
        <f t="shared" si="2359"/>
        <v>1.5</v>
      </c>
      <c r="AN835" s="99">
        <f t="shared" si="2349"/>
        <v>0.3800487896</v>
      </c>
      <c r="AO835" s="101">
        <f t="shared" si="2350"/>
        <v>0.5700731844</v>
      </c>
      <c r="AP835" s="97">
        <f t="shared" ref="AP835:AQ835" si="2363">SUM(T826)</f>
        <v>7395.949681</v>
      </c>
      <c r="AQ835" s="97">
        <f t="shared" si="2363"/>
        <v>9.097109079</v>
      </c>
      <c r="AR835" s="97">
        <f t="shared" si="2352"/>
        <v>111.3075031</v>
      </c>
      <c r="AS835" s="94">
        <f t="shared" si="2361"/>
        <v>3439</v>
      </c>
      <c r="AT835" s="95">
        <v>46273.0</v>
      </c>
    </row>
    <row r="836" ht="15.75" customHeight="1">
      <c r="A836" s="109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X836" s="96">
        <v>6.0</v>
      </c>
      <c r="Y836" s="96" t="s">
        <v>41</v>
      </c>
      <c r="Z836" s="97">
        <f t="shared" ref="Z836:AK836" si="2364">SUM(D827)</f>
        <v>684</v>
      </c>
      <c r="AA836" s="97">
        <f t="shared" si="2364"/>
        <v>711</v>
      </c>
      <c r="AB836" s="97">
        <f t="shared" si="2364"/>
        <v>141602.088</v>
      </c>
      <c r="AC836" s="97">
        <f t="shared" si="2364"/>
        <v>39640</v>
      </c>
      <c r="AD836" s="97">
        <f t="shared" si="2364"/>
        <v>103</v>
      </c>
      <c r="AE836" s="97">
        <f t="shared" si="2364"/>
        <v>39743</v>
      </c>
      <c r="AF836" s="97">
        <f t="shared" si="2364"/>
        <v>49241</v>
      </c>
      <c r="AG836" s="97">
        <f t="shared" si="2364"/>
        <v>0</v>
      </c>
      <c r="AH836" s="97">
        <f t="shared" si="2364"/>
        <v>49241</v>
      </c>
      <c r="AI836" s="97">
        <f t="shared" si="2364"/>
        <v>88984</v>
      </c>
      <c r="AJ836" s="98">
        <f t="shared" si="2364"/>
        <v>199.1590549</v>
      </c>
      <c r="AK836" s="97">
        <f t="shared" si="2364"/>
        <v>114030</v>
      </c>
      <c r="AL836" s="99">
        <f t="shared" si="2348"/>
        <v>0.7803560467</v>
      </c>
      <c r="AM836" s="97">
        <f t="shared" si="2359"/>
        <v>1.5</v>
      </c>
      <c r="AN836" s="99">
        <f t="shared" si="2349"/>
        <v>0.4189392085</v>
      </c>
      <c r="AO836" s="101">
        <f t="shared" si="2350"/>
        <v>0.6284088127</v>
      </c>
      <c r="AP836" s="97">
        <f t="shared" ref="AP836:AQ836" si="2365">SUM(T827)</f>
        <v>4779.333333</v>
      </c>
      <c r="AQ836" s="97">
        <f t="shared" si="2365"/>
        <v>6.721987811</v>
      </c>
      <c r="AR836" s="97">
        <f t="shared" si="2352"/>
        <v>125.1533052</v>
      </c>
      <c r="AS836" s="94">
        <f t="shared" si="2361"/>
        <v>3181</v>
      </c>
      <c r="AT836" s="95">
        <v>46273.0</v>
      </c>
    </row>
    <row r="837" ht="15.75" customHeight="1">
      <c r="A837" s="1" t="s">
        <v>45</v>
      </c>
      <c r="D837" s="2"/>
      <c r="X837" s="68" t="s">
        <v>33</v>
      </c>
      <c r="Y837" s="68">
        <v>6.0</v>
      </c>
      <c r="Z837" s="102">
        <f t="shared" ref="Z837:AI837" si="2366">SUM(Z831:Z836)</f>
        <v>4916</v>
      </c>
      <c r="AA837" s="102">
        <f t="shared" si="2366"/>
        <v>5028</v>
      </c>
      <c r="AB837" s="102">
        <f t="shared" si="2366"/>
        <v>969786.833</v>
      </c>
      <c r="AC837" s="102">
        <f t="shared" si="2366"/>
        <v>375840</v>
      </c>
      <c r="AD837" s="102">
        <f t="shared" si="2366"/>
        <v>791</v>
      </c>
      <c r="AE837" s="102">
        <f t="shared" si="2366"/>
        <v>376631</v>
      </c>
      <c r="AF837" s="102">
        <f t="shared" si="2366"/>
        <v>496564</v>
      </c>
      <c r="AG837" s="102">
        <f t="shared" si="2366"/>
        <v>5566</v>
      </c>
      <c r="AH837" s="102">
        <f t="shared" si="2366"/>
        <v>502130</v>
      </c>
      <c r="AI837" s="102">
        <f t="shared" si="2366"/>
        <v>878761</v>
      </c>
      <c r="AJ837" s="103">
        <f>AB837/AA837</f>
        <v>192.877254</v>
      </c>
      <c r="AK837" s="102">
        <f>SUM(AK831:AK836)</f>
        <v>1110930</v>
      </c>
      <c r="AL837" s="104">
        <f t="shared" si="2348"/>
        <v>0.7910138353</v>
      </c>
      <c r="AM837" s="105">
        <v>1.5</v>
      </c>
      <c r="AN837" s="104">
        <f t="shared" si="2349"/>
        <v>0.6040922054</v>
      </c>
      <c r="AO837" s="106">
        <f t="shared" si="2350"/>
        <v>0.906138308</v>
      </c>
      <c r="AP837" s="105">
        <f>SUM(AP831:AP836)</f>
        <v>40176.10124</v>
      </c>
      <c r="AQ837" s="105">
        <f>AP837/AA837</f>
        <v>7.990473595</v>
      </c>
      <c r="AR837" s="102">
        <f t="shared" si="2352"/>
        <v>174.7734686</v>
      </c>
      <c r="AS837" s="107">
        <f>MAX(M24,M51,M78,M105,M132,M159,M186,M213,M240,M267,M294,M321,M348,M375,M402,M429,M456,M483,M510,M537,M564,M591,M618,M645,M672,M699,M726,M753,M780,M807)</f>
        <v>101769</v>
      </c>
      <c r="AT837" s="108">
        <v>46284.0</v>
      </c>
    </row>
    <row r="838" ht="15.75" customHeight="1">
      <c r="A838" s="110"/>
      <c r="D838" s="111" t="s">
        <v>49</v>
      </c>
      <c r="E838" s="112"/>
      <c r="F838" s="112"/>
      <c r="G838" s="112"/>
      <c r="H838" s="112"/>
      <c r="I838" s="112"/>
      <c r="J838" s="112"/>
      <c r="K838" s="112"/>
      <c r="L838" s="112"/>
      <c r="M838" s="112"/>
      <c r="N838" s="112"/>
      <c r="O838" s="112"/>
      <c r="P838" s="113"/>
      <c r="Q838" s="110"/>
    </row>
    <row r="839" ht="15.75" customHeight="1">
      <c r="D839" s="114"/>
      <c r="P839" s="115"/>
    </row>
    <row r="840" ht="15.75" customHeight="1">
      <c r="D840" s="116"/>
      <c r="E840" s="117"/>
      <c r="F840" s="117"/>
      <c r="G840" s="117"/>
      <c r="H840" s="117"/>
      <c r="I840" s="117"/>
      <c r="J840" s="117"/>
      <c r="K840" s="117"/>
      <c r="L840" s="117"/>
      <c r="M840" s="117"/>
      <c r="N840" s="117"/>
      <c r="O840" s="117"/>
      <c r="P840" s="118"/>
    </row>
    <row r="841" ht="15.75" customHeight="1">
      <c r="D841" s="119" t="s">
        <v>3</v>
      </c>
      <c r="E841" s="112"/>
      <c r="F841" s="112"/>
      <c r="G841" s="112"/>
      <c r="H841" s="112"/>
      <c r="I841" s="112"/>
      <c r="J841" s="113"/>
      <c r="K841" s="120" t="s">
        <v>50</v>
      </c>
      <c r="L841" s="112"/>
      <c r="M841" s="112"/>
      <c r="N841" s="112"/>
      <c r="O841" s="112"/>
      <c r="P841" s="113"/>
    </row>
    <row r="842" ht="15.75" customHeight="1">
      <c r="D842" s="116"/>
      <c r="E842" s="117"/>
      <c r="F842" s="117"/>
      <c r="G842" s="117"/>
      <c r="H842" s="117"/>
      <c r="I842" s="117"/>
      <c r="J842" s="118"/>
      <c r="K842" s="116"/>
      <c r="L842" s="117"/>
      <c r="M842" s="117"/>
      <c r="N842" s="117"/>
      <c r="O842" s="117"/>
      <c r="P842" s="118"/>
    </row>
    <row r="843" ht="15.75" customHeight="1">
      <c r="D843" s="121" t="s">
        <v>51</v>
      </c>
      <c r="E843" s="122"/>
      <c r="F843" s="122"/>
      <c r="G843" s="122"/>
      <c r="H843" s="122"/>
      <c r="I843" s="122"/>
      <c r="J843" s="123"/>
      <c r="K843" s="124">
        <v>14.415</v>
      </c>
      <c r="L843" s="122"/>
      <c r="M843" s="122"/>
      <c r="N843" s="122"/>
      <c r="O843" s="122"/>
      <c r="P843" s="123"/>
    </row>
    <row r="844" ht="15.75" customHeight="1">
      <c r="D844" s="121" t="s">
        <v>52</v>
      </c>
      <c r="E844" s="122"/>
      <c r="F844" s="122"/>
      <c r="G844" s="122"/>
      <c r="H844" s="122"/>
      <c r="I844" s="122"/>
      <c r="J844" s="123"/>
      <c r="K844" s="121">
        <v>30.897</v>
      </c>
      <c r="L844" s="122"/>
      <c r="M844" s="122"/>
      <c r="N844" s="122"/>
      <c r="O844" s="122"/>
      <c r="P844" s="123"/>
    </row>
    <row r="845" ht="15.75" customHeight="1">
      <c r="D845" s="121" t="s">
        <v>53</v>
      </c>
      <c r="E845" s="122"/>
      <c r="F845" s="122"/>
      <c r="G845" s="122"/>
      <c r="H845" s="122"/>
      <c r="I845" s="122"/>
      <c r="J845" s="123"/>
      <c r="K845" s="121">
        <v>29.603</v>
      </c>
      <c r="L845" s="122"/>
      <c r="M845" s="122"/>
      <c r="N845" s="122"/>
      <c r="O845" s="122"/>
      <c r="P845" s="123"/>
    </row>
    <row r="846" ht="15.75" customHeight="1">
      <c r="D846" s="121" t="s">
        <v>54</v>
      </c>
      <c r="E846" s="122"/>
      <c r="F846" s="122"/>
      <c r="G846" s="122"/>
      <c r="H846" s="122"/>
      <c r="I846" s="122"/>
      <c r="J846" s="123"/>
      <c r="K846" s="121">
        <v>25.089</v>
      </c>
      <c r="L846" s="122"/>
      <c r="M846" s="122"/>
      <c r="N846" s="122"/>
      <c r="O846" s="122"/>
      <c r="P846" s="123"/>
    </row>
    <row r="847" ht="15.75" customHeight="1">
      <c r="D847" s="121" t="s">
        <v>55</v>
      </c>
      <c r="E847" s="122"/>
      <c r="F847" s="122"/>
      <c r="G847" s="122"/>
      <c r="H847" s="122"/>
      <c r="I847" s="122"/>
      <c r="J847" s="123"/>
      <c r="K847" s="121">
        <v>28.347</v>
      </c>
      <c r="L847" s="122"/>
      <c r="M847" s="122"/>
      <c r="N847" s="122"/>
      <c r="O847" s="122"/>
      <c r="P847" s="123"/>
    </row>
    <row r="848" ht="15.75" customHeight="1">
      <c r="D848" s="121" t="s">
        <v>56</v>
      </c>
      <c r="E848" s="122"/>
      <c r="F848" s="122"/>
      <c r="G848" s="122"/>
      <c r="H848" s="122"/>
      <c r="I848" s="122"/>
      <c r="J848" s="123"/>
      <c r="K848" s="121">
        <v>33.74</v>
      </c>
      <c r="L848" s="122"/>
      <c r="M848" s="122"/>
      <c r="N848" s="122"/>
      <c r="O848" s="122"/>
      <c r="P848" s="123"/>
    </row>
    <row r="849" ht="15.75" customHeight="1">
      <c r="D849" s="121" t="s">
        <v>57</v>
      </c>
      <c r="E849" s="122"/>
      <c r="F849" s="122"/>
      <c r="G849" s="122"/>
      <c r="H849" s="122"/>
      <c r="I849" s="122"/>
      <c r="J849" s="123"/>
      <c r="K849" s="121">
        <v>26.805</v>
      </c>
      <c r="L849" s="122"/>
      <c r="M849" s="122"/>
      <c r="N849" s="122"/>
      <c r="O849" s="122"/>
      <c r="P849" s="123"/>
    </row>
    <row r="850" ht="15.75" customHeight="1">
      <c r="D850" s="121" t="s">
        <v>58</v>
      </c>
      <c r="E850" s="122"/>
      <c r="F850" s="122"/>
      <c r="G850" s="122"/>
      <c r="H850" s="122"/>
      <c r="I850" s="122"/>
      <c r="J850" s="123"/>
      <c r="K850" s="121">
        <v>23.84</v>
      </c>
      <c r="L850" s="122"/>
      <c r="M850" s="122"/>
      <c r="N850" s="122"/>
      <c r="O850" s="122"/>
      <c r="P850" s="123"/>
    </row>
    <row r="851" ht="15.75" customHeight="1">
      <c r="D851" s="121" t="s">
        <v>59</v>
      </c>
      <c r="E851" s="122"/>
      <c r="F851" s="122"/>
      <c r="G851" s="122"/>
      <c r="H851" s="122"/>
      <c r="I851" s="122"/>
      <c r="J851" s="123"/>
      <c r="K851" s="121">
        <v>37.414</v>
      </c>
      <c r="L851" s="122"/>
      <c r="M851" s="122"/>
      <c r="N851" s="122"/>
      <c r="O851" s="122"/>
      <c r="P851" s="123"/>
    </row>
    <row r="852" ht="15.75" customHeight="1">
      <c r="D852" s="121" t="s">
        <v>60</v>
      </c>
      <c r="E852" s="122"/>
      <c r="F852" s="122"/>
      <c r="G852" s="122"/>
      <c r="H852" s="122"/>
      <c r="I852" s="122"/>
      <c r="J852" s="123"/>
      <c r="K852" s="121">
        <v>24.792</v>
      </c>
      <c r="L852" s="122"/>
      <c r="M852" s="122"/>
      <c r="N852" s="122"/>
      <c r="O852" s="122"/>
      <c r="P852" s="123"/>
    </row>
    <row r="853" ht="15.75" customHeight="1">
      <c r="D853" s="121" t="s">
        <v>61</v>
      </c>
      <c r="E853" s="122"/>
      <c r="F853" s="122"/>
      <c r="G853" s="122"/>
      <c r="H853" s="122"/>
      <c r="I853" s="122"/>
      <c r="J853" s="123"/>
      <c r="K853" s="121">
        <v>21.463</v>
      </c>
      <c r="L853" s="122"/>
      <c r="M853" s="122"/>
      <c r="N853" s="122"/>
      <c r="O853" s="122"/>
      <c r="P853" s="123"/>
    </row>
    <row r="854" ht="15.75" customHeight="1">
      <c r="D854" s="121" t="s">
        <v>62</v>
      </c>
      <c r="E854" s="122"/>
      <c r="F854" s="122"/>
      <c r="G854" s="122"/>
      <c r="H854" s="122"/>
      <c r="I854" s="122"/>
      <c r="J854" s="123"/>
      <c r="K854" s="121">
        <v>29.628</v>
      </c>
      <c r="L854" s="122"/>
      <c r="M854" s="122"/>
      <c r="N854" s="122"/>
      <c r="O854" s="122"/>
      <c r="P854" s="123"/>
    </row>
    <row r="855" ht="15.75" customHeight="1">
      <c r="D855" s="121" t="s">
        <v>63</v>
      </c>
      <c r="E855" s="122"/>
      <c r="F855" s="122"/>
      <c r="G855" s="122"/>
      <c r="H855" s="122"/>
      <c r="I855" s="122"/>
      <c r="J855" s="123"/>
      <c r="K855" s="121">
        <v>41.205</v>
      </c>
      <c r="L855" s="122"/>
      <c r="M855" s="122"/>
      <c r="N855" s="122"/>
      <c r="O855" s="122"/>
      <c r="P855" s="123"/>
    </row>
    <row r="856" ht="15.75" customHeight="1">
      <c r="D856" s="121" t="s">
        <v>64</v>
      </c>
      <c r="E856" s="122"/>
      <c r="F856" s="122"/>
      <c r="G856" s="122"/>
      <c r="H856" s="122"/>
      <c r="I856" s="122"/>
      <c r="J856" s="123"/>
      <c r="K856" s="121">
        <v>19.985</v>
      </c>
      <c r="L856" s="122"/>
      <c r="M856" s="122"/>
      <c r="N856" s="122"/>
      <c r="O856" s="122"/>
      <c r="P856" s="123"/>
    </row>
    <row r="857" ht="15.75" customHeight="1">
      <c r="D857" s="121" t="s">
        <v>65</v>
      </c>
      <c r="E857" s="122"/>
      <c r="F857" s="122"/>
      <c r="G857" s="122"/>
      <c r="H857" s="122"/>
      <c r="I857" s="122"/>
      <c r="J857" s="123"/>
      <c r="K857" s="121">
        <v>28.443</v>
      </c>
      <c r="L857" s="122"/>
      <c r="M857" s="122"/>
      <c r="N857" s="122"/>
      <c r="O857" s="122"/>
      <c r="P857" s="123"/>
    </row>
    <row r="858" ht="15.75" customHeight="1">
      <c r="D858" s="121" t="s">
        <v>66</v>
      </c>
      <c r="E858" s="122"/>
      <c r="F858" s="122"/>
      <c r="G858" s="122"/>
      <c r="H858" s="122"/>
      <c r="I858" s="122"/>
      <c r="J858" s="123"/>
      <c r="K858" s="121">
        <v>26.155</v>
      </c>
      <c r="L858" s="122"/>
      <c r="M858" s="122"/>
      <c r="N858" s="122"/>
      <c r="O858" s="122"/>
      <c r="P858" s="123"/>
    </row>
    <row r="859" ht="15.75" customHeight="1">
      <c r="D859" s="121" t="s">
        <v>67</v>
      </c>
      <c r="E859" s="122"/>
      <c r="F859" s="122"/>
      <c r="G859" s="122"/>
      <c r="H859" s="122"/>
      <c r="I859" s="122"/>
      <c r="J859" s="123"/>
      <c r="K859" s="125">
        <v>26.491</v>
      </c>
      <c r="L859" s="122"/>
      <c r="M859" s="122"/>
      <c r="N859" s="122"/>
      <c r="O859" s="122"/>
      <c r="P859" s="123"/>
    </row>
    <row r="860" ht="15.75" customHeight="1">
      <c r="D860" s="121" t="s">
        <v>68</v>
      </c>
      <c r="E860" s="122"/>
      <c r="F860" s="122"/>
      <c r="G860" s="122"/>
      <c r="H860" s="122"/>
      <c r="I860" s="122"/>
      <c r="J860" s="123"/>
      <c r="K860" s="121">
        <v>43.465</v>
      </c>
      <c r="L860" s="122"/>
      <c r="M860" s="122"/>
      <c r="N860" s="122"/>
      <c r="O860" s="122"/>
      <c r="P860" s="123"/>
    </row>
    <row r="861" ht="15.75" customHeight="1">
      <c r="D861" s="126" t="s">
        <v>69</v>
      </c>
      <c r="E861" s="112"/>
      <c r="F861" s="112"/>
      <c r="G861" s="112"/>
      <c r="H861" s="112"/>
      <c r="I861" s="112"/>
      <c r="J861" s="112"/>
      <c r="K861" s="112"/>
      <c r="L861" s="112"/>
      <c r="M861" s="112"/>
      <c r="N861" s="112"/>
      <c r="O861" s="112"/>
      <c r="P861" s="113"/>
    </row>
    <row r="862" ht="15.75" customHeight="1">
      <c r="D862" s="114"/>
      <c r="P862" s="115"/>
    </row>
    <row r="863" ht="15.75" customHeight="1">
      <c r="D863" s="116"/>
      <c r="E863" s="117"/>
      <c r="F863" s="117"/>
      <c r="G863" s="117"/>
      <c r="H863" s="117"/>
      <c r="I863" s="117"/>
      <c r="J863" s="117"/>
      <c r="K863" s="117"/>
      <c r="L863" s="117"/>
      <c r="M863" s="117"/>
      <c r="N863" s="117"/>
      <c r="O863" s="117"/>
      <c r="P863" s="118"/>
    </row>
    <row r="864" ht="15.75" customHeight="1">
      <c r="D864" s="127" t="s">
        <v>3</v>
      </c>
      <c r="E864" s="112"/>
      <c r="F864" s="112"/>
      <c r="G864" s="112"/>
      <c r="H864" s="112"/>
      <c r="I864" s="112"/>
      <c r="J864" s="113"/>
      <c r="K864" s="128" t="s">
        <v>70</v>
      </c>
      <c r="L864" s="112"/>
      <c r="M864" s="112"/>
      <c r="N864" s="112"/>
      <c r="O864" s="112"/>
      <c r="P864" s="113"/>
    </row>
    <row r="865" ht="15.75" customHeight="1">
      <c r="D865" s="116"/>
      <c r="E865" s="117"/>
      <c r="F865" s="117"/>
      <c r="G865" s="117"/>
      <c r="H865" s="117"/>
      <c r="I865" s="117"/>
      <c r="J865" s="118"/>
      <c r="K865" s="116"/>
      <c r="L865" s="117"/>
      <c r="M865" s="117"/>
      <c r="N865" s="117"/>
      <c r="O865" s="117"/>
      <c r="P865" s="118"/>
    </row>
    <row r="866" ht="15.75" customHeight="1">
      <c r="D866" s="121" t="s">
        <v>51</v>
      </c>
      <c r="E866" s="122"/>
      <c r="F866" s="122"/>
      <c r="G866" s="122"/>
      <c r="H866" s="122"/>
      <c r="I866" s="122"/>
      <c r="J866" s="123"/>
      <c r="K866" s="124" t="s">
        <v>71</v>
      </c>
      <c r="L866" s="122"/>
      <c r="M866" s="122"/>
      <c r="N866" s="122"/>
      <c r="O866" s="122"/>
      <c r="P866" s="123"/>
    </row>
    <row r="867" ht="15.75" customHeight="1">
      <c r="D867" s="121" t="s">
        <v>52</v>
      </c>
      <c r="E867" s="122"/>
      <c r="F867" s="122"/>
      <c r="G867" s="122"/>
      <c r="H867" s="122"/>
      <c r="I867" s="122"/>
      <c r="J867" s="123"/>
      <c r="K867" s="124" t="s">
        <v>72</v>
      </c>
      <c r="L867" s="122"/>
      <c r="M867" s="122"/>
      <c r="N867" s="122"/>
      <c r="O867" s="122"/>
      <c r="P867" s="123"/>
    </row>
    <row r="868" ht="15.75" customHeight="1">
      <c r="D868" s="121" t="s">
        <v>53</v>
      </c>
      <c r="E868" s="122"/>
      <c r="F868" s="122"/>
      <c r="G868" s="122"/>
      <c r="H868" s="122"/>
      <c r="I868" s="122"/>
      <c r="J868" s="123"/>
      <c r="K868" s="124" t="s">
        <v>72</v>
      </c>
      <c r="L868" s="122"/>
      <c r="M868" s="122"/>
      <c r="N868" s="122"/>
      <c r="O868" s="122"/>
      <c r="P868" s="123"/>
    </row>
    <row r="869" ht="15.75" customHeight="1">
      <c r="D869" s="121" t="s">
        <v>54</v>
      </c>
      <c r="E869" s="122"/>
      <c r="F869" s="122"/>
      <c r="G869" s="122"/>
      <c r="H869" s="122"/>
      <c r="I869" s="122"/>
      <c r="J869" s="123"/>
      <c r="K869" s="124" t="s">
        <v>73</v>
      </c>
      <c r="L869" s="122"/>
      <c r="M869" s="122"/>
      <c r="N869" s="122"/>
      <c r="O869" s="122"/>
      <c r="P869" s="123"/>
    </row>
    <row r="870" ht="15.75" customHeight="1">
      <c r="D870" s="121" t="s">
        <v>55</v>
      </c>
      <c r="E870" s="122"/>
      <c r="F870" s="122"/>
      <c r="G870" s="122"/>
      <c r="H870" s="122"/>
      <c r="I870" s="122"/>
      <c r="J870" s="123"/>
      <c r="K870" s="124" t="s">
        <v>74</v>
      </c>
      <c r="L870" s="122"/>
      <c r="M870" s="122"/>
      <c r="N870" s="122"/>
      <c r="O870" s="122"/>
      <c r="P870" s="123"/>
    </row>
    <row r="871" ht="15.75" customHeight="1">
      <c r="D871" s="121" t="s">
        <v>56</v>
      </c>
      <c r="E871" s="122"/>
      <c r="F871" s="122"/>
      <c r="G871" s="122"/>
      <c r="H871" s="122"/>
      <c r="I871" s="122"/>
      <c r="J871" s="123"/>
      <c r="K871" s="124" t="s">
        <v>74</v>
      </c>
      <c r="L871" s="122"/>
      <c r="M871" s="122"/>
      <c r="N871" s="122"/>
      <c r="O871" s="122"/>
      <c r="P871" s="123"/>
    </row>
    <row r="872" ht="15.75" customHeight="1">
      <c r="D872" s="121" t="s">
        <v>75</v>
      </c>
      <c r="E872" s="122"/>
      <c r="F872" s="122"/>
      <c r="G872" s="122"/>
      <c r="H872" s="122"/>
      <c r="I872" s="122"/>
      <c r="J872" s="123"/>
      <c r="K872" s="124" t="s">
        <v>74</v>
      </c>
      <c r="L872" s="122"/>
      <c r="M872" s="122"/>
      <c r="N872" s="122"/>
      <c r="O872" s="122"/>
      <c r="P872" s="123"/>
    </row>
    <row r="873" ht="15.75" customHeight="1">
      <c r="D873" s="121" t="s">
        <v>58</v>
      </c>
      <c r="E873" s="122"/>
      <c r="F873" s="122"/>
      <c r="G873" s="122"/>
      <c r="H873" s="122"/>
      <c r="I873" s="122"/>
      <c r="J873" s="123"/>
      <c r="K873" s="124" t="s">
        <v>74</v>
      </c>
      <c r="L873" s="122"/>
      <c r="M873" s="122"/>
      <c r="N873" s="122"/>
      <c r="O873" s="122"/>
      <c r="P873" s="123"/>
    </row>
    <row r="874" ht="15.75" customHeight="1">
      <c r="D874" s="121" t="s">
        <v>76</v>
      </c>
      <c r="E874" s="122"/>
      <c r="F874" s="122"/>
      <c r="G874" s="122"/>
      <c r="H874" s="122"/>
      <c r="I874" s="122"/>
      <c r="J874" s="123"/>
      <c r="K874" s="124" t="s">
        <v>77</v>
      </c>
      <c r="L874" s="122"/>
      <c r="M874" s="122"/>
      <c r="N874" s="122"/>
      <c r="O874" s="122"/>
      <c r="P874" s="123"/>
    </row>
    <row r="875" ht="15.75" customHeight="1">
      <c r="D875" s="121" t="s">
        <v>60</v>
      </c>
      <c r="E875" s="122"/>
      <c r="F875" s="122"/>
      <c r="G875" s="122"/>
      <c r="H875" s="122"/>
      <c r="I875" s="122"/>
      <c r="J875" s="123"/>
      <c r="K875" s="124" t="s">
        <v>72</v>
      </c>
      <c r="L875" s="122"/>
      <c r="M875" s="122"/>
      <c r="N875" s="122"/>
      <c r="O875" s="122"/>
      <c r="P875" s="123"/>
    </row>
    <row r="876" ht="15.75" customHeight="1">
      <c r="D876" s="121" t="s">
        <v>61</v>
      </c>
      <c r="E876" s="122"/>
      <c r="F876" s="122"/>
      <c r="G876" s="122"/>
      <c r="H876" s="122"/>
      <c r="I876" s="122"/>
      <c r="J876" s="123"/>
      <c r="K876" s="124" t="s">
        <v>73</v>
      </c>
      <c r="L876" s="122"/>
      <c r="M876" s="122"/>
      <c r="N876" s="122"/>
      <c r="O876" s="122"/>
      <c r="P876" s="123"/>
    </row>
    <row r="877" ht="15.75" customHeight="1">
      <c r="D877" s="121" t="s">
        <v>62</v>
      </c>
      <c r="E877" s="122"/>
      <c r="F877" s="122"/>
      <c r="G877" s="122"/>
      <c r="H877" s="122"/>
      <c r="I877" s="122"/>
      <c r="J877" s="123"/>
      <c r="K877" s="124" t="s">
        <v>78</v>
      </c>
      <c r="L877" s="122"/>
      <c r="M877" s="122"/>
      <c r="N877" s="122"/>
      <c r="O877" s="122"/>
      <c r="P877" s="123"/>
    </row>
    <row r="878" ht="15.75" customHeight="1">
      <c r="D878" s="121" t="s">
        <v>79</v>
      </c>
      <c r="E878" s="122"/>
      <c r="F878" s="122"/>
      <c r="G878" s="122"/>
      <c r="H878" s="122"/>
      <c r="I878" s="122"/>
      <c r="J878" s="123"/>
      <c r="K878" s="124" t="s">
        <v>80</v>
      </c>
      <c r="L878" s="122"/>
      <c r="M878" s="122"/>
      <c r="N878" s="122"/>
      <c r="O878" s="122"/>
      <c r="P878" s="123"/>
    </row>
    <row r="879" ht="15.75" customHeight="1">
      <c r="D879" s="121" t="s">
        <v>64</v>
      </c>
      <c r="E879" s="122"/>
      <c r="F879" s="122"/>
      <c r="G879" s="122"/>
      <c r="H879" s="122"/>
      <c r="I879" s="122"/>
      <c r="J879" s="123"/>
      <c r="K879" s="124" t="s">
        <v>74</v>
      </c>
      <c r="L879" s="122"/>
      <c r="M879" s="122"/>
      <c r="N879" s="122"/>
      <c r="O879" s="122"/>
      <c r="P879" s="123"/>
    </row>
    <row r="880" ht="15.75" customHeight="1">
      <c r="D880" s="121" t="s">
        <v>65</v>
      </c>
      <c r="E880" s="122"/>
      <c r="F880" s="122"/>
      <c r="G880" s="122"/>
      <c r="H880" s="122"/>
      <c r="I880" s="122"/>
      <c r="J880" s="123"/>
      <c r="K880" s="124" t="s">
        <v>72</v>
      </c>
      <c r="L880" s="122"/>
      <c r="M880" s="122"/>
      <c r="N880" s="122"/>
      <c r="O880" s="122"/>
      <c r="P880" s="123"/>
    </row>
    <row r="881" ht="15.75" customHeight="1">
      <c r="D881" s="121" t="s">
        <v>66</v>
      </c>
      <c r="E881" s="122"/>
      <c r="F881" s="122"/>
      <c r="G881" s="122"/>
      <c r="H881" s="122"/>
      <c r="I881" s="122"/>
      <c r="J881" s="123"/>
      <c r="K881" s="124" t="s">
        <v>74</v>
      </c>
      <c r="L881" s="122"/>
      <c r="M881" s="122"/>
      <c r="N881" s="122"/>
      <c r="O881" s="122"/>
      <c r="P881" s="123"/>
    </row>
    <row r="882" ht="15.75" customHeight="1">
      <c r="D882" s="121" t="s">
        <v>67</v>
      </c>
      <c r="E882" s="122"/>
      <c r="F882" s="122"/>
      <c r="G882" s="122"/>
      <c r="H882" s="122"/>
      <c r="I882" s="122"/>
      <c r="J882" s="123"/>
      <c r="K882" s="124" t="s">
        <v>74</v>
      </c>
      <c r="L882" s="122"/>
      <c r="M882" s="122"/>
      <c r="N882" s="122"/>
      <c r="O882" s="122"/>
      <c r="P882" s="123"/>
    </row>
    <row r="883" ht="15.75" customHeight="1">
      <c r="D883" s="121" t="s">
        <v>68</v>
      </c>
      <c r="E883" s="122"/>
      <c r="F883" s="122"/>
      <c r="G883" s="122"/>
      <c r="H883" s="122"/>
      <c r="I883" s="122"/>
      <c r="J883" s="123"/>
      <c r="K883" s="124" t="s">
        <v>80</v>
      </c>
      <c r="L883" s="122"/>
      <c r="M883" s="122"/>
      <c r="N883" s="122"/>
      <c r="O883" s="122"/>
      <c r="P883" s="123"/>
    </row>
    <row r="884">
      <c r="D884" s="110"/>
    </row>
  </sheetData>
  <mergeCells count="1633"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P78:P80"/>
    <mergeCell ref="Q78:Q80"/>
    <mergeCell ref="I78:I80"/>
    <mergeCell ref="J78:J80"/>
    <mergeCell ref="K78:K80"/>
    <mergeCell ref="L78:L80"/>
    <mergeCell ref="M78:M80"/>
    <mergeCell ref="N78:N80"/>
    <mergeCell ref="O78:O80"/>
    <mergeCell ref="R51:R53"/>
    <mergeCell ref="S51:S53"/>
    <mergeCell ref="R78:R80"/>
    <mergeCell ref="S78:S80"/>
    <mergeCell ref="T78:T80"/>
    <mergeCell ref="U78:U80"/>
    <mergeCell ref="V78:V80"/>
    <mergeCell ref="T51:T53"/>
    <mergeCell ref="U51:U53"/>
    <mergeCell ref="V56:V59"/>
    <mergeCell ref="V51:V53"/>
    <mergeCell ref="A54:C54"/>
    <mergeCell ref="D54:V54"/>
    <mergeCell ref="A55:C55"/>
    <mergeCell ref="D55:V55"/>
    <mergeCell ref="A1:C1"/>
    <mergeCell ref="A56:A80"/>
    <mergeCell ref="B56:B59"/>
    <mergeCell ref="C56:C59"/>
    <mergeCell ref="B78:B80"/>
    <mergeCell ref="C78:C80"/>
    <mergeCell ref="F56:F59"/>
    <mergeCell ref="G56:G59"/>
    <mergeCell ref="D56:D59"/>
    <mergeCell ref="E56:E59"/>
    <mergeCell ref="D78:D80"/>
    <mergeCell ref="E78:E80"/>
    <mergeCell ref="F78:F80"/>
    <mergeCell ref="G78:G80"/>
    <mergeCell ref="H78:H80"/>
    <mergeCell ref="X37:AR37"/>
    <mergeCell ref="X46:AR46"/>
    <mergeCell ref="X64:AR64"/>
    <mergeCell ref="X73:AR73"/>
    <mergeCell ref="D81:V81"/>
    <mergeCell ref="D82:V82"/>
    <mergeCell ref="X82:AR82"/>
    <mergeCell ref="R83:R86"/>
    <mergeCell ref="S83:S86"/>
    <mergeCell ref="T83:T86"/>
    <mergeCell ref="U83:U86"/>
    <mergeCell ref="V83:V86"/>
    <mergeCell ref="R105:R107"/>
    <mergeCell ref="S105:S107"/>
    <mergeCell ref="T105:T107"/>
    <mergeCell ref="U105:U107"/>
    <mergeCell ref="V105:V107"/>
    <mergeCell ref="D108:V108"/>
    <mergeCell ref="D109:V109"/>
    <mergeCell ref="X109:AR109"/>
    <mergeCell ref="P51:P53"/>
    <mergeCell ref="Q51:Q53"/>
    <mergeCell ref="I51:I53"/>
    <mergeCell ref="J51:J53"/>
    <mergeCell ref="K51:K53"/>
    <mergeCell ref="L51:L53"/>
    <mergeCell ref="M51:M53"/>
    <mergeCell ref="N51:N53"/>
    <mergeCell ref="O51:O53"/>
    <mergeCell ref="M83:M86"/>
    <mergeCell ref="N83:N86"/>
    <mergeCell ref="O83:O86"/>
    <mergeCell ref="P83:P86"/>
    <mergeCell ref="Q83:Q86"/>
    <mergeCell ref="F83:F86"/>
    <mergeCell ref="G83:G86"/>
    <mergeCell ref="H83:H86"/>
    <mergeCell ref="I83:I86"/>
    <mergeCell ref="J83:J86"/>
    <mergeCell ref="K83:K86"/>
    <mergeCell ref="L83:L86"/>
    <mergeCell ref="K105:K107"/>
    <mergeCell ref="L105:L107"/>
    <mergeCell ref="M105:M107"/>
    <mergeCell ref="N105:N107"/>
    <mergeCell ref="O105:O107"/>
    <mergeCell ref="P105:P107"/>
    <mergeCell ref="Q105:Q107"/>
    <mergeCell ref="D105:D107"/>
    <mergeCell ref="E105:E107"/>
    <mergeCell ref="F105:F107"/>
    <mergeCell ref="G105:G107"/>
    <mergeCell ref="H105:H107"/>
    <mergeCell ref="I105:I107"/>
    <mergeCell ref="J105:J107"/>
    <mergeCell ref="A108:C108"/>
    <mergeCell ref="A109:C109"/>
    <mergeCell ref="N186:N188"/>
    <mergeCell ref="O186:O188"/>
    <mergeCell ref="P186:P188"/>
    <mergeCell ref="Q186:Q188"/>
    <mergeCell ref="R186:R188"/>
    <mergeCell ref="S186:S188"/>
    <mergeCell ref="T186:T188"/>
    <mergeCell ref="U186:U188"/>
    <mergeCell ref="V186:V188"/>
    <mergeCell ref="D189:V189"/>
    <mergeCell ref="D190:V190"/>
    <mergeCell ref="X190:AR190"/>
    <mergeCell ref="D191:D194"/>
    <mergeCell ref="E191:E194"/>
    <mergeCell ref="F191:F194"/>
    <mergeCell ref="G191:G194"/>
    <mergeCell ref="H191:H194"/>
    <mergeCell ref="I191:I194"/>
    <mergeCell ref="J191:J194"/>
    <mergeCell ref="K191:K194"/>
    <mergeCell ref="L191:L194"/>
    <mergeCell ref="M191:M194"/>
    <mergeCell ref="N191:N194"/>
    <mergeCell ref="O191:O194"/>
    <mergeCell ref="P191:P194"/>
    <mergeCell ref="Q191:Q194"/>
    <mergeCell ref="R191:R194"/>
    <mergeCell ref="S191:S194"/>
    <mergeCell ref="C2:C5"/>
    <mergeCell ref="D2:D5"/>
    <mergeCell ref="E2:E5"/>
    <mergeCell ref="F2:F5"/>
    <mergeCell ref="G2:G5"/>
    <mergeCell ref="H2:H5"/>
    <mergeCell ref="I2:I5"/>
    <mergeCell ref="J2:J5"/>
    <mergeCell ref="K2:K5"/>
    <mergeCell ref="L2:L5"/>
    <mergeCell ref="M2:M5"/>
    <mergeCell ref="N2:N5"/>
    <mergeCell ref="O2:O5"/>
    <mergeCell ref="P2:P5"/>
    <mergeCell ref="Q2:Q5"/>
    <mergeCell ref="R2:R5"/>
    <mergeCell ref="S2:S5"/>
    <mergeCell ref="T2:T5"/>
    <mergeCell ref="U2:U5"/>
    <mergeCell ref="V2:V5"/>
    <mergeCell ref="B24:B26"/>
    <mergeCell ref="C24:C26"/>
    <mergeCell ref="D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S26"/>
    <mergeCell ref="T24:T26"/>
    <mergeCell ref="U24:U26"/>
    <mergeCell ref="A2:A26"/>
    <mergeCell ref="A27:C27"/>
    <mergeCell ref="X10:AR10"/>
    <mergeCell ref="X19:AR19"/>
    <mergeCell ref="M29:M32"/>
    <mergeCell ref="N29:N32"/>
    <mergeCell ref="O29:O32"/>
    <mergeCell ref="P29:P32"/>
    <mergeCell ref="Q29:Q32"/>
    <mergeCell ref="R29:R32"/>
    <mergeCell ref="S29:S32"/>
    <mergeCell ref="T29:T32"/>
    <mergeCell ref="U29:U32"/>
    <mergeCell ref="V29:V32"/>
    <mergeCell ref="B51:B53"/>
    <mergeCell ref="C51:C53"/>
    <mergeCell ref="D27:V27"/>
    <mergeCell ref="A28:C28"/>
    <mergeCell ref="D28:V28"/>
    <mergeCell ref="B2:B5"/>
    <mergeCell ref="A29:A53"/>
    <mergeCell ref="B29:B32"/>
    <mergeCell ref="E29:E32"/>
    <mergeCell ref="F29:F32"/>
    <mergeCell ref="G29:G32"/>
    <mergeCell ref="H29:H32"/>
    <mergeCell ref="I29:I32"/>
    <mergeCell ref="J29:J32"/>
    <mergeCell ref="K29:K32"/>
    <mergeCell ref="L29:L32"/>
    <mergeCell ref="C29:C32"/>
    <mergeCell ref="D29:D32"/>
    <mergeCell ref="D51:D53"/>
    <mergeCell ref="E51:E53"/>
    <mergeCell ref="F51:F53"/>
    <mergeCell ref="G51:G53"/>
    <mergeCell ref="H51:H53"/>
    <mergeCell ref="D110:D113"/>
    <mergeCell ref="E110:E113"/>
    <mergeCell ref="F110:F113"/>
    <mergeCell ref="G110:G113"/>
    <mergeCell ref="H110:H113"/>
    <mergeCell ref="I110:I113"/>
    <mergeCell ref="J110:J113"/>
    <mergeCell ref="K110:K113"/>
    <mergeCell ref="L110:L113"/>
    <mergeCell ref="M110:M113"/>
    <mergeCell ref="N110:N113"/>
    <mergeCell ref="O110:O113"/>
    <mergeCell ref="P110:P113"/>
    <mergeCell ref="Q110:Q113"/>
    <mergeCell ref="T191:T194"/>
    <mergeCell ref="U191:U194"/>
    <mergeCell ref="V191:V194"/>
    <mergeCell ref="X199:AR199"/>
    <mergeCell ref="X208:AR208"/>
    <mergeCell ref="R213:R215"/>
    <mergeCell ref="S213:S215"/>
    <mergeCell ref="T213:T215"/>
    <mergeCell ref="U213:U215"/>
    <mergeCell ref="V213:V215"/>
    <mergeCell ref="D216:V216"/>
    <mergeCell ref="D217:V217"/>
    <mergeCell ref="X217:AR217"/>
    <mergeCell ref="K213:K215"/>
    <mergeCell ref="L213:L215"/>
    <mergeCell ref="M213:M215"/>
    <mergeCell ref="N213:N215"/>
    <mergeCell ref="O213:O215"/>
    <mergeCell ref="P213:P215"/>
    <mergeCell ref="Q213:Q215"/>
    <mergeCell ref="X91:AR91"/>
    <mergeCell ref="X100:AR100"/>
    <mergeCell ref="R110:R113"/>
    <mergeCell ref="S110:S113"/>
    <mergeCell ref="T110:T113"/>
    <mergeCell ref="U110:U113"/>
    <mergeCell ref="V110:V113"/>
    <mergeCell ref="X118:AR118"/>
    <mergeCell ref="L132:L134"/>
    <mergeCell ref="M132:M134"/>
    <mergeCell ref="N132:N134"/>
    <mergeCell ref="O132:O134"/>
    <mergeCell ref="P132:P134"/>
    <mergeCell ref="Q132:Q134"/>
    <mergeCell ref="R132:R134"/>
    <mergeCell ref="S132:S134"/>
    <mergeCell ref="T132:T134"/>
    <mergeCell ref="U132:U134"/>
    <mergeCell ref="V132:V134"/>
    <mergeCell ref="D135:V135"/>
    <mergeCell ref="D136:V136"/>
    <mergeCell ref="X136:AR136"/>
    <mergeCell ref="D137:D140"/>
    <mergeCell ref="E137:E140"/>
    <mergeCell ref="F137:F140"/>
    <mergeCell ref="G137:G140"/>
    <mergeCell ref="H137:H140"/>
    <mergeCell ref="I137:I140"/>
    <mergeCell ref="J137:J140"/>
    <mergeCell ref="K137:K140"/>
    <mergeCell ref="L137:L140"/>
    <mergeCell ref="M137:M140"/>
    <mergeCell ref="N137:N140"/>
    <mergeCell ref="O137:O140"/>
    <mergeCell ref="P137:P140"/>
    <mergeCell ref="Q137:Q140"/>
    <mergeCell ref="R137:R140"/>
    <mergeCell ref="S137:S140"/>
    <mergeCell ref="T137:T140"/>
    <mergeCell ref="U137:U140"/>
    <mergeCell ref="V137:V140"/>
    <mergeCell ref="X145:AR145"/>
    <mergeCell ref="X127:AR127"/>
    <mergeCell ref="F132:F134"/>
    <mergeCell ref="G132:G134"/>
    <mergeCell ref="H132:H134"/>
    <mergeCell ref="I132:I134"/>
    <mergeCell ref="J132:J134"/>
    <mergeCell ref="K132:K134"/>
    <mergeCell ref="J159:J161"/>
    <mergeCell ref="K159:K161"/>
    <mergeCell ref="L159:L161"/>
    <mergeCell ref="M159:M161"/>
    <mergeCell ref="N159:N161"/>
    <mergeCell ref="O159:O161"/>
    <mergeCell ref="P159:P161"/>
    <mergeCell ref="Q159:Q161"/>
    <mergeCell ref="R159:R161"/>
    <mergeCell ref="S159:S161"/>
    <mergeCell ref="T159:T161"/>
    <mergeCell ref="U159:U161"/>
    <mergeCell ref="X154:AR154"/>
    <mergeCell ref="D159:D161"/>
    <mergeCell ref="E159:E161"/>
    <mergeCell ref="F159:F161"/>
    <mergeCell ref="G159:G161"/>
    <mergeCell ref="H159:H161"/>
    <mergeCell ref="I159:I161"/>
    <mergeCell ref="V159:V161"/>
    <mergeCell ref="D162:V162"/>
    <mergeCell ref="D163:V163"/>
    <mergeCell ref="J164:J167"/>
    <mergeCell ref="K164:K167"/>
    <mergeCell ref="L164:L167"/>
    <mergeCell ref="M164:M167"/>
    <mergeCell ref="N164:N167"/>
    <mergeCell ref="O164:O167"/>
    <mergeCell ref="P164:P167"/>
    <mergeCell ref="Q164:Q167"/>
    <mergeCell ref="R164:R167"/>
    <mergeCell ref="S164:S167"/>
    <mergeCell ref="X163:AR163"/>
    <mergeCell ref="D164:D167"/>
    <mergeCell ref="E164:E167"/>
    <mergeCell ref="F164:F167"/>
    <mergeCell ref="G164:G167"/>
    <mergeCell ref="H164:H167"/>
    <mergeCell ref="I164:I167"/>
    <mergeCell ref="V164:V167"/>
    <mergeCell ref="T164:T167"/>
    <mergeCell ref="U164:U167"/>
    <mergeCell ref="D186:D188"/>
    <mergeCell ref="E186:E188"/>
    <mergeCell ref="F186:F188"/>
    <mergeCell ref="G186:G188"/>
    <mergeCell ref="H186:H188"/>
    <mergeCell ref="I186:I188"/>
    <mergeCell ref="J186:J188"/>
    <mergeCell ref="K186:K188"/>
    <mergeCell ref="L186:L188"/>
    <mergeCell ref="M186:M188"/>
    <mergeCell ref="H218:H221"/>
    <mergeCell ref="I218:I221"/>
    <mergeCell ref="J218:J221"/>
    <mergeCell ref="K218:K221"/>
    <mergeCell ref="L218:L221"/>
    <mergeCell ref="M218:M221"/>
    <mergeCell ref="N218:N221"/>
    <mergeCell ref="O218:O221"/>
    <mergeCell ref="P218:P221"/>
    <mergeCell ref="Q218:Q221"/>
    <mergeCell ref="R218:R221"/>
    <mergeCell ref="S218:S221"/>
    <mergeCell ref="T218:T221"/>
    <mergeCell ref="U218:U221"/>
    <mergeCell ref="X172:AR172"/>
    <mergeCell ref="X181:AR181"/>
    <mergeCell ref="V218:V221"/>
    <mergeCell ref="X226:AR226"/>
    <mergeCell ref="J240:J242"/>
    <mergeCell ref="K240:K242"/>
    <mergeCell ref="L240:L242"/>
    <mergeCell ref="M240:M242"/>
    <mergeCell ref="N240:N242"/>
    <mergeCell ref="O240:O242"/>
    <mergeCell ref="P240:P242"/>
    <mergeCell ref="Q240:Q242"/>
    <mergeCell ref="R240:R242"/>
    <mergeCell ref="S240:S242"/>
    <mergeCell ref="T240:T242"/>
    <mergeCell ref="U240:U242"/>
    <mergeCell ref="D243:V243"/>
    <mergeCell ref="D244:V244"/>
    <mergeCell ref="Q245:Q248"/>
    <mergeCell ref="R245:R248"/>
    <mergeCell ref="S245:S248"/>
    <mergeCell ref="T245:T248"/>
    <mergeCell ref="U245:U248"/>
    <mergeCell ref="V245:V248"/>
    <mergeCell ref="X244:AR244"/>
    <mergeCell ref="K245:K248"/>
    <mergeCell ref="L245:L248"/>
    <mergeCell ref="M245:M248"/>
    <mergeCell ref="N245:N248"/>
    <mergeCell ref="O245:O248"/>
    <mergeCell ref="P245:P248"/>
    <mergeCell ref="X253:AR253"/>
    <mergeCell ref="X262:AR262"/>
    <mergeCell ref="K267:K269"/>
    <mergeCell ref="L267:L269"/>
    <mergeCell ref="M267:M269"/>
    <mergeCell ref="N267:N269"/>
    <mergeCell ref="O267:O269"/>
    <mergeCell ref="P267:P269"/>
    <mergeCell ref="Q267:Q269"/>
    <mergeCell ref="R267:R269"/>
    <mergeCell ref="S267:S269"/>
    <mergeCell ref="T267:T269"/>
    <mergeCell ref="U267:U269"/>
    <mergeCell ref="V267:V269"/>
    <mergeCell ref="D270:V270"/>
    <mergeCell ref="D271:V271"/>
    <mergeCell ref="Q272:Q275"/>
    <mergeCell ref="R272:R275"/>
    <mergeCell ref="S272:S275"/>
    <mergeCell ref="T272:T275"/>
    <mergeCell ref="U272:U275"/>
    <mergeCell ref="V272:V275"/>
    <mergeCell ref="X271:AR271"/>
    <mergeCell ref="K272:K275"/>
    <mergeCell ref="L272:L275"/>
    <mergeCell ref="M272:M275"/>
    <mergeCell ref="N272:N275"/>
    <mergeCell ref="O272:O275"/>
    <mergeCell ref="P272:P275"/>
    <mergeCell ref="X280:AR280"/>
    <mergeCell ref="X289:AR289"/>
    <mergeCell ref="K294:K296"/>
    <mergeCell ref="L294:L296"/>
    <mergeCell ref="M294:M296"/>
    <mergeCell ref="N294:N296"/>
    <mergeCell ref="X235:AR235"/>
    <mergeCell ref="D240:D242"/>
    <mergeCell ref="E240:E242"/>
    <mergeCell ref="F240:F242"/>
    <mergeCell ref="G240:G242"/>
    <mergeCell ref="H240:H242"/>
    <mergeCell ref="I240:I242"/>
    <mergeCell ref="V240:V242"/>
    <mergeCell ref="O294:O296"/>
    <mergeCell ref="P294:P296"/>
    <mergeCell ref="Q294:Q296"/>
    <mergeCell ref="R294:R296"/>
    <mergeCell ref="S294:S296"/>
    <mergeCell ref="T294:T296"/>
    <mergeCell ref="U294:U296"/>
    <mergeCell ref="V294:V296"/>
    <mergeCell ref="D297:V297"/>
    <mergeCell ref="D298:V298"/>
    <mergeCell ref="Q299:Q302"/>
    <mergeCell ref="R299:R302"/>
    <mergeCell ref="S299:S302"/>
    <mergeCell ref="T299:T302"/>
    <mergeCell ref="U299:U302"/>
    <mergeCell ref="V299:V302"/>
    <mergeCell ref="X298:AR298"/>
    <mergeCell ref="K299:K302"/>
    <mergeCell ref="L299:L302"/>
    <mergeCell ref="M299:M302"/>
    <mergeCell ref="N299:N302"/>
    <mergeCell ref="O299:O302"/>
    <mergeCell ref="P299:P302"/>
    <mergeCell ref="K321:K323"/>
    <mergeCell ref="L321:L323"/>
    <mergeCell ref="M321:M323"/>
    <mergeCell ref="N321:N323"/>
    <mergeCell ref="O321:O323"/>
    <mergeCell ref="P321:P323"/>
    <mergeCell ref="Q321:Q323"/>
    <mergeCell ref="R321:R323"/>
    <mergeCell ref="X307:AR307"/>
    <mergeCell ref="X316:AR316"/>
    <mergeCell ref="S321:S323"/>
    <mergeCell ref="T321:T323"/>
    <mergeCell ref="U321:U323"/>
    <mergeCell ref="V321:V323"/>
    <mergeCell ref="D324:V324"/>
    <mergeCell ref="D325:V325"/>
    <mergeCell ref="Q326:Q329"/>
    <mergeCell ref="R326:R329"/>
    <mergeCell ref="S326:S329"/>
    <mergeCell ref="T326:T329"/>
    <mergeCell ref="U326:U329"/>
    <mergeCell ref="V326:V329"/>
    <mergeCell ref="A756:C756"/>
    <mergeCell ref="A757:C757"/>
    <mergeCell ref="A758:A782"/>
    <mergeCell ref="B758:B761"/>
    <mergeCell ref="C758:C761"/>
    <mergeCell ref="B780:B782"/>
    <mergeCell ref="C780:C782"/>
    <mergeCell ref="Q785:Q788"/>
    <mergeCell ref="R785:R788"/>
    <mergeCell ref="S785:S788"/>
    <mergeCell ref="T785:T788"/>
    <mergeCell ref="U785:U788"/>
    <mergeCell ref="V785:V788"/>
    <mergeCell ref="X793:AR793"/>
    <mergeCell ref="X802:AR802"/>
    <mergeCell ref="J785:J788"/>
    <mergeCell ref="K785:K788"/>
    <mergeCell ref="L785:L788"/>
    <mergeCell ref="M785:M788"/>
    <mergeCell ref="N785:N788"/>
    <mergeCell ref="O785:O788"/>
    <mergeCell ref="P785:P788"/>
    <mergeCell ref="B807:B809"/>
    <mergeCell ref="C807:C809"/>
    <mergeCell ref="D807:D809"/>
    <mergeCell ref="E807:E809"/>
    <mergeCell ref="F807:F809"/>
    <mergeCell ref="G807:G809"/>
    <mergeCell ref="Q807:Q809"/>
    <mergeCell ref="R807:R809"/>
    <mergeCell ref="S807:S809"/>
    <mergeCell ref="T807:T809"/>
    <mergeCell ref="U807:U809"/>
    <mergeCell ref="V807:V809"/>
    <mergeCell ref="A783:C783"/>
    <mergeCell ref="A784:C784"/>
    <mergeCell ref="A785:A809"/>
    <mergeCell ref="B785:B788"/>
    <mergeCell ref="C785:C788"/>
    <mergeCell ref="H785:H788"/>
    <mergeCell ref="I785:I788"/>
    <mergeCell ref="D852:J852"/>
    <mergeCell ref="D853:J853"/>
    <mergeCell ref="K853:P853"/>
    <mergeCell ref="D849:J849"/>
    <mergeCell ref="K849:P849"/>
    <mergeCell ref="D850:J850"/>
    <mergeCell ref="K850:P850"/>
    <mergeCell ref="D851:J851"/>
    <mergeCell ref="K851:P851"/>
    <mergeCell ref="K852:P852"/>
    <mergeCell ref="D857:J857"/>
    <mergeCell ref="D858:J858"/>
    <mergeCell ref="K858:P858"/>
    <mergeCell ref="D854:J854"/>
    <mergeCell ref="K854:P854"/>
    <mergeCell ref="D855:J855"/>
    <mergeCell ref="K855:P855"/>
    <mergeCell ref="D856:J856"/>
    <mergeCell ref="K856:P856"/>
    <mergeCell ref="K857:P857"/>
    <mergeCell ref="D866:J866"/>
    <mergeCell ref="K866:P866"/>
    <mergeCell ref="D859:J859"/>
    <mergeCell ref="K859:P859"/>
    <mergeCell ref="D860:J860"/>
    <mergeCell ref="K860:P860"/>
    <mergeCell ref="D861:P863"/>
    <mergeCell ref="D864:J865"/>
    <mergeCell ref="K864:P865"/>
    <mergeCell ref="D870:J870"/>
    <mergeCell ref="D871:J871"/>
    <mergeCell ref="K871:P871"/>
    <mergeCell ref="D867:J867"/>
    <mergeCell ref="K867:P867"/>
    <mergeCell ref="D868:J868"/>
    <mergeCell ref="K868:P868"/>
    <mergeCell ref="D869:J869"/>
    <mergeCell ref="K869:P869"/>
    <mergeCell ref="K870:P870"/>
    <mergeCell ref="D875:J875"/>
    <mergeCell ref="D876:J876"/>
    <mergeCell ref="K876:P876"/>
    <mergeCell ref="D872:J872"/>
    <mergeCell ref="K872:P872"/>
    <mergeCell ref="D873:J873"/>
    <mergeCell ref="K873:P873"/>
    <mergeCell ref="D874:J874"/>
    <mergeCell ref="K874:P874"/>
    <mergeCell ref="K875:P875"/>
    <mergeCell ref="D880:J880"/>
    <mergeCell ref="D881:J881"/>
    <mergeCell ref="K881:P881"/>
    <mergeCell ref="D877:J877"/>
    <mergeCell ref="K877:P877"/>
    <mergeCell ref="D878:J878"/>
    <mergeCell ref="K878:P878"/>
    <mergeCell ref="D879:J879"/>
    <mergeCell ref="K879:P879"/>
    <mergeCell ref="K880:P880"/>
    <mergeCell ref="O807:O809"/>
    <mergeCell ref="P807:P809"/>
    <mergeCell ref="A810:C810"/>
    <mergeCell ref="D810:V810"/>
    <mergeCell ref="A811:C811"/>
    <mergeCell ref="D811:V811"/>
    <mergeCell ref="R812:R815"/>
    <mergeCell ref="S812:S815"/>
    <mergeCell ref="T812:T815"/>
    <mergeCell ref="U812:U815"/>
    <mergeCell ref="V812:V815"/>
    <mergeCell ref="Q838:AT885"/>
    <mergeCell ref="K812:K815"/>
    <mergeCell ref="L812:L815"/>
    <mergeCell ref="M812:M815"/>
    <mergeCell ref="N812:N815"/>
    <mergeCell ref="O812:O815"/>
    <mergeCell ref="P812:P815"/>
    <mergeCell ref="Q812:Q815"/>
    <mergeCell ref="H807:H809"/>
    <mergeCell ref="I807:I809"/>
    <mergeCell ref="J807:J809"/>
    <mergeCell ref="K807:K809"/>
    <mergeCell ref="L807:L809"/>
    <mergeCell ref="M807:M809"/>
    <mergeCell ref="N807:N809"/>
    <mergeCell ref="D841:J842"/>
    <mergeCell ref="K841:P842"/>
    <mergeCell ref="D843:J843"/>
    <mergeCell ref="K843:P843"/>
    <mergeCell ref="D844:J844"/>
    <mergeCell ref="K844:P844"/>
    <mergeCell ref="K845:P845"/>
    <mergeCell ref="D882:J882"/>
    <mergeCell ref="K882:P882"/>
    <mergeCell ref="D883:J883"/>
    <mergeCell ref="K883:P883"/>
    <mergeCell ref="D884:P885"/>
    <mergeCell ref="D845:J845"/>
    <mergeCell ref="D846:J846"/>
    <mergeCell ref="K846:P846"/>
    <mergeCell ref="D847:J847"/>
    <mergeCell ref="K847:P847"/>
    <mergeCell ref="D848:J848"/>
    <mergeCell ref="K848:P848"/>
    <mergeCell ref="A81:C81"/>
    <mergeCell ref="A82:C82"/>
    <mergeCell ref="A83:A107"/>
    <mergeCell ref="B83:B86"/>
    <mergeCell ref="C83:C86"/>
    <mergeCell ref="D83:D86"/>
    <mergeCell ref="E83:E86"/>
    <mergeCell ref="D132:D134"/>
    <mergeCell ref="E132:E134"/>
    <mergeCell ref="B105:B107"/>
    <mergeCell ref="C105:C107"/>
    <mergeCell ref="A110:A134"/>
    <mergeCell ref="B110:B113"/>
    <mergeCell ref="C110:C113"/>
    <mergeCell ref="B132:B134"/>
    <mergeCell ref="C132:C134"/>
    <mergeCell ref="A135:C135"/>
    <mergeCell ref="A136:C136"/>
    <mergeCell ref="A137:A161"/>
    <mergeCell ref="B137:B140"/>
    <mergeCell ref="C137:C140"/>
    <mergeCell ref="B159:B161"/>
    <mergeCell ref="C159:C161"/>
    <mergeCell ref="A162:C162"/>
    <mergeCell ref="A163:C163"/>
    <mergeCell ref="A164:A188"/>
    <mergeCell ref="B164:B167"/>
    <mergeCell ref="C164:C167"/>
    <mergeCell ref="B186:B188"/>
    <mergeCell ref="C186:C188"/>
    <mergeCell ref="D213:D215"/>
    <mergeCell ref="E213:E215"/>
    <mergeCell ref="F213:F215"/>
    <mergeCell ref="G213:G215"/>
    <mergeCell ref="H213:H215"/>
    <mergeCell ref="I213:I215"/>
    <mergeCell ref="J213:J215"/>
    <mergeCell ref="A189:C189"/>
    <mergeCell ref="A190:C190"/>
    <mergeCell ref="A191:A215"/>
    <mergeCell ref="B191:B194"/>
    <mergeCell ref="C191:C194"/>
    <mergeCell ref="B213:B215"/>
    <mergeCell ref="C213:C215"/>
    <mergeCell ref="F218:F221"/>
    <mergeCell ref="G218:G221"/>
    <mergeCell ref="A216:C216"/>
    <mergeCell ref="A217:C217"/>
    <mergeCell ref="A218:A242"/>
    <mergeCell ref="B218:B221"/>
    <mergeCell ref="C218:C221"/>
    <mergeCell ref="D218:D221"/>
    <mergeCell ref="E218:E221"/>
    <mergeCell ref="I245:I248"/>
    <mergeCell ref="J245:J248"/>
    <mergeCell ref="B240:B242"/>
    <mergeCell ref="C240:C242"/>
    <mergeCell ref="D245:D248"/>
    <mergeCell ref="E245:E248"/>
    <mergeCell ref="F245:F248"/>
    <mergeCell ref="G245:G248"/>
    <mergeCell ref="H245:H248"/>
    <mergeCell ref="D267:D269"/>
    <mergeCell ref="E267:E269"/>
    <mergeCell ref="F267:F269"/>
    <mergeCell ref="G267:G269"/>
    <mergeCell ref="H267:H269"/>
    <mergeCell ref="I267:I269"/>
    <mergeCell ref="J267:J269"/>
    <mergeCell ref="A243:C243"/>
    <mergeCell ref="A244:C244"/>
    <mergeCell ref="A245:A269"/>
    <mergeCell ref="B245:B248"/>
    <mergeCell ref="C245:C248"/>
    <mergeCell ref="B267:B269"/>
    <mergeCell ref="C267:C269"/>
    <mergeCell ref="F272:F275"/>
    <mergeCell ref="G272:G275"/>
    <mergeCell ref="H272:H275"/>
    <mergeCell ref="I272:I275"/>
    <mergeCell ref="J272:J275"/>
    <mergeCell ref="D294:D296"/>
    <mergeCell ref="E294:E296"/>
    <mergeCell ref="F294:F296"/>
    <mergeCell ref="G294:G296"/>
    <mergeCell ref="H294:H296"/>
    <mergeCell ref="I294:I296"/>
    <mergeCell ref="J294:J296"/>
    <mergeCell ref="A270:C270"/>
    <mergeCell ref="A271:C271"/>
    <mergeCell ref="A272:A296"/>
    <mergeCell ref="B272:B275"/>
    <mergeCell ref="C272:C275"/>
    <mergeCell ref="D272:D275"/>
    <mergeCell ref="E272:E275"/>
    <mergeCell ref="I299:I302"/>
    <mergeCell ref="J299:J302"/>
    <mergeCell ref="B294:B296"/>
    <mergeCell ref="C294:C296"/>
    <mergeCell ref="D299:D302"/>
    <mergeCell ref="E299:E302"/>
    <mergeCell ref="F299:F302"/>
    <mergeCell ref="G299:G302"/>
    <mergeCell ref="H299:H302"/>
    <mergeCell ref="D321:D323"/>
    <mergeCell ref="E321:E323"/>
    <mergeCell ref="F321:F323"/>
    <mergeCell ref="G321:G323"/>
    <mergeCell ref="H321:H323"/>
    <mergeCell ref="I321:I323"/>
    <mergeCell ref="J321:J323"/>
    <mergeCell ref="A297:C297"/>
    <mergeCell ref="A298:C298"/>
    <mergeCell ref="A299:A323"/>
    <mergeCell ref="B299:B302"/>
    <mergeCell ref="C299:C302"/>
    <mergeCell ref="B321:B323"/>
    <mergeCell ref="C321:C323"/>
    <mergeCell ref="F326:F329"/>
    <mergeCell ref="G326:G329"/>
    <mergeCell ref="H326:H329"/>
    <mergeCell ref="I326:I329"/>
    <mergeCell ref="J326:J329"/>
    <mergeCell ref="D348:D350"/>
    <mergeCell ref="E348:E350"/>
    <mergeCell ref="F348:F350"/>
    <mergeCell ref="G348:G350"/>
    <mergeCell ref="H348:H350"/>
    <mergeCell ref="I348:I350"/>
    <mergeCell ref="J348:J350"/>
    <mergeCell ref="A324:C324"/>
    <mergeCell ref="A325:C325"/>
    <mergeCell ref="A326:A350"/>
    <mergeCell ref="B326:B329"/>
    <mergeCell ref="C326:C329"/>
    <mergeCell ref="D326:D329"/>
    <mergeCell ref="E326:E329"/>
    <mergeCell ref="I353:I356"/>
    <mergeCell ref="J353:J356"/>
    <mergeCell ref="B348:B350"/>
    <mergeCell ref="C348:C350"/>
    <mergeCell ref="D353:D356"/>
    <mergeCell ref="E353:E356"/>
    <mergeCell ref="F353:F356"/>
    <mergeCell ref="G353:G356"/>
    <mergeCell ref="H353:H356"/>
    <mergeCell ref="D375:D377"/>
    <mergeCell ref="E375:E377"/>
    <mergeCell ref="F375:F377"/>
    <mergeCell ref="G375:G377"/>
    <mergeCell ref="H375:H377"/>
    <mergeCell ref="I375:I377"/>
    <mergeCell ref="J375:J377"/>
    <mergeCell ref="A351:C351"/>
    <mergeCell ref="A352:C352"/>
    <mergeCell ref="A353:A377"/>
    <mergeCell ref="B353:B356"/>
    <mergeCell ref="C353:C356"/>
    <mergeCell ref="B375:B377"/>
    <mergeCell ref="C375:C377"/>
    <mergeCell ref="F380:F383"/>
    <mergeCell ref="G380:G383"/>
    <mergeCell ref="H380:H383"/>
    <mergeCell ref="I380:I383"/>
    <mergeCell ref="J380:J383"/>
    <mergeCell ref="D402:D404"/>
    <mergeCell ref="E402:E404"/>
    <mergeCell ref="F402:F404"/>
    <mergeCell ref="G402:G404"/>
    <mergeCell ref="H402:H404"/>
    <mergeCell ref="I402:I404"/>
    <mergeCell ref="J402:J404"/>
    <mergeCell ref="A378:C378"/>
    <mergeCell ref="A379:C379"/>
    <mergeCell ref="A380:A404"/>
    <mergeCell ref="B380:B383"/>
    <mergeCell ref="C380:C383"/>
    <mergeCell ref="D380:D383"/>
    <mergeCell ref="E380:E383"/>
    <mergeCell ref="I407:I410"/>
    <mergeCell ref="J407:J410"/>
    <mergeCell ref="B402:B404"/>
    <mergeCell ref="C402:C404"/>
    <mergeCell ref="D407:D410"/>
    <mergeCell ref="E407:E410"/>
    <mergeCell ref="F407:F410"/>
    <mergeCell ref="G407:G410"/>
    <mergeCell ref="H407:H410"/>
    <mergeCell ref="D429:D431"/>
    <mergeCell ref="E429:E431"/>
    <mergeCell ref="F429:F431"/>
    <mergeCell ref="G429:G431"/>
    <mergeCell ref="H429:H431"/>
    <mergeCell ref="I429:I431"/>
    <mergeCell ref="J429:J431"/>
    <mergeCell ref="A405:C405"/>
    <mergeCell ref="A406:C406"/>
    <mergeCell ref="A407:A431"/>
    <mergeCell ref="B407:B410"/>
    <mergeCell ref="C407:C410"/>
    <mergeCell ref="B429:B431"/>
    <mergeCell ref="C429:C431"/>
    <mergeCell ref="F434:F437"/>
    <mergeCell ref="G434:G437"/>
    <mergeCell ref="H434:H437"/>
    <mergeCell ref="I434:I437"/>
    <mergeCell ref="J434:J437"/>
    <mergeCell ref="B456:B458"/>
    <mergeCell ref="C456:C458"/>
    <mergeCell ref="D456:D458"/>
    <mergeCell ref="E456:E458"/>
    <mergeCell ref="F456:F458"/>
    <mergeCell ref="G456:G458"/>
    <mergeCell ref="H456:H458"/>
    <mergeCell ref="I456:I458"/>
    <mergeCell ref="J456:J458"/>
    <mergeCell ref="A432:C432"/>
    <mergeCell ref="A433:C433"/>
    <mergeCell ref="A434:A458"/>
    <mergeCell ref="B434:B437"/>
    <mergeCell ref="C434:C437"/>
    <mergeCell ref="D434:D437"/>
    <mergeCell ref="E434:E437"/>
    <mergeCell ref="A459:C459"/>
    <mergeCell ref="A460:C460"/>
    <mergeCell ref="A461:A485"/>
    <mergeCell ref="B461:B464"/>
    <mergeCell ref="C461:C464"/>
    <mergeCell ref="B483:B485"/>
    <mergeCell ref="C483:C485"/>
    <mergeCell ref="A486:C486"/>
    <mergeCell ref="A487:C487"/>
    <mergeCell ref="A488:A512"/>
    <mergeCell ref="B488:B491"/>
    <mergeCell ref="C488:C491"/>
    <mergeCell ref="B510:B512"/>
    <mergeCell ref="C510:C512"/>
    <mergeCell ref="A513:C513"/>
    <mergeCell ref="A514:C514"/>
    <mergeCell ref="A515:A539"/>
    <mergeCell ref="B515:B518"/>
    <mergeCell ref="C515:C518"/>
    <mergeCell ref="B537:B539"/>
    <mergeCell ref="C537:C539"/>
    <mergeCell ref="A540:C540"/>
    <mergeCell ref="A541:C541"/>
    <mergeCell ref="A542:A566"/>
    <mergeCell ref="B542:B545"/>
    <mergeCell ref="C542:C545"/>
    <mergeCell ref="B564:B566"/>
    <mergeCell ref="C564:C566"/>
    <mergeCell ref="H812:H815"/>
    <mergeCell ref="I812:I815"/>
    <mergeCell ref="J812:J815"/>
    <mergeCell ref="B834:B836"/>
    <mergeCell ref="C834:C836"/>
    <mergeCell ref="A837:C837"/>
    <mergeCell ref="D834:D836"/>
    <mergeCell ref="E834:E836"/>
    <mergeCell ref="A812:A836"/>
    <mergeCell ref="B812:B815"/>
    <mergeCell ref="C812:C815"/>
    <mergeCell ref="D812:D815"/>
    <mergeCell ref="E812:E815"/>
    <mergeCell ref="F812:F815"/>
    <mergeCell ref="G812:G815"/>
    <mergeCell ref="F834:F836"/>
    <mergeCell ref="G834:G836"/>
    <mergeCell ref="H834:H836"/>
    <mergeCell ref="I834:I836"/>
    <mergeCell ref="J834:J836"/>
    <mergeCell ref="K834:K836"/>
    <mergeCell ref="L834:L836"/>
    <mergeCell ref="T834:T836"/>
    <mergeCell ref="U834:U836"/>
    <mergeCell ref="V834:V836"/>
    <mergeCell ref="D837:V837"/>
    <mergeCell ref="D838:P840"/>
    <mergeCell ref="M834:M836"/>
    <mergeCell ref="N834:N836"/>
    <mergeCell ref="O834:O836"/>
    <mergeCell ref="P834:P836"/>
    <mergeCell ref="Q834:Q836"/>
    <mergeCell ref="R834:R836"/>
    <mergeCell ref="S834:S836"/>
    <mergeCell ref="A567:C567"/>
    <mergeCell ref="A568:C568"/>
    <mergeCell ref="A569:A593"/>
    <mergeCell ref="B569:B572"/>
    <mergeCell ref="C569:C572"/>
    <mergeCell ref="B591:B593"/>
    <mergeCell ref="C591:C593"/>
    <mergeCell ref="A594:C594"/>
    <mergeCell ref="A595:C595"/>
    <mergeCell ref="A596:A620"/>
    <mergeCell ref="B596:B599"/>
    <mergeCell ref="C596:C599"/>
    <mergeCell ref="B618:B620"/>
    <mergeCell ref="C618:C620"/>
    <mergeCell ref="A621:C621"/>
    <mergeCell ref="A622:C622"/>
    <mergeCell ref="A623:A647"/>
    <mergeCell ref="B623:B626"/>
    <mergeCell ref="C623:C626"/>
    <mergeCell ref="B645:B647"/>
    <mergeCell ref="C645:C647"/>
    <mergeCell ref="A648:C648"/>
    <mergeCell ref="A649:C649"/>
    <mergeCell ref="A650:A674"/>
    <mergeCell ref="B650:B653"/>
    <mergeCell ref="C650:C653"/>
    <mergeCell ref="B672:B674"/>
    <mergeCell ref="C672:C674"/>
    <mergeCell ref="A675:C675"/>
    <mergeCell ref="A676:C676"/>
    <mergeCell ref="A677:A701"/>
    <mergeCell ref="B677:B680"/>
    <mergeCell ref="C677:C680"/>
    <mergeCell ref="B699:B701"/>
    <mergeCell ref="C699:C701"/>
    <mergeCell ref="A702:C702"/>
    <mergeCell ref="A703:C703"/>
    <mergeCell ref="A704:A728"/>
    <mergeCell ref="B704:B707"/>
    <mergeCell ref="C704:C707"/>
    <mergeCell ref="B726:B728"/>
    <mergeCell ref="C726:C728"/>
    <mergeCell ref="A729:C729"/>
    <mergeCell ref="A730:C730"/>
    <mergeCell ref="A731:A755"/>
    <mergeCell ref="B731:B734"/>
    <mergeCell ref="C731:C734"/>
    <mergeCell ref="B753:B755"/>
    <mergeCell ref="C753:C755"/>
    <mergeCell ref="A838:C885"/>
    <mergeCell ref="X532:AR532"/>
    <mergeCell ref="D537:D539"/>
    <mergeCell ref="E537:E539"/>
    <mergeCell ref="F537:F539"/>
    <mergeCell ref="G537:G539"/>
    <mergeCell ref="H537:H539"/>
    <mergeCell ref="I537:I539"/>
    <mergeCell ref="V537:V539"/>
    <mergeCell ref="X811:AT811"/>
    <mergeCell ref="X820:AT820"/>
    <mergeCell ref="D1:V1"/>
    <mergeCell ref="W1:W837"/>
    <mergeCell ref="X1:AR1"/>
    <mergeCell ref="AS1:AT810"/>
    <mergeCell ref="V24:V26"/>
    <mergeCell ref="X28:AR28"/>
    <mergeCell ref="X55:AR55"/>
    <mergeCell ref="X829:AT829"/>
    <mergeCell ref="P780:P782"/>
    <mergeCell ref="Q780:Q782"/>
    <mergeCell ref="R780:R782"/>
    <mergeCell ref="S780:S782"/>
    <mergeCell ref="T780:T782"/>
    <mergeCell ref="U780:U782"/>
    <mergeCell ref="V780:V782"/>
    <mergeCell ref="D783:V783"/>
    <mergeCell ref="D784:V784"/>
    <mergeCell ref="X784:AR784"/>
    <mergeCell ref="D785:D788"/>
    <mergeCell ref="E785:E788"/>
    <mergeCell ref="F785:F788"/>
    <mergeCell ref="G785:G788"/>
    <mergeCell ref="P699:P701"/>
    <mergeCell ref="Q699:Q701"/>
    <mergeCell ref="R699:R701"/>
    <mergeCell ref="S699:S701"/>
    <mergeCell ref="T699:T701"/>
    <mergeCell ref="U699:U701"/>
    <mergeCell ref="V704:V707"/>
    <mergeCell ref="V699:V701"/>
    <mergeCell ref="D702:V702"/>
    <mergeCell ref="D703:V703"/>
    <mergeCell ref="X703:AR703"/>
    <mergeCell ref="D704:D707"/>
    <mergeCell ref="E704:E707"/>
    <mergeCell ref="F704:F707"/>
    <mergeCell ref="G704:G707"/>
    <mergeCell ref="H704:H707"/>
    <mergeCell ref="I704:I707"/>
    <mergeCell ref="J704:J707"/>
    <mergeCell ref="K704:K707"/>
    <mergeCell ref="L704:L707"/>
    <mergeCell ref="M704:M707"/>
    <mergeCell ref="N704:N707"/>
    <mergeCell ref="O704:O707"/>
    <mergeCell ref="P704:P707"/>
    <mergeCell ref="Q704:Q707"/>
    <mergeCell ref="R704:R707"/>
    <mergeCell ref="S704:S707"/>
    <mergeCell ref="T704:T707"/>
    <mergeCell ref="U704:U707"/>
    <mergeCell ref="X712:AR712"/>
    <mergeCell ref="X721:AR721"/>
    <mergeCell ref="D726:D728"/>
    <mergeCell ref="E726:E728"/>
    <mergeCell ref="F726:F728"/>
    <mergeCell ref="G726:G728"/>
    <mergeCell ref="H726:H728"/>
    <mergeCell ref="I726:I728"/>
    <mergeCell ref="J726:J728"/>
    <mergeCell ref="K726:K728"/>
    <mergeCell ref="L726:L728"/>
    <mergeCell ref="M726:M728"/>
    <mergeCell ref="N726:N728"/>
    <mergeCell ref="O726:O728"/>
    <mergeCell ref="P726:P728"/>
    <mergeCell ref="Q726:Q728"/>
    <mergeCell ref="R726:R728"/>
    <mergeCell ref="S726:S728"/>
    <mergeCell ref="T726:T728"/>
    <mergeCell ref="U726:U728"/>
    <mergeCell ref="V731:V734"/>
    <mergeCell ref="V726:V728"/>
    <mergeCell ref="D729:V729"/>
    <mergeCell ref="D730:V730"/>
    <mergeCell ref="X730:AR730"/>
    <mergeCell ref="D731:D734"/>
    <mergeCell ref="E731:E734"/>
    <mergeCell ref="F731:F734"/>
    <mergeCell ref="G731:G734"/>
    <mergeCell ref="H731:H734"/>
    <mergeCell ref="I731:I734"/>
    <mergeCell ref="J731:J734"/>
    <mergeCell ref="K731:K734"/>
    <mergeCell ref="L731:L734"/>
    <mergeCell ref="M731:M734"/>
    <mergeCell ref="N731:N734"/>
    <mergeCell ref="O731:O734"/>
    <mergeCell ref="P731:P734"/>
    <mergeCell ref="Q731:Q734"/>
    <mergeCell ref="R731:R734"/>
    <mergeCell ref="S731:S734"/>
    <mergeCell ref="T731:T734"/>
    <mergeCell ref="U731:U734"/>
    <mergeCell ref="X739:AR739"/>
    <mergeCell ref="X748:AR748"/>
    <mergeCell ref="D753:D755"/>
    <mergeCell ref="E753:E755"/>
    <mergeCell ref="F753:F755"/>
    <mergeCell ref="G753:G755"/>
    <mergeCell ref="H753:H755"/>
    <mergeCell ref="I753:I755"/>
    <mergeCell ref="J753:J755"/>
    <mergeCell ref="K753:K755"/>
    <mergeCell ref="L753:L755"/>
    <mergeCell ref="M753:M755"/>
    <mergeCell ref="N753:N755"/>
    <mergeCell ref="O753:O755"/>
    <mergeCell ref="X766:AR766"/>
    <mergeCell ref="X775:AR775"/>
    <mergeCell ref="D780:D782"/>
    <mergeCell ref="E780:E782"/>
    <mergeCell ref="F780:F782"/>
    <mergeCell ref="G780:G782"/>
    <mergeCell ref="H780:H782"/>
    <mergeCell ref="I780:I782"/>
    <mergeCell ref="J780:J782"/>
    <mergeCell ref="K780:K782"/>
    <mergeCell ref="L780:L782"/>
    <mergeCell ref="M780:M782"/>
    <mergeCell ref="N780:N782"/>
    <mergeCell ref="O780:O782"/>
    <mergeCell ref="X325:AR325"/>
    <mergeCell ref="K326:K329"/>
    <mergeCell ref="L326:L329"/>
    <mergeCell ref="M326:M329"/>
    <mergeCell ref="N326:N329"/>
    <mergeCell ref="O326:O329"/>
    <mergeCell ref="P326:P329"/>
    <mergeCell ref="K348:K350"/>
    <mergeCell ref="L348:L350"/>
    <mergeCell ref="M348:M350"/>
    <mergeCell ref="N348:N350"/>
    <mergeCell ref="O348:O350"/>
    <mergeCell ref="P348:P350"/>
    <mergeCell ref="Q348:Q350"/>
    <mergeCell ref="R348:R350"/>
    <mergeCell ref="S348:S350"/>
    <mergeCell ref="T348:T350"/>
    <mergeCell ref="U348:U350"/>
    <mergeCell ref="V348:V350"/>
    <mergeCell ref="X334:AR334"/>
    <mergeCell ref="X343:AR343"/>
    <mergeCell ref="D351:V351"/>
    <mergeCell ref="D352:V352"/>
    <mergeCell ref="Q353:Q356"/>
    <mergeCell ref="R353:R356"/>
    <mergeCell ref="S353:S356"/>
    <mergeCell ref="T353:T356"/>
    <mergeCell ref="U353:U356"/>
    <mergeCell ref="V353:V356"/>
    <mergeCell ref="X352:AR352"/>
    <mergeCell ref="K353:K356"/>
    <mergeCell ref="L353:L356"/>
    <mergeCell ref="M353:M356"/>
    <mergeCell ref="N353:N356"/>
    <mergeCell ref="O353:O356"/>
    <mergeCell ref="P353:P356"/>
    <mergeCell ref="K375:K377"/>
    <mergeCell ref="L375:L377"/>
    <mergeCell ref="M375:M377"/>
    <mergeCell ref="N375:N377"/>
    <mergeCell ref="O375:O377"/>
    <mergeCell ref="P375:P377"/>
    <mergeCell ref="Q375:Q377"/>
    <mergeCell ref="R375:R377"/>
    <mergeCell ref="S375:S377"/>
    <mergeCell ref="T375:T377"/>
    <mergeCell ref="U375:U377"/>
    <mergeCell ref="V375:V377"/>
    <mergeCell ref="D378:V378"/>
    <mergeCell ref="D379:V379"/>
    <mergeCell ref="X379:AR379"/>
    <mergeCell ref="K380:K383"/>
    <mergeCell ref="X361:AR361"/>
    <mergeCell ref="X370:AR370"/>
    <mergeCell ref="L380:L383"/>
    <mergeCell ref="M380:M383"/>
    <mergeCell ref="N380:N383"/>
    <mergeCell ref="O380:O383"/>
    <mergeCell ref="P380:P383"/>
    <mergeCell ref="Q380:Q383"/>
    <mergeCell ref="R380:R383"/>
    <mergeCell ref="S380:S383"/>
    <mergeCell ref="T380:T383"/>
    <mergeCell ref="U380:U383"/>
    <mergeCell ref="V380:V383"/>
    <mergeCell ref="X388:AR388"/>
    <mergeCell ref="Q402:Q404"/>
    <mergeCell ref="R402:R404"/>
    <mergeCell ref="S402:S404"/>
    <mergeCell ref="T402:T404"/>
    <mergeCell ref="U402:U404"/>
    <mergeCell ref="V402:V404"/>
    <mergeCell ref="D405:V405"/>
    <mergeCell ref="D406:V406"/>
    <mergeCell ref="Q407:Q410"/>
    <mergeCell ref="R407:R410"/>
    <mergeCell ref="X406:AR406"/>
    <mergeCell ref="K407:K410"/>
    <mergeCell ref="L407:L410"/>
    <mergeCell ref="M407:M410"/>
    <mergeCell ref="N407:N410"/>
    <mergeCell ref="O407:O410"/>
    <mergeCell ref="P407:P410"/>
    <mergeCell ref="S407:S410"/>
    <mergeCell ref="T407:T410"/>
    <mergeCell ref="U407:U410"/>
    <mergeCell ref="V407:V410"/>
    <mergeCell ref="X415:AR415"/>
    <mergeCell ref="X424:AR424"/>
    <mergeCell ref="K429:K431"/>
    <mergeCell ref="L429:L431"/>
    <mergeCell ref="M429:M431"/>
    <mergeCell ref="N429:N431"/>
    <mergeCell ref="O429:O431"/>
    <mergeCell ref="P429:P431"/>
    <mergeCell ref="Q429:Q431"/>
    <mergeCell ref="R429:R431"/>
    <mergeCell ref="S429:S431"/>
    <mergeCell ref="T429:T431"/>
    <mergeCell ref="U429:U431"/>
    <mergeCell ref="V429:V431"/>
    <mergeCell ref="D432:V432"/>
    <mergeCell ref="D433:V433"/>
    <mergeCell ref="Q434:Q437"/>
    <mergeCell ref="R434:R437"/>
    <mergeCell ref="S434:S437"/>
    <mergeCell ref="T434:T437"/>
    <mergeCell ref="U434:U437"/>
    <mergeCell ref="V434:V437"/>
    <mergeCell ref="X433:AR433"/>
    <mergeCell ref="K434:K437"/>
    <mergeCell ref="L434:L437"/>
    <mergeCell ref="M434:M437"/>
    <mergeCell ref="N434:N437"/>
    <mergeCell ref="O434:O437"/>
    <mergeCell ref="P434:P437"/>
    <mergeCell ref="X442:AR442"/>
    <mergeCell ref="X451:AR451"/>
    <mergeCell ref="K456:K458"/>
    <mergeCell ref="L456:L458"/>
    <mergeCell ref="M456:M458"/>
    <mergeCell ref="N456:N458"/>
    <mergeCell ref="O456:O458"/>
    <mergeCell ref="P456:P458"/>
    <mergeCell ref="Q456:Q458"/>
    <mergeCell ref="R456:R458"/>
    <mergeCell ref="S456:S458"/>
    <mergeCell ref="T456:T458"/>
    <mergeCell ref="U456:U458"/>
    <mergeCell ref="V456:V458"/>
    <mergeCell ref="D459:V459"/>
    <mergeCell ref="D460:V460"/>
    <mergeCell ref="J461:J464"/>
    <mergeCell ref="K461:K464"/>
    <mergeCell ref="L461:L464"/>
    <mergeCell ref="M461:M464"/>
    <mergeCell ref="N461:N464"/>
    <mergeCell ref="O461:O464"/>
    <mergeCell ref="P461:P464"/>
    <mergeCell ref="Q461:Q464"/>
    <mergeCell ref="R461:R464"/>
    <mergeCell ref="S461:S464"/>
    <mergeCell ref="X460:AR460"/>
    <mergeCell ref="D461:D464"/>
    <mergeCell ref="E461:E464"/>
    <mergeCell ref="F461:F464"/>
    <mergeCell ref="G461:G464"/>
    <mergeCell ref="H461:H464"/>
    <mergeCell ref="I461:I464"/>
    <mergeCell ref="T461:T464"/>
    <mergeCell ref="U461:U464"/>
    <mergeCell ref="X397:AR397"/>
    <mergeCell ref="K402:K404"/>
    <mergeCell ref="L402:L404"/>
    <mergeCell ref="M402:M404"/>
    <mergeCell ref="N402:N404"/>
    <mergeCell ref="O402:O404"/>
    <mergeCell ref="P402:P404"/>
    <mergeCell ref="V461:V464"/>
    <mergeCell ref="X469:AR469"/>
    <mergeCell ref="J483:J485"/>
    <mergeCell ref="K483:K485"/>
    <mergeCell ref="L483:L485"/>
    <mergeCell ref="M483:M485"/>
    <mergeCell ref="N483:N485"/>
    <mergeCell ref="O483:O485"/>
    <mergeCell ref="P483:P485"/>
    <mergeCell ref="Q483:Q485"/>
    <mergeCell ref="R483:R485"/>
    <mergeCell ref="S483:S485"/>
    <mergeCell ref="T483:T485"/>
    <mergeCell ref="U483:U485"/>
    <mergeCell ref="D486:V486"/>
    <mergeCell ref="D487:V487"/>
    <mergeCell ref="J488:J491"/>
    <mergeCell ref="K488:K491"/>
    <mergeCell ref="L488:L491"/>
    <mergeCell ref="M488:M491"/>
    <mergeCell ref="N488:N491"/>
    <mergeCell ref="O488:O491"/>
    <mergeCell ref="X487:AR487"/>
    <mergeCell ref="D488:D491"/>
    <mergeCell ref="E488:E491"/>
    <mergeCell ref="F488:F491"/>
    <mergeCell ref="G488:G491"/>
    <mergeCell ref="H488:H491"/>
    <mergeCell ref="I488:I491"/>
    <mergeCell ref="P488:P491"/>
    <mergeCell ref="Q488:Q491"/>
    <mergeCell ref="X478:AR478"/>
    <mergeCell ref="D483:D485"/>
    <mergeCell ref="E483:E485"/>
    <mergeCell ref="F483:F485"/>
    <mergeCell ref="G483:G485"/>
    <mergeCell ref="H483:H485"/>
    <mergeCell ref="I483:I485"/>
    <mergeCell ref="V483:V485"/>
    <mergeCell ref="R488:R491"/>
    <mergeCell ref="S488:S491"/>
    <mergeCell ref="T488:T491"/>
    <mergeCell ref="U488:U491"/>
    <mergeCell ref="V488:V491"/>
    <mergeCell ref="X496:AR496"/>
    <mergeCell ref="J510:J512"/>
    <mergeCell ref="K510:K512"/>
    <mergeCell ref="L510:L512"/>
    <mergeCell ref="M510:M512"/>
    <mergeCell ref="N510:N512"/>
    <mergeCell ref="O510:O512"/>
    <mergeCell ref="P510:P512"/>
    <mergeCell ref="Q510:Q512"/>
    <mergeCell ref="R510:R512"/>
    <mergeCell ref="S510:S512"/>
    <mergeCell ref="T510:T512"/>
    <mergeCell ref="U510:U512"/>
    <mergeCell ref="D513:V513"/>
    <mergeCell ref="D514:V514"/>
    <mergeCell ref="J515:J518"/>
    <mergeCell ref="K515:K518"/>
    <mergeCell ref="X514:AR514"/>
    <mergeCell ref="D515:D518"/>
    <mergeCell ref="E515:E518"/>
    <mergeCell ref="F515:F518"/>
    <mergeCell ref="G515:G518"/>
    <mergeCell ref="H515:H518"/>
    <mergeCell ref="I515:I518"/>
    <mergeCell ref="L515:L518"/>
    <mergeCell ref="M515:M518"/>
    <mergeCell ref="X505:AR505"/>
    <mergeCell ref="D510:D512"/>
    <mergeCell ref="E510:E512"/>
    <mergeCell ref="F510:F512"/>
    <mergeCell ref="G510:G512"/>
    <mergeCell ref="H510:H512"/>
    <mergeCell ref="I510:I512"/>
    <mergeCell ref="V510:V512"/>
    <mergeCell ref="N515:N518"/>
    <mergeCell ref="O515:O518"/>
    <mergeCell ref="P515:P518"/>
    <mergeCell ref="Q515:Q518"/>
    <mergeCell ref="R515:R518"/>
    <mergeCell ref="S515:S518"/>
    <mergeCell ref="T515:T518"/>
    <mergeCell ref="U515:U518"/>
    <mergeCell ref="V515:V518"/>
    <mergeCell ref="X523:AR523"/>
    <mergeCell ref="J537:J539"/>
    <mergeCell ref="K537:K539"/>
    <mergeCell ref="P591:P593"/>
    <mergeCell ref="Q591:Q593"/>
    <mergeCell ref="R591:R593"/>
    <mergeCell ref="S591:S593"/>
    <mergeCell ref="T591:T593"/>
    <mergeCell ref="U591:U593"/>
    <mergeCell ref="V596:V599"/>
    <mergeCell ref="V591:V593"/>
    <mergeCell ref="D594:V594"/>
    <mergeCell ref="D595:V595"/>
    <mergeCell ref="X595:AR595"/>
    <mergeCell ref="D596:D599"/>
    <mergeCell ref="E596:E599"/>
    <mergeCell ref="F596:F599"/>
    <mergeCell ref="G596:G599"/>
    <mergeCell ref="H596:H599"/>
    <mergeCell ref="I596:I599"/>
    <mergeCell ref="J596:J599"/>
    <mergeCell ref="K596:K599"/>
    <mergeCell ref="L596:L599"/>
    <mergeCell ref="M596:M599"/>
    <mergeCell ref="N596:N599"/>
    <mergeCell ref="O596:O599"/>
    <mergeCell ref="P596:P599"/>
    <mergeCell ref="Q596:Q599"/>
    <mergeCell ref="R596:R599"/>
    <mergeCell ref="S596:S599"/>
    <mergeCell ref="T596:T599"/>
    <mergeCell ref="U596:U599"/>
    <mergeCell ref="L537:L539"/>
    <mergeCell ref="M537:M539"/>
    <mergeCell ref="N537:N539"/>
    <mergeCell ref="O537:O539"/>
    <mergeCell ref="P537:P539"/>
    <mergeCell ref="Q537:Q539"/>
    <mergeCell ref="R537:R539"/>
    <mergeCell ref="S537:S539"/>
    <mergeCell ref="T537:T539"/>
    <mergeCell ref="U537:U539"/>
    <mergeCell ref="D540:V540"/>
    <mergeCell ref="D541:V541"/>
    <mergeCell ref="X541:AR541"/>
    <mergeCell ref="D542:D545"/>
    <mergeCell ref="S542:S545"/>
    <mergeCell ref="T542:T545"/>
    <mergeCell ref="U542:U545"/>
    <mergeCell ref="V542:V545"/>
    <mergeCell ref="E542:E545"/>
    <mergeCell ref="F542:F545"/>
    <mergeCell ref="G542:G545"/>
    <mergeCell ref="H542:H545"/>
    <mergeCell ref="I542:I545"/>
    <mergeCell ref="J542:J545"/>
    <mergeCell ref="K542:K545"/>
    <mergeCell ref="L542:L545"/>
    <mergeCell ref="M542:M545"/>
    <mergeCell ref="N542:N545"/>
    <mergeCell ref="O542:O545"/>
    <mergeCell ref="P542:P545"/>
    <mergeCell ref="Q542:Q545"/>
    <mergeCell ref="R542:R545"/>
    <mergeCell ref="X550:AR550"/>
    <mergeCell ref="X559:AR559"/>
    <mergeCell ref="D564:D566"/>
    <mergeCell ref="E564:E566"/>
    <mergeCell ref="F564:F566"/>
    <mergeCell ref="G564:G566"/>
    <mergeCell ref="H564:H566"/>
    <mergeCell ref="I564:I566"/>
    <mergeCell ref="J564:J566"/>
    <mergeCell ref="K564:K566"/>
    <mergeCell ref="L564:L566"/>
    <mergeCell ref="M564:M566"/>
    <mergeCell ref="N564:N566"/>
    <mergeCell ref="O564:O566"/>
    <mergeCell ref="P564:P566"/>
    <mergeCell ref="Q564:Q566"/>
    <mergeCell ref="R564:R566"/>
    <mergeCell ref="S564:S566"/>
    <mergeCell ref="T564:T566"/>
    <mergeCell ref="U564:U566"/>
    <mergeCell ref="V569:V572"/>
    <mergeCell ref="V564:V566"/>
    <mergeCell ref="D567:V567"/>
    <mergeCell ref="D568:V568"/>
    <mergeCell ref="X568:AR568"/>
    <mergeCell ref="D569:D572"/>
    <mergeCell ref="E569:E572"/>
    <mergeCell ref="F569:F572"/>
    <mergeCell ref="G569:G572"/>
    <mergeCell ref="H569:H572"/>
    <mergeCell ref="I569:I572"/>
    <mergeCell ref="J569:J572"/>
    <mergeCell ref="K569:K572"/>
    <mergeCell ref="L569:L572"/>
    <mergeCell ref="M569:M572"/>
    <mergeCell ref="N569:N572"/>
    <mergeCell ref="O569:O572"/>
    <mergeCell ref="P569:P572"/>
    <mergeCell ref="Q569:Q572"/>
    <mergeCell ref="R569:R572"/>
    <mergeCell ref="S569:S572"/>
    <mergeCell ref="T569:T572"/>
    <mergeCell ref="U569:U572"/>
    <mergeCell ref="X577:AR577"/>
    <mergeCell ref="X586:AR586"/>
    <mergeCell ref="D591:D593"/>
    <mergeCell ref="E591:E593"/>
    <mergeCell ref="F591:F593"/>
    <mergeCell ref="G591:G593"/>
    <mergeCell ref="H591:H593"/>
    <mergeCell ref="I591:I593"/>
    <mergeCell ref="J591:J593"/>
    <mergeCell ref="K591:K593"/>
    <mergeCell ref="L591:L593"/>
    <mergeCell ref="M591:M593"/>
    <mergeCell ref="N591:N593"/>
    <mergeCell ref="O591:O593"/>
    <mergeCell ref="X604:AR604"/>
    <mergeCell ref="X613:AR613"/>
    <mergeCell ref="D618:D620"/>
    <mergeCell ref="E618:E620"/>
    <mergeCell ref="F618:F620"/>
    <mergeCell ref="G618:G620"/>
    <mergeCell ref="H618:H620"/>
    <mergeCell ref="I618:I620"/>
    <mergeCell ref="J618:J620"/>
    <mergeCell ref="K618:K620"/>
    <mergeCell ref="L618:L620"/>
    <mergeCell ref="M618:M620"/>
    <mergeCell ref="N618:N620"/>
    <mergeCell ref="O618:O620"/>
    <mergeCell ref="P672:P674"/>
    <mergeCell ref="Q672:Q674"/>
    <mergeCell ref="R672:R674"/>
    <mergeCell ref="S672:S674"/>
    <mergeCell ref="T672:T674"/>
    <mergeCell ref="U672:U674"/>
    <mergeCell ref="V677:V680"/>
    <mergeCell ref="V672:V674"/>
    <mergeCell ref="D675:V675"/>
    <mergeCell ref="D676:V676"/>
    <mergeCell ref="X676:AR676"/>
    <mergeCell ref="D677:D680"/>
    <mergeCell ref="E677:E680"/>
    <mergeCell ref="F677:F680"/>
    <mergeCell ref="G677:G680"/>
    <mergeCell ref="H677:H680"/>
    <mergeCell ref="I677:I680"/>
    <mergeCell ref="J677:J680"/>
    <mergeCell ref="K677:K680"/>
    <mergeCell ref="L677:L680"/>
    <mergeCell ref="M677:M680"/>
    <mergeCell ref="N677:N680"/>
    <mergeCell ref="O677:O680"/>
    <mergeCell ref="P677:P680"/>
    <mergeCell ref="Q677:Q680"/>
    <mergeCell ref="R677:R680"/>
    <mergeCell ref="S677:S680"/>
    <mergeCell ref="T677:T680"/>
    <mergeCell ref="U677:U680"/>
    <mergeCell ref="P618:P620"/>
    <mergeCell ref="Q618:Q620"/>
    <mergeCell ref="R618:R620"/>
    <mergeCell ref="S618:S620"/>
    <mergeCell ref="T618:T620"/>
    <mergeCell ref="U618:U620"/>
    <mergeCell ref="V623:V626"/>
    <mergeCell ref="V618:V620"/>
    <mergeCell ref="D621:V621"/>
    <mergeCell ref="D622:V622"/>
    <mergeCell ref="X622:AR622"/>
    <mergeCell ref="D623:D626"/>
    <mergeCell ref="E623:E626"/>
    <mergeCell ref="F623:F626"/>
    <mergeCell ref="G623:G626"/>
    <mergeCell ref="H623:H626"/>
    <mergeCell ref="I623:I626"/>
    <mergeCell ref="J623:J626"/>
    <mergeCell ref="K623:K626"/>
    <mergeCell ref="L623:L626"/>
    <mergeCell ref="M623:M626"/>
    <mergeCell ref="N623:N626"/>
    <mergeCell ref="O623:O626"/>
    <mergeCell ref="P623:P626"/>
    <mergeCell ref="Q623:Q626"/>
    <mergeCell ref="R623:R626"/>
    <mergeCell ref="S623:S626"/>
    <mergeCell ref="T623:T626"/>
    <mergeCell ref="U623:U626"/>
    <mergeCell ref="X631:AR631"/>
    <mergeCell ref="X640:AR640"/>
    <mergeCell ref="D645:D647"/>
    <mergeCell ref="E645:E647"/>
    <mergeCell ref="F645:F647"/>
    <mergeCell ref="G645:G647"/>
    <mergeCell ref="H645:H647"/>
    <mergeCell ref="I645:I647"/>
    <mergeCell ref="J645:J647"/>
    <mergeCell ref="K645:K647"/>
    <mergeCell ref="L645:L647"/>
    <mergeCell ref="M645:M647"/>
    <mergeCell ref="N645:N647"/>
    <mergeCell ref="O645:O647"/>
    <mergeCell ref="P645:P647"/>
    <mergeCell ref="Q645:Q647"/>
    <mergeCell ref="R645:R647"/>
    <mergeCell ref="S645:S647"/>
    <mergeCell ref="T645:T647"/>
    <mergeCell ref="U645:U647"/>
    <mergeCell ref="V650:V653"/>
    <mergeCell ref="V645:V647"/>
    <mergeCell ref="D648:V648"/>
    <mergeCell ref="D649:V649"/>
    <mergeCell ref="X649:AR649"/>
    <mergeCell ref="D650:D653"/>
    <mergeCell ref="E650:E653"/>
    <mergeCell ref="F650:F653"/>
    <mergeCell ref="G650:G653"/>
    <mergeCell ref="H650:H653"/>
    <mergeCell ref="I650:I653"/>
    <mergeCell ref="J650:J653"/>
    <mergeCell ref="K650:K653"/>
    <mergeCell ref="L650:L653"/>
    <mergeCell ref="M650:M653"/>
    <mergeCell ref="N650:N653"/>
    <mergeCell ref="O650:O653"/>
    <mergeCell ref="P650:P653"/>
    <mergeCell ref="Q650:Q653"/>
    <mergeCell ref="R650:R653"/>
    <mergeCell ref="S650:S653"/>
    <mergeCell ref="T650:T653"/>
    <mergeCell ref="U650:U653"/>
    <mergeCell ref="X658:AR658"/>
    <mergeCell ref="X667:AR667"/>
    <mergeCell ref="D672:D674"/>
    <mergeCell ref="E672:E674"/>
    <mergeCell ref="F672:F674"/>
    <mergeCell ref="G672:G674"/>
    <mergeCell ref="H672:H674"/>
    <mergeCell ref="I672:I674"/>
    <mergeCell ref="J672:J674"/>
    <mergeCell ref="K672:K674"/>
    <mergeCell ref="L672:L674"/>
    <mergeCell ref="M672:M674"/>
    <mergeCell ref="N672:N674"/>
    <mergeCell ref="O672:O674"/>
    <mergeCell ref="X685:AR685"/>
    <mergeCell ref="X694:AR694"/>
    <mergeCell ref="D699:D701"/>
    <mergeCell ref="E699:E701"/>
    <mergeCell ref="F699:F701"/>
    <mergeCell ref="G699:G701"/>
    <mergeCell ref="H699:H701"/>
    <mergeCell ref="I699:I701"/>
    <mergeCell ref="J699:J701"/>
    <mergeCell ref="K699:K701"/>
    <mergeCell ref="L699:L701"/>
    <mergeCell ref="M699:M701"/>
    <mergeCell ref="N699:N701"/>
    <mergeCell ref="O699:O701"/>
    <mergeCell ref="P753:P755"/>
    <mergeCell ref="Q753:Q755"/>
    <mergeCell ref="R753:R755"/>
    <mergeCell ref="S753:S755"/>
    <mergeCell ref="T753:T755"/>
    <mergeCell ref="U753:U755"/>
    <mergeCell ref="V758:V761"/>
    <mergeCell ref="V753:V755"/>
    <mergeCell ref="D756:V756"/>
    <mergeCell ref="D757:V757"/>
    <mergeCell ref="X757:AR757"/>
    <mergeCell ref="D758:D761"/>
    <mergeCell ref="E758:E761"/>
    <mergeCell ref="F758:F761"/>
    <mergeCell ref="G758:G761"/>
    <mergeCell ref="H758:H761"/>
    <mergeCell ref="I758:I761"/>
    <mergeCell ref="J758:J761"/>
    <mergeCell ref="K758:K761"/>
    <mergeCell ref="L758:L761"/>
    <mergeCell ref="M758:M761"/>
    <mergeCell ref="N758:N761"/>
    <mergeCell ref="O758:O761"/>
    <mergeCell ref="P758:P761"/>
    <mergeCell ref="Q758:Q761"/>
    <mergeCell ref="R758:R761"/>
    <mergeCell ref="S758:S761"/>
    <mergeCell ref="T758:T761"/>
    <mergeCell ref="U758:U761"/>
  </mergeCells>
  <drawing r:id="rId1"/>
</worksheet>
</file>