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an\Downloads\"/>
    </mc:Choice>
  </mc:AlternateContent>
  <xr:revisionPtr revIDLastSave="0" documentId="13_ncr:1_{FE09395D-3BC2-4C3C-B071-882726540CAD}" xr6:coauthVersionLast="45" xr6:coauthVersionMax="45" xr10:uidLastSave="{00000000-0000-0000-0000-000000000000}"/>
  <workbookProtection workbookAlgorithmName="SHA-512" workbookHashValue="gztjaHJYlT3tAGBa8skRiOLUdAWoLAnqMS4ojxVtnGvJ1jNMjdUmEMDq9F5sj0NZj9EQXEgYsJPlPnntKD9XLA==" workbookSaltValue="hj9gtUmLWRrQVmsU1eDjag==" workbookSpinCount="100000" lockStructure="1"/>
  <bookViews>
    <workbookView xWindow="-120" yWindow="-120" windowWidth="20640" windowHeight="11310" xr2:uid="{D1715C4C-4714-CC4A-BC5A-BE47E8379285}"/>
  </bookViews>
  <sheets>
    <sheet name="Monthly Cash Flow " sheetId="1" r:id="rId1"/>
    <sheet name="Source Data" sheetId="2" state="hidden" r:id="rId2"/>
  </sheets>
  <definedNames>
    <definedName name="_xlnm._FilterDatabase" localSheetId="0" hidden="1">'Monthly Cash Flow '!$C$11:$D$11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6" i="2" l="1"/>
  <c r="R35" i="2"/>
  <c r="Q36" i="2"/>
  <c r="Q35" i="2"/>
  <c r="R15" i="2"/>
  <c r="R13" i="2"/>
  <c r="R14" i="2" s="1"/>
  <c r="R12" i="2"/>
  <c r="R8" i="2"/>
  <c r="Q15" i="2"/>
  <c r="Q13" i="2"/>
  <c r="Q14" i="2" s="1"/>
  <c r="Q12" i="2"/>
  <c r="Q8" i="2"/>
  <c r="K36" i="2"/>
  <c r="J36" i="2"/>
  <c r="K35" i="2"/>
  <c r="J35" i="2"/>
  <c r="J13" i="2"/>
  <c r="J26" i="2" s="1"/>
  <c r="K13" i="2"/>
  <c r="K14" i="2" s="1"/>
  <c r="J15" i="2"/>
  <c r="K15" i="2"/>
  <c r="J8" i="2"/>
  <c r="K8" i="2"/>
  <c r="R26" i="2" l="1"/>
  <c r="Q26" i="2"/>
  <c r="Q27" i="2" s="1"/>
  <c r="J28" i="2"/>
  <c r="J27" i="2"/>
  <c r="J29" i="2" s="1"/>
  <c r="K26" i="2"/>
  <c r="J14" i="2"/>
  <c r="T36" i="2"/>
  <c r="T35" i="2"/>
  <c r="R27" i="2" l="1"/>
  <c r="R29" i="2" s="1"/>
  <c r="R28" i="2"/>
  <c r="Q28" i="2"/>
  <c r="Q29" i="2"/>
  <c r="K28" i="2"/>
  <c r="K27" i="2"/>
  <c r="K29" i="2" s="1"/>
  <c r="S8" i="2"/>
  <c r="S13" i="2"/>
  <c r="S14" i="2" s="1"/>
  <c r="S15" i="2"/>
  <c r="S26" i="2" l="1"/>
  <c r="S27" i="2" s="1"/>
  <c r="S29" i="2" s="1"/>
  <c r="P15" i="2"/>
  <c r="S35" i="2"/>
  <c r="S36" i="2"/>
  <c r="P8" i="2"/>
  <c r="P12" i="2"/>
  <c r="P13" i="2"/>
  <c r="P26" i="2" s="1"/>
  <c r="P27" i="2" s="1"/>
  <c r="P29" i="2" s="1"/>
  <c r="P35" i="2"/>
  <c r="P36" i="2"/>
  <c r="S28" i="2" l="1"/>
  <c r="P28" i="2"/>
  <c r="P14" i="2"/>
  <c r="D35" i="1"/>
  <c r="U36" i="2"/>
  <c r="U35" i="2"/>
  <c r="U15" i="2" l="1"/>
  <c r="U27" i="2" s="1"/>
  <c r="U29" i="2" s="1"/>
  <c r="U13" i="2"/>
  <c r="U26" i="2" s="1"/>
  <c r="U28" i="2" s="1"/>
  <c r="B13" i="2"/>
  <c r="U8" i="2"/>
  <c r="U14" i="2" l="1"/>
  <c r="C36" i="2" l="1"/>
  <c r="D36" i="2"/>
  <c r="E36" i="2"/>
  <c r="F36" i="2"/>
  <c r="G36" i="2"/>
  <c r="H36" i="2"/>
  <c r="I36" i="2"/>
  <c r="L36" i="2"/>
  <c r="M36" i="2"/>
  <c r="N36" i="2"/>
  <c r="O36" i="2"/>
  <c r="C35" i="2"/>
  <c r="D35" i="2"/>
  <c r="E35" i="2"/>
  <c r="F35" i="2"/>
  <c r="G35" i="2"/>
  <c r="H35" i="2"/>
  <c r="D36" i="1" s="1"/>
  <c r="D39" i="1" s="1"/>
  <c r="I35" i="2"/>
  <c r="L35" i="2"/>
  <c r="M35" i="2"/>
  <c r="N35" i="2"/>
  <c r="O35" i="2"/>
  <c r="B35" i="2"/>
  <c r="B36" i="2"/>
  <c r="D34" i="1"/>
  <c r="M13" i="1" l="1"/>
  <c r="N21" i="1" s="1"/>
  <c r="J13" i="1"/>
  <c r="G13" i="1"/>
  <c r="H21" i="1" s="1"/>
  <c r="D13" i="1"/>
  <c r="K21" i="1" l="1"/>
  <c r="E21" i="1"/>
  <c r="M19" i="1"/>
  <c r="J19" i="1"/>
  <c r="G19" i="1"/>
  <c r="D19" i="1"/>
  <c r="C15" i="2" l="1"/>
  <c r="C27" i="2" s="1"/>
  <c r="C29" i="2" s="1"/>
  <c r="D15" i="2"/>
  <c r="D27" i="2" s="1"/>
  <c r="D29" i="2" s="1"/>
  <c r="E15" i="2"/>
  <c r="E27" i="2" s="1"/>
  <c r="E29" i="2" s="1"/>
  <c r="F15" i="2"/>
  <c r="F26" i="2" s="1"/>
  <c r="F28" i="2" s="1"/>
  <c r="G15" i="2"/>
  <c r="G27" i="2" s="1"/>
  <c r="G29" i="2" s="1"/>
  <c r="H15" i="2"/>
  <c r="H27" i="2" s="1"/>
  <c r="H29" i="2" s="1"/>
  <c r="I15" i="2"/>
  <c r="I27" i="2" s="1"/>
  <c r="I29" i="2" s="1"/>
  <c r="L15" i="2"/>
  <c r="M15" i="2"/>
  <c r="N15" i="2"/>
  <c r="O15" i="2"/>
  <c r="T15" i="2"/>
  <c r="B15" i="2"/>
  <c r="B27" i="2" s="1"/>
  <c r="B29" i="2" s="1"/>
  <c r="C13" i="2"/>
  <c r="C14" i="2" s="1"/>
  <c r="D13" i="2"/>
  <c r="D14" i="2" s="1"/>
  <c r="E13" i="2"/>
  <c r="E14" i="2" s="1"/>
  <c r="F13" i="2"/>
  <c r="F14" i="2" s="1"/>
  <c r="G13" i="2"/>
  <c r="G14" i="2" s="1"/>
  <c r="H13" i="2"/>
  <c r="H14" i="2" s="1"/>
  <c r="I13" i="2"/>
  <c r="I14" i="2" s="1"/>
  <c r="L13" i="2"/>
  <c r="M13" i="2"/>
  <c r="N13" i="2"/>
  <c r="O13" i="2"/>
  <c r="T13" i="2"/>
  <c r="B14" i="2"/>
  <c r="C8" i="2"/>
  <c r="D8" i="2"/>
  <c r="E8" i="2"/>
  <c r="F8" i="2"/>
  <c r="G8" i="2"/>
  <c r="H8" i="2"/>
  <c r="I8" i="2"/>
  <c r="L8" i="2"/>
  <c r="M8" i="2"/>
  <c r="N8" i="2"/>
  <c r="O8" i="2"/>
  <c r="T8" i="2"/>
  <c r="B8" i="2"/>
  <c r="C12" i="2"/>
  <c r="D12" i="2"/>
  <c r="E12" i="2"/>
  <c r="F12" i="2"/>
  <c r="G12" i="2"/>
  <c r="H12" i="2"/>
  <c r="I12" i="2"/>
  <c r="L12" i="2"/>
  <c r="M12" i="2"/>
  <c r="N12" i="2"/>
  <c r="O12" i="2"/>
  <c r="T12" i="2"/>
  <c r="U12" i="2"/>
  <c r="V12" i="2"/>
  <c r="W12" i="2"/>
  <c r="X12" i="2"/>
  <c r="B12" i="2"/>
  <c r="O14" i="2" l="1"/>
  <c r="O26" i="2"/>
  <c r="T14" i="2"/>
  <c r="T26" i="2"/>
  <c r="T27" i="2" s="1"/>
  <c r="N14" i="2"/>
  <c r="N26" i="2"/>
  <c r="M14" i="2"/>
  <c r="M26" i="2"/>
  <c r="L14" i="2"/>
  <c r="L26" i="2"/>
  <c r="L27" i="2" s="1"/>
  <c r="E26" i="2"/>
  <c r="E28" i="2" s="1"/>
  <c r="D26" i="2"/>
  <c r="D28" i="2" s="1"/>
  <c r="B26" i="2"/>
  <c r="B28" i="2" s="1"/>
  <c r="G21" i="1" s="1"/>
  <c r="H26" i="2"/>
  <c r="H28" i="2" s="1"/>
  <c r="D21" i="1" s="1"/>
  <c r="C26" i="2"/>
  <c r="C28" i="2" s="1"/>
  <c r="I26" i="2"/>
  <c r="I28" i="2" s="1"/>
  <c r="G26" i="2"/>
  <c r="G28" i="2" s="1"/>
  <c r="F27" i="2"/>
  <c r="F29" i="2" s="1"/>
  <c r="L28" i="2" l="1"/>
  <c r="L29" i="2"/>
  <c r="J21" i="1" s="1"/>
  <c r="N28" i="2"/>
  <c r="N27" i="2"/>
  <c r="N29" i="2" s="1"/>
  <c r="M28" i="2"/>
  <c r="M27" i="2"/>
  <c r="M29" i="2" s="1"/>
  <c r="M21" i="1" s="1"/>
  <c r="T28" i="2"/>
  <c r="T29" i="2"/>
  <c r="O28" i="2"/>
  <c r="O27" i="2"/>
  <c r="O29" i="2" s="1"/>
  <c r="D55" i="1"/>
  <c r="D31" i="1" l="1"/>
  <c r="D41" i="1" l="1"/>
  <c r="D57" i="1" s="1"/>
</calcChain>
</file>

<file path=xl/sharedStrings.xml><?xml version="1.0" encoding="utf-8"?>
<sst xmlns="http://schemas.openxmlformats.org/spreadsheetml/2006/main" count="132" uniqueCount="92">
  <si>
    <t>Crop Type</t>
  </si>
  <si>
    <t>Rent</t>
  </si>
  <si>
    <t>Delivery &amp; Distribution</t>
  </si>
  <si>
    <t>Packaging</t>
  </si>
  <si>
    <t>Other Expenses</t>
  </si>
  <si>
    <t>Monthly Cash Flow</t>
  </si>
  <si>
    <t>Arugula</t>
  </si>
  <si>
    <t>Basil</t>
  </si>
  <si>
    <t>Parsley</t>
  </si>
  <si>
    <t>Dill</t>
  </si>
  <si>
    <t>Thyme</t>
  </si>
  <si>
    <t>Monthly Marketable Yield</t>
  </si>
  <si>
    <t>Marketable %</t>
  </si>
  <si>
    <t>Cost of Labor (per hour)</t>
  </si>
  <si>
    <t>Unit of Sale</t>
  </si>
  <si>
    <t>Price per unit of sale</t>
  </si>
  <si>
    <t>% Marketable</t>
  </si>
  <si>
    <t>Growing Supplies (LGM)</t>
  </si>
  <si>
    <t>Growing Supplies (Greenery)</t>
  </si>
  <si>
    <t>farmhand® Cost</t>
  </si>
  <si>
    <t>Farmhand Monthly Costs</t>
  </si>
  <si>
    <t>farmhand®</t>
  </si>
  <si>
    <t>farmhand® Connect (Limited)</t>
  </si>
  <si>
    <t>Decline farmhand®</t>
  </si>
  <si>
    <t>Other Supplies</t>
  </si>
  <si>
    <t>Cash from Produce Sales</t>
  </si>
  <si>
    <t>BUSINESS MODEL INPUTS</t>
  </si>
  <si>
    <t>MONTHLY CASH FLOW</t>
  </si>
  <si>
    <t>Farming Expenses</t>
  </si>
  <si>
    <t>Total Cash after Farm Expenses</t>
  </si>
  <si>
    <t xml:space="preserve">Total cash used by farming activities </t>
  </si>
  <si>
    <t xml:space="preserve">Other Business Expenses </t>
  </si>
  <si>
    <t xml:space="preserve">Total cash used by busness activities </t>
  </si>
  <si>
    <t>Plants per Channel</t>
  </si>
  <si>
    <t>Channels Available for Planting</t>
  </si>
  <si>
    <t>Total Planting Sites</t>
  </si>
  <si>
    <t>Weeks to Maturity</t>
  </si>
  <si>
    <t>Trimming Weeks Before Harvest</t>
  </si>
  <si>
    <t>(Crop Schedule Validation)</t>
  </si>
  <si>
    <t>Total Grow Period (Weeks)</t>
  </si>
  <si>
    <t>Active Channels (Weekly)</t>
  </si>
  <si>
    <t>Active plants per week</t>
  </si>
  <si>
    <t>Harvested plants per week</t>
  </si>
  <si>
    <t>Weekly Yield (Heads / Bunches)</t>
  </si>
  <si>
    <t>Weekly Yield (lbs)</t>
  </si>
  <si>
    <t>Ounces per unit</t>
  </si>
  <si>
    <t>All Greenery yield data presented is projected. This document should not be considered a performance guarantee.</t>
  </si>
  <si>
    <t>Monthly Heads / Bunches</t>
  </si>
  <si>
    <t>Monthly Lbs.</t>
  </si>
  <si>
    <t xml:space="preserve">Farm Economics </t>
  </si>
  <si>
    <t xml:space="preserve">Farm Output </t>
  </si>
  <si>
    <t xml:space="preserve">Production and Economic Inputs </t>
  </si>
  <si>
    <t>Units Harvested Per Plant</t>
  </si>
  <si>
    <t>Production Unit</t>
  </si>
  <si>
    <t>Lettuce: Mini Heads --&gt;</t>
  </si>
  <si>
    <t>Lettuce: Full Heads --&gt;</t>
  </si>
  <si>
    <t>Hearty Greens --&gt;</t>
  </si>
  <si>
    <t>Herbs --&gt;</t>
  </si>
  <si>
    <t>Head</t>
  </si>
  <si>
    <t>Ounce</t>
  </si>
  <si>
    <t>Unit of Sale Options</t>
  </si>
  <si>
    <t>Heads / Bunches</t>
  </si>
  <si>
    <t>Lbs.</t>
  </si>
  <si>
    <t>% of Farm Columns Planted</t>
  </si>
  <si>
    <t>Crop Columns Used</t>
  </si>
  <si>
    <t>Green cells are business model inputs. Please fill in and adjust to match your farming plans and local conditions</t>
  </si>
  <si>
    <t>INSTRUCTIONS</t>
  </si>
  <si>
    <t>Primary Assumptions</t>
  </si>
  <si>
    <t>* Average Commerical Electricity Rate is $0.1005 / kWh</t>
  </si>
  <si>
    <t>Electricity Rate (per kWh)*</t>
  </si>
  <si>
    <t>Labor**</t>
  </si>
  <si>
    <t>Utilities***</t>
  </si>
  <si>
    <t>Grow Supplies****</t>
  </si>
  <si>
    <t>** 20 hours / week</t>
  </si>
  <si>
    <t>**** Includes plugs, seeds, nutrients, pH down, plant safe santizer, calibration solution, mycorrhizae solution, CO2, cleaning supplies, food safety supplies</t>
  </si>
  <si>
    <t>Radishes</t>
  </si>
  <si>
    <t>Roots --&gt;</t>
  </si>
  <si>
    <t>*** 160 Kwh / day</t>
  </si>
  <si>
    <t>Mint</t>
  </si>
  <si>
    <t>Cilantro</t>
  </si>
  <si>
    <t>3-week head: Leaf Lettuce</t>
  </si>
  <si>
    <t>3-week head: Romaine</t>
  </si>
  <si>
    <t>3-week head: Bibb</t>
  </si>
  <si>
    <t>3-week head: Butterhead</t>
  </si>
  <si>
    <t>4-week head: Romaine</t>
  </si>
  <si>
    <t>4-week head: Leaf</t>
  </si>
  <si>
    <t>4-week head: Bibb</t>
  </si>
  <si>
    <t>4-week head: Butterhead</t>
  </si>
  <si>
    <t>Collard Greens</t>
  </si>
  <si>
    <t>Asian Greens</t>
  </si>
  <si>
    <t>Chives</t>
  </si>
  <si>
    <t>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</si>
</sst>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Helvetica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0" fontId="1" fillId="3" borderId="0" xfId="0" applyFont="1" applyFill="1"/>
    <xf numFmtId="164" fontId="0" fillId="3" borderId="0" xfId="0" applyNumberFormat="1" applyFill="1"/>
    <xf numFmtId="9" fontId="0" fillId="3" borderId="0" xfId="0" applyNumberFormat="1" applyFill="1"/>
    <xf numFmtId="0" fontId="0" fillId="4" borderId="0" xfId="0" applyFill="1"/>
    <xf numFmtId="164" fontId="3" fillId="3" borderId="0" xfId="0" applyNumberFormat="1" applyFont="1" applyFill="1"/>
    <xf numFmtId="0" fontId="2" fillId="3" borderId="0" xfId="0" applyFont="1" applyFill="1"/>
    <xf numFmtId="164" fontId="1" fillId="3" borderId="0" xfId="0" applyNumberFormat="1" applyFont="1" applyFill="1"/>
    <xf numFmtId="0" fontId="0" fillId="3" borderId="0" xfId="0" applyFill="1" applyAlignment="1">
      <alignment wrapText="1"/>
    </xf>
    <xf numFmtId="0" fontId="1" fillId="3" borderId="4" xfId="0" applyFont="1" applyFill="1" applyBorder="1" applyAlignment="1">
      <alignment wrapText="1"/>
    </xf>
    <xf numFmtId="164" fontId="0" fillId="3" borderId="0" xfId="0" applyNumberFormat="1" applyFont="1" applyFill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/>
    </xf>
    <xf numFmtId="0" fontId="0" fillId="2" borderId="0" xfId="0" applyFill="1"/>
    <xf numFmtId="9" fontId="0" fillId="4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9" fontId="0" fillId="3" borderId="0" xfId="1" applyFont="1" applyFill="1"/>
    <xf numFmtId="0" fontId="0" fillId="2" borderId="2" xfId="0" applyFill="1" applyBorder="1" applyAlignment="1" applyProtection="1">
      <alignment horizontal="center"/>
      <protection locked="0"/>
    </xf>
    <xf numFmtId="0" fontId="0" fillId="3" borderId="0" xfId="0" applyFill="1" applyBorder="1" applyProtection="1"/>
    <xf numFmtId="0" fontId="1" fillId="3" borderId="1" xfId="0" applyFont="1" applyFill="1" applyBorder="1" applyProtection="1"/>
    <xf numFmtId="0" fontId="1" fillId="3" borderId="1" xfId="0" applyFont="1" applyFill="1" applyBorder="1" applyAlignment="1" applyProtection="1">
      <alignment horizontal="left"/>
    </xf>
    <xf numFmtId="0" fontId="0" fillId="3" borderId="0" xfId="0" applyFill="1" applyProtection="1"/>
    <xf numFmtId="0" fontId="0" fillId="2" borderId="0" xfId="0" applyFill="1" applyProtection="1"/>
    <xf numFmtId="0" fontId="7" fillId="0" borderId="0" xfId="0" applyFont="1" applyAlignment="1" applyProtection="1">
      <alignment horizontal="left"/>
    </xf>
    <xf numFmtId="0" fontId="0" fillId="3" borderId="0" xfId="0" applyFill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6" fillId="3" borderId="0" xfId="0" applyFont="1" applyFill="1" applyBorder="1" applyAlignment="1" applyProtection="1">
      <alignment horizontal="left" vertical="center"/>
    </xf>
    <xf numFmtId="0" fontId="0" fillId="3" borderId="0" xfId="0" applyFill="1" applyBorder="1" applyAlignment="1" applyProtection="1">
      <alignment horizontal="left"/>
    </xf>
    <xf numFmtId="0" fontId="1" fillId="3" borderId="0" xfId="0" applyFont="1" applyFill="1" applyBorder="1" applyProtection="1"/>
    <xf numFmtId="164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left"/>
    </xf>
    <xf numFmtId="0" fontId="0" fillId="0" borderId="0" xfId="0" applyFill="1" applyBorder="1" applyProtection="1"/>
    <xf numFmtId="9" fontId="0" fillId="3" borderId="0" xfId="0" applyNumberFormat="1" applyFill="1" applyProtection="1"/>
    <xf numFmtId="0" fontId="1" fillId="3" borderId="0" xfId="0" applyFont="1" applyFill="1" applyProtection="1"/>
    <xf numFmtId="0" fontId="1" fillId="0" borderId="0" xfId="0" applyNumberFormat="1" applyFont="1" applyFill="1" applyProtection="1"/>
    <xf numFmtId="0" fontId="0" fillId="3" borderId="0" xfId="0" applyFont="1" applyFill="1" applyAlignment="1" applyProtection="1">
      <alignment horizontal="left"/>
    </xf>
    <xf numFmtId="164" fontId="0" fillId="3" borderId="0" xfId="0" applyNumberFormat="1" applyFill="1" applyBorder="1" applyProtection="1"/>
    <xf numFmtId="164" fontId="1" fillId="3" borderId="0" xfId="0" applyNumberFormat="1" applyFont="1" applyFill="1" applyBorder="1" applyProtection="1"/>
    <xf numFmtId="0" fontId="0" fillId="3" borderId="1" xfId="0" applyFill="1" applyBorder="1" applyProtection="1"/>
    <xf numFmtId="0" fontId="0" fillId="3" borderId="1" xfId="0" applyFill="1" applyBorder="1" applyAlignment="1" applyProtection="1">
      <alignment horizontal="left"/>
    </xf>
    <xf numFmtId="164" fontId="0" fillId="3" borderId="0" xfId="0" applyNumberFormat="1" applyFill="1" applyProtection="1"/>
    <xf numFmtId="164" fontId="0" fillId="0" borderId="0" xfId="0" applyNumberFormat="1" applyFill="1" applyProtection="1"/>
    <xf numFmtId="164" fontId="0" fillId="0" borderId="0" xfId="0" applyNumberFormat="1" applyFill="1" applyBorder="1" applyProtection="1"/>
    <xf numFmtId="164" fontId="0" fillId="3" borderId="3" xfId="0" applyNumberFormat="1" applyFill="1" applyBorder="1" applyProtection="1"/>
    <xf numFmtId="164" fontId="1" fillId="3" borderId="3" xfId="0" applyNumberFormat="1" applyFont="1" applyFill="1" applyBorder="1" applyProtection="1"/>
    <xf numFmtId="9" fontId="0" fillId="2" borderId="2" xfId="1" applyFont="1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9" fontId="0" fillId="2" borderId="2" xfId="1" applyNumberFormat="1" applyFont="1" applyFill="1" applyBorder="1" applyProtection="1">
      <protection locked="0"/>
    </xf>
    <xf numFmtId="0" fontId="0" fillId="3" borderId="0" xfId="0" quotePrefix="1" applyFill="1" applyProtection="1"/>
    <xf numFmtId="0" fontId="0" fillId="3" borderId="0" xfId="0" quotePrefix="1" applyFill="1" applyAlignment="1" applyProtection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'Monthly Cash Flow '!$C$15</c:f>
              <c:strCache>
                <c:ptCount val="1"/>
                <c:pt idx="0">
                  <c:v>% of Farm Columns Planted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'Monthly Cash Flow '!$D$15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E-4FC0-8771-A1C39089D9D5}"/>
            </c:ext>
          </c:extLst>
        </c:ser>
        <c:ser>
          <c:idx val="1"/>
          <c:order val="1"/>
          <c:tx>
            <c:strRef>
              <c:f>'Monthly Cash Flow '!$F$15</c:f>
              <c:strCache>
                <c:ptCount val="1"/>
                <c:pt idx="0">
                  <c:v>% of Farm Columns Planted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'Monthly Cash Flow '!$G$15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E-4FC0-8771-A1C39089D9D5}"/>
            </c:ext>
          </c:extLst>
        </c:ser>
        <c:ser>
          <c:idx val="2"/>
          <c:order val="2"/>
          <c:tx>
            <c:strRef>
              <c:f>'Monthly Cash Flow '!$I$15</c:f>
              <c:strCache>
                <c:ptCount val="1"/>
                <c:pt idx="0">
                  <c:v>% of Farm Columns Planted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'Monthly Cash Flow '!$J$15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E-4FC0-8771-A1C39089D9D5}"/>
            </c:ext>
          </c:extLst>
        </c:ser>
        <c:ser>
          <c:idx val="3"/>
          <c:order val="3"/>
          <c:tx>
            <c:strRef>
              <c:f>'Monthly Cash Flow '!$L$15</c:f>
              <c:strCache>
                <c:ptCount val="1"/>
                <c:pt idx="0">
                  <c:v>% of Farm Columns Planted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'Monthly Cash Flow '!$M$15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E-4FC0-8771-A1C39089D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0690736"/>
        <c:axId val="860691064"/>
      </c:barChart>
      <c:catAx>
        <c:axId val="860690736"/>
        <c:scaling>
          <c:orientation val="minMax"/>
        </c:scaling>
        <c:delete val="1"/>
        <c:axPos val="l"/>
        <c:majorTickMark val="none"/>
        <c:minorTickMark val="none"/>
        <c:tickLblPos val="nextTo"/>
        <c:crossAx val="860691064"/>
        <c:crosses val="autoZero"/>
        <c:auto val="1"/>
        <c:lblAlgn val="ctr"/>
        <c:lblOffset val="100"/>
        <c:noMultiLvlLbl val="0"/>
      </c:catAx>
      <c:valAx>
        <c:axId val="860691064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114300</xdr:rowOff>
    </xdr:from>
    <xdr:to>
      <xdr:col>6</xdr:col>
      <xdr:colOff>1879600</xdr:colOff>
      <xdr:row>6</xdr:row>
      <xdr:rowOff>368300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2FAD0B-4C12-A14A-92FD-545FE754C4DD}"/>
            </a:ext>
          </a:extLst>
        </xdr:cNvPr>
        <xdr:cNvSpPr/>
      </xdr:nvSpPr>
      <xdr:spPr>
        <a:xfrm>
          <a:off x="825500" y="736600"/>
          <a:ext cx="6654800" cy="901700"/>
        </a:xfrm>
        <a:prstGeom prst="rect">
          <a:avLst/>
        </a:prstGeom>
        <a:solidFill>
          <a:srgbClr val="E7E6E6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1892300</xdr:colOff>
      <xdr:row>1</xdr:row>
      <xdr:rowOff>129117</xdr:rowOff>
    </xdr:from>
    <xdr:to>
      <xdr:col>12</xdr:col>
      <xdr:colOff>1930400</xdr:colOff>
      <xdr:row>4</xdr:row>
      <xdr:rowOff>177621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1322C-6755-4D48-A4CE-2088B38B5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6800" y="345017"/>
          <a:ext cx="2501900" cy="652459"/>
        </a:xfrm>
        <a:prstGeom prst="rect">
          <a:avLst/>
        </a:prstGeom>
      </xdr:spPr>
    </xdr:pic>
    <xdr:clientData/>
  </xdr:twoCellAnchor>
  <xdr:twoCellAnchor>
    <xdr:from>
      <xdr:col>2</xdr:col>
      <xdr:colOff>1512887</xdr:colOff>
      <xdr:row>4</xdr:row>
      <xdr:rowOff>162718</xdr:rowOff>
    </xdr:from>
    <xdr:to>
      <xdr:col>6</xdr:col>
      <xdr:colOff>1841500</xdr:colOff>
      <xdr:row>6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B06AE-476F-4866-BBF5-05ABE9634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D69B-1FF3-5541-9DD3-0BBB9C47AA33}">
  <dimension ref="A1:XFA64"/>
  <sheetViews>
    <sheetView showGridLines="0" tabSelected="1" zoomScale="90" zoomScaleNormal="90" workbookViewId="0">
      <pane ySplit="7" topLeftCell="A8" activePane="bottomLeft" state="frozen"/>
      <selection pane="bottomLeft" sqref="A1:XFD7"/>
    </sheetView>
  </sheetViews>
  <sheetFormatPr defaultColWidth="10.875" defaultRowHeight="15.75" x14ac:dyDescent="0.25"/>
  <cols>
    <col min="1" max="1" width="6" style="20" customWidth="1"/>
    <col min="2" max="2" width="4.875" style="23" customWidth="1"/>
    <col min="3" max="3" width="32.125" style="23" bestFit="1" customWidth="1"/>
    <col min="4" max="4" width="25.5" style="23" bestFit="1" customWidth="1"/>
    <col min="5" max="5" width="5" style="26" customWidth="1"/>
    <col min="6" max="6" width="32.125" style="23" hidden="1" customWidth="1"/>
    <col min="7" max="7" width="25.5" style="23" bestFit="1" customWidth="1"/>
    <col min="8" max="8" width="6.875" style="26" customWidth="1"/>
    <col min="9" max="9" width="32.125" style="23" hidden="1" customWidth="1"/>
    <col min="10" max="10" width="25.5" style="23" bestFit="1" customWidth="1"/>
    <col min="11" max="11" width="6.875" style="26" customWidth="1"/>
    <col min="12" max="12" width="1.375" style="23" hidden="1" customWidth="1"/>
    <col min="13" max="13" width="25.5" style="23" bestFit="1" customWidth="1"/>
    <col min="14" max="14" width="6.875" style="26" customWidth="1"/>
    <col min="15" max="16384" width="10.875" style="23"/>
  </cols>
  <sheetData>
    <row r="1" spans="1:16381" ht="16.5" thickBot="1" x14ac:dyDescent="0.3">
      <c r="B1" s="21" t="s">
        <v>66</v>
      </c>
      <c r="C1" s="21"/>
      <c r="D1" s="21"/>
      <c r="E1" s="22"/>
      <c r="F1" s="21"/>
      <c r="G1" s="21"/>
      <c r="H1" s="22"/>
      <c r="I1" s="21"/>
      <c r="J1" s="21"/>
      <c r="K1" s="22"/>
      <c r="L1" s="21"/>
      <c r="M1" s="21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  <c r="XFA1" s="21"/>
    </row>
    <row r="2" spans="1:16381" x14ac:dyDescent="0.25">
      <c r="B2" s="24"/>
      <c r="C2" s="25" t="s">
        <v>65</v>
      </c>
    </row>
    <row r="3" spans="1:16381" x14ac:dyDescent="0.25">
      <c r="B3" s="27"/>
      <c r="C3" s="28" t="s">
        <v>46</v>
      </c>
    </row>
    <row r="4" spans="1:16381" x14ac:dyDescent="0.25">
      <c r="B4" s="27"/>
      <c r="C4" s="28"/>
    </row>
    <row r="5" spans="1:16381" ht="32.1" customHeight="1" x14ac:dyDescent="0.25"/>
    <row r="6" spans="1:16381" ht="18.95" customHeight="1" x14ac:dyDescent="0.25">
      <c r="C6" s="29" t="s">
        <v>64</v>
      </c>
    </row>
    <row r="7" spans="1:16381" ht="36.950000000000003" customHeight="1" x14ac:dyDescent="0.25"/>
    <row r="8" spans="1:16381" s="20" customFormat="1" x14ac:dyDescent="0.25">
      <c r="E8" s="30"/>
      <c r="H8" s="30"/>
      <c r="K8" s="30"/>
      <c r="N8" s="30"/>
    </row>
    <row r="9" spans="1:16381" s="21" customFormat="1" ht="16.5" thickBot="1" x14ac:dyDescent="0.3">
      <c r="A9" s="31"/>
      <c r="B9" s="21" t="s">
        <v>26</v>
      </c>
      <c r="E9" s="22"/>
      <c r="H9" s="22"/>
      <c r="K9" s="22"/>
      <c r="N9" s="22"/>
    </row>
    <row r="11" spans="1:16381" x14ac:dyDescent="0.25">
      <c r="C11" s="23" t="s">
        <v>0</v>
      </c>
      <c r="D11" s="19" t="s">
        <v>84</v>
      </c>
      <c r="F11" s="23" t="s">
        <v>0</v>
      </c>
      <c r="G11" s="19" t="s">
        <v>7</v>
      </c>
      <c r="I11" s="23" t="s">
        <v>0</v>
      </c>
      <c r="J11" s="19" t="s">
        <v>78</v>
      </c>
      <c r="L11" s="23" t="s">
        <v>0</v>
      </c>
      <c r="M11" s="19" t="s">
        <v>7</v>
      </c>
    </row>
    <row r="13" spans="1:16381" x14ac:dyDescent="0.25">
      <c r="C13" s="23" t="s">
        <v>14</v>
      </c>
      <c r="D13" s="32" t="str">
        <f>IF(ISERROR(FIND("head",D11,1)),"Lbs.","Heads / Bunches")</f>
        <v>Heads / Bunches</v>
      </c>
      <c r="E13" s="33"/>
      <c r="F13" s="34" t="s">
        <v>14</v>
      </c>
      <c r="G13" s="32" t="str">
        <f>IF(ISERROR(FIND("head",G11,1)),"Lbs.","Heads / Bunches")</f>
        <v>Lbs.</v>
      </c>
      <c r="H13" s="33"/>
      <c r="I13" s="34" t="s">
        <v>14</v>
      </c>
      <c r="J13" s="32" t="str">
        <f>IF(ISERROR(FIND("head",J11,1)),"Lbs.","Heads / Bunches")</f>
        <v>Lbs.</v>
      </c>
      <c r="K13" s="33"/>
      <c r="L13" s="34" t="s">
        <v>14</v>
      </c>
      <c r="M13" s="32" t="str">
        <f>IF(ISERROR(FIND("head",M11,1)),"Lbs.","Heads / Bunches")</f>
        <v>Lbs.</v>
      </c>
    </row>
    <row r="15" spans="1:16381" x14ac:dyDescent="0.25">
      <c r="C15" s="23" t="s">
        <v>63</v>
      </c>
      <c r="D15" s="48">
        <v>0.6</v>
      </c>
      <c r="F15" s="23" t="s">
        <v>63</v>
      </c>
      <c r="G15" s="48">
        <v>0.3</v>
      </c>
      <c r="I15" s="23" t="s">
        <v>63</v>
      </c>
      <c r="J15" s="48">
        <v>0.1</v>
      </c>
      <c r="L15" s="23" t="s">
        <v>63</v>
      </c>
      <c r="M15" s="50">
        <v>0</v>
      </c>
    </row>
    <row r="17" spans="1:14" x14ac:dyDescent="0.25">
      <c r="C17" s="23" t="s">
        <v>15</v>
      </c>
      <c r="D17" s="49">
        <v>50</v>
      </c>
      <c r="F17" s="23" t="s">
        <v>15</v>
      </c>
      <c r="G17" s="49">
        <v>150</v>
      </c>
      <c r="I17" s="23" t="s">
        <v>15</v>
      </c>
      <c r="J17" s="49">
        <v>150</v>
      </c>
      <c r="L17" s="23" t="s">
        <v>15</v>
      </c>
      <c r="M17" s="49">
        <v>0</v>
      </c>
    </row>
    <row r="19" spans="1:14" x14ac:dyDescent="0.25">
      <c r="C19" s="23" t="s">
        <v>16</v>
      </c>
      <c r="D19" s="35">
        <f>INDEX('Source Data'!$B$23:$X$23,, MATCH('Monthly Cash Flow '!D11, 'Source Data'!$B$5:$X$5, 0))</f>
        <v>0.95</v>
      </c>
      <c r="F19" s="23" t="s">
        <v>16</v>
      </c>
      <c r="G19" s="35">
        <f>INDEX('Source Data'!$B$23:$X$23,, MATCH('Monthly Cash Flow '!G11, 'Source Data'!$B$5:$X$5, 0))</f>
        <v>0.95</v>
      </c>
      <c r="I19" s="23" t="s">
        <v>16</v>
      </c>
      <c r="J19" s="35">
        <f>INDEX('Source Data'!$B$23:$X$23,, MATCH('Monthly Cash Flow '!J11, 'Source Data'!$B$5:$X$5, 0))</f>
        <v>0.95</v>
      </c>
      <c r="L19" s="23" t="s">
        <v>16</v>
      </c>
      <c r="M19" s="35">
        <f>INDEX('Source Data'!$B$23:$X$23,, MATCH('Monthly Cash Flow '!M11, 'Source Data'!$B$5:$X$5, 0))</f>
        <v>0.95</v>
      </c>
    </row>
    <row r="20" spans="1:14" x14ac:dyDescent="0.25">
      <c r="D20" s="35"/>
      <c r="G20" s="35"/>
      <c r="J20" s="35"/>
      <c r="M20" s="35"/>
    </row>
    <row r="21" spans="1:14" x14ac:dyDescent="0.25">
      <c r="C21" s="36" t="s">
        <v>11</v>
      </c>
      <c r="D21" s="37">
        <f>ROUNDDOWN((IF(D13="Heads / Bunches", INDEX('Source Data'!$B$28:$X$28,,MATCH('Monthly Cash Flow '!D11,'Source Data'!$B$5:$U$5,0)),INDEX('Source Data'!$B$29:$X$29,,MATCH('Monthly Cash Flow '!D11,'Source Data'!$B$5:$U$5,0))))*D19,0)*D15</f>
        <v>2426.4</v>
      </c>
      <c r="E21" s="38" t="str">
        <f>IF(D13="Lbs.", "Lbs.", "Heads")</f>
        <v>Heads</v>
      </c>
      <c r="F21" s="36" t="s">
        <v>11</v>
      </c>
      <c r="G21" s="37">
        <f>ROUNDDOWN((IF(G13="Heads / Bunches", INDEX('Source Data'!$B$28:$X$28,,MATCH('Monthly Cash Flow '!G11,'Source Data'!$B$5:$X$5,0)),INDEX('Source Data'!$B$29:$X$29,,MATCH('Monthly Cash Flow '!G11,'Source Data'!$B$5:$X$5,0))))*G19,0)*G15</f>
        <v>108.3</v>
      </c>
      <c r="H21" s="38" t="str">
        <f>IF(G13="Lbs.", "Lbs.", "Heads")</f>
        <v>Lbs.</v>
      </c>
      <c r="I21" s="36" t="s">
        <v>11</v>
      </c>
      <c r="J21" s="37">
        <f>ROUNDDOWN((IF(J13="Heads / Bunches", INDEX('Source Data'!$B$28:$X$28,,MATCH('Monthly Cash Flow '!J11,'Source Data'!$B$5:$X$5,0)),INDEX('Source Data'!$B$29:$X$29,,MATCH('Monthly Cash Flow '!J11,'Source Data'!$B$5:$X$5,0))))*J19,0)*J15</f>
        <v>24.200000000000003</v>
      </c>
      <c r="K21" s="38" t="str">
        <f>IF(J13="Lbs.", "Lbs.", "Heads")</f>
        <v>Lbs.</v>
      </c>
      <c r="L21" s="36" t="s">
        <v>11</v>
      </c>
      <c r="M21" s="37">
        <f>ROUNDDOWN((IF(M13="Heads / Bunches", INDEX('Source Data'!$B$28:$X$28,,MATCH('Monthly Cash Flow '!M11,'Source Data'!$B$5:$X$5,0)),INDEX('Source Data'!$B$29:$X$29,,MATCH('Monthly Cash Flow '!M11,'Source Data'!$B$5:$X$5,0))))*M19,0)*M15</f>
        <v>0</v>
      </c>
      <c r="N21" s="38" t="str">
        <f>IF(M13="Lbs.", "Lbs.", "Heads")</f>
        <v>Lbs.</v>
      </c>
    </row>
    <row r="23" spans="1:14" x14ac:dyDescent="0.25">
      <c r="C23" s="23" t="s">
        <v>13</v>
      </c>
      <c r="D23" s="49">
        <v>15</v>
      </c>
    </row>
    <row r="25" spans="1:14" x14ac:dyDescent="0.25">
      <c r="C25" s="23" t="s">
        <v>69</v>
      </c>
      <c r="D25" s="49">
        <v>0.10050000000000001</v>
      </c>
    </row>
    <row r="29" spans="1:14" s="21" customFormat="1" ht="16.5" thickBot="1" x14ac:dyDescent="0.3">
      <c r="A29" s="31"/>
      <c r="B29" s="21" t="s">
        <v>27</v>
      </c>
      <c r="E29" s="22"/>
      <c r="H29" s="22"/>
      <c r="K29" s="22"/>
      <c r="N29" s="22"/>
    </row>
    <row r="30" spans="1:14" x14ac:dyDescent="0.25">
      <c r="C30" s="36"/>
      <c r="D30" s="39"/>
      <c r="F30" s="36"/>
      <c r="G30" s="39"/>
      <c r="I30" s="36"/>
      <c r="J30" s="39"/>
      <c r="L30" s="36"/>
      <c r="M30" s="39"/>
    </row>
    <row r="31" spans="1:14" x14ac:dyDescent="0.25">
      <c r="C31" s="36" t="s">
        <v>25</v>
      </c>
      <c r="D31" s="40">
        <f>D21*D17+G21*G17+J21*J17+M21*M17</f>
        <v>141195</v>
      </c>
    </row>
    <row r="32" spans="1:14" x14ac:dyDescent="0.25">
      <c r="C32" s="36"/>
      <c r="D32" s="39"/>
    </row>
    <row r="33" spans="3:24" ht="16.5" thickBot="1" x14ac:dyDescent="0.3">
      <c r="C33" s="21" t="s">
        <v>28</v>
      </c>
      <c r="D33" s="41"/>
      <c r="E33" s="42"/>
      <c r="F33" s="41"/>
      <c r="G33" s="42"/>
      <c r="H33" s="42"/>
      <c r="I33" s="41"/>
      <c r="J33" s="41"/>
      <c r="K33" s="42"/>
      <c r="L33" s="41"/>
      <c r="M33" s="41"/>
      <c r="N33" s="42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3:24" x14ac:dyDescent="0.25">
      <c r="C34" s="23" t="s">
        <v>70</v>
      </c>
      <c r="D34" s="43">
        <f>D23*20*4.3</f>
        <v>1290</v>
      </c>
    </row>
    <row r="35" spans="3:24" x14ac:dyDescent="0.25">
      <c r="C35" s="23" t="s">
        <v>71</v>
      </c>
      <c r="D35" s="43">
        <f>D25*160*30.42</f>
        <v>489.1536000000001</v>
      </c>
    </row>
    <row r="36" spans="3:24" x14ac:dyDescent="0.25">
      <c r="C36" s="23" t="s">
        <v>72</v>
      </c>
      <c r="D36" s="44">
        <f>((INDEX('Source Data'!$B$35:$X$35,,MATCH('Monthly Cash Flow '!D11,'Source Data'!$B$5:$X$5,0)))*D15)+((INDEX('Source Data'!$B$35:$X$35,,MATCH('Monthly Cash Flow '!G11,'Source Data'!$B$5:$X$5,0)))*G15)+((INDEX('Source Data'!$B$35:$X$35,,MATCH('Monthly Cash Flow '!J11,'Source Data'!$B$5:$X$5,0)))*J15)+((INDEX('Source Data'!$B$35:$X$35,,MATCH('Monthly Cash Flow '!M11,'Source Data'!$B$5:$X$5,0)))*M15)+((INDEX('Source Data'!$B$36:$X$36,,MATCH('Monthly Cash Flow '!D11,'Source Data'!$B$5:$X$5,0)))*D15)+((INDEX('Source Data'!$B$36:$X$36,,MATCH('Monthly Cash Flow '!G11,'Source Data'!$B$5:$X$5,0)))*G15)+((INDEX('Source Data'!$B$36:$X$36,,MATCH('Monthly Cash Flow '!J11,'Source Data'!$B$5:$X$5,0)))*J15)+((INDEX('Source Data'!$B$36:$X$36,,MATCH('Monthly Cash Flow '!M11,'Source Data'!$B$5:$X$5,0)))*M15)</f>
        <v>324.75327926786082</v>
      </c>
    </row>
    <row r="37" spans="3:24" x14ac:dyDescent="0.25">
      <c r="C37" s="23" t="s">
        <v>19</v>
      </c>
      <c r="D37" s="43">
        <v>100</v>
      </c>
      <c r="G37" s="51"/>
    </row>
    <row r="38" spans="3:24" x14ac:dyDescent="0.25">
      <c r="D38" s="43"/>
    </row>
    <row r="39" spans="3:24" x14ac:dyDescent="0.25">
      <c r="C39" s="23" t="s">
        <v>30</v>
      </c>
      <c r="D39" s="43">
        <f>IFERROR(SUM(D34:D37),"")</f>
        <v>2203.9068792678609</v>
      </c>
    </row>
    <row r="40" spans="3:24" x14ac:dyDescent="0.25">
      <c r="D40" s="43"/>
    </row>
    <row r="41" spans="3:24" x14ac:dyDescent="0.25">
      <c r="C41" s="36" t="s">
        <v>29</v>
      </c>
      <c r="D41" s="40">
        <f>D31-D39</f>
        <v>138991.09312073214</v>
      </c>
    </row>
    <row r="42" spans="3:24" x14ac:dyDescent="0.25">
      <c r="C42" s="36"/>
      <c r="D42" s="39"/>
    </row>
    <row r="43" spans="3:24" x14ac:dyDescent="0.25">
      <c r="C43" s="36"/>
      <c r="D43" s="39"/>
    </row>
    <row r="44" spans="3:24" ht="16.5" thickBot="1" x14ac:dyDescent="0.3">
      <c r="C44" s="21" t="s">
        <v>31</v>
      </c>
      <c r="D44" s="41"/>
      <c r="E44" s="42"/>
      <c r="F44" s="41"/>
      <c r="G44" s="41"/>
      <c r="H44" s="42"/>
      <c r="I44" s="41"/>
      <c r="J44" s="41"/>
      <c r="K44" s="42"/>
      <c r="L44" s="41"/>
      <c r="M44" s="41"/>
      <c r="N44" s="42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7" spans="3:24" x14ac:dyDescent="0.25">
      <c r="C47" s="23" t="s">
        <v>1</v>
      </c>
      <c r="D47" s="49">
        <v>0</v>
      </c>
    </row>
    <row r="48" spans="3:24" x14ac:dyDescent="0.25">
      <c r="D48" s="45"/>
    </row>
    <row r="49" spans="3:24" x14ac:dyDescent="0.25">
      <c r="C49" s="23" t="s">
        <v>2</v>
      </c>
      <c r="D49" s="49">
        <v>0</v>
      </c>
    </row>
    <row r="50" spans="3:24" x14ac:dyDescent="0.25">
      <c r="D50" s="43"/>
    </row>
    <row r="51" spans="3:24" x14ac:dyDescent="0.25">
      <c r="C51" s="23" t="s">
        <v>3</v>
      </c>
      <c r="D51" s="49">
        <v>0</v>
      </c>
    </row>
    <row r="52" spans="3:24" x14ac:dyDescent="0.25">
      <c r="D52" s="43"/>
    </row>
    <row r="53" spans="3:24" x14ac:dyDescent="0.25">
      <c r="C53" s="23" t="s">
        <v>4</v>
      </c>
      <c r="D53" s="49">
        <v>0</v>
      </c>
    </row>
    <row r="54" spans="3:24" x14ac:dyDescent="0.25">
      <c r="D54" s="39"/>
    </row>
    <row r="55" spans="3:24" x14ac:dyDescent="0.25">
      <c r="C55" s="23" t="s">
        <v>32</v>
      </c>
      <c r="D55" s="40">
        <f>SUM(D47:D53)</f>
        <v>0</v>
      </c>
    </row>
    <row r="56" spans="3:24" ht="16.5" thickBot="1" x14ac:dyDescent="0.3">
      <c r="D56" s="46"/>
    </row>
    <row r="57" spans="3:24" ht="17.25" thickTop="1" thickBot="1" x14ac:dyDescent="0.3">
      <c r="C57" s="36" t="s">
        <v>5</v>
      </c>
      <c r="D57" s="47">
        <f>D41-D55</f>
        <v>138991.09312073214</v>
      </c>
    </row>
    <row r="58" spans="3:24" ht="16.5" thickTop="1" x14ac:dyDescent="0.25"/>
    <row r="60" spans="3:24" ht="16.5" thickBot="1" x14ac:dyDescent="0.3">
      <c r="C60" s="21" t="s">
        <v>67</v>
      </c>
      <c r="D60" s="41"/>
      <c r="E60" s="42"/>
      <c r="F60" s="41"/>
      <c r="G60" s="41"/>
      <c r="H60" s="42"/>
      <c r="I60" s="41"/>
      <c r="J60" s="41"/>
      <c r="K60" s="42"/>
      <c r="L60" s="41"/>
      <c r="M60" s="41"/>
      <c r="N60" s="42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3:24" x14ac:dyDescent="0.25">
      <c r="C61" s="51" t="s">
        <v>68</v>
      </c>
    </row>
    <row r="62" spans="3:24" x14ac:dyDescent="0.25">
      <c r="C62" s="52" t="s">
        <v>73</v>
      </c>
    </row>
    <row r="63" spans="3:24" x14ac:dyDescent="0.25">
      <c r="C63" s="51" t="s">
        <v>77</v>
      </c>
    </row>
    <row r="64" spans="3:24" x14ac:dyDescent="0.25">
      <c r="C64" s="51" t="s">
        <v>74</v>
      </c>
    </row>
  </sheetData>
  <sheetProtection algorithmName="SHA-512" hashValue="jBTnku0Fnbi72WH53ZRX6nVS99eani3oX4D6IBvchup72WNj0Hxbgbc98y86fLowQGJzWYQ7oeeYK+RIEIFEwg==" saltValue="tdUe0fnDbFzGYLqwFEzPCQ==" spinCount="100000" sheet="1" objects="1" scenarios="1"/>
  <dataValidations count="1">
    <dataValidation type="custom" allowBlank="1" showInputMessage="1" showErrorMessage="1" sqref="M15 J15 D15 G15" xr:uid="{746D0DA6-F1A4-401C-BC90-E2424C26BDFF}">
      <formula1>SUM($D$15,$G$15,$J$15,$M$15)&lt;=1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C08CAB-88AA-DA43-BA5A-09845335CD84}">
          <x14:formula1>
            <xm:f>'Source Data'!$B$5:$U$5</xm:f>
          </x14:formula1>
          <xm:sqref>M11 D11 G11 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2D0B-E387-4942-9FDE-3070A07330B1}">
  <dimension ref="A2:X104"/>
  <sheetViews>
    <sheetView topLeftCell="A10" zoomScale="85" zoomScaleNormal="110" workbookViewId="0">
      <pane xSplit="1" topLeftCell="E1" activePane="topRight" state="frozen"/>
      <selection pane="topRight" activeCell="A32" sqref="A32:XFD36"/>
    </sheetView>
  </sheetViews>
  <sheetFormatPr defaultColWidth="10.875" defaultRowHeight="15.75" x14ac:dyDescent="0.25"/>
  <cols>
    <col min="1" max="1" width="27.875" style="1" customWidth="1"/>
    <col min="2" max="16384" width="10.875" style="1"/>
  </cols>
  <sheetData>
    <row r="2" spans="1:24" x14ac:dyDescent="0.25">
      <c r="A2" s="2" t="s">
        <v>51</v>
      </c>
    </row>
    <row r="3" spans="1:24" x14ac:dyDescent="0.25">
      <c r="A3" s="2"/>
    </row>
    <row r="4" spans="1:24" x14ac:dyDescent="0.25">
      <c r="B4" s="12" t="s">
        <v>54</v>
      </c>
      <c r="F4" s="12" t="s">
        <v>55</v>
      </c>
      <c r="J4" s="12" t="s">
        <v>56</v>
      </c>
      <c r="K4" s="12"/>
      <c r="M4" s="12" t="s">
        <v>57</v>
      </c>
      <c r="U4" s="12" t="s">
        <v>76</v>
      </c>
    </row>
    <row r="5" spans="1:24" ht="47.25" x14ac:dyDescent="0.25">
      <c r="B5" s="10" t="s">
        <v>81</v>
      </c>
      <c r="C5" s="10" t="s">
        <v>80</v>
      </c>
      <c r="D5" s="10" t="s">
        <v>82</v>
      </c>
      <c r="E5" s="10" t="s">
        <v>83</v>
      </c>
      <c r="F5" s="10" t="s">
        <v>84</v>
      </c>
      <c r="G5" s="10" t="s">
        <v>85</v>
      </c>
      <c r="H5" s="10" t="s">
        <v>86</v>
      </c>
      <c r="I5" s="10" t="s">
        <v>87</v>
      </c>
      <c r="J5" s="10" t="s">
        <v>88</v>
      </c>
      <c r="K5" s="10" t="s">
        <v>89</v>
      </c>
      <c r="L5" s="10" t="s">
        <v>6</v>
      </c>
      <c r="M5" s="10" t="s">
        <v>7</v>
      </c>
      <c r="N5" s="10" t="s">
        <v>8</v>
      </c>
      <c r="O5" s="10" t="s">
        <v>9</v>
      </c>
      <c r="P5" s="10" t="s">
        <v>10</v>
      </c>
      <c r="Q5" s="10" t="s">
        <v>90</v>
      </c>
      <c r="R5" s="10" t="s">
        <v>91</v>
      </c>
      <c r="S5" s="10" t="s">
        <v>79</v>
      </c>
      <c r="T5" s="10" t="s">
        <v>78</v>
      </c>
      <c r="U5" s="10" t="s">
        <v>75</v>
      </c>
      <c r="V5" s="9"/>
      <c r="W5" s="9"/>
      <c r="X5" s="9"/>
    </row>
    <row r="6" spans="1:24" x14ac:dyDescent="0.25">
      <c r="A6" s="3" t="s">
        <v>33</v>
      </c>
      <c r="B6" s="5">
        <v>17</v>
      </c>
      <c r="C6" s="5">
        <v>17</v>
      </c>
      <c r="D6" s="5">
        <v>17</v>
      </c>
      <c r="E6" s="5">
        <v>17</v>
      </c>
      <c r="F6" s="5">
        <v>15</v>
      </c>
      <c r="G6" s="5">
        <v>15</v>
      </c>
      <c r="H6" s="5">
        <v>15</v>
      </c>
      <c r="I6" s="5">
        <v>15</v>
      </c>
      <c r="J6" s="5">
        <v>17</v>
      </c>
      <c r="K6" s="5">
        <v>17</v>
      </c>
      <c r="L6" s="5">
        <v>20</v>
      </c>
      <c r="M6" s="5">
        <v>18</v>
      </c>
      <c r="N6" s="5">
        <v>18</v>
      </c>
      <c r="O6" s="5">
        <v>16</v>
      </c>
      <c r="P6" s="5">
        <v>20</v>
      </c>
      <c r="Q6" s="5">
        <v>20</v>
      </c>
      <c r="R6" s="5">
        <v>18</v>
      </c>
      <c r="S6" s="5">
        <v>20</v>
      </c>
      <c r="T6" s="5">
        <v>18</v>
      </c>
      <c r="U6" s="5">
        <v>26</v>
      </c>
    </row>
    <row r="7" spans="1:24" x14ac:dyDescent="0.25">
      <c r="A7" s="3" t="s">
        <v>34</v>
      </c>
      <c r="B7" s="1">
        <v>264</v>
      </c>
      <c r="C7" s="1">
        <v>264</v>
      </c>
      <c r="D7" s="1">
        <v>264</v>
      </c>
      <c r="E7" s="1">
        <v>264</v>
      </c>
      <c r="F7" s="1">
        <v>264</v>
      </c>
      <c r="G7" s="1">
        <v>264</v>
      </c>
      <c r="H7" s="1">
        <v>264</v>
      </c>
      <c r="I7" s="1">
        <v>264</v>
      </c>
      <c r="J7" s="1">
        <v>440</v>
      </c>
      <c r="K7" s="1">
        <v>440</v>
      </c>
      <c r="L7" s="1">
        <v>440</v>
      </c>
      <c r="M7" s="1">
        <v>440</v>
      </c>
      <c r="N7" s="1">
        <v>440</v>
      </c>
      <c r="O7" s="1">
        <v>440</v>
      </c>
      <c r="P7" s="1">
        <v>440</v>
      </c>
      <c r="Q7" s="1">
        <v>440</v>
      </c>
      <c r="R7" s="1">
        <v>440</v>
      </c>
      <c r="S7" s="1">
        <v>440</v>
      </c>
      <c r="T7" s="1">
        <v>440</v>
      </c>
      <c r="U7" s="1">
        <v>440</v>
      </c>
    </row>
    <row r="8" spans="1:24" x14ac:dyDescent="0.25">
      <c r="A8" s="3" t="s">
        <v>35</v>
      </c>
      <c r="B8" s="1">
        <f>B$6*B$7</f>
        <v>4488</v>
      </c>
      <c r="C8" s="1">
        <f t="shared" ref="C8:T8" si="0">C$6*C$7</f>
        <v>4488</v>
      </c>
      <c r="D8" s="1">
        <f t="shared" si="0"/>
        <v>4488</v>
      </c>
      <c r="E8" s="1">
        <f t="shared" si="0"/>
        <v>4488</v>
      </c>
      <c r="F8" s="1">
        <f t="shared" si="0"/>
        <v>3960</v>
      </c>
      <c r="G8" s="1">
        <f t="shared" si="0"/>
        <v>3960</v>
      </c>
      <c r="H8" s="1">
        <f t="shared" si="0"/>
        <v>3960</v>
      </c>
      <c r="I8" s="1">
        <f t="shared" si="0"/>
        <v>3960</v>
      </c>
      <c r="J8" s="1">
        <f t="shared" si="0"/>
        <v>7480</v>
      </c>
      <c r="K8" s="1">
        <f t="shared" si="0"/>
        <v>7480</v>
      </c>
      <c r="L8" s="1">
        <f t="shared" si="0"/>
        <v>8800</v>
      </c>
      <c r="M8" s="1">
        <f t="shared" si="0"/>
        <v>7920</v>
      </c>
      <c r="N8" s="1">
        <f t="shared" si="0"/>
        <v>7920</v>
      </c>
      <c r="O8" s="1">
        <f t="shared" si="0"/>
        <v>7040</v>
      </c>
      <c r="P8" s="1">
        <f t="shared" si="0"/>
        <v>8800</v>
      </c>
      <c r="Q8" s="1">
        <f t="shared" si="0"/>
        <v>8800</v>
      </c>
      <c r="R8" s="1">
        <f t="shared" si="0"/>
        <v>7920</v>
      </c>
      <c r="S8" s="1">
        <f t="shared" si="0"/>
        <v>8800</v>
      </c>
      <c r="T8" s="1">
        <f t="shared" si="0"/>
        <v>7920</v>
      </c>
      <c r="U8" s="1">
        <f>U$6*U$7</f>
        <v>11440</v>
      </c>
    </row>
    <row r="9" spans="1:24" x14ac:dyDescent="0.25">
      <c r="A9" s="3" t="s">
        <v>36</v>
      </c>
      <c r="B9" s="5">
        <v>3</v>
      </c>
      <c r="C9" s="5">
        <v>3</v>
      </c>
      <c r="D9" s="5">
        <v>3</v>
      </c>
      <c r="E9" s="5">
        <v>3</v>
      </c>
      <c r="F9" s="5">
        <v>4</v>
      </c>
      <c r="G9" s="5">
        <v>4</v>
      </c>
      <c r="H9" s="5">
        <v>4</v>
      </c>
      <c r="I9" s="5">
        <v>4</v>
      </c>
      <c r="J9" s="5">
        <v>5</v>
      </c>
      <c r="K9" s="5">
        <v>5</v>
      </c>
      <c r="L9" s="5">
        <v>5</v>
      </c>
      <c r="M9" s="5">
        <v>5</v>
      </c>
      <c r="N9" s="5">
        <v>5</v>
      </c>
      <c r="O9" s="5">
        <v>5</v>
      </c>
      <c r="P9" s="5">
        <v>5</v>
      </c>
      <c r="Q9" s="5">
        <v>5</v>
      </c>
      <c r="R9" s="5">
        <v>5</v>
      </c>
      <c r="S9" s="5">
        <v>5</v>
      </c>
      <c r="T9" s="5">
        <v>5</v>
      </c>
      <c r="U9" s="5">
        <v>5</v>
      </c>
    </row>
    <row r="10" spans="1:24" x14ac:dyDescent="0.25">
      <c r="A10" s="3" t="s">
        <v>39</v>
      </c>
      <c r="B10" s="5">
        <v>3</v>
      </c>
      <c r="C10" s="5">
        <v>3</v>
      </c>
      <c r="D10" s="5">
        <v>3</v>
      </c>
      <c r="E10" s="5">
        <v>3</v>
      </c>
      <c r="F10" s="5">
        <v>4</v>
      </c>
      <c r="G10" s="5">
        <v>4</v>
      </c>
      <c r="H10" s="5">
        <v>4</v>
      </c>
      <c r="I10" s="5">
        <v>4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</row>
    <row r="11" spans="1:24" x14ac:dyDescent="0.25">
      <c r="A11" s="3" t="s">
        <v>37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4" x14ac:dyDescent="0.25">
      <c r="A12" s="6" t="s">
        <v>38</v>
      </c>
      <c r="B12" s="7" t="str">
        <f>IF(B$11&gt;(B$10-B$9),"ERROR","")</f>
        <v/>
      </c>
      <c r="C12" s="7" t="str">
        <f t="shared" ref="C12:X12" si="1">IF(C$11&gt;(C$10-C$9),"ERROR","")</f>
        <v/>
      </c>
      <c r="D12" s="7" t="str">
        <f t="shared" si="1"/>
        <v/>
      </c>
      <c r="E12" s="7" t="str">
        <f t="shared" si="1"/>
        <v/>
      </c>
      <c r="F12" s="7" t="str">
        <f t="shared" si="1"/>
        <v/>
      </c>
      <c r="G12" s="7" t="str">
        <f t="shared" si="1"/>
        <v/>
      </c>
      <c r="H12" s="7" t="str">
        <f t="shared" si="1"/>
        <v/>
      </c>
      <c r="I12" s="7" t="str">
        <f t="shared" si="1"/>
        <v/>
      </c>
      <c r="J12" s="7"/>
      <c r="K12" s="7"/>
      <c r="L12" s="7" t="str">
        <f t="shared" si="1"/>
        <v/>
      </c>
      <c r="M12" s="7" t="str">
        <f t="shared" si="1"/>
        <v/>
      </c>
      <c r="N12" s="7" t="str">
        <f t="shared" si="1"/>
        <v/>
      </c>
      <c r="O12" s="7" t="str">
        <f t="shared" si="1"/>
        <v/>
      </c>
      <c r="P12" s="7" t="str">
        <f t="shared" si="1"/>
        <v/>
      </c>
      <c r="Q12" s="7" t="str">
        <f t="shared" si="1"/>
        <v/>
      </c>
      <c r="R12" s="7" t="str">
        <f t="shared" si="1"/>
        <v/>
      </c>
      <c r="S12" s="7"/>
      <c r="T12" s="7" t="str">
        <f t="shared" si="1"/>
        <v/>
      </c>
      <c r="U12" s="7" t="str">
        <f t="shared" si="1"/>
        <v/>
      </c>
      <c r="V12" s="1" t="str">
        <f t="shared" si="1"/>
        <v/>
      </c>
      <c r="W12" s="1" t="str">
        <f t="shared" si="1"/>
        <v/>
      </c>
      <c r="X12" s="1" t="str">
        <f t="shared" si="1"/>
        <v/>
      </c>
    </row>
    <row r="13" spans="1:24" x14ac:dyDescent="0.25">
      <c r="A13" s="3" t="s">
        <v>40</v>
      </c>
      <c r="B13" s="1">
        <f t="shared" ref="B13:T13" si="2">ROUNDDOWN(IF(B11=0,B$7/B10,(B10-B9)/B10*(B11+1)/(B10-B9)*B$7),0)</f>
        <v>88</v>
      </c>
      <c r="C13" s="1">
        <f t="shared" si="2"/>
        <v>88</v>
      </c>
      <c r="D13" s="1">
        <f t="shared" si="2"/>
        <v>88</v>
      </c>
      <c r="E13" s="1">
        <f t="shared" si="2"/>
        <v>88</v>
      </c>
      <c r="F13" s="1">
        <f t="shared" si="2"/>
        <v>66</v>
      </c>
      <c r="G13" s="1">
        <f t="shared" si="2"/>
        <v>66</v>
      </c>
      <c r="H13" s="1">
        <f t="shared" si="2"/>
        <v>66</v>
      </c>
      <c r="I13" s="1">
        <f t="shared" si="2"/>
        <v>66</v>
      </c>
      <c r="J13" s="1">
        <f t="shared" ref="J13:K13" si="3">ROUNDDOWN(IF(J11=0,J$7/J10,(J10-J9)/J10*(J11+1)/(J10-J9)*J$7),0)</f>
        <v>88</v>
      </c>
      <c r="K13" s="1">
        <f t="shared" si="3"/>
        <v>88</v>
      </c>
      <c r="L13" s="1">
        <f t="shared" si="2"/>
        <v>88</v>
      </c>
      <c r="M13" s="1">
        <f t="shared" si="2"/>
        <v>88</v>
      </c>
      <c r="N13" s="1">
        <f t="shared" si="2"/>
        <v>88</v>
      </c>
      <c r="O13" s="1">
        <f t="shared" si="2"/>
        <v>88</v>
      </c>
      <c r="P13" s="1">
        <f t="shared" si="2"/>
        <v>88</v>
      </c>
      <c r="Q13" s="1">
        <f t="shared" ref="Q13:R13" si="4">ROUNDDOWN(IF(Q11=0,Q$7/Q10,(Q10-Q9)/Q10*(Q11+1)/(Q10-Q9)*Q$7),0)</f>
        <v>88</v>
      </c>
      <c r="R13" s="1">
        <f t="shared" si="4"/>
        <v>88</v>
      </c>
      <c r="S13" s="1">
        <f t="shared" ref="S13" si="5">ROUNDDOWN(IF(S11=0,S$7/S10,(S10-S9)/S10*(S11+1)/(S10-S9)*S$7),0)</f>
        <v>88</v>
      </c>
      <c r="T13" s="1">
        <f t="shared" si="2"/>
        <v>88</v>
      </c>
      <c r="U13" s="1">
        <f>ROUNDDOWN(IF(U11=0,U$7/U$10,(U10-U9)/U10*(U11+1)/(U10-U9)*U$7),0)</f>
        <v>88</v>
      </c>
    </row>
    <row r="14" spans="1:24" x14ac:dyDescent="0.25">
      <c r="A14" s="3" t="s">
        <v>41</v>
      </c>
      <c r="B14" s="1">
        <f t="shared" ref="B14:T14" si="6">B6*B13</f>
        <v>1496</v>
      </c>
      <c r="C14" s="1">
        <f t="shared" si="6"/>
        <v>1496</v>
      </c>
      <c r="D14" s="1">
        <f t="shared" si="6"/>
        <v>1496</v>
      </c>
      <c r="E14" s="1">
        <f t="shared" si="6"/>
        <v>1496</v>
      </c>
      <c r="F14" s="1">
        <f t="shared" si="6"/>
        <v>990</v>
      </c>
      <c r="G14" s="1">
        <f t="shared" si="6"/>
        <v>990</v>
      </c>
      <c r="H14" s="1">
        <f t="shared" si="6"/>
        <v>990</v>
      </c>
      <c r="I14" s="1">
        <f t="shared" si="6"/>
        <v>990</v>
      </c>
      <c r="J14" s="1">
        <f t="shared" ref="J14:K14" si="7">J6*J13</f>
        <v>1496</v>
      </c>
      <c r="K14" s="1">
        <f t="shared" si="7"/>
        <v>1496</v>
      </c>
      <c r="L14" s="1">
        <f t="shared" si="6"/>
        <v>1760</v>
      </c>
      <c r="M14" s="1">
        <f t="shared" si="6"/>
        <v>1584</v>
      </c>
      <c r="N14" s="1">
        <f t="shared" si="6"/>
        <v>1584</v>
      </c>
      <c r="O14" s="1">
        <f t="shared" si="6"/>
        <v>1408</v>
      </c>
      <c r="P14" s="1">
        <f t="shared" si="6"/>
        <v>1760</v>
      </c>
      <c r="Q14" s="1">
        <f t="shared" ref="Q14:R14" si="8">Q6*Q13</f>
        <v>1760</v>
      </c>
      <c r="R14" s="1">
        <f t="shared" si="8"/>
        <v>1584</v>
      </c>
      <c r="S14" s="1">
        <f t="shared" ref="S14" si="9">S6*S13</f>
        <v>1760</v>
      </c>
      <c r="T14" s="1">
        <f t="shared" si="6"/>
        <v>1584</v>
      </c>
      <c r="U14" s="1">
        <f>U6*U13</f>
        <v>2288</v>
      </c>
    </row>
    <row r="15" spans="1:24" x14ac:dyDescent="0.25">
      <c r="A15" s="3" t="s">
        <v>42</v>
      </c>
      <c r="B15" s="1">
        <f t="shared" ref="B15:T15" si="10">ROUNDDOWN(B7/B10*B6,0)</f>
        <v>1496</v>
      </c>
      <c r="C15" s="1">
        <f t="shared" si="10"/>
        <v>1496</v>
      </c>
      <c r="D15" s="1">
        <f t="shared" si="10"/>
        <v>1496</v>
      </c>
      <c r="E15" s="1">
        <f t="shared" si="10"/>
        <v>1496</v>
      </c>
      <c r="F15" s="1">
        <f t="shared" si="10"/>
        <v>990</v>
      </c>
      <c r="G15" s="1">
        <f t="shared" si="10"/>
        <v>990</v>
      </c>
      <c r="H15" s="1">
        <f t="shared" si="10"/>
        <v>990</v>
      </c>
      <c r="I15" s="1">
        <f t="shared" si="10"/>
        <v>990</v>
      </c>
      <c r="J15" s="1">
        <f t="shared" ref="J15:K15" si="11">ROUNDDOWN(J7/J10*J6,0)</f>
        <v>1496</v>
      </c>
      <c r="K15" s="1">
        <f t="shared" si="11"/>
        <v>1496</v>
      </c>
      <c r="L15" s="1">
        <f t="shared" si="10"/>
        <v>1760</v>
      </c>
      <c r="M15" s="1">
        <f t="shared" si="10"/>
        <v>1584</v>
      </c>
      <c r="N15" s="1">
        <f t="shared" si="10"/>
        <v>1584</v>
      </c>
      <c r="O15" s="1">
        <f t="shared" si="10"/>
        <v>1408</v>
      </c>
      <c r="P15" s="1">
        <f t="shared" si="10"/>
        <v>1760</v>
      </c>
      <c r="Q15" s="1">
        <f t="shared" ref="Q15:R15" si="12">ROUNDDOWN(Q7/Q10*Q6,0)</f>
        <v>1760</v>
      </c>
      <c r="R15" s="1">
        <f t="shared" si="12"/>
        <v>1584</v>
      </c>
      <c r="S15" s="1">
        <f t="shared" ref="S15" si="13">ROUNDDOWN(S7/S10*S6,0)</f>
        <v>1760</v>
      </c>
      <c r="T15" s="1">
        <f t="shared" si="10"/>
        <v>1584</v>
      </c>
      <c r="U15" s="1">
        <f>ROUNDDOWN(U7/U10*U6,0)</f>
        <v>2288</v>
      </c>
    </row>
    <row r="16" spans="1:24" x14ac:dyDescent="0.25">
      <c r="A16" s="3"/>
    </row>
    <row r="17" spans="1:24" x14ac:dyDescent="0.25">
      <c r="A17" s="3"/>
    </row>
    <row r="18" spans="1:24" x14ac:dyDescent="0.25">
      <c r="A18" s="8" t="s">
        <v>50</v>
      </c>
    </row>
    <row r="19" spans="1:24" x14ac:dyDescent="0.25">
      <c r="A19" s="8"/>
    </row>
    <row r="20" spans="1:24" x14ac:dyDescent="0.25">
      <c r="A20" s="11" t="s">
        <v>53</v>
      </c>
      <c r="B20" s="13" t="s">
        <v>58</v>
      </c>
      <c r="C20" s="13" t="s">
        <v>58</v>
      </c>
      <c r="D20" s="13" t="s">
        <v>58</v>
      </c>
      <c r="E20" s="13" t="s">
        <v>58</v>
      </c>
      <c r="F20" s="13" t="s">
        <v>58</v>
      </c>
      <c r="G20" s="13" t="s">
        <v>58</v>
      </c>
      <c r="H20" s="13" t="s">
        <v>58</v>
      </c>
      <c r="I20" s="13" t="s">
        <v>58</v>
      </c>
      <c r="J20" s="13" t="s">
        <v>59</v>
      </c>
      <c r="K20" s="13" t="s">
        <v>59</v>
      </c>
      <c r="L20" s="13" t="s">
        <v>59</v>
      </c>
      <c r="M20" s="13" t="s">
        <v>59</v>
      </c>
      <c r="N20" s="13" t="s">
        <v>59</v>
      </c>
      <c r="O20" s="13" t="s">
        <v>59</v>
      </c>
      <c r="P20" s="13" t="s">
        <v>59</v>
      </c>
      <c r="Q20" s="13" t="s">
        <v>59</v>
      </c>
      <c r="R20" s="13" t="s">
        <v>59</v>
      </c>
      <c r="S20" s="13" t="s">
        <v>59</v>
      </c>
      <c r="T20" s="13" t="s">
        <v>59</v>
      </c>
      <c r="U20" s="13" t="s">
        <v>59</v>
      </c>
    </row>
    <row r="21" spans="1:24" x14ac:dyDescent="0.25">
      <c r="A21" s="3" t="s">
        <v>52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</row>
    <row r="22" spans="1:24" x14ac:dyDescent="0.25">
      <c r="A22" s="3" t="s">
        <v>45</v>
      </c>
      <c r="B22" s="5">
        <v>2</v>
      </c>
      <c r="C22" s="5">
        <v>2</v>
      </c>
      <c r="D22" s="5">
        <v>2</v>
      </c>
      <c r="E22" s="5">
        <v>2</v>
      </c>
      <c r="F22" s="5">
        <v>3.5</v>
      </c>
      <c r="G22" s="5">
        <v>3.5</v>
      </c>
      <c r="H22" s="5">
        <v>3.5</v>
      </c>
      <c r="I22" s="5">
        <v>3.5</v>
      </c>
      <c r="J22" s="5">
        <v>1.1000000000000001</v>
      </c>
      <c r="K22" s="5">
        <v>1.4</v>
      </c>
      <c r="L22" s="5">
        <v>0.68</v>
      </c>
      <c r="M22" s="5">
        <v>0.94</v>
      </c>
      <c r="N22" s="5">
        <v>0.98</v>
      </c>
      <c r="O22" s="5">
        <v>1.04</v>
      </c>
      <c r="P22" s="5">
        <v>0.52</v>
      </c>
      <c r="Q22" s="5">
        <v>0.56999999999999995</v>
      </c>
      <c r="R22" s="5">
        <v>0.8</v>
      </c>
      <c r="S22" s="5">
        <v>0.91</v>
      </c>
      <c r="T22" s="5">
        <v>0.63</v>
      </c>
      <c r="U22" s="5">
        <v>0.85</v>
      </c>
    </row>
    <row r="23" spans="1:24" x14ac:dyDescent="0.25">
      <c r="A23" s="1" t="s">
        <v>12</v>
      </c>
      <c r="B23" s="15">
        <v>0.95</v>
      </c>
      <c r="C23" s="15">
        <v>0.95</v>
      </c>
      <c r="D23" s="15">
        <v>0.95</v>
      </c>
      <c r="E23" s="15">
        <v>0.95</v>
      </c>
      <c r="F23" s="15">
        <v>0.95</v>
      </c>
      <c r="G23" s="15">
        <v>0.95</v>
      </c>
      <c r="H23" s="15">
        <v>0.95</v>
      </c>
      <c r="I23" s="15">
        <v>0.95</v>
      </c>
      <c r="J23" s="15">
        <v>0.95</v>
      </c>
      <c r="K23" s="15">
        <v>0.95</v>
      </c>
      <c r="L23" s="15">
        <v>0.95</v>
      </c>
      <c r="M23" s="15">
        <v>0.95</v>
      </c>
      <c r="N23" s="15">
        <v>0.95</v>
      </c>
      <c r="O23" s="15">
        <v>0.95</v>
      </c>
      <c r="P23" s="15">
        <v>0.95</v>
      </c>
      <c r="Q23" s="15">
        <v>0.95</v>
      </c>
      <c r="R23" s="15">
        <v>0.95</v>
      </c>
      <c r="S23" s="15">
        <v>0.95</v>
      </c>
      <c r="T23" s="15">
        <v>0.95</v>
      </c>
      <c r="U23" s="15">
        <v>0.95</v>
      </c>
      <c r="V23" s="4"/>
      <c r="W23" s="4"/>
      <c r="X23" s="4"/>
    </row>
    <row r="24" spans="1:24" x14ac:dyDescent="0.25">
      <c r="A24" s="3"/>
    </row>
    <row r="25" spans="1:24" x14ac:dyDescent="0.25">
      <c r="A25" s="3"/>
    </row>
    <row r="26" spans="1:24" x14ac:dyDescent="0.25">
      <c r="A26" s="3" t="s">
        <v>43</v>
      </c>
      <c r="B26" s="14">
        <f>B15</f>
        <v>1496</v>
      </c>
      <c r="C26" s="14">
        <f t="shared" ref="C26:I26" si="14">C15</f>
        <v>1496</v>
      </c>
      <c r="D26" s="14">
        <f t="shared" si="14"/>
        <v>1496</v>
      </c>
      <c r="E26" s="14">
        <f t="shared" si="14"/>
        <v>1496</v>
      </c>
      <c r="F26" s="14">
        <f t="shared" si="14"/>
        <v>990</v>
      </c>
      <c r="G26" s="14">
        <f t="shared" si="14"/>
        <v>990</v>
      </c>
      <c r="H26" s="14">
        <f t="shared" si="14"/>
        <v>990</v>
      </c>
      <c r="I26" s="14">
        <f t="shared" si="14"/>
        <v>990</v>
      </c>
      <c r="J26" s="16">
        <f t="shared" ref="J26:K26" si="15">J6*J13*J21*J23</f>
        <v>1421.2</v>
      </c>
      <c r="K26" s="16">
        <f t="shared" si="15"/>
        <v>1421.2</v>
      </c>
      <c r="L26" s="16">
        <f t="shared" ref="L26:T26" si="16">L6*L13*L21*L23</f>
        <v>1672</v>
      </c>
      <c r="M26" s="16">
        <f t="shared" si="16"/>
        <v>1504.8</v>
      </c>
      <c r="N26" s="16">
        <f t="shared" si="16"/>
        <v>1504.8</v>
      </c>
      <c r="O26" s="16">
        <f t="shared" si="16"/>
        <v>1337.6</v>
      </c>
      <c r="P26" s="16">
        <f t="shared" si="16"/>
        <v>1672</v>
      </c>
      <c r="Q26" s="16">
        <f t="shared" ref="Q26:R26" si="17">Q6*Q13*Q21*Q23</f>
        <v>1672</v>
      </c>
      <c r="R26" s="16">
        <f t="shared" si="17"/>
        <v>1504.8</v>
      </c>
      <c r="S26" s="16">
        <f t="shared" ref="S26" si="18">S6*S13*S21*S23</f>
        <v>1672</v>
      </c>
      <c r="T26" s="16">
        <f t="shared" si="16"/>
        <v>1504.8</v>
      </c>
      <c r="U26" s="16">
        <f>U6*U13*U21*U23</f>
        <v>2173.6</v>
      </c>
    </row>
    <row r="27" spans="1:24" x14ac:dyDescent="0.25">
      <c r="A27" s="3" t="s">
        <v>44</v>
      </c>
      <c r="B27" s="14">
        <f t="shared" ref="B27:I27" si="19">ROUNDDOWN(B15*(B22/16),0)</f>
        <v>187</v>
      </c>
      <c r="C27" s="14">
        <f t="shared" si="19"/>
        <v>187</v>
      </c>
      <c r="D27" s="14">
        <f t="shared" si="19"/>
        <v>187</v>
      </c>
      <c r="E27" s="14">
        <f t="shared" si="19"/>
        <v>187</v>
      </c>
      <c r="F27" s="14">
        <f t="shared" si="19"/>
        <v>216</v>
      </c>
      <c r="G27" s="14">
        <f t="shared" si="19"/>
        <v>216</v>
      </c>
      <c r="H27" s="14">
        <f t="shared" si="19"/>
        <v>216</v>
      </c>
      <c r="I27" s="14">
        <f t="shared" si="19"/>
        <v>216</v>
      </c>
      <c r="J27" s="16">
        <f t="shared" ref="J27:K27" si="20">J26*J22/16</f>
        <v>97.70750000000001</v>
      </c>
      <c r="K27" s="16">
        <f t="shared" si="20"/>
        <v>124.35499999999999</v>
      </c>
      <c r="L27" s="16">
        <f>L26*L22/16</f>
        <v>71.06</v>
      </c>
      <c r="M27" s="16">
        <f t="shared" ref="M27:Q27" si="21">M26*M22/16</f>
        <v>88.406999999999996</v>
      </c>
      <c r="N27" s="16">
        <f t="shared" si="21"/>
        <v>92.168999999999997</v>
      </c>
      <c r="O27" s="16">
        <f t="shared" si="21"/>
        <v>86.944000000000003</v>
      </c>
      <c r="P27" s="16">
        <f t="shared" si="21"/>
        <v>54.34</v>
      </c>
      <c r="Q27" s="16">
        <f t="shared" si="21"/>
        <v>59.564999999999998</v>
      </c>
      <c r="R27" s="16">
        <f>R26*R22/16</f>
        <v>75.239999999999995</v>
      </c>
      <c r="S27" s="16">
        <f t="shared" ref="S27" si="22">S26*S22/16</f>
        <v>95.094999999999999</v>
      </c>
      <c r="T27" s="16">
        <f>T26*T22/16</f>
        <v>59.2515</v>
      </c>
      <c r="U27" s="16">
        <f>ROUNDDOWN(U15*(U22/16),0)</f>
        <v>121</v>
      </c>
    </row>
    <row r="28" spans="1:24" x14ac:dyDescent="0.25">
      <c r="A28" s="1" t="s">
        <v>47</v>
      </c>
      <c r="B28" s="17">
        <f>B26*4.3</f>
        <v>6432.8</v>
      </c>
      <c r="C28" s="17">
        <f t="shared" ref="C28:T28" si="23">C26*4.3</f>
        <v>6432.8</v>
      </c>
      <c r="D28" s="17">
        <f t="shared" si="23"/>
        <v>6432.8</v>
      </c>
      <c r="E28" s="17">
        <f t="shared" si="23"/>
        <v>6432.8</v>
      </c>
      <c r="F28" s="17">
        <f t="shared" si="23"/>
        <v>4257</v>
      </c>
      <c r="G28" s="17">
        <f t="shared" si="23"/>
        <v>4257</v>
      </c>
      <c r="H28" s="17">
        <f t="shared" si="23"/>
        <v>4257</v>
      </c>
      <c r="I28" s="17">
        <f t="shared" si="23"/>
        <v>4257</v>
      </c>
      <c r="J28" s="17">
        <f t="shared" ref="J28:K28" si="24">J26*4.3</f>
        <v>6111.16</v>
      </c>
      <c r="K28" s="17">
        <f t="shared" si="24"/>
        <v>6111.16</v>
      </c>
      <c r="L28" s="17">
        <f t="shared" si="23"/>
        <v>7189.5999999999995</v>
      </c>
      <c r="M28" s="17">
        <f t="shared" si="23"/>
        <v>6470.6399999999994</v>
      </c>
      <c r="N28" s="17">
        <f t="shared" si="23"/>
        <v>6470.6399999999994</v>
      </c>
      <c r="O28" s="17">
        <f t="shared" si="23"/>
        <v>5751.6799999999994</v>
      </c>
      <c r="P28" s="17">
        <f t="shared" si="23"/>
        <v>7189.5999999999995</v>
      </c>
      <c r="Q28" s="17">
        <f t="shared" ref="Q28:R28" si="25">Q26*4.3</f>
        <v>7189.5999999999995</v>
      </c>
      <c r="R28" s="17">
        <f t="shared" si="25"/>
        <v>6470.6399999999994</v>
      </c>
      <c r="S28" s="17">
        <f t="shared" ref="S28" si="26">S26*4.3</f>
        <v>7189.5999999999995</v>
      </c>
      <c r="T28" s="17">
        <f t="shared" si="23"/>
        <v>6470.6399999999994</v>
      </c>
      <c r="U28" s="17">
        <f>U26*4.3</f>
        <v>9346.48</v>
      </c>
      <c r="V28" s="9"/>
      <c r="W28" s="9"/>
      <c r="X28" s="9"/>
    </row>
    <row r="29" spans="1:24" x14ac:dyDescent="0.25">
      <c r="A29" s="1" t="s">
        <v>48</v>
      </c>
      <c r="B29" s="16">
        <f>B27*4.3</f>
        <v>804.1</v>
      </c>
      <c r="C29" s="16">
        <f t="shared" ref="C29:T29" si="27">C27*4.3</f>
        <v>804.1</v>
      </c>
      <c r="D29" s="16">
        <f t="shared" si="27"/>
        <v>804.1</v>
      </c>
      <c r="E29" s="16">
        <f t="shared" si="27"/>
        <v>804.1</v>
      </c>
      <c r="F29" s="16">
        <f t="shared" si="27"/>
        <v>928.8</v>
      </c>
      <c r="G29" s="16">
        <f t="shared" si="27"/>
        <v>928.8</v>
      </c>
      <c r="H29" s="16">
        <f t="shared" si="27"/>
        <v>928.8</v>
      </c>
      <c r="I29" s="16">
        <f t="shared" si="27"/>
        <v>928.8</v>
      </c>
      <c r="J29" s="16">
        <f t="shared" ref="J29:K29" si="28">J27*4.3</f>
        <v>420.14225000000005</v>
      </c>
      <c r="K29" s="16">
        <f t="shared" si="28"/>
        <v>534.72649999999999</v>
      </c>
      <c r="L29" s="16">
        <f t="shared" si="27"/>
        <v>305.55799999999999</v>
      </c>
      <c r="M29" s="16">
        <f t="shared" si="27"/>
        <v>380.15009999999995</v>
      </c>
      <c r="N29" s="16">
        <f t="shared" si="27"/>
        <v>396.32669999999996</v>
      </c>
      <c r="O29" s="16">
        <f t="shared" si="27"/>
        <v>373.85919999999999</v>
      </c>
      <c r="P29" s="16">
        <f t="shared" si="27"/>
        <v>233.66200000000001</v>
      </c>
      <c r="Q29" s="16">
        <f t="shared" ref="Q29:R29" si="29">Q27*4.3</f>
        <v>256.12950000000001</v>
      </c>
      <c r="R29" s="16">
        <f t="shared" si="29"/>
        <v>323.53199999999998</v>
      </c>
      <c r="S29" s="16">
        <f t="shared" ref="S29" si="30">S27*4.3</f>
        <v>408.9085</v>
      </c>
      <c r="T29" s="16">
        <f t="shared" si="27"/>
        <v>254.78144999999998</v>
      </c>
      <c r="U29" s="16">
        <f>U27*4.3</f>
        <v>520.29999999999995</v>
      </c>
    </row>
    <row r="30" spans="1:24" x14ac:dyDescent="0.25">
      <c r="A30" s="3"/>
    </row>
    <row r="31" spans="1:24" x14ac:dyDescent="0.25">
      <c r="A31" s="3"/>
    </row>
    <row r="32" spans="1:24" x14ac:dyDescent="0.25">
      <c r="A32" s="8" t="s">
        <v>49</v>
      </c>
    </row>
    <row r="33" spans="1:24" x14ac:dyDescent="0.25">
      <c r="A33" s="3"/>
    </row>
    <row r="34" spans="1:24" s="3" customFormat="1" x14ac:dyDescent="0.25">
      <c r="A34" s="3" t="s">
        <v>17</v>
      </c>
      <c r="B34" s="3">
        <v>231.12960000000001</v>
      </c>
      <c r="C34" s="3">
        <v>231.12960000000001</v>
      </c>
      <c r="D34" s="3">
        <v>231.12960000000001</v>
      </c>
      <c r="E34" s="3">
        <v>231.12960000000001</v>
      </c>
      <c r="F34" s="3">
        <v>138.75868156475198</v>
      </c>
      <c r="G34" s="3">
        <v>138.75868156475198</v>
      </c>
      <c r="H34" s="3">
        <v>138.75868156475198</v>
      </c>
      <c r="I34" s="3">
        <v>138.75868156475198</v>
      </c>
      <c r="J34" s="3">
        <v>125.36396902997272</v>
      </c>
      <c r="K34" s="3">
        <v>125.36396902997272</v>
      </c>
      <c r="L34" s="3">
        <v>199.93511499255825</v>
      </c>
      <c r="M34" s="3">
        <v>113.88751470645052</v>
      </c>
      <c r="N34" s="3">
        <v>98.72639347597628</v>
      </c>
      <c r="O34" s="3">
        <v>130.68876902997272</v>
      </c>
      <c r="P34" s="3">
        <v>98.739969029972713</v>
      </c>
      <c r="Q34" s="3">
        <v>98.739969029972713</v>
      </c>
      <c r="R34" s="3">
        <v>113.88751470645052</v>
      </c>
      <c r="S34" s="3">
        <v>98.739969029972713</v>
      </c>
      <c r="T34" s="3">
        <v>113.88751470645052</v>
      </c>
      <c r="U34" s="3">
        <v>231.12960000000001</v>
      </c>
    </row>
    <row r="35" spans="1:24" x14ac:dyDescent="0.25">
      <c r="A35" s="1" t="s">
        <v>18</v>
      </c>
      <c r="B35" s="3">
        <f>B34*1.3</f>
        <v>300.46848</v>
      </c>
      <c r="C35" s="3">
        <f t="shared" ref="C35:T35" si="31">C34*1.3</f>
        <v>300.46848</v>
      </c>
      <c r="D35" s="3">
        <f t="shared" si="31"/>
        <v>300.46848</v>
      </c>
      <c r="E35" s="3">
        <f t="shared" si="31"/>
        <v>300.46848</v>
      </c>
      <c r="F35" s="3">
        <f t="shared" si="31"/>
        <v>180.38628603417757</v>
      </c>
      <c r="G35" s="3">
        <f t="shared" si="31"/>
        <v>180.38628603417757</v>
      </c>
      <c r="H35" s="3">
        <f t="shared" si="31"/>
        <v>180.38628603417757</v>
      </c>
      <c r="I35" s="3">
        <f t="shared" si="31"/>
        <v>180.38628603417757</v>
      </c>
      <c r="J35" s="3">
        <f t="shared" ref="J35:K35" si="32">J34*1.3</f>
        <v>162.97315973896454</v>
      </c>
      <c r="K35" s="3">
        <f t="shared" si="32"/>
        <v>162.97315973896454</v>
      </c>
      <c r="L35" s="3">
        <f t="shared" si="31"/>
        <v>259.91564949032573</v>
      </c>
      <c r="M35" s="3">
        <f t="shared" si="31"/>
        <v>148.05376911838567</v>
      </c>
      <c r="N35" s="3">
        <f t="shared" si="31"/>
        <v>128.34431151876916</v>
      </c>
      <c r="O35" s="3">
        <f t="shared" si="31"/>
        <v>169.89539973896453</v>
      </c>
      <c r="P35" s="3">
        <f t="shared" si="31"/>
        <v>128.36195973896454</v>
      </c>
      <c r="Q35" s="3">
        <f t="shared" ref="Q35:R35" si="33">Q34*1.3</f>
        <v>128.36195973896454</v>
      </c>
      <c r="R35" s="3">
        <f t="shared" si="33"/>
        <v>148.05376911838567</v>
      </c>
      <c r="S35" s="3">
        <f t="shared" si="31"/>
        <v>128.36195973896454</v>
      </c>
      <c r="T35" s="3">
        <f t="shared" si="31"/>
        <v>148.05376911838567</v>
      </c>
      <c r="U35" s="3">
        <f t="shared" ref="U35" si="34">U34*1.3</f>
        <v>300.46848</v>
      </c>
      <c r="V35" s="3"/>
      <c r="W35" s="3"/>
      <c r="X35" s="3"/>
    </row>
    <row r="36" spans="1:24" s="3" customFormat="1" x14ac:dyDescent="0.25">
      <c r="A36" s="3" t="s">
        <v>24</v>
      </c>
      <c r="B36" s="3">
        <f>121*1.3</f>
        <v>157.30000000000001</v>
      </c>
      <c r="C36" s="3">
        <f t="shared" ref="C36:U36" si="35">121*1.3</f>
        <v>157.30000000000001</v>
      </c>
      <c r="D36" s="3">
        <f t="shared" si="35"/>
        <v>157.30000000000001</v>
      </c>
      <c r="E36" s="3">
        <f t="shared" si="35"/>
        <v>157.30000000000001</v>
      </c>
      <c r="F36" s="3">
        <f t="shared" si="35"/>
        <v>157.30000000000001</v>
      </c>
      <c r="G36" s="3">
        <f t="shared" si="35"/>
        <v>157.30000000000001</v>
      </c>
      <c r="H36" s="3">
        <f t="shared" si="35"/>
        <v>157.30000000000001</v>
      </c>
      <c r="I36" s="3">
        <f t="shared" si="35"/>
        <v>157.30000000000001</v>
      </c>
      <c r="J36" s="3">
        <f t="shared" si="35"/>
        <v>157.30000000000001</v>
      </c>
      <c r="K36" s="3">
        <f t="shared" si="35"/>
        <v>157.30000000000001</v>
      </c>
      <c r="L36" s="3">
        <f t="shared" si="35"/>
        <v>157.30000000000001</v>
      </c>
      <c r="M36" s="3">
        <f t="shared" si="35"/>
        <v>157.30000000000001</v>
      </c>
      <c r="N36" s="3">
        <f t="shared" si="35"/>
        <v>157.30000000000001</v>
      </c>
      <c r="O36" s="3">
        <f t="shared" si="35"/>
        <v>157.30000000000001</v>
      </c>
      <c r="P36" s="3">
        <f t="shared" si="35"/>
        <v>157.30000000000001</v>
      </c>
      <c r="Q36" s="3">
        <f t="shared" si="35"/>
        <v>157.30000000000001</v>
      </c>
      <c r="R36" s="3">
        <f t="shared" si="35"/>
        <v>157.30000000000001</v>
      </c>
      <c r="S36" s="3">
        <f t="shared" si="35"/>
        <v>157.30000000000001</v>
      </c>
      <c r="T36" s="3">
        <f t="shared" si="35"/>
        <v>157.30000000000001</v>
      </c>
      <c r="U36" s="3">
        <f t="shared" si="35"/>
        <v>157.30000000000001</v>
      </c>
    </row>
    <row r="37" spans="1:24" x14ac:dyDescent="0.25">
      <c r="A37" s="3"/>
    </row>
    <row r="40" spans="1:24" x14ac:dyDescent="0.25">
      <c r="A40" s="2" t="s">
        <v>20</v>
      </c>
    </row>
    <row r="41" spans="1:24" x14ac:dyDescent="0.25">
      <c r="A41" s="1" t="s">
        <v>21</v>
      </c>
      <c r="B41" s="1">
        <v>100</v>
      </c>
    </row>
    <row r="42" spans="1:24" x14ac:dyDescent="0.25">
      <c r="A42" s="1" t="s">
        <v>22</v>
      </c>
      <c r="B42" s="1">
        <v>10</v>
      </c>
    </row>
    <row r="43" spans="1:24" x14ac:dyDescent="0.25">
      <c r="A43" s="1" t="s">
        <v>23</v>
      </c>
      <c r="B43" s="1">
        <v>0</v>
      </c>
    </row>
    <row r="45" spans="1:24" x14ac:dyDescent="0.25">
      <c r="A45" s="2" t="s">
        <v>60</v>
      </c>
    </row>
    <row r="46" spans="1:24" x14ac:dyDescent="0.25">
      <c r="A46" s="1" t="s">
        <v>61</v>
      </c>
    </row>
    <row r="47" spans="1:24" x14ac:dyDescent="0.25">
      <c r="A47" s="1" t="s">
        <v>62</v>
      </c>
    </row>
    <row r="103" spans="1:1" x14ac:dyDescent="0.25">
      <c r="A103" s="18"/>
    </row>
    <row r="104" spans="1:1" x14ac:dyDescent="0.25">
      <c r="A104" s="1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Cash Flow </vt:lpstr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Snow</dc:creator>
  <cp:lastModifiedBy>Vipan</cp:lastModifiedBy>
  <dcterms:created xsi:type="dcterms:W3CDTF">2019-03-12T15:33:06Z</dcterms:created>
  <dcterms:modified xsi:type="dcterms:W3CDTF">2020-09-22T16:14:03Z</dcterms:modified>
</cp:coreProperties>
</file>